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ommunicatie gezamenlijk BB-ASP\Documenten DEF\"/>
    </mc:Choice>
  </mc:AlternateContent>
  <bookViews>
    <workbookView xWindow="28680" yWindow="-120" windowWidth="29040" windowHeight="15840" tabRatio="855"/>
  </bookViews>
  <sheets>
    <sheet name="Start" sheetId="1" r:id="rId1"/>
    <sheet name="Data" sheetId="2" state="hidden" r:id="rId2"/>
    <sheet name="Leerlingaantallen" sheetId="23" state="hidden" r:id="rId3"/>
    <sheet name="BevoegdGezag" sheetId="24" state="hidden" r:id="rId4"/>
    <sheet name="Schalen_ineengeschoven" sheetId="20" state="hidden" r:id="rId5"/>
    <sheet name="RekentoolUitleg" sheetId="5" state="hidden" r:id="rId6"/>
    <sheet name="Algoritmes" sheetId="7" state="hidden" r:id="rId7"/>
    <sheet name="DUO-CFI" sheetId="8" state="hidden" r:id="rId8"/>
    <sheet name="DerdenEnZorg" sheetId="9" state="hidden" r:id="rId9"/>
    <sheet name="Personeel" sheetId="10" state="hidden" r:id="rId10"/>
    <sheet name="Consolidatie" sheetId="11" state="hidden" r:id="rId11"/>
    <sheet name="Directie" sheetId="17" state="hidden" r:id="rId12"/>
    <sheet name="Leraren_OOP_ID" sheetId="18" state="hidden" r:id="rId13"/>
    <sheet name="Schalen_integraal" sheetId="19" state="hidden" r:id="rId14"/>
    <sheet name="Salaris_berekening" sheetId="21" state="hidden" r:id="rId15"/>
    <sheet name="Prestatiebox" sheetId="22" state="hidden" r:id="rId16"/>
  </sheets>
  <functionGroups builtInGroupCount="18"/>
  <definedNames>
    <definedName name="_xlnm._FilterDatabase" localSheetId="9" hidden="1">Personeel!$H$19:$X$92</definedName>
    <definedName name="_xlnm.Print_Area" localSheetId="6">Algoritmes!$A$1:$X$49</definedName>
    <definedName name="_xlnm.Print_Area" localSheetId="10">Consolidatie!$A$1:$T$55</definedName>
    <definedName name="_xlnm.Print_Area" localSheetId="8">DerdenEnZorg!$A$1:$AE$46</definedName>
    <definedName name="_xlnm.Print_Area" localSheetId="7">'DUO-CFI'!$A$1:$AS$74</definedName>
    <definedName name="_xlnm.Print_Area" localSheetId="9">Personeel!$A$1:$Z$98</definedName>
    <definedName name="_xlnm.Print_Area" localSheetId="5">RekentoolUitleg!$A$1:$AA$56</definedName>
    <definedName name="_xlnm.Print_Area" localSheetId="14">Salaris_berekening!$A$7:$V$107</definedName>
    <definedName name="_xlnm.Print_Titles" localSheetId="14">Salaris_berekening!$1:$6</definedName>
    <definedName name="CheckMark0100">Data!$BI$3</definedName>
    <definedName name="CheckMark0200">Data!$BI$4</definedName>
    <definedName name="CheckMark0300">Data!$BI$5</definedName>
    <definedName name="CheckMark0301">Data!$BI$6</definedName>
    <definedName name="CheckMark0302">Data!$BI$7</definedName>
    <definedName name="CheckMark0303">Data!$BI$8</definedName>
    <definedName name="CheckMark0400">Data!$BI$9</definedName>
    <definedName name="CheckMark0401">Data!$BI$10</definedName>
    <definedName name="CheckMark0402">Data!$BI$11</definedName>
    <definedName name="CheckMark0403">Data!$BI$12</definedName>
    <definedName name="CheckMark0404">Data!$BI$13</definedName>
    <definedName name="CheckMark0500">Data!$BI$14</definedName>
    <definedName name="CheckMarkLabel0100">Data!$BH$3</definedName>
    <definedName name="CheckMarkLabel0200">Data!$BH$4</definedName>
    <definedName name="CheckMarkLabel0300">Data!$BH$5</definedName>
    <definedName name="CheckMarkLabel0301">Data!$BH$6</definedName>
    <definedName name="CheckMarkLabel0302">Data!$BH$7</definedName>
    <definedName name="CheckMarkLabel0303">Data!$BH$8</definedName>
    <definedName name="CheckMarkLabel0400">Data!$BH$9</definedName>
    <definedName name="CheckMarkLabel0401">Data!$BH$10</definedName>
    <definedName name="CheckMarkLabel0402">Data!$BH$11</definedName>
    <definedName name="CheckMarkLabel0403">Data!$BH$12</definedName>
    <definedName name="CheckMarkLabel0404">Data!$BH$13</definedName>
    <definedName name="CheckMarkLabel0500">Data!$BH$14</definedName>
    <definedName name="ControleSchaalTrede">Salaris_berekening!$M$63</definedName>
    <definedName name="d16e4465" localSheetId="15">Prestatiebox!$A$28</definedName>
    <definedName name="Data_1213BekostDerden01">Data!$I$3</definedName>
    <definedName name="Data_1213BekostDerden02">Data!$I$4</definedName>
    <definedName name="Data_1213BekostDerden03">Data!$I$5</definedName>
    <definedName name="Data_1213BekostDerden04">Data!$I$6</definedName>
    <definedName name="Data_1213BekostDerden05">Data!$I$7</definedName>
    <definedName name="Data_1213BekostDerden06">Data!$I$8</definedName>
    <definedName name="Data_1213BekostDerden07">Data!$I$9</definedName>
    <definedName name="Data_1213BekostDerden08">Data!$I$10</definedName>
    <definedName name="Data_1213BekostDerden09">Data!$I$11</definedName>
    <definedName name="Data_1213BekostDerden10">Data!$I$12</definedName>
    <definedName name="Data_1213BekostZorginf01">Data!$M$3</definedName>
    <definedName name="Data_1213BekostZorginf02">Data!$M$4</definedName>
    <definedName name="Data_1213BekostZorginf03">Data!$M$5</definedName>
    <definedName name="Data_1213BekostZorginf04">Data!$M$6</definedName>
    <definedName name="Data_1213BekostZorginf05">Data!$M$7</definedName>
    <definedName name="Data_1213BekostZorginf06">Data!$M$8</definedName>
    <definedName name="Data_1213BekostZorginf07">Data!$M$9</definedName>
    <definedName name="Data_1213BekostZorginf08">Data!$M$10</definedName>
    <definedName name="Data_1213BekostZorginf09">Data!$M$11</definedName>
    <definedName name="Data_1213BekostZorginf10">Data!$M$12</definedName>
    <definedName name="Data_1213RijksBekost01">Data!$D$3</definedName>
    <definedName name="Data_1213RijksBekost02">Data!$D$4</definedName>
    <definedName name="Data_1213RijksBekost03">Data!$D$5</definedName>
    <definedName name="Data_1213RijksBekost04">Data!$D$6</definedName>
    <definedName name="Data_1213RijksBekost05">Data!$D$7</definedName>
    <definedName name="Data_1213RijksBekost06">Data!$D$8</definedName>
    <definedName name="Data_1213RijksBekost07">Data!$D$9</definedName>
    <definedName name="Data_1213RijksBekost08">Data!$D$10</definedName>
    <definedName name="Data_1213RijksBekost09">Data!$D$11</definedName>
    <definedName name="Data_1213RijksBekost10">Data!$D$12</definedName>
    <definedName name="Data_1213RijksBekost11">Data!$D$13</definedName>
    <definedName name="Data_1213RijksBekost12">Data!$D$14</definedName>
    <definedName name="Data_1213RijksBekost13">Data!$D$15</definedName>
    <definedName name="Data_1213RijksBekost14">Data!$D$16</definedName>
    <definedName name="Data_1213RijksBekost15">Data!$D$17</definedName>
    <definedName name="Data_1213RijksBekost16">Data!$D$18</definedName>
    <definedName name="Data_1213RijksBekost17">Data!$D$19</definedName>
    <definedName name="Data_1213RijksBekost18">Data!$D$20</definedName>
    <definedName name="Data_1213RijksBekost19">Data!$D$21</definedName>
    <definedName name="Data_1213RijksBekost20">Data!$D$22</definedName>
    <definedName name="Data_1213RijksBekost21">Data!$D$23</definedName>
    <definedName name="Data_1213RijksBekost22">Data!$D$24</definedName>
    <definedName name="Data_1213RijksBekost23">Data!$D$25</definedName>
    <definedName name="Data_1213RijksBekost24">Data!$D$26</definedName>
    <definedName name="Data_1314BekostDerden01">Data!$J$3</definedName>
    <definedName name="Data_1314BekostDerden02">Data!$J$4</definedName>
    <definedName name="Data_1314BekostDerden03">Data!$J$5</definedName>
    <definedName name="Data_1314BekostDerden04">Data!$J$6</definedName>
    <definedName name="Data_1314BekostDerden05">Data!$J$7</definedName>
    <definedName name="Data_1314BekostDerden06">Data!$J$8</definedName>
    <definedName name="Data_1314BekostDerden07">Data!$J$9</definedName>
    <definedName name="Data_1314BekostDerden08">Data!$J$10</definedName>
    <definedName name="Data_1314BekostDerden09">Data!$J$11</definedName>
    <definedName name="Data_1314BekostDerden10">Data!$J$12</definedName>
    <definedName name="Data_1314BekostZorginf01">Data!$N$3</definedName>
    <definedName name="Data_1314BekostZorginf02">Data!$N$4</definedName>
    <definedName name="Data_1314BekostZorginf03">Data!$N$5</definedName>
    <definedName name="Data_1314BekostZorginf04">Data!$N$6</definedName>
    <definedName name="Data_1314BekostZorginf05">Data!$N$7</definedName>
    <definedName name="Data_1314BekostZorginf06">Data!$N$8</definedName>
    <definedName name="Data_1314BekostZorginf07">Data!$N$9</definedName>
    <definedName name="Data_1314BekostZorginf08">Data!$N$10</definedName>
    <definedName name="Data_1314BekostZorginf09">Data!$N$11</definedName>
    <definedName name="Data_1314BekostZorginf10">Data!$N$12</definedName>
    <definedName name="Data_1314RijksBekost01">Data!$E$3</definedName>
    <definedName name="Data_1314RijksBekost02">Data!$E$4</definedName>
    <definedName name="Data_1314RijksBekost03">Data!$E$5</definedName>
    <definedName name="Data_1314RijksBekost04">Data!$E$6</definedName>
    <definedName name="Data_1314RijksBekost05">Data!$E$7</definedName>
    <definedName name="Data_1314RijksBekost06">Data!$E$8</definedName>
    <definedName name="Data_1314RijksBekost07">Data!$E$9</definedName>
    <definedName name="Data_1314RijksBekost08">Data!$E$10</definedName>
    <definedName name="Data_1314RijksBekost09">Data!$E$11</definedName>
    <definedName name="Data_1314RijksBekost10">Data!$E$12</definedName>
    <definedName name="Data_1314RijksBekost11">Data!$E$13</definedName>
    <definedName name="Data_1314RijksBekost12">Data!$E$14</definedName>
    <definedName name="Data_1314RijksBekost13">Data!$E$15</definedName>
    <definedName name="Data_1314RijksBekost14">Data!$E$16</definedName>
    <definedName name="Data_1314RijksBekost15">Data!$E$17</definedName>
    <definedName name="Data_1314RijksBekost16">Data!$E$18</definedName>
    <definedName name="Data_1314RijksBekost17">Data!$E$19</definedName>
    <definedName name="Data_1314RijksBekost18">Data!$E$20</definedName>
    <definedName name="Data_1314RijksBekost19">Data!$E$21</definedName>
    <definedName name="Data_1314RijksBekost20">Data!$E$22</definedName>
    <definedName name="Data_1314RijksBekost21">Data!$E$23</definedName>
    <definedName name="Data_1314RijksBekost22">Data!$E$24</definedName>
    <definedName name="Data_1314RijksBekost23">Data!$E$25</definedName>
    <definedName name="Data_1314RijksBekost24">Data!$E$26</definedName>
    <definedName name="Data_2012Rijksbekost19">Data!$F$3</definedName>
    <definedName name="Data_2013Rijksbekost19">Data!$F$4</definedName>
    <definedName name="Data_2014Rijksbekost19">Data!$F$5</definedName>
    <definedName name="Data_AantalLeerlingen">Data!$B$9</definedName>
    <definedName name="Data_AantalPersonenNatVerloop">Data!$AU$1</definedName>
    <definedName name="Data_AantalPersonenTijd">Data!$Q$1</definedName>
    <definedName name="Data_AantalPersonenVastOntslag">Data!$AK$1</definedName>
    <definedName name="Data_AantalPersonenVastVrij">Data!$AA$1</definedName>
    <definedName name="Data_BeeindigingsdatumNatVerloop001">Data!$AU$3</definedName>
    <definedName name="Data_BeeindigingsdatumNatVerloop002">Data!$AU$4</definedName>
    <definedName name="Data_BeeindigingsdatumNatVerloop003">Data!$AU$5</definedName>
    <definedName name="Data_BeeindigingsdatumNatVerloop004">Data!$AU$6</definedName>
    <definedName name="Data_BeeindigingsdatumNatVerloop005">Data!$AU$7</definedName>
    <definedName name="Data_BeeindigingsdatumNatVerloop006">Data!$AU$8</definedName>
    <definedName name="Data_BeeindigingsdatumNatVerloop007">Data!$AU$9</definedName>
    <definedName name="Data_BeeindigingsdatumNatVerloop008">Data!$AU$10</definedName>
    <definedName name="Data_BeeindigingsdatumNatVerloop009">Data!$AU$11</definedName>
    <definedName name="Data_BeeindigingsdatumNatVerloop010">Data!$AU$12</definedName>
    <definedName name="Data_BeeindigingsdatumNatVerloop011">Data!$AU$13</definedName>
    <definedName name="Data_BeeindigingsdatumNatVerloop012">Data!$AU$14</definedName>
    <definedName name="Data_BeeindigingsdatumNatVerloop013">Data!$AU$15</definedName>
    <definedName name="Data_BeeindigingsdatumNatVerloop014">Data!$AU$16</definedName>
    <definedName name="Data_BeeindigingsdatumNatVerloop015">Data!$AU$17</definedName>
    <definedName name="Data_BeeindigingsdatumNatVerloop016">Data!$AU$18</definedName>
    <definedName name="Data_BeeindigingsdatumNatVerloop017">Data!$AU$19</definedName>
    <definedName name="Data_BeeindigingsdatumNatVerloop018">Data!$AU$20</definedName>
    <definedName name="Data_BeeindigingsdatumNatVerloop019">Data!$AU$21</definedName>
    <definedName name="Data_BeeindigingsdatumNatVerloop020">Data!$AU$22</definedName>
    <definedName name="Data_BeeindigingsdatumNatVerloop021">Data!$AU$23</definedName>
    <definedName name="Data_BeeindigingsdatumNatVerloop022">Data!$AU$24</definedName>
    <definedName name="Data_BeeindigingsdatumNatVerloop023">Data!$AU$25</definedName>
    <definedName name="Data_BeeindigingsdatumNatVerloop024">Data!$AU$26</definedName>
    <definedName name="Data_BeeindigingsdatumNatVerloop025">Data!$AU$27</definedName>
    <definedName name="Data_BeeindigingsdatumNatVerloop026">Data!$AU$28</definedName>
    <definedName name="Data_BeeindigingsdatumNatVerloop027">Data!$AU$29</definedName>
    <definedName name="Data_BeeindigingsdatumNatVerloop028">Data!$AU$30</definedName>
    <definedName name="Data_BeeindigingsdatumNatVerloop029">Data!$AU$31</definedName>
    <definedName name="Data_BeeindigingsdatumNatVerloop030">Data!$AU$32</definedName>
    <definedName name="Data_BeeindigingsdatumNatVerloop031">Data!$AU$33</definedName>
    <definedName name="Data_BeeindigingsdatumNatVerloop032">Data!$AU$34</definedName>
    <definedName name="Data_BeeindigingsdatumNatVerloop033">Data!$AU$35</definedName>
    <definedName name="Data_BeeindigingsdatumNatVerloop034">Data!$AU$36</definedName>
    <definedName name="Data_BeeindigingsdatumNatVerloop035">Data!$AU$37</definedName>
    <definedName name="Data_BeeindigingsdatumNatVerloop036">Data!$AU$38</definedName>
    <definedName name="Data_BeeindigingsdatumNatVerloop037">Data!$AU$39</definedName>
    <definedName name="Data_BeeindigingsdatumNatVerloop038">Data!$AU$40</definedName>
    <definedName name="Data_BeeindigingsdatumNatVerloop039">Data!$AU$41</definedName>
    <definedName name="Data_BeeindigingsdatumNatVerloop040">Data!$AU$42</definedName>
    <definedName name="Data_BeeindigingsdatumNatVerloop041">Data!$AU$43</definedName>
    <definedName name="Data_BeeindigingsdatumNatVerloop042">Data!$AU$44</definedName>
    <definedName name="Data_BeeindigingsdatumNatVerloop043">Data!$AU$45</definedName>
    <definedName name="Data_BeeindigingsdatumNatVerloop044">Data!$AU$46</definedName>
    <definedName name="Data_BeeindigingsdatumNatVerloop045">Data!$AU$47</definedName>
    <definedName name="Data_BeeindigingsdatumNatVerloop046">Data!$AU$48</definedName>
    <definedName name="Data_BeeindigingsdatumNatVerloop047">Data!$AU$49</definedName>
    <definedName name="Data_BeeindigingsdatumNatVerloop048">Data!$AU$50</definedName>
    <definedName name="Data_BeeindigingsdatumNatVerloop049">Data!$AU$51</definedName>
    <definedName name="Data_BeeindigingsdatumNatVerloop050">Data!$AU$52</definedName>
    <definedName name="Data_BeeindigingsdatumNatVerloop051">Data!$AU$53</definedName>
    <definedName name="Data_BeeindigingsdatumNatVerloop052">Data!$AU$54</definedName>
    <definedName name="Data_BeeindigingsdatumNatVerloop053">Data!$AU$55</definedName>
    <definedName name="Data_BeeindigingsdatumNatVerloop054">Data!$AU$56</definedName>
    <definedName name="Data_BeeindigingsdatumNatVerloop055">Data!$AU$57</definedName>
    <definedName name="Data_BeeindigingsdatumNatVerloop056">Data!$AU$58</definedName>
    <definedName name="Data_BeeindigingsdatumNatVerloop057">Data!$AU$59</definedName>
    <definedName name="Data_BeeindigingsdatumNatVerloop058">Data!$AU$60</definedName>
    <definedName name="Data_BeeindigingsdatumNatVerloop059">Data!$AU$61</definedName>
    <definedName name="Data_BeeindigingsdatumNatVerloop060">Data!$AU$62</definedName>
    <definedName name="Data_BeeindigingsdatumNatVerloop061">Data!$AU$63</definedName>
    <definedName name="Data_BeeindigingsdatumNatVerloop062">Data!$AU$64</definedName>
    <definedName name="Data_BeeindigingsdatumNatVerloop063">Data!$AU$65</definedName>
    <definedName name="Data_BeeindigingsdatumNatVerloop064">Data!$AU$66</definedName>
    <definedName name="Data_BeeindigingsdatumNatVerloop065">Data!$AU$67</definedName>
    <definedName name="Data_BeeindigingsdatumNatVerloop066">Data!$AU$68</definedName>
    <definedName name="Data_BeeindigingsdatumNatVerloop067">Data!$AU$69</definedName>
    <definedName name="Data_BeeindigingsdatumNatVerloop068">Data!$AU$70</definedName>
    <definedName name="Data_BeeindigingsdatumNatVerloop069">Data!$AU$71</definedName>
    <definedName name="Data_BeeindigingsdatumNatVerloop070">Data!$AU$72</definedName>
    <definedName name="Data_BeeindigingsdatumNatVerloop071">Data!$AU$73</definedName>
    <definedName name="Data_BeeindigingsdatumNatVerloop072">Data!$AU$74</definedName>
    <definedName name="Data_BeeindigingsdatumNatVerloop073">Data!$AU$75</definedName>
    <definedName name="Data_BeeindigingsdatumNatVerloop074">Data!$AU$76</definedName>
    <definedName name="Data_BeeindigingsdatumNatVerloop075">Data!$AU$77</definedName>
    <definedName name="Data_BeeindigingsdatumNatVerloop076">Data!$AU$78</definedName>
    <definedName name="Data_BeeindigingsdatumNatVerloop077">Data!$AU$79</definedName>
    <definedName name="Data_BeeindigingsdatumNatVerloop078">Data!$AU$80</definedName>
    <definedName name="Data_BeeindigingsdatumNatVerloop079">Data!$AU$81</definedName>
    <definedName name="Data_BeeindigingsdatumNatVerloop080">Data!$AU$82</definedName>
    <definedName name="Data_BeeindigingsdatumNatVerloop081">Data!$AU$83</definedName>
    <definedName name="Data_BeeindigingsdatumNatVerloop082">Data!$AU$84</definedName>
    <definedName name="Data_BeeindigingsdatumNatVerloop083">Data!$AU$85</definedName>
    <definedName name="Data_BeeindigingsdatumNatVerloop084">Data!$AU$86</definedName>
    <definedName name="Data_BeeindigingsdatumNatVerloop085">Data!$AU$87</definedName>
    <definedName name="Data_BeeindigingsdatumNatVerloop086">Data!$AU$88</definedName>
    <definedName name="Data_BeeindigingsdatumNatVerloop087">Data!$AU$89</definedName>
    <definedName name="Data_BeeindigingsdatumNatVerloop088">Data!$AU$90</definedName>
    <definedName name="Data_BeeindigingsdatumNatVerloop089">Data!$AU$91</definedName>
    <definedName name="Data_BeeindigingsdatumNatVerloop090">Data!$AU$92</definedName>
    <definedName name="Data_BeeindigingsdatumNatVerloop091">Data!$AU$93</definedName>
    <definedName name="Data_BeeindigingsdatumNatVerloop092">Data!$AU$94</definedName>
    <definedName name="Data_BeeindigingsdatumNatVerloop093">Data!$AU$95</definedName>
    <definedName name="Data_BeeindigingsdatumNatVerloop094">Data!$AU$96</definedName>
    <definedName name="Data_BeeindigingsdatumNatVerloop095">Data!$AU$97</definedName>
    <definedName name="Data_BeeindigingsdatumNatVerloop096">Data!$AU$98</definedName>
    <definedName name="Data_BeeindigingsdatumNatVerloop097">Data!$AU$99</definedName>
    <definedName name="Data_BeeindigingsdatumNatVerloop098">Data!$AU$100</definedName>
    <definedName name="Data_BeeindigingsdatumNatVerloop099">Data!$AU$101</definedName>
    <definedName name="Data_BeeindigingsdatumNatVerloop100">Data!$AU$102</definedName>
    <definedName name="Data_BeeindigingsdatumNatVerloop101">Data!$AU$103</definedName>
    <definedName name="Data_BeeindigingsdatumNatVerloop102">Data!$AU$104</definedName>
    <definedName name="Data_BeeindigingsdatumNatVerloop103">Data!$AU$105</definedName>
    <definedName name="Data_BeeindigingsdatumNatVerloop104">Data!$AU$106</definedName>
    <definedName name="Data_BeeindigingsdatumNatVerloop105">Data!$AU$107</definedName>
    <definedName name="Data_BeeindigingsdatumNatVerloop106">Data!$AU$108</definedName>
    <definedName name="Data_BeeindigingsdatumNatVerloop107">Data!$AU$109</definedName>
    <definedName name="Data_BeeindigingsdatumNatVerloop108">Data!$AU$110</definedName>
    <definedName name="Data_BeeindigingsdatumNatVerloop109">Data!$AU$111</definedName>
    <definedName name="Data_BeeindigingsdatumNatVerloop110">Data!$AU$112</definedName>
    <definedName name="Data_BeeindigingsdatumNatVerloop111">Data!$AU$113</definedName>
    <definedName name="Data_BeeindigingsdatumNatVerloop112">Data!$AU$114</definedName>
    <definedName name="Data_BeeindigingsdatumNatVerloop113">Data!$AU$115</definedName>
    <definedName name="Data_BeeindigingsdatumNatVerloop114">Data!$AU$116</definedName>
    <definedName name="Data_BeeindigingsdatumNatVerloop115">Data!$AU$117</definedName>
    <definedName name="Data_BeeindigingsdatumNatVerloop116">Data!$AU$118</definedName>
    <definedName name="Data_BeeindigingsdatumNatVerloop117">Data!$AU$119</definedName>
    <definedName name="Data_BeeindigingsdatumNatVerloop118">Data!$AU$120</definedName>
    <definedName name="Data_BeeindigingsdatumNatVerloop119">Data!$AU$121</definedName>
    <definedName name="Data_BeeindigingsdatumNatVerloop120">Data!$AU$122</definedName>
    <definedName name="Data_BeeindigingsdatumNatVerloop121">Data!$AU$123</definedName>
    <definedName name="Data_BeeindigingsdatumNatVerloop122">Data!$AU$124</definedName>
    <definedName name="Data_BeeindigingsdatumNatVerloop123">Data!$AU$125</definedName>
    <definedName name="Data_BeeindigingsdatumNatVerloop124">Data!$AU$126</definedName>
    <definedName name="Data_BeeindigingsdatumNatVerloop125">Data!$AU$127</definedName>
    <definedName name="Data_BeeindigingsdatumNatVerloop126">Data!$AU$128</definedName>
    <definedName name="Data_BeeindigingsdatumNatVerloop127">Data!$AU$129</definedName>
    <definedName name="Data_BeeindigingsdatumNatVerloop128">Data!$AU$130</definedName>
    <definedName name="Data_BeeindigingsdatumNatVerloop129">Data!$AU$131</definedName>
    <definedName name="Data_BeeindigingsdatumNatVerloop130">Data!$AU$132</definedName>
    <definedName name="Data_BeeindigingsdatumNatVerloop131">Data!$AU$133</definedName>
    <definedName name="Data_BeeindigingsdatumNatVerloop132">Data!$AU$134</definedName>
    <definedName name="Data_BeeindigingsdatumNatVerloop133">Data!$AU$135</definedName>
    <definedName name="Data_BeeindigingsdatumNatVerloop134">Data!$AU$136</definedName>
    <definedName name="Data_BeeindigingsdatumNatVerloop135">Data!$AU$137</definedName>
    <definedName name="Data_BeeindigingsdatumNatVerloop136">Data!$AU$138</definedName>
    <definedName name="Data_BeeindigingsdatumNatVerloop137">Data!$AU$139</definedName>
    <definedName name="Data_BeeindigingsdatumNatVerloop138">Data!$AU$140</definedName>
    <definedName name="Data_BeeindigingsdatumNatVerloop139">Data!$AU$141</definedName>
    <definedName name="Data_BeeindigingsdatumNatVerloop140">Data!$AU$142</definedName>
    <definedName name="Data_BeeindigingsdatumNatVerloop141">Data!$AU$143</definedName>
    <definedName name="Data_BeeindigingsdatumNatVerloop142">Data!$AU$144</definedName>
    <definedName name="Data_BeeindigingsdatumNatVerloop143">Data!$AU$145</definedName>
    <definedName name="Data_BeeindigingsdatumNatVerloop144">Data!$AU$146</definedName>
    <definedName name="Data_BeeindigingsdatumNatVerloop145">Data!$AU$147</definedName>
    <definedName name="Data_BeeindigingsdatumNatVerloop146">Data!$AU$148</definedName>
    <definedName name="Data_BeeindigingsdatumNatVerloop147">Data!$AU$149</definedName>
    <definedName name="Data_BeeindigingsdatumNatVerloop148">Data!$AU$150</definedName>
    <definedName name="Data_BeeindigingsdatumNatVerloop149">Data!$AU$151</definedName>
    <definedName name="Data_BeeindigingsdatumNatVerloop150">Data!$AU$152</definedName>
    <definedName name="Data_BeeindigingsdatumNatVerloop151">Data!$AU$153</definedName>
    <definedName name="Data_BeeindigingsdatumNatVerloop152">Data!$AU$154</definedName>
    <definedName name="Data_BeeindigingsdatumNatVerloop153">Data!$AU$155</definedName>
    <definedName name="Data_BeeindigingsdatumNatVerloop154">Data!$AU$156</definedName>
    <definedName name="Data_BeeindigingsdatumNatVerloop155">Data!$AU$157</definedName>
    <definedName name="Data_BeeindigingsdatumNatVerloop156">Data!$AU$158</definedName>
    <definedName name="Data_BeeindigingsdatumNatVerloop157">Data!$AU$159</definedName>
    <definedName name="Data_BeeindigingsdatumNatVerloop158">Data!$AU$160</definedName>
    <definedName name="Data_BeeindigingsdatumNatVerloop159">Data!$AU$161</definedName>
    <definedName name="Data_BeeindigingsdatumNatVerloop160">Data!$AU$162</definedName>
    <definedName name="Data_BeeindigingsdatumNatVerloop161">Data!$AU$163</definedName>
    <definedName name="Data_BeeindigingsdatumNatVerloop162">Data!$AU$164</definedName>
    <definedName name="Data_BeeindigingsdatumNatVerloop163">Data!$AU$165</definedName>
    <definedName name="Data_BeeindigingsdatumNatVerloop164">Data!$AU$166</definedName>
    <definedName name="Data_BeeindigingsdatumNatVerloop165">Data!$AU$167</definedName>
    <definedName name="Data_BeeindigingsdatumNatVerloop166">Data!$AU$168</definedName>
    <definedName name="Data_BeeindigingsdatumNatVerloop167">Data!$AU$169</definedName>
    <definedName name="Data_BeeindigingsdatumNatVerloop168">Data!$AU$170</definedName>
    <definedName name="Data_BeeindigingsdatumNatVerloop169">Data!$AU$171</definedName>
    <definedName name="Data_BeeindigingsdatumNatVerloop170">Data!$AU$172</definedName>
    <definedName name="Data_BeeindigingsdatumNatVerloop171">Data!$AU$173</definedName>
    <definedName name="Data_BeeindigingsdatumNatVerloop172">Data!$AU$174</definedName>
    <definedName name="Data_BeeindigingsdatumNatVerloop173">Data!$AU$175</definedName>
    <definedName name="Data_BeeindigingsdatumNatVerloop174">Data!$AU$176</definedName>
    <definedName name="Data_BeeindigingsdatumNatVerloop175">Data!$AU$177</definedName>
    <definedName name="Data_BeeindigingsdatumNatVerloop176">Data!$AU$178</definedName>
    <definedName name="Data_BeeindigingsdatumNatVerloop177">Data!$AU$179</definedName>
    <definedName name="Data_BeeindigingsdatumNatVerloop178">Data!$AU$180</definedName>
    <definedName name="Data_BeeindigingsdatumNatVerloop179">Data!$AU$181</definedName>
    <definedName name="Data_BeeindigingsdatumNatVerloop180">Data!$AU$182</definedName>
    <definedName name="Data_BeeindigingsdatumNatVerloop181">Data!$AU$183</definedName>
    <definedName name="Data_BeeindigingsdatumNatVerloop182">Data!$AU$184</definedName>
    <definedName name="Data_BeeindigingsdatumNatVerloop183">Data!$AU$185</definedName>
    <definedName name="Data_BeeindigingsdatumNatVerloop184">Data!$AU$186</definedName>
    <definedName name="Data_BeeindigingsdatumNatVerloop185">Data!$AU$187</definedName>
    <definedName name="Data_BeeindigingsdatumNatVerloop186">Data!$AU$188</definedName>
    <definedName name="Data_BeeindigingsdatumNatVerloop187">Data!$AU$189</definedName>
    <definedName name="Data_BeeindigingsdatumNatVerloop188">Data!$AU$190</definedName>
    <definedName name="Data_BeeindigingsdatumNatVerloop189">Data!$AU$191</definedName>
    <definedName name="Data_BeeindigingsdatumNatVerloop190">Data!$AU$192</definedName>
    <definedName name="Data_BeeindigingsdatumNatVerloop191">Data!$AU$193</definedName>
    <definedName name="Data_BeeindigingsdatumNatVerloop192">Data!$AU$194</definedName>
    <definedName name="Data_BeeindigingsdatumNatVerloop193">Data!$AU$195</definedName>
    <definedName name="Data_BeeindigingsdatumNatVerloop194">Data!$AU$196</definedName>
    <definedName name="Data_BeeindigingsdatumNatVerloop195">Data!$AU$197</definedName>
    <definedName name="Data_BeeindigingsdatumNatVerloop196">Data!$AU$198</definedName>
    <definedName name="Data_BeeindigingsdatumNatVerloop197">Data!$AU$199</definedName>
    <definedName name="Data_BeeindigingsdatumNatVerloop198">Data!$AU$200</definedName>
    <definedName name="Data_BeeindigingsdatumNatVerloop199">Data!$AU$201</definedName>
    <definedName name="Data_BeeindigingsdatumNatVerloop200">Data!$AU$202</definedName>
    <definedName name="Data_BeeindigingsdatumNatVerloop201">Data!$AU$203</definedName>
    <definedName name="Data_BeeindigingsdatumNatVerloop202">Data!$AU$204</definedName>
    <definedName name="Data_BeeindigingsdatumNatVerloop203">Data!$AU$205</definedName>
    <definedName name="Data_BeeindigingsdatumNatVerloop204">Data!$AU$206</definedName>
    <definedName name="Data_BeeindigingsdatumNatVerloop205">Data!$AU$207</definedName>
    <definedName name="Data_BeeindigingsdatumNatVerloop206">Data!$AU$208</definedName>
    <definedName name="Data_BeeindigingsdatumNatVerloop207">Data!$AU$209</definedName>
    <definedName name="Data_BeeindigingsdatumNatVerloop208">Data!$AU$210</definedName>
    <definedName name="Data_BeeindigingsdatumNatVerloop209">Data!$AU$211</definedName>
    <definedName name="Data_BeeindigingsdatumNatVerloop210">Data!$AU$212</definedName>
    <definedName name="Data_BeeindigingsdatumNatVerloop211">Data!$AU$213</definedName>
    <definedName name="Data_BeeindigingsdatumNatVerloop212">Data!$AU$214</definedName>
    <definedName name="Data_BeeindigingsdatumNatVerloop213">Data!$AU$215</definedName>
    <definedName name="Data_BeeindigingsdatumNatVerloop214">Data!$AU$216</definedName>
    <definedName name="Data_BeeindigingsdatumNatVerloop215">Data!$AU$217</definedName>
    <definedName name="Data_BeeindigingsdatumNatVerloop216">Data!$AU$218</definedName>
    <definedName name="Data_BeeindigingsdatumNatVerloop217">Data!$AU$219</definedName>
    <definedName name="Data_BeeindigingsdatumNatVerloop218">Data!$AU$220</definedName>
    <definedName name="Data_BeeindigingsdatumNatVerloop219">Data!$AU$221</definedName>
    <definedName name="Data_BeeindigingsdatumNatVerloop220">Data!$AU$222</definedName>
    <definedName name="Data_BeeindigingsdatumNatVerloop221">Data!$AU$223</definedName>
    <definedName name="Data_BeeindigingsdatumNatVerloop222">Data!$AU$224</definedName>
    <definedName name="Data_BeeindigingsdatumNatVerloop223">Data!$AU$225</definedName>
    <definedName name="Data_BeeindigingsdatumNatVerloop224">Data!$AU$226</definedName>
    <definedName name="Data_BeeindigingsdatumNatVerloop225">Data!$AU$227</definedName>
    <definedName name="Data_BeeindigingsdatumNatVerloop226">Data!$AU$228</definedName>
    <definedName name="Data_BeeindigingsdatumNatVerloop227">Data!$AU$229</definedName>
    <definedName name="Data_BeeindigingsdatumNatVerloop228">Data!$AU$230</definedName>
    <definedName name="Data_BeeindigingsdatumNatVerloop229">Data!$AU$231</definedName>
    <definedName name="Data_BeeindigingsdatumNatVerloop230">Data!$AU$232</definedName>
    <definedName name="Data_BeeindigingsdatumNatVerloop231">Data!$AU$233</definedName>
    <definedName name="Data_BeeindigingsdatumNatVerloop232">Data!$AU$234</definedName>
    <definedName name="Data_BeeindigingsdatumNatVerloop233">Data!$AU$235</definedName>
    <definedName name="Data_BeeindigingsdatumNatVerloop234">Data!$AU$236</definedName>
    <definedName name="Data_BeeindigingsdatumNatVerloop235">Data!$AU$237</definedName>
    <definedName name="Data_BeeindigingsdatumNatVerloop236">Data!$AU$238</definedName>
    <definedName name="Data_BeeindigingsdatumNatVerloop237">Data!$AU$239</definedName>
    <definedName name="Data_BeeindigingsdatumNatVerloop238">Data!$AU$240</definedName>
    <definedName name="Data_BeeindigingsdatumNatVerloop239">Data!$AU$241</definedName>
    <definedName name="Data_BeeindigingsdatumNatVerloop240">Data!$AU$242</definedName>
    <definedName name="Data_BeeindigingsdatumNatVerloop241">Data!$AU$243</definedName>
    <definedName name="Data_BeeindigingsdatumNatVerloop242">Data!$AU$244</definedName>
    <definedName name="Data_BeeindigingsdatumNatVerloop243">Data!$AU$245</definedName>
    <definedName name="Data_BeeindigingsdatumNatVerloop244">Data!$AU$246</definedName>
    <definedName name="Data_BeeindigingsdatumNatVerloop245">Data!$AU$247</definedName>
    <definedName name="Data_BeeindigingsdatumNatVerloop246">Data!$AU$248</definedName>
    <definedName name="Data_BeeindigingsdatumNatVerloop247">Data!$AU$249</definedName>
    <definedName name="Data_BeeindigingsdatumNatVerloop248">Data!$AU$250</definedName>
    <definedName name="Data_BeeindigingsdatumNatVerloop249">Data!$AU$251</definedName>
    <definedName name="Data_BeeindigingsdatumNatVerloop250">Data!$AU$252</definedName>
    <definedName name="Data_BeeindigingsdatumNatVerloop251">Data!$AU$253</definedName>
    <definedName name="Data_BeeindigingsdatumNatVerloop252">Data!$AU$254</definedName>
    <definedName name="Data_BeeindigingsdatumNatVerloop253">Data!$AU$255</definedName>
    <definedName name="Data_BeeindigingsdatumNatVerloop254">Data!$AU$256</definedName>
    <definedName name="Data_BeeindigingsdatumNatVerloop255">Data!$AU$257</definedName>
    <definedName name="Data_BeeindigingsdatumNatVerloop256">Data!$AU$258</definedName>
    <definedName name="Data_BeeindigingsdatumNatVerloop257">Data!$AU$259</definedName>
    <definedName name="Data_BeeindigingsdatumNatVerloop258">Data!$AU$260</definedName>
    <definedName name="Data_BeeindigingsdatumNatVerloop259">Data!$AU$261</definedName>
    <definedName name="Data_BeeindigingsdatumNatVerloop260">Data!$AU$262</definedName>
    <definedName name="Data_BeeindigingsdatumNatVerloop261">Data!$AU$263</definedName>
    <definedName name="Data_BeeindigingsdatumNatVerloop262">Data!$AU$264</definedName>
    <definedName name="Data_BeeindigingsdatumNatVerloop263">Data!$AU$265</definedName>
    <definedName name="Data_BeeindigingsdatumNatVerloop264">Data!$AU$266</definedName>
    <definedName name="Data_BeeindigingsdatumNatVerloop265">Data!$AU$267</definedName>
    <definedName name="Data_BeeindigingsdatumNatVerloop266">Data!$AU$268</definedName>
    <definedName name="Data_BeeindigingsdatumNatVerloop267">Data!$AU$269</definedName>
    <definedName name="Data_BeeindigingsdatumNatVerloop268">Data!$AU$270</definedName>
    <definedName name="Data_BeeindigingsdatumNatVerloop269">Data!$AU$271</definedName>
    <definedName name="Data_BeeindigingsdatumNatVerloop270">Data!$AU$272</definedName>
    <definedName name="Data_BeeindigingsdatumNatVerloop271">Data!$AU$273</definedName>
    <definedName name="Data_BeeindigingsdatumNatVerloop272">Data!$AU$274</definedName>
    <definedName name="Data_BeeindigingsdatumNatVerloop273">Data!$AU$275</definedName>
    <definedName name="Data_BeeindigingsdatumNatVerloop274">Data!$AU$276</definedName>
    <definedName name="Data_BeeindigingsdatumNatVerloop275">Data!$AU$277</definedName>
    <definedName name="Data_BeeindigingsdatumNatVerloop276">Data!$AU$278</definedName>
    <definedName name="Data_BeeindigingsdatumNatVerloop277">Data!$AU$279</definedName>
    <definedName name="Data_BeeindigingsdatumNatVerloop278">Data!$AU$280</definedName>
    <definedName name="Data_BeeindigingsdatumNatVerloop279">Data!$AU$281</definedName>
    <definedName name="Data_BeeindigingsdatumNatVerloop280">Data!$AU$282</definedName>
    <definedName name="Data_BeeindigingsdatumNatVerloop281">Data!$AU$283</definedName>
    <definedName name="Data_BeeindigingsdatumNatVerloop282">Data!$AU$284</definedName>
    <definedName name="Data_BeeindigingsdatumNatVerloop283">Data!$AU$285</definedName>
    <definedName name="Data_BeeindigingsdatumNatVerloop284">Data!$AU$286</definedName>
    <definedName name="Data_BeeindigingsdatumNatVerloop285">Data!$AU$287</definedName>
    <definedName name="Data_BeeindigingsdatumNatVerloop286">Data!$AU$288</definedName>
    <definedName name="Data_BeeindigingsdatumNatVerloop287">Data!$AU$289</definedName>
    <definedName name="Data_BeeindigingsdatumNatVerloop288">Data!$AU$290</definedName>
    <definedName name="Data_BeeindigingsdatumNatVerloop289">Data!$AU$291</definedName>
    <definedName name="Data_BeeindigingsdatumNatVerloop290">Data!$AU$292</definedName>
    <definedName name="Data_BeeindigingsdatumNatVerloop291">Data!$AU$293</definedName>
    <definedName name="Data_BeeindigingsdatumNatVerloop292">Data!$AU$294</definedName>
    <definedName name="Data_BeeindigingsdatumNatVerloop293">Data!$AU$295</definedName>
    <definedName name="Data_BeeindigingsdatumNatVerloop294">Data!$AU$296</definedName>
    <definedName name="Data_BeeindigingsdatumNatVerloop295">Data!$AU$297</definedName>
    <definedName name="Data_BeeindigingsdatumNatVerloop296">Data!$AU$298</definedName>
    <definedName name="Data_BeeindigingsdatumNatVerloop297">Data!$AU$299</definedName>
    <definedName name="Data_BeeindigingsdatumNatVerloop298">Data!$AU$300</definedName>
    <definedName name="Data_BeeindigingsdatumNatVerloop299">Data!$AU$301</definedName>
    <definedName name="Data_BeeindigingsdatumNatVerloop300">Data!$AU$302</definedName>
    <definedName name="Data_BeeindigingsdatumNatVerloop301">Data!$AU$303</definedName>
    <definedName name="Data_BeeindigingsdatumNatVerloop302">Data!$AU$304</definedName>
    <definedName name="Data_BeeindigingsdatumNatVerloop303">Data!$AU$305</definedName>
    <definedName name="Data_BeeindigingsdatumNatVerloop304">Data!$AU$306</definedName>
    <definedName name="Data_BeeindigingsdatumNatVerloop305">Data!$AU$307</definedName>
    <definedName name="Data_BeeindigingsdatumNatVerloop306">Data!$AU$308</definedName>
    <definedName name="Data_BeeindigingsdatumNatVerloop307">Data!$AU$309</definedName>
    <definedName name="Data_BeeindigingsdatumNatVerloop308">Data!$AU$310</definedName>
    <definedName name="Data_BeeindigingsdatumNatVerloop309">Data!$AU$311</definedName>
    <definedName name="Data_BeeindigingsdatumNatVerloop310">Data!$AU$312</definedName>
    <definedName name="Data_BeeindigingsdatumNatVerloop311">Data!$AU$313</definedName>
    <definedName name="Data_BeeindigingsdatumNatVerloop312">Data!$AU$314</definedName>
    <definedName name="Data_BeeindigingsdatumNatVerloop313">Data!$AU$315</definedName>
    <definedName name="Data_BeeindigingsdatumNatVerloop314">Data!$AU$316</definedName>
    <definedName name="Data_BeeindigingsdatumNatVerloop315">Data!$AU$317</definedName>
    <definedName name="Data_BeeindigingsdatumNatVerloop316">Data!$AU$318</definedName>
    <definedName name="Data_BeeindigingsdatumNatVerloop317">Data!$AU$319</definedName>
    <definedName name="Data_BeeindigingsdatumNatVerloop318">Data!$AU$320</definedName>
    <definedName name="Data_BeeindigingsdatumNatVerloop319">Data!$AU$321</definedName>
    <definedName name="Data_BeeindigingsdatumNatVerloop320">Data!$AU$322</definedName>
    <definedName name="Data_BeeindigingsdatumNatVerloop321">Data!$AU$323</definedName>
    <definedName name="Data_BeeindigingsdatumNatVerloop322">Data!$AU$324</definedName>
    <definedName name="Data_BeeindigingsdatumNatVerloop323">Data!$AU$325</definedName>
    <definedName name="Data_BeeindigingsdatumNatVerloop324">Data!$AU$326</definedName>
    <definedName name="Data_BeeindigingsdatumNatVerloop325">Data!$AU$327</definedName>
    <definedName name="Data_BeeindigingsdatumNatVerloop326">Data!$AU$328</definedName>
    <definedName name="Data_BeeindigingsdatumNatVerloop327">Data!$AU$329</definedName>
    <definedName name="Data_BeeindigingsdatumNatVerloop328">Data!$AU$330</definedName>
    <definedName name="Data_BeeindigingsdatumNatVerloop329">Data!$AU$331</definedName>
    <definedName name="Data_BeeindigingsdatumNatVerloop330">Data!$AU$332</definedName>
    <definedName name="Data_BeeindigingsdatumNatVerloop331">Data!$AU$333</definedName>
    <definedName name="Data_BeeindigingsdatumNatVerloop332">Data!$AU$334</definedName>
    <definedName name="Data_BeeindigingsdatumNatVerloop333">Data!$AU$335</definedName>
    <definedName name="Data_BeeindigingsdatumNatVerloop334">Data!$AU$336</definedName>
    <definedName name="Data_BeeindigingsdatumNatVerloop335">Data!$AU$337</definedName>
    <definedName name="Data_BeeindigingsdatumNatVerloop336">Data!$AU$338</definedName>
    <definedName name="Data_BeeindigingsdatumNatVerloop337">Data!$AU$339</definedName>
    <definedName name="Data_BeeindigingsdatumNatVerloop338">Data!$AU$340</definedName>
    <definedName name="Data_BeeindigingsdatumNatVerloop339">Data!$AU$341</definedName>
    <definedName name="Data_BeeindigingsdatumNatVerloop340">Data!$AU$342</definedName>
    <definedName name="Data_BeeindigingsdatumNatVerloop341">Data!$AU$343</definedName>
    <definedName name="Data_BeeindigingsdatumNatVerloop342">Data!$AU$344</definedName>
    <definedName name="Data_BeeindigingsdatumNatVerloop343">Data!$AU$345</definedName>
    <definedName name="Data_BeeindigingsdatumNatVerloop344">Data!$AU$346</definedName>
    <definedName name="Data_BeeindigingsdatumNatVerloop345">Data!$AU$347</definedName>
    <definedName name="Data_BeeindigingsdatumNatVerloop346">Data!$AU$348</definedName>
    <definedName name="Data_BeeindigingsdatumNatVerloop347">Data!$AU$349</definedName>
    <definedName name="Data_BeeindigingsdatumNatVerloop348">Data!$AU$350</definedName>
    <definedName name="Data_BeeindigingsdatumNatVerloop349">Data!$AU$351</definedName>
    <definedName name="Data_BeeindigingsdatumNatVerloop350">Data!$AU$352</definedName>
    <definedName name="Data_BeeindigingsdatumNatVerloop351">Data!$AU$353</definedName>
    <definedName name="Data_BeeindigingsdatumNatVerloop352">Data!$AU$354</definedName>
    <definedName name="Data_BeeindigingsdatumNatVerloop353">Data!$AU$355</definedName>
    <definedName name="Data_BeeindigingsdatumNatVerloop354">Data!$AU$356</definedName>
    <definedName name="Data_BeeindigingsdatumNatVerloop355">Data!$AU$357</definedName>
    <definedName name="Data_BeeindigingsdatumNatVerloop356">Data!$AU$358</definedName>
    <definedName name="Data_BeeindigingsdatumNatVerloop357">Data!$AU$359</definedName>
    <definedName name="Data_BeeindigingsdatumNatVerloop358">Data!$AU$360</definedName>
    <definedName name="Data_BeeindigingsdatumNatVerloop359">Data!$AU$361</definedName>
    <definedName name="Data_BeeindigingsdatumNatVerloop360">Data!$AU$362</definedName>
    <definedName name="Data_BeeindigingsdatumNatVerloop361">Data!$AU$363</definedName>
    <definedName name="Data_BeeindigingsdatumNatVerloop362">Data!$AU$364</definedName>
    <definedName name="Data_BeeindigingsdatumNatVerloop363">Data!$AU$365</definedName>
    <definedName name="Data_BeeindigingsdatumNatVerloop364">Data!$AU$366</definedName>
    <definedName name="Data_BeeindigingsdatumNatVerloop365">Data!$AU$367</definedName>
    <definedName name="Data_BeeindigingsdatumNatVerloop366">Data!$AU$368</definedName>
    <definedName name="Data_BeeindigingsdatumNatVerloop367">Data!$AU$369</definedName>
    <definedName name="Data_BeeindigingsdatumNatVerloop368">Data!$AU$370</definedName>
    <definedName name="Data_BeeindigingsdatumNatVerloop369">Data!$AU$371</definedName>
    <definedName name="Data_BeeindigingsdatumNatVerloop370">Data!$AU$372</definedName>
    <definedName name="Data_BeeindigingsdatumNatVerloop371">Data!$AU$373</definedName>
    <definedName name="Data_BeeindigingsdatumNatVerloop372">Data!$AU$374</definedName>
    <definedName name="Data_BeeindigingsdatumNatVerloop373">Data!$AU$375</definedName>
    <definedName name="Data_BeeindigingsdatumNatVerloop374">Data!$AU$376</definedName>
    <definedName name="Data_BeeindigingsdatumNatVerloop375">Data!$AU$377</definedName>
    <definedName name="Data_BeeindigingsdatumNatVerloop376">Data!$AU$378</definedName>
    <definedName name="Data_BeeindigingsdatumNatVerloop377">Data!$AU$379</definedName>
    <definedName name="Data_BeeindigingsdatumNatVerloop378">Data!$AU$380</definedName>
    <definedName name="Data_BeeindigingsdatumNatVerloop379">Data!$AU$381</definedName>
    <definedName name="Data_BeeindigingsdatumNatVerloop380">Data!$AU$382</definedName>
    <definedName name="Data_BeeindigingsdatumNatVerloop381">Data!$AU$383</definedName>
    <definedName name="Data_BeeindigingsdatumNatVerloop382">Data!$AU$384</definedName>
    <definedName name="Data_BeeindigingsdatumNatVerloop383">Data!$AU$385</definedName>
    <definedName name="Data_BeeindigingsdatumNatVerloop384">Data!$AU$386</definedName>
    <definedName name="Data_BeeindigingsdatumNatVerloop385">Data!$AU$387</definedName>
    <definedName name="Data_BeeindigingsdatumNatVerloop386">Data!$AU$388</definedName>
    <definedName name="Data_BeeindigingsdatumNatVerloop387">Data!$AU$389</definedName>
    <definedName name="Data_BeeindigingsdatumNatVerloop388">Data!$AU$390</definedName>
    <definedName name="Data_BeeindigingsdatumNatVerloop389">Data!$AU$391</definedName>
    <definedName name="Data_BeeindigingsdatumNatVerloop390">Data!$AU$392</definedName>
    <definedName name="Data_BeeindigingsdatumNatVerloop391">Data!$AU$393</definedName>
    <definedName name="Data_BeeindigingsdatumNatVerloop392">Data!$AU$394</definedName>
    <definedName name="Data_BeeindigingsdatumNatVerloop393">Data!$AU$395</definedName>
    <definedName name="Data_BeeindigingsdatumNatVerloop394">Data!$AU$396</definedName>
    <definedName name="Data_BeeindigingsdatumNatVerloop395">Data!$AU$397</definedName>
    <definedName name="Data_BeeindigingsdatumNatVerloop396">Data!$AU$398</definedName>
    <definedName name="Data_BeeindigingsdatumNatVerloop397">Data!$AU$399</definedName>
    <definedName name="Data_BeeindigingsdatumNatVerloop398">Data!$AU$400</definedName>
    <definedName name="Data_BeeindigingsdatumNatVerloop399">Data!$AU$401</definedName>
    <definedName name="Data_BeeindigingsdatumNatVerloop400">Data!$AU$402</definedName>
    <definedName name="Data_BeeindigingsdatumNatVerloop401">Data!$AU$403</definedName>
    <definedName name="Data_BeeindigingsdatumNatVerloop402">Data!$AU$404</definedName>
    <definedName name="Data_BeeindigingsdatumNatVerloop403">Data!$AU$405</definedName>
    <definedName name="Data_BeeindigingsdatumNatVerloop404">Data!$AU$406</definedName>
    <definedName name="Data_BeeindigingsdatumNatVerloop405">Data!$AU$407</definedName>
    <definedName name="Data_BeeindigingsdatumNatVerloop406">Data!$AU$408</definedName>
    <definedName name="Data_BeeindigingsdatumNatVerloop407">Data!$AU$409</definedName>
    <definedName name="Data_BeeindigingsdatumNatVerloop408">Data!$AU$410</definedName>
    <definedName name="Data_BeeindigingsdatumNatVerloop409">Data!$AU$411</definedName>
    <definedName name="Data_BeeindigingsdatumNatVerloop410">Data!$AU$412</definedName>
    <definedName name="Data_BeeindigingsdatumNatVerloop411">Data!$AU$413</definedName>
    <definedName name="Data_BeeindigingsdatumNatVerloop412">Data!$AU$414</definedName>
    <definedName name="Data_BeeindigingsdatumNatVerloop413">Data!$AU$415</definedName>
    <definedName name="Data_BeeindigingsdatumNatVerloop414">Data!$AU$416</definedName>
    <definedName name="Data_BeeindigingsdatumNatVerloop415">Data!$AU$417</definedName>
    <definedName name="Data_BeeindigingsdatumNatVerloop416">Data!$AU$418</definedName>
    <definedName name="Data_BeeindigingsdatumNatVerloop417">Data!$AU$419</definedName>
    <definedName name="Data_BeeindigingsdatumNatVerloop418">Data!$AU$420</definedName>
    <definedName name="Data_BeeindigingsdatumNatVerloop419">Data!$AU$421</definedName>
    <definedName name="Data_BeeindigingsdatumNatVerloop420">Data!$AU$422</definedName>
    <definedName name="Data_BeeindigingsdatumNatVerloop421">Data!$AU$423</definedName>
    <definedName name="Data_BeeindigingsdatumNatVerloop422">Data!$AU$424</definedName>
    <definedName name="Data_BeeindigingsdatumNatVerloop423">Data!$AU$425</definedName>
    <definedName name="Data_BeeindigingsdatumNatVerloop424">Data!$AU$426</definedName>
    <definedName name="Data_BeeindigingsdatumNatVerloop425">Data!$AU$427</definedName>
    <definedName name="Data_BeeindigingsdatumNatVerloop426">Data!$AU$428</definedName>
    <definedName name="Data_BeeindigingsdatumNatVerloop427">Data!$AU$429</definedName>
    <definedName name="Data_BeeindigingsdatumNatVerloop428">Data!$AU$430</definedName>
    <definedName name="Data_BeeindigingsdatumNatVerloop429">Data!$AU$431</definedName>
    <definedName name="Data_BeeindigingsdatumNatVerloop430">Data!$AU$432</definedName>
    <definedName name="Data_BeeindigingsdatumNatVerloop431">Data!$AU$433</definedName>
    <definedName name="Data_BeeindigingsdatumNatVerloop432">Data!$AU$434</definedName>
    <definedName name="Data_BeeindigingsdatumNatVerloop433">Data!$AU$435</definedName>
    <definedName name="Data_BeeindigingsdatumNatVerloop434">Data!$AU$436</definedName>
    <definedName name="Data_BeeindigingsdatumNatVerloop435">Data!$AU$437</definedName>
    <definedName name="Data_BeeindigingsdatumNatVerloop436">Data!$AU$438</definedName>
    <definedName name="Data_BeeindigingsdatumNatVerloop437">Data!$AU$439</definedName>
    <definedName name="Data_BeeindigingsdatumNatVerloop438">Data!$AU$440</definedName>
    <definedName name="Data_BeeindigingsdatumNatVerloop439">Data!$AU$441</definedName>
    <definedName name="Data_BeeindigingsdatumNatVerloop440">Data!$AU$442</definedName>
    <definedName name="Data_BeeindigingsdatumNatVerloop441">Data!$AU$443</definedName>
    <definedName name="Data_BeeindigingsdatumNatVerloop442">Data!$AU$444</definedName>
    <definedName name="Data_BeeindigingsdatumNatVerloop443">Data!$AU$445</definedName>
    <definedName name="Data_BeeindigingsdatumNatVerloop444">Data!$AU$446</definedName>
    <definedName name="Data_BeeindigingsdatumNatVerloop445">Data!$AU$447</definedName>
    <definedName name="Data_BeeindigingsdatumNatVerloop446">Data!$AU$448</definedName>
    <definedName name="Data_BeeindigingsdatumNatVerloop447">Data!$AU$449</definedName>
    <definedName name="Data_BeeindigingsdatumNatVerloop448">Data!$AU$450</definedName>
    <definedName name="Data_BeeindigingsdatumNatVerloop449">Data!$AU$451</definedName>
    <definedName name="Data_BeeindigingsdatumNatVerloop450">Data!$AU$452</definedName>
    <definedName name="Data_BeeindigingsdatumNatVerloop451">Data!$AU$453</definedName>
    <definedName name="Data_BeeindigingsdatumNatVerloop452">Data!$AU$454</definedName>
    <definedName name="Data_BeeindigingsdatumNatVerloop453">Data!$AU$455</definedName>
    <definedName name="Data_BeeindigingsdatumNatVerloop454">Data!$AU$456</definedName>
    <definedName name="Data_BeeindigingsdatumNatVerloop455">Data!$AU$457</definedName>
    <definedName name="Data_BeeindigingsdatumNatVerloop456">Data!$AU$458</definedName>
    <definedName name="Data_BeeindigingsdatumNatVerloop457">Data!$AU$459</definedName>
    <definedName name="Data_BeeindigingsdatumNatVerloop458">Data!$AU$460</definedName>
    <definedName name="Data_BeeindigingsdatumNatVerloop459">Data!$AU$461</definedName>
    <definedName name="Data_BeeindigingsdatumNatVerloop460">Data!$AU$462</definedName>
    <definedName name="Data_BeeindigingsdatumNatVerloop461">Data!$AU$463</definedName>
    <definedName name="Data_BeeindigingsdatumNatVerloop462">Data!$AU$464</definedName>
    <definedName name="Data_BeeindigingsdatumNatVerloop463">Data!$AU$465</definedName>
    <definedName name="Data_BeeindigingsdatumNatVerloop464">Data!$AU$466</definedName>
    <definedName name="Data_BeeindigingsdatumNatVerloop465">Data!$AU$467</definedName>
    <definedName name="Data_BeeindigingsdatumNatVerloop466">Data!$AU$468</definedName>
    <definedName name="Data_BeeindigingsdatumNatVerloop467">Data!$AU$469</definedName>
    <definedName name="Data_BeeindigingsdatumNatVerloop468">Data!$AU$470</definedName>
    <definedName name="Data_BeeindigingsdatumNatVerloop469">Data!$AU$471</definedName>
    <definedName name="Data_BeeindigingsdatumNatVerloop470">Data!$AU$472</definedName>
    <definedName name="Data_BeeindigingsdatumNatVerloop471">Data!$AU$473</definedName>
    <definedName name="Data_BeeindigingsdatumNatVerloop472">Data!$AU$474</definedName>
    <definedName name="Data_BeeindigingsdatumNatVerloop473">Data!$AU$475</definedName>
    <definedName name="Data_BeeindigingsdatumNatVerloop474">Data!$AU$476</definedName>
    <definedName name="Data_BeeindigingsdatumNatVerloop475">Data!$AU$477</definedName>
    <definedName name="Data_BeeindigingsdatumNatVerloop476">Data!$AU$478</definedName>
    <definedName name="Data_BeeindigingsdatumNatVerloop477">Data!$AU$479</definedName>
    <definedName name="Data_BeeindigingsdatumNatVerloop478">Data!$AU$480</definedName>
    <definedName name="Data_BeeindigingsdatumNatVerloop479">Data!$AU$481</definedName>
    <definedName name="Data_BeeindigingsdatumNatVerloop480">Data!$AU$482</definedName>
    <definedName name="Data_BeeindigingsdatumNatVerloop481">Data!$AU$483</definedName>
    <definedName name="Data_BeeindigingsdatumNatVerloop482">Data!$AU$484</definedName>
    <definedName name="Data_BeeindigingsdatumNatVerloop483">Data!$AU$485</definedName>
    <definedName name="Data_BeeindigingsdatumNatVerloop484">Data!$AU$486</definedName>
    <definedName name="Data_BeeindigingsdatumNatVerloop485">Data!$AU$487</definedName>
    <definedName name="Data_BeeindigingsdatumNatVerloop486">Data!$AU$488</definedName>
    <definedName name="Data_BeeindigingsdatumNatVerloop487">Data!$AU$489</definedName>
    <definedName name="Data_BeeindigingsdatumNatVerloop488">Data!$AU$490</definedName>
    <definedName name="Data_BeeindigingsdatumNatVerloop489">Data!$AU$491</definedName>
    <definedName name="Data_BeeindigingsdatumNatVerloop490">Data!$AU$492</definedName>
    <definedName name="Data_BeeindigingsdatumNatVerloop491">Data!$AU$493</definedName>
    <definedName name="Data_BeeindigingsdatumNatVerloop492">Data!$AU$494</definedName>
    <definedName name="Data_BeeindigingsdatumNatVerloop493">Data!$AU$495</definedName>
    <definedName name="Data_BeeindigingsdatumNatVerloop494">Data!$AU$496</definedName>
    <definedName name="Data_BeeindigingsdatumNatVerloop495">Data!$AU$497</definedName>
    <definedName name="Data_BeeindigingsdatumNatVerloop496">Data!$AU$498</definedName>
    <definedName name="Data_BeeindigingsdatumNatVerloop497">Data!$AU$499</definedName>
    <definedName name="Data_BeeindigingsdatumNatVerloop498">Data!$AU$500</definedName>
    <definedName name="Data_BeeindigingsdatumNatVerloop499">Data!$AU$501</definedName>
    <definedName name="Data_BeeindigingsdatumNatVerloop500">Data!$AU$502</definedName>
    <definedName name="Data_BeeindigingsdatumTijd001">Data!$Q$3</definedName>
    <definedName name="Data_BeeindigingsdatumTijd002">Data!$Q$4</definedName>
    <definedName name="Data_BeeindigingsdatumTijd003">Data!$Q$5</definedName>
    <definedName name="Data_BeeindigingsdatumTijd004">Data!$Q$6</definedName>
    <definedName name="Data_BeeindigingsdatumTijd005">Data!$Q$7</definedName>
    <definedName name="Data_BeeindigingsdatumTijd006">Data!$Q$8</definedName>
    <definedName name="Data_BeeindigingsdatumTijd007">Data!$Q$9</definedName>
    <definedName name="Data_BeeindigingsdatumTijd008">Data!$Q$10</definedName>
    <definedName name="Data_BeeindigingsdatumTijd009">Data!$Q$11</definedName>
    <definedName name="Data_BeeindigingsdatumTijd010">Data!$Q$12</definedName>
    <definedName name="Data_BeeindigingsdatumTijd011">Data!$Q$13</definedName>
    <definedName name="Data_BeeindigingsdatumTijd012">Data!$Q$14</definedName>
    <definedName name="Data_BeeindigingsdatumTijd013">Data!$Q$15</definedName>
    <definedName name="Data_BeeindigingsdatumTijd014">Data!$Q$16</definedName>
    <definedName name="Data_BeeindigingsdatumTijd015">Data!$Q$17</definedName>
    <definedName name="Data_BeeindigingsdatumTijd016">Data!$Q$18</definedName>
    <definedName name="Data_BeeindigingsdatumTijd017">Data!$Q$19</definedName>
    <definedName name="Data_BeeindigingsdatumTijd018">Data!$Q$20</definedName>
    <definedName name="Data_BeeindigingsdatumTijd019">Data!$Q$21</definedName>
    <definedName name="Data_BeeindigingsdatumTijd020">Data!$Q$22</definedName>
    <definedName name="Data_BeeindigingsdatumTijd021">Data!$Q$23</definedName>
    <definedName name="Data_BeeindigingsdatumTijd022">Data!$Q$24</definedName>
    <definedName name="Data_BeeindigingsdatumTijd023">Data!$Q$25</definedName>
    <definedName name="Data_BeeindigingsdatumTijd024">Data!$Q$26</definedName>
    <definedName name="Data_BeeindigingsdatumTijd025">Data!$Q$27</definedName>
    <definedName name="Data_BeeindigingsdatumTijd026">Data!$Q$28</definedName>
    <definedName name="Data_BeeindigingsdatumTijd027">Data!$Q$29</definedName>
    <definedName name="Data_BeeindigingsdatumTijd028">Data!$Q$30</definedName>
    <definedName name="Data_BeeindigingsdatumTijd029">Data!$Q$31</definedName>
    <definedName name="Data_BeeindigingsdatumTijd030">Data!$Q$32</definedName>
    <definedName name="Data_BeeindigingsdatumTijd031">Data!$Q$33</definedName>
    <definedName name="Data_BeeindigingsdatumTijd032">Data!$Q$34</definedName>
    <definedName name="Data_BeeindigingsdatumTijd033">Data!$Q$35</definedName>
    <definedName name="Data_BeeindigingsdatumTijd034">Data!$Q$36</definedName>
    <definedName name="Data_BeeindigingsdatumTijd035">Data!$Q$37</definedName>
    <definedName name="Data_BeeindigingsdatumTijd036">Data!$Q$38</definedName>
    <definedName name="Data_BeeindigingsdatumTijd037">Data!$Q$39</definedName>
    <definedName name="Data_BeeindigingsdatumTijd038">Data!$Q$40</definedName>
    <definedName name="Data_BeeindigingsdatumTijd039">Data!$Q$41</definedName>
    <definedName name="Data_BeeindigingsdatumTijd040">Data!$Q$42</definedName>
    <definedName name="Data_BeeindigingsdatumTijd041">Data!$Q$43</definedName>
    <definedName name="Data_BeeindigingsdatumTijd042">Data!$Q$44</definedName>
    <definedName name="Data_BeeindigingsdatumTijd043">Data!$Q$45</definedName>
    <definedName name="Data_BeeindigingsdatumTijd044">Data!$Q$46</definedName>
    <definedName name="Data_BeeindigingsdatumTijd045">Data!$Q$47</definedName>
    <definedName name="Data_BeeindigingsdatumTijd046">Data!$Q$48</definedName>
    <definedName name="Data_BeeindigingsdatumTijd047">Data!$Q$49</definedName>
    <definedName name="Data_BeeindigingsdatumTijd048">Data!$Q$50</definedName>
    <definedName name="Data_BeeindigingsdatumTijd049">Data!$Q$51</definedName>
    <definedName name="Data_BeeindigingsdatumTijd050">Data!$Q$52</definedName>
    <definedName name="Data_BeeindigingsdatumTijd051">Data!$Q$53</definedName>
    <definedName name="Data_BeeindigingsdatumTijd052">Data!$Q$54</definedName>
    <definedName name="Data_BeeindigingsdatumTijd053">Data!$Q$55</definedName>
    <definedName name="Data_BeeindigingsdatumTijd054">Data!$Q$56</definedName>
    <definedName name="Data_BeeindigingsdatumTijd055">Data!$Q$57</definedName>
    <definedName name="Data_BeeindigingsdatumTijd056">Data!$Q$58</definedName>
    <definedName name="Data_BeeindigingsdatumTijd057">Data!$Q$59</definedName>
    <definedName name="Data_BeeindigingsdatumTijd058">Data!$Q$60</definedName>
    <definedName name="Data_BeeindigingsdatumTijd059">Data!$Q$61</definedName>
    <definedName name="Data_BeeindigingsdatumTijd060">Data!$Q$62</definedName>
    <definedName name="Data_BeeindigingsdatumTijd061">Data!$Q$63</definedName>
    <definedName name="Data_BeeindigingsdatumTijd062">Data!$Q$64</definedName>
    <definedName name="Data_BeeindigingsdatumTijd063">Data!$Q$65</definedName>
    <definedName name="Data_BeeindigingsdatumTijd064">Data!$Q$66</definedName>
    <definedName name="Data_BeeindigingsdatumTijd065">Data!$Q$67</definedName>
    <definedName name="Data_BeeindigingsdatumTijd066">Data!$Q$68</definedName>
    <definedName name="Data_BeeindigingsdatumTijd067">Data!$Q$69</definedName>
    <definedName name="Data_BeeindigingsdatumTijd068">Data!$Q$70</definedName>
    <definedName name="Data_BeeindigingsdatumTijd069">Data!$Q$71</definedName>
    <definedName name="Data_BeeindigingsdatumTijd070">Data!$Q$72</definedName>
    <definedName name="Data_BeeindigingsdatumTijd071">Data!$Q$73</definedName>
    <definedName name="Data_BeeindigingsdatumTijd072">Data!$Q$74</definedName>
    <definedName name="Data_BeeindigingsdatumTijd073">Data!$Q$75</definedName>
    <definedName name="Data_BeeindigingsdatumTijd074">Data!$Q$76</definedName>
    <definedName name="Data_BeeindigingsdatumTijd075">Data!$Q$77</definedName>
    <definedName name="Data_BeeindigingsdatumTijd076">Data!$Q$78</definedName>
    <definedName name="Data_BeeindigingsdatumTijd077">Data!$Q$79</definedName>
    <definedName name="Data_BeeindigingsdatumTijd078">Data!$Q$80</definedName>
    <definedName name="Data_BeeindigingsdatumTijd079">Data!$Q$81</definedName>
    <definedName name="Data_BeeindigingsdatumTijd080">Data!$Q$82</definedName>
    <definedName name="Data_BeeindigingsdatumTijd081">Data!$Q$83</definedName>
    <definedName name="Data_BeeindigingsdatumTijd082">Data!$Q$84</definedName>
    <definedName name="Data_BeeindigingsdatumTijd083">Data!$Q$85</definedName>
    <definedName name="Data_BeeindigingsdatumTijd084">Data!$Q$86</definedName>
    <definedName name="Data_BeeindigingsdatumTijd085">Data!$Q$87</definedName>
    <definedName name="Data_BeeindigingsdatumTijd086">Data!$Q$88</definedName>
    <definedName name="Data_BeeindigingsdatumTijd087">Data!$Q$89</definedName>
    <definedName name="Data_BeeindigingsdatumTijd088">Data!$Q$90</definedName>
    <definedName name="Data_BeeindigingsdatumTijd089">Data!$Q$91</definedName>
    <definedName name="Data_BeeindigingsdatumTijd090">Data!$Q$92</definedName>
    <definedName name="Data_BeeindigingsdatumTijd091">Data!$Q$93</definedName>
    <definedName name="Data_BeeindigingsdatumTijd092">Data!$Q$94</definedName>
    <definedName name="Data_BeeindigingsdatumTijd093">Data!$Q$95</definedName>
    <definedName name="Data_BeeindigingsdatumTijd094">Data!$Q$96</definedName>
    <definedName name="Data_BeeindigingsdatumTijd095">Data!$Q$97</definedName>
    <definedName name="Data_BeeindigingsdatumTijd096">Data!$Q$98</definedName>
    <definedName name="Data_BeeindigingsdatumTijd097">Data!$Q$99</definedName>
    <definedName name="Data_BeeindigingsdatumTijd098">Data!$Q$100</definedName>
    <definedName name="Data_BeeindigingsdatumTijd099">Data!$Q$101</definedName>
    <definedName name="Data_BeeindigingsdatumTijd100">Data!$Q$102</definedName>
    <definedName name="Data_BeeindigingsdatumTijd101">Data!$Q$103</definedName>
    <definedName name="Data_BeeindigingsdatumTijd102">Data!$Q$104</definedName>
    <definedName name="Data_BeeindigingsdatumTijd103">Data!$Q$105</definedName>
    <definedName name="Data_BeeindigingsdatumTijd104">Data!$Q$106</definedName>
    <definedName name="Data_BeeindigingsdatumTijd105">Data!$Q$107</definedName>
    <definedName name="Data_BeeindigingsdatumTijd106">Data!$Q$108</definedName>
    <definedName name="Data_BeeindigingsdatumTijd107">Data!$Q$109</definedName>
    <definedName name="Data_BeeindigingsdatumTijd108">Data!$Q$110</definedName>
    <definedName name="Data_BeeindigingsdatumTijd109">Data!$Q$111</definedName>
    <definedName name="Data_BeeindigingsdatumTijd110">Data!$Q$112</definedName>
    <definedName name="Data_BeeindigingsdatumTijd111">Data!$Q$113</definedName>
    <definedName name="Data_BeeindigingsdatumTijd112">Data!$Q$114</definedName>
    <definedName name="Data_BeeindigingsdatumTijd113">Data!$Q$115</definedName>
    <definedName name="Data_BeeindigingsdatumTijd114">Data!$Q$116</definedName>
    <definedName name="Data_BeeindigingsdatumTijd115">Data!$Q$117</definedName>
    <definedName name="Data_BeeindigingsdatumTijd116">Data!$Q$118</definedName>
    <definedName name="Data_BeeindigingsdatumTijd117">Data!$Q$119</definedName>
    <definedName name="Data_BeeindigingsdatumTijd118">Data!$Q$120</definedName>
    <definedName name="Data_BeeindigingsdatumTijd119">Data!$Q$121</definedName>
    <definedName name="Data_BeeindigingsdatumTijd120">Data!$Q$122</definedName>
    <definedName name="Data_BeeindigingsdatumTijd121">Data!$Q$123</definedName>
    <definedName name="Data_BeeindigingsdatumTijd122">Data!$Q$124</definedName>
    <definedName name="Data_BeeindigingsdatumTijd123">Data!$Q$125</definedName>
    <definedName name="Data_BeeindigingsdatumTijd124">Data!$Q$126</definedName>
    <definedName name="Data_BeeindigingsdatumTijd125">Data!$Q$127</definedName>
    <definedName name="Data_BeeindigingsdatumTijd126">Data!$Q$128</definedName>
    <definedName name="Data_BeeindigingsdatumTijd127">Data!$Q$129</definedName>
    <definedName name="Data_BeeindigingsdatumTijd128">Data!$Q$130</definedName>
    <definedName name="Data_BeeindigingsdatumTijd129">Data!$Q$131</definedName>
    <definedName name="Data_BeeindigingsdatumTijd130">Data!$Q$132</definedName>
    <definedName name="Data_BeeindigingsdatumTijd131">Data!$Q$133</definedName>
    <definedName name="Data_BeeindigingsdatumTijd132">Data!$Q$134</definedName>
    <definedName name="Data_BeeindigingsdatumTijd133">Data!$Q$135</definedName>
    <definedName name="Data_BeeindigingsdatumTijd134">Data!$Q$136</definedName>
    <definedName name="Data_BeeindigingsdatumTijd135">Data!$Q$137</definedName>
    <definedName name="Data_BeeindigingsdatumTijd136">Data!$Q$138</definedName>
    <definedName name="Data_BeeindigingsdatumTijd137">Data!$Q$139</definedName>
    <definedName name="Data_BeeindigingsdatumTijd138">Data!$Q$140</definedName>
    <definedName name="Data_BeeindigingsdatumTijd139">Data!$Q$141</definedName>
    <definedName name="Data_BeeindigingsdatumTijd140">Data!$Q$142</definedName>
    <definedName name="Data_BeeindigingsdatumTijd141">Data!$Q$143</definedName>
    <definedName name="Data_BeeindigingsdatumTijd142">Data!$Q$144</definedName>
    <definedName name="Data_BeeindigingsdatumTijd143">Data!$Q$145</definedName>
    <definedName name="Data_BeeindigingsdatumTijd144">Data!$Q$146</definedName>
    <definedName name="Data_BeeindigingsdatumTijd145">Data!$Q$147</definedName>
    <definedName name="Data_BeeindigingsdatumTijd146">Data!$Q$148</definedName>
    <definedName name="Data_BeeindigingsdatumTijd147">Data!$Q$149</definedName>
    <definedName name="Data_BeeindigingsdatumTijd148">Data!$Q$150</definedName>
    <definedName name="Data_BeeindigingsdatumTijd149">Data!$Q$151</definedName>
    <definedName name="Data_BeeindigingsdatumTijd150">Data!$Q$152</definedName>
    <definedName name="Data_BeeindigingsdatumTijd151">Data!$Q$153</definedName>
    <definedName name="Data_BeeindigingsdatumTijd152">Data!$Q$154</definedName>
    <definedName name="Data_BeeindigingsdatumTijd153">Data!$Q$155</definedName>
    <definedName name="Data_BeeindigingsdatumTijd154">Data!$Q$156</definedName>
    <definedName name="Data_BeeindigingsdatumTijd155">Data!$Q$157</definedName>
    <definedName name="Data_BeeindigingsdatumTijd156">Data!$Q$158</definedName>
    <definedName name="Data_BeeindigingsdatumTijd157">Data!$Q$159</definedName>
    <definedName name="Data_BeeindigingsdatumTijd158">Data!$Q$160</definedName>
    <definedName name="Data_BeeindigingsdatumTijd159">Data!$Q$161</definedName>
    <definedName name="Data_BeeindigingsdatumTijd160">Data!$Q$162</definedName>
    <definedName name="Data_BeeindigingsdatumTijd161">Data!$Q$163</definedName>
    <definedName name="Data_BeeindigingsdatumTijd162">Data!$Q$164</definedName>
    <definedName name="Data_BeeindigingsdatumTijd163">Data!$Q$165</definedName>
    <definedName name="Data_BeeindigingsdatumTijd164">Data!$Q$166</definedName>
    <definedName name="Data_BeeindigingsdatumTijd165">Data!$Q$167</definedName>
    <definedName name="Data_BeeindigingsdatumTijd166">Data!$Q$168</definedName>
    <definedName name="Data_BeeindigingsdatumTijd167">Data!$Q$169</definedName>
    <definedName name="Data_BeeindigingsdatumTijd168">Data!$Q$170</definedName>
    <definedName name="Data_BeeindigingsdatumTijd169">Data!$Q$171</definedName>
    <definedName name="Data_BeeindigingsdatumTijd170">Data!$Q$172</definedName>
    <definedName name="Data_BeeindigingsdatumTijd171">Data!$Q$173</definedName>
    <definedName name="Data_BeeindigingsdatumTijd172">Data!$Q$174</definedName>
    <definedName name="Data_BeeindigingsdatumTijd173">Data!$Q$175</definedName>
    <definedName name="Data_BeeindigingsdatumTijd174">Data!$Q$176</definedName>
    <definedName name="Data_BeeindigingsdatumTijd175">Data!$Q$177</definedName>
    <definedName name="Data_BeeindigingsdatumTijd176">Data!$Q$178</definedName>
    <definedName name="Data_BeeindigingsdatumTijd177">Data!$Q$179</definedName>
    <definedName name="Data_BeeindigingsdatumTijd178">Data!$Q$180</definedName>
    <definedName name="Data_BeeindigingsdatumTijd179">Data!$Q$181</definedName>
    <definedName name="Data_BeeindigingsdatumTijd180">Data!$Q$182</definedName>
    <definedName name="Data_BeeindigingsdatumTijd181">Data!$Q$183</definedName>
    <definedName name="Data_BeeindigingsdatumTijd182">Data!$Q$184</definedName>
    <definedName name="Data_BeeindigingsdatumTijd183">Data!$Q$185</definedName>
    <definedName name="Data_BeeindigingsdatumTijd184">Data!$Q$186</definedName>
    <definedName name="Data_BeeindigingsdatumTijd185">Data!$Q$187</definedName>
    <definedName name="Data_BeeindigingsdatumTijd186">Data!$Q$188</definedName>
    <definedName name="Data_BeeindigingsdatumTijd187">Data!$Q$189</definedName>
    <definedName name="Data_BeeindigingsdatumTijd188">Data!$Q$190</definedName>
    <definedName name="Data_BeeindigingsdatumTijd189">Data!$Q$191</definedName>
    <definedName name="Data_BeeindigingsdatumTijd190">Data!$Q$192</definedName>
    <definedName name="Data_BeeindigingsdatumTijd191">Data!$Q$193</definedName>
    <definedName name="Data_BeeindigingsdatumTijd192">Data!$Q$194</definedName>
    <definedName name="Data_BeeindigingsdatumTijd193">Data!$Q$195</definedName>
    <definedName name="Data_BeeindigingsdatumTijd194">Data!$Q$196</definedName>
    <definedName name="Data_BeeindigingsdatumTijd195">Data!$Q$197</definedName>
    <definedName name="Data_BeeindigingsdatumTijd196">Data!$Q$198</definedName>
    <definedName name="Data_BeeindigingsdatumTijd197">Data!$Q$199</definedName>
    <definedName name="Data_BeeindigingsdatumTijd198">Data!$Q$200</definedName>
    <definedName name="Data_BeeindigingsdatumTijd199">Data!$Q$201</definedName>
    <definedName name="Data_BeeindigingsdatumTijd200">Data!$Q$202</definedName>
    <definedName name="Data_BeeindigingsdatumTijd201">Data!$Q$203</definedName>
    <definedName name="Data_BeeindigingsdatumTijd202">Data!$Q$204</definedName>
    <definedName name="Data_BeeindigingsdatumTijd203">Data!$Q$205</definedName>
    <definedName name="Data_BeeindigingsdatumTijd204">Data!$Q$206</definedName>
    <definedName name="Data_BeeindigingsdatumTijd205">Data!$Q$207</definedName>
    <definedName name="Data_BeeindigingsdatumTijd206">Data!$Q$208</definedName>
    <definedName name="Data_BeeindigingsdatumTijd207">Data!$Q$209</definedName>
    <definedName name="Data_BeeindigingsdatumTijd208">Data!$Q$210</definedName>
    <definedName name="Data_BeeindigingsdatumTijd209">Data!$Q$211</definedName>
    <definedName name="Data_BeeindigingsdatumTijd210">Data!$Q$212</definedName>
    <definedName name="Data_BeeindigingsdatumTijd211">Data!$Q$213</definedName>
    <definedName name="Data_BeeindigingsdatumTijd212">Data!$Q$214</definedName>
    <definedName name="Data_BeeindigingsdatumTijd213">Data!$Q$215</definedName>
    <definedName name="Data_BeeindigingsdatumTijd214">Data!$Q$216</definedName>
    <definedName name="Data_BeeindigingsdatumTijd215">Data!$Q$217</definedName>
    <definedName name="Data_BeeindigingsdatumTijd216">Data!$Q$218</definedName>
    <definedName name="Data_BeeindigingsdatumTijd217">Data!$Q$219</definedName>
    <definedName name="Data_BeeindigingsdatumTijd218">Data!$Q$220</definedName>
    <definedName name="Data_BeeindigingsdatumTijd219">Data!$Q$221</definedName>
    <definedName name="Data_BeeindigingsdatumTijd220">Data!$Q$222</definedName>
    <definedName name="Data_BeeindigingsdatumTijd221">Data!$Q$223</definedName>
    <definedName name="Data_BeeindigingsdatumTijd222">Data!$Q$224</definedName>
    <definedName name="Data_BeeindigingsdatumTijd223">Data!$Q$225</definedName>
    <definedName name="Data_BeeindigingsdatumTijd224">Data!$Q$226</definedName>
    <definedName name="Data_BeeindigingsdatumTijd225">Data!$Q$227</definedName>
    <definedName name="Data_BeeindigingsdatumTijd226">Data!$Q$228</definedName>
    <definedName name="Data_BeeindigingsdatumTijd227">Data!$Q$229</definedName>
    <definedName name="Data_BeeindigingsdatumTijd228">Data!$Q$230</definedName>
    <definedName name="Data_BeeindigingsdatumTijd229">Data!$Q$231</definedName>
    <definedName name="Data_BeeindigingsdatumTijd230">Data!$Q$232</definedName>
    <definedName name="Data_BeeindigingsdatumTijd231">Data!$Q$233</definedName>
    <definedName name="Data_BeeindigingsdatumTijd232">Data!$Q$234</definedName>
    <definedName name="Data_BeeindigingsdatumTijd233">Data!$Q$235</definedName>
    <definedName name="Data_BeeindigingsdatumTijd234">Data!$Q$236</definedName>
    <definedName name="Data_BeeindigingsdatumTijd235">Data!$Q$237</definedName>
    <definedName name="Data_BeeindigingsdatumTijd236">Data!$Q$238</definedName>
    <definedName name="Data_BeeindigingsdatumTijd237">Data!$Q$239</definedName>
    <definedName name="Data_BeeindigingsdatumTijd238">Data!$Q$240</definedName>
    <definedName name="Data_BeeindigingsdatumTijd239">Data!$Q$241</definedName>
    <definedName name="Data_BeeindigingsdatumTijd240">Data!$Q$242</definedName>
    <definedName name="Data_BeeindigingsdatumTijd241">Data!$Q$243</definedName>
    <definedName name="Data_BeeindigingsdatumTijd242">Data!$Q$244</definedName>
    <definedName name="Data_BeeindigingsdatumTijd243">Data!$Q$245</definedName>
    <definedName name="Data_BeeindigingsdatumTijd244">Data!$Q$246</definedName>
    <definedName name="Data_BeeindigingsdatumTijd245">Data!$Q$247</definedName>
    <definedName name="Data_BeeindigingsdatumTijd246">Data!$Q$248</definedName>
    <definedName name="Data_BeeindigingsdatumTijd247">Data!$Q$249</definedName>
    <definedName name="Data_BeeindigingsdatumTijd248">Data!$Q$250</definedName>
    <definedName name="Data_BeeindigingsdatumTijd249">Data!$Q$251</definedName>
    <definedName name="Data_BeeindigingsdatumTijd250">Data!$Q$252</definedName>
    <definedName name="Data_BeeindigingsdatumTijd251">Data!$Q$253</definedName>
    <definedName name="Data_BeeindigingsdatumTijd252">Data!$Q$254</definedName>
    <definedName name="Data_BeeindigingsdatumTijd253">Data!$Q$255</definedName>
    <definedName name="Data_BeeindigingsdatumTijd254">Data!$Q$256</definedName>
    <definedName name="Data_BeeindigingsdatumTijd255">Data!$Q$257</definedName>
    <definedName name="Data_BeeindigingsdatumTijd256">Data!$Q$258</definedName>
    <definedName name="Data_BeeindigingsdatumTijd257">Data!$Q$259</definedName>
    <definedName name="Data_BeeindigingsdatumTijd258">Data!$Q$260</definedName>
    <definedName name="Data_BeeindigingsdatumTijd259">Data!$Q$261</definedName>
    <definedName name="Data_BeeindigingsdatumTijd260">Data!$Q$262</definedName>
    <definedName name="Data_BeeindigingsdatumTijd261">Data!$Q$263</definedName>
    <definedName name="Data_BeeindigingsdatumTijd262">Data!$Q$264</definedName>
    <definedName name="Data_BeeindigingsdatumTijd263">Data!$Q$265</definedName>
    <definedName name="Data_BeeindigingsdatumTijd264">Data!$Q$266</definedName>
    <definedName name="Data_BeeindigingsdatumTijd265">Data!$Q$267</definedName>
    <definedName name="Data_BeeindigingsdatumTijd266">Data!$Q$268</definedName>
    <definedName name="Data_BeeindigingsdatumTijd267">Data!$Q$269</definedName>
    <definedName name="Data_BeeindigingsdatumTijd268">Data!$Q$270</definedName>
    <definedName name="Data_BeeindigingsdatumTijd269">Data!$Q$271</definedName>
    <definedName name="Data_BeeindigingsdatumTijd270">Data!$Q$272</definedName>
    <definedName name="Data_BeeindigingsdatumTijd271">Data!$Q$273</definedName>
    <definedName name="Data_BeeindigingsdatumTijd272">Data!$Q$274</definedName>
    <definedName name="Data_BeeindigingsdatumTijd273">Data!$Q$275</definedName>
    <definedName name="Data_BeeindigingsdatumTijd274">Data!$Q$276</definedName>
    <definedName name="Data_BeeindigingsdatumTijd275">Data!$Q$277</definedName>
    <definedName name="Data_BeeindigingsdatumTijd276">Data!$Q$278</definedName>
    <definedName name="Data_BeeindigingsdatumTijd277">Data!$Q$279</definedName>
    <definedName name="Data_BeeindigingsdatumTijd278">Data!$Q$280</definedName>
    <definedName name="Data_BeeindigingsdatumTijd279">Data!$Q$281</definedName>
    <definedName name="Data_BeeindigingsdatumTijd280">Data!$Q$282</definedName>
    <definedName name="Data_BeeindigingsdatumTijd281">Data!$Q$283</definedName>
    <definedName name="Data_BeeindigingsdatumTijd282">Data!$Q$284</definedName>
    <definedName name="Data_BeeindigingsdatumTijd283">Data!$Q$285</definedName>
    <definedName name="Data_BeeindigingsdatumTijd284">Data!$Q$286</definedName>
    <definedName name="Data_BeeindigingsdatumTijd285">Data!$Q$287</definedName>
    <definedName name="Data_BeeindigingsdatumTijd286">Data!$Q$288</definedName>
    <definedName name="Data_BeeindigingsdatumTijd287">Data!$Q$289</definedName>
    <definedName name="Data_BeeindigingsdatumTijd288">Data!$Q$290</definedName>
    <definedName name="Data_BeeindigingsdatumTijd289">Data!$Q$291</definedName>
    <definedName name="Data_BeeindigingsdatumTijd290">Data!$Q$292</definedName>
    <definedName name="Data_BeeindigingsdatumTijd291">Data!$Q$293</definedName>
    <definedName name="Data_BeeindigingsdatumTijd292">Data!$Q$294</definedName>
    <definedName name="Data_BeeindigingsdatumTijd293">Data!$Q$295</definedName>
    <definedName name="Data_BeeindigingsdatumTijd294">Data!$Q$296</definedName>
    <definedName name="Data_BeeindigingsdatumTijd295">Data!$Q$297</definedName>
    <definedName name="Data_BeeindigingsdatumTijd296">Data!$Q$298</definedName>
    <definedName name="Data_BeeindigingsdatumTijd297">Data!$Q$299</definedName>
    <definedName name="Data_BeeindigingsdatumTijd298">Data!$Q$300</definedName>
    <definedName name="Data_BeeindigingsdatumTijd299">Data!$Q$301</definedName>
    <definedName name="Data_BeeindigingsdatumTijd300">Data!$Q$302</definedName>
    <definedName name="Data_BeeindigingsdatumTijd301">Data!$Q$303</definedName>
    <definedName name="Data_BeeindigingsdatumTijd302">Data!$Q$304</definedName>
    <definedName name="Data_BeeindigingsdatumTijd303">Data!$Q$305</definedName>
    <definedName name="Data_BeeindigingsdatumTijd304">Data!$Q$306</definedName>
    <definedName name="Data_BeeindigingsdatumTijd305">Data!$Q$307</definedName>
    <definedName name="Data_BeeindigingsdatumTijd306">Data!$Q$308</definedName>
    <definedName name="Data_BeeindigingsdatumTijd307">Data!$Q$309</definedName>
    <definedName name="Data_BeeindigingsdatumTijd308">Data!$Q$310</definedName>
    <definedName name="Data_BeeindigingsdatumTijd309">Data!$Q$311</definedName>
    <definedName name="Data_BeeindigingsdatumTijd310">Data!$Q$312</definedName>
    <definedName name="Data_BeeindigingsdatumTijd311">Data!$Q$313</definedName>
    <definedName name="Data_BeeindigingsdatumTijd312">Data!$Q$314</definedName>
    <definedName name="Data_BeeindigingsdatumTijd313">Data!$Q$315</definedName>
    <definedName name="Data_BeeindigingsdatumTijd314">Data!$Q$316</definedName>
    <definedName name="Data_BeeindigingsdatumTijd315">Data!$Q$317</definedName>
    <definedName name="Data_BeeindigingsdatumTijd316">Data!$Q$318</definedName>
    <definedName name="Data_BeeindigingsdatumTijd317">Data!$Q$319</definedName>
    <definedName name="Data_BeeindigingsdatumTijd318">Data!$Q$320</definedName>
    <definedName name="Data_BeeindigingsdatumTijd319">Data!$Q$321</definedName>
    <definedName name="Data_BeeindigingsdatumTijd320">Data!$Q$322</definedName>
    <definedName name="Data_BeeindigingsdatumTijd321">Data!$Q$323</definedName>
    <definedName name="Data_BeeindigingsdatumTijd322">Data!$Q$324</definedName>
    <definedName name="Data_BeeindigingsdatumTijd323">Data!$Q$325</definedName>
    <definedName name="Data_BeeindigingsdatumTijd324">Data!$Q$326</definedName>
    <definedName name="Data_BeeindigingsdatumTijd325">Data!$Q$327</definedName>
    <definedName name="Data_BeeindigingsdatumTijd326">Data!$Q$328</definedName>
    <definedName name="Data_BeeindigingsdatumTijd327">Data!$Q$329</definedName>
    <definedName name="Data_BeeindigingsdatumTijd328">Data!$Q$330</definedName>
    <definedName name="Data_BeeindigingsdatumTijd329">Data!$Q$331</definedName>
    <definedName name="Data_BeeindigingsdatumTijd330">Data!$Q$332</definedName>
    <definedName name="Data_BeeindigingsdatumTijd331">Data!$Q$333</definedName>
    <definedName name="Data_BeeindigingsdatumTijd332">Data!$Q$334</definedName>
    <definedName name="Data_BeeindigingsdatumTijd333">Data!$Q$335</definedName>
    <definedName name="Data_BeeindigingsdatumTijd334">Data!$Q$336</definedName>
    <definedName name="Data_BeeindigingsdatumTijd335">Data!$Q$337</definedName>
    <definedName name="Data_BeeindigingsdatumTijd336">Data!$Q$338</definedName>
    <definedName name="Data_BeeindigingsdatumTijd337">Data!$Q$339</definedName>
    <definedName name="Data_BeeindigingsdatumTijd338">Data!$Q$340</definedName>
    <definedName name="Data_BeeindigingsdatumTijd339">Data!$Q$341</definedName>
    <definedName name="Data_BeeindigingsdatumTijd340">Data!$Q$342</definedName>
    <definedName name="Data_BeeindigingsdatumTijd341">Data!$Q$343</definedName>
    <definedName name="Data_BeeindigingsdatumTijd342">Data!$Q$344</definedName>
    <definedName name="Data_BeeindigingsdatumTijd343">Data!$Q$345</definedName>
    <definedName name="Data_BeeindigingsdatumTijd344">Data!$Q$346</definedName>
    <definedName name="Data_BeeindigingsdatumTijd345">Data!$Q$347</definedName>
    <definedName name="Data_BeeindigingsdatumTijd346">Data!$Q$348</definedName>
    <definedName name="Data_BeeindigingsdatumTijd347">Data!$Q$349</definedName>
    <definedName name="Data_BeeindigingsdatumTijd348">Data!$Q$350</definedName>
    <definedName name="Data_BeeindigingsdatumTijd349">Data!$Q$351</definedName>
    <definedName name="Data_BeeindigingsdatumTijd350">Data!$Q$352</definedName>
    <definedName name="Data_BeeindigingsdatumTijd351">Data!$Q$353</definedName>
    <definedName name="Data_BeeindigingsdatumTijd352">Data!$Q$354</definedName>
    <definedName name="Data_BeeindigingsdatumTijd353">Data!$Q$355</definedName>
    <definedName name="Data_BeeindigingsdatumTijd354">Data!$Q$356</definedName>
    <definedName name="Data_BeeindigingsdatumTijd355">Data!$Q$357</definedName>
    <definedName name="Data_BeeindigingsdatumTijd356">Data!$Q$358</definedName>
    <definedName name="Data_BeeindigingsdatumTijd357">Data!$Q$359</definedName>
    <definedName name="Data_BeeindigingsdatumTijd358">Data!$Q$360</definedName>
    <definedName name="Data_BeeindigingsdatumTijd359">Data!$Q$361</definedName>
    <definedName name="Data_BeeindigingsdatumTijd360">Data!$Q$362</definedName>
    <definedName name="Data_BeeindigingsdatumTijd361">Data!$Q$363</definedName>
    <definedName name="Data_BeeindigingsdatumTijd362">Data!$Q$364</definedName>
    <definedName name="Data_BeeindigingsdatumTijd363">Data!$Q$365</definedName>
    <definedName name="Data_BeeindigingsdatumTijd364">Data!$Q$366</definedName>
    <definedName name="Data_BeeindigingsdatumTijd365">Data!$Q$367</definedName>
    <definedName name="Data_BeeindigingsdatumTijd366">Data!$Q$368</definedName>
    <definedName name="Data_BeeindigingsdatumTijd367">Data!$Q$369</definedName>
    <definedName name="Data_BeeindigingsdatumTijd368">Data!$Q$370</definedName>
    <definedName name="Data_BeeindigingsdatumTijd369">Data!$Q$371</definedName>
    <definedName name="Data_BeeindigingsdatumTijd370">Data!$Q$372</definedName>
    <definedName name="Data_BeeindigingsdatumTijd371">Data!$Q$373</definedName>
    <definedName name="Data_BeeindigingsdatumTijd372">Data!$Q$374</definedName>
    <definedName name="Data_BeeindigingsdatumTijd373">Data!$Q$375</definedName>
    <definedName name="Data_BeeindigingsdatumTijd374">Data!$Q$376</definedName>
    <definedName name="Data_BeeindigingsdatumTijd375">Data!$Q$377</definedName>
    <definedName name="Data_BeeindigingsdatumTijd376">Data!$Q$378</definedName>
    <definedName name="Data_BeeindigingsdatumTijd377">Data!$Q$379</definedName>
    <definedName name="Data_BeeindigingsdatumTijd378">Data!$Q$380</definedName>
    <definedName name="Data_BeeindigingsdatumTijd379">Data!$Q$381</definedName>
    <definedName name="Data_BeeindigingsdatumTijd380">Data!$Q$382</definedName>
    <definedName name="Data_BeeindigingsdatumTijd381">Data!$Q$383</definedName>
    <definedName name="Data_BeeindigingsdatumTijd382">Data!$Q$384</definedName>
    <definedName name="Data_BeeindigingsdatumTijd383">Data!$Q$385</definedName>
    <definedName name="Data_BeeindigingsdatumTijd384">Data!$Q$386</definedName>
    <definedName name="Data_BeeindigingsdatumTijd385">Data!$Q$387</definedName>
    <definedName name="Data_BeeindigingsdatumTijd386">Data!$Q$388</definedName>
    <definedName name="Data_BeeindigingsdatumTijd387">Data!$Q$389</definedName>
    <definedName name="Data_BeeindigingsdatumTijd388">Data!$Q$390</definedName>
    <definedName name="Data_BeeindigingsdatumTijd389">Data!$Q$391</definedName>
    <definedName name="Data_BeeindigingsdatumTijd390">Data!$Q$392</definedName>
    <definedName name="Data_BeeindigingsdatumTijd391">Data!$Q$393</definedName>
    <definedName name="Data_BeeindigingsdatumTijd392">Data!$Q$394</definedName>
    <definedName name="Data_BeeindigingsdatumTijd393">Data!$Q$395</definedName>
    <definedName name="Data_BeeindigingsdatumTijd394">Data!$Q$396</definedName>
    <definedName name="Data_BeeindigingsdatumTijd395">Data!$Q$397</definedName>
    <definedName name="Data_BeeindigingsdatumTijd396">Data!$Q$398</definedName>
    <definedName name="Data_BeeindigingsdatumTijd397">Data!$Q$399</definedName>
    <definedName name="Data_BeeindigingsdatumTijd398">Data!$Q$400</definedName>
    <definedName name="Data_BeeindigingsdatumTijd399">Data!$Q$401</definedName>
    <definedName name="Data_BeeindigingsdatumTijd400">Data!$Q$402</definedName>
    <definedName name="Data_BeeindigingsdatumTijd401">Data!$Q$403</definedName>
    <definedName name="Data_BeeindigingsdatumTijd402">Data!$Q$404</definedName>
    <definedName name="Data_BeeindigingsdatumTijd403">Data!$Q$405</definedName>
    <definedName name="Data_BeeindigingsdatumTijd404">Data!$Q$406</definedName>
    <definedName name="Data_BeeindigingsdatumTijd405">Data!$Q$407</definedName>
    <definedName name="Data_BeeindigingsdatumTijd406">Data!$Q$408</definedName>
    <definedName name="Data_BeeindigingsdatumTijd407">Data!$Q$409</definedName>
    <definedName name="Data_BeeindigingsdatumTijd408">Data!$Q$410</definedName>
    <definedName name="Data_BeeindigingsdatumTijd409">Data!$Q$411</definedName>
    <definedName name="Data_BeeindigingsdatumTijd410">Data!$Q$412</definedName>
    <definedName name="Data_BeeindigingsdatumTijd411">Data!$Q$413</definedName>
    <definedName name="Data_BeeindigingsdatumTijd412">Data!$Q$414</definedName>
    <definedName name="Data_BeeindigingsdatumTijd413">Data!$Q$415</definedName>
    <definedName name="Data_BeeindigingsdatumTijd414">Data!$Q$416</definedName>
    <definedName name="Data_BeeindigingsdatumTijd415">Data!$Q$417</definedName>
    <definedName name="Data_BeeindigingsdatumTijd416">Data!$Q$418</definedName>
    <definedName name="Data_BeeindigingsdatumTijd417">Data!$Q$419</definedName>
    <definedName name="Data_BeeindigingsdatumTijd418">Data!$Q$420</definedName>
    <definedName name="Data_BeeindigingsdatumTijd419">Data!$Q$421</definedName>
    <definedName name="Data_BeeindigingsdatumTijd420">Data!$Q$422</definedName>
    <definedName name="Data_BeeindigingsdatumTijd421">Data!$Q$423</definedName>
    <definedName name="Data_BeeindigingsdatumTijd422">Data!$Q$424</definedName>
    <definedName name="Data_BeeindigingsdatumTijd423">Data!$Q$425</definedName>
    <definedName name="Data_BeeindigingsdatumTijd424">Data!$Q$426</definedName>
    <definedName name="Data_BeeindigingsdatumTijd425">Data!$Q$427</definedName>
    <definedName name="Data_BeeindigingsdatumTijd426">Data!$Q$428</definedName>
    <definedName name="Data_BeeindigingsdatumTijd427">Data!$Q$429</definedName>
    <definedName name="Data_BeeindigingsdatumTijd428">Data!$Q$430</definedName>
    <definedName name="Data_BeeindigingsdatumTijd429">Data!$Q$431</definedName>
    <definedName name="Data_BeeindigingsdatumTijd430">Data!$Q$432</definedName>
    <definedName name="Data_BeeindigingsdatumTijd431">Data!$Q$433</definedName>
    <definedName name="Data_BeeindigingsdatumTijd432">Data!$Q$434</definedName>
    <definedName name="Data_BeeindigingsdatumTijd433">Data!$Q$435</definedName>
    <definedName name="Data_BeeindigingsdatumTijd434">Data!$Q$436</definedName>
    <definedName name="Data_BeeindigingsdatumTijd435">Data!$Q$437</definedName>
    <definedName name="Data_BeeindigingsdatumTijd436">Data!$Q$438</definedName>
    <definedName name="Data_BeeindigingsdatumTijd437">Data!$Q$439</definedName>
    <definedName name="Data_BeeindigingsdatumTijd438">Data!$Q$440</definedName>
    <definedName name="Data_BeeindigingsdatumTijd439">Data!$Q$441</definedName>
    <definedName name="Data_BeeindigingsdatumTijd440">Data!$Q$442</definedName>
    <definedName name="Data_BeeindigingsdatumTijd441">Data!$Q$443</definedName>
    <definedName name="Data_BeeindigingsdatumTijd442">Data!$Q$444</definedName>
    <definedName name="Data_BeeindigingsdatumTijd443">Data!$Q$445</definedName>
    <definedName name="Data_BeeindigingsdatumTijd444">Data!$Q$446</definedName>
    <definedName name="Data_BeeindigingsdatumTijd445">Data!$Q$447</definedName>
    <definedName name="Data_BeeindigingsdatumTijd446">Data!$Q$448</definedName>
    <definedName name="Data_BeeindigingsdatumTijd447">Data!$Q$449</definedName>
    <definedName name="Data_BeeindigingsdatumTijd448">Data!$Q$450</definedName>
    <definedName name="Data_BeeindigingsdatumTijd449">Data!$Q$451</definedName>
    <definedName name="Data_BeeindigingsdatumTijd450">Data!$Q$452</definedName>
    <definedName name="Data_BeeindigingsdatumTijd451">Data!$Q$453</definedName>
    <definedName name="Data_BeeindigingsdatumTijd452">Data!$Q$454</definedName>
    <definedName name="Data_BeeindigingsdatumTijd453">Data!$Q$455</definedName>
    <definedName name="Data_BeeindigingsdatumTijd454">Data!$Q$456</definedName>
    <definedName name="Data_BeeindigingsdatumTijd455">Data!$Q$457</definedName>
    <definedName name="Data_BeeindigingsdatumTijd456">Data!$Q$458</definedName>
    <definedName name="Data_BeeindigingsdatumTijd457">Data!$Q$459</definedName>
    <definedName name="Data_BeeindigingsdatumTijd458">Data!$Q$460</definedName>
    <definedName name="Data_BeeindigingsdatumTijd459">Data!$Q$461</definedName>
    <definedName name="Data_BeeindigingsdatumTijd460">Data!$Q$462</definedName>
    <definedName name="Data_BeeindigingsdatumTijd461">Data!$Q$463</definedName>
    <definedName name="Data_BeeindigingsdatumTijd462">Data!$Q$464</definedName>
    <definedName name="Data_BeeindigingsdatumTijd463">Data!$Q$465</definedName>
    <definedName name="Data_BeeindigingsdatumTijd464">Data!$Q$466</definedName>
    <definedName name="Data_BeeindigingsdatumTijd465">Data!$Q$467</definedName>
    <definedName name="Data_BeeindigingsdatumTijd466">Data!$Q$468</definedName>
    <definedName name="Data_BeeindigingsdatumTijd467">Data!$Q$469</definedName>
    <definedName name="Data_BeeindigingsdatumTijd468">Data!$Q$470</definedName>
    <definedName name="Data_BeeindigingsdatumTijd469">Data!$Q$471</definedName>
    <definedName name="Data_BeeindigingsdatumTijd470">Data!$Q$472</definedName>
    <definedName name="Data_BeeindigingsdatumTijd471">Data!$Q$473</definedName>
    <definedName name="Data_BeeindigingsdatumTijd472">Data!$Q$474</definedName>
    <definedName name="Data_BeeindigingsdatumTijd473">Data!$Q$475</definedName>
    <definedName name="Data_BeeindigingsdatumTijd474">Data!$Q$476</definedName>
    <definedName name="Data_BeeindigingsdatumTijd475">Data!$Q$477</definedName>
    <definedName name="Data_BeeindigingsdatumTijd476">Data!$Q$478</definedName>
    <definedName name="Data_BeeindigingsdatumTijd477">Data!$Q$479</definedName>
    <definedName name="Data_BeeindigingsdatumTijd478">Data!$Q$480</definedName>
    <definedName name="Data_BeeindigingsdatumTijd479">Data!$Q$481</definedName>
    <definedName name="Data_BeeindigingsdatumTijd480">Data!$Q$482</definedName>
    <definedName name="Data_BeeindigingsdatumTijd481">Data!$Q$483</definedName>
    <definedName name="Data_BeeindigingsdatumTijd482">Data!$Q$484</definedName>
    <definedName name="Data_BeeindigingsdatumTijd483">Data!$Q$485</definedName>
    <definedName name="Data_BeeindigingsdatumTijd484">Data!$Q$486</definedName>
    <definedName name="Data_BeeindigingsdatumTijd485">Data!$Q$487</definedName>
    <definedName name="Data_BeeindigingsdatumTijd486">Data!$Q$488</definedName>
    <definedName name="Data_BeeindigingsdatumTijd487">Data!$Q$489</definedName>
    <definedName name="Data_BeeindigingsdatumTijd488">Data!$Q$490</definedName>
    <definedName name="Data_BeeindigingsdatumTijd489">Data!$Q$491</definedName>
    <definedName name="Data_BeeindigingsdatumTijd490">Data!$Q$492</definedName>
    <definedName name="Data_BeeindigingsdatumTijd491">Data!$Q$493</definedName>
    <definedName name="Data_BeeindigingsdatumTijd492">Data!$Q$494</definedName>
    <definedName name="Data_BeeindigingsdatumTijd493">Data!$Q$495</definedName>
    <definedName name="Data_BeeindigingsdatumTijd494">Data!$Q$496</definedName>
    <definedName name="Data_BeeindigingsdatumTijd495">Data!$Q$497</definedName>
    <definedName name="Data_BeeindigingsdatumTijd496">Data!$Q$498</definedName>
    <definedName name="Data_BeeindigingsdatumTijd497">Data!$Q$499</definedName>
    <definedName name="Data_BeeindigingsdatumTijd498">Data!$Q$500</definedName>
    <definedName name="Data_BeeindigingsdatumTijd499">Data!$Q$501</definedName>
    <definedName name="Data_BeeindigingsdatumTijd500">Data!$Q$502</definedName>
    <definedName name="Data_BeeindigingsdatumVastOntslag001">Data!$AK$3</definedName>
    <definedName name="Data_BeeindigingsdatumVastOntslag002">Data!$AK$4</definedName>
    <definedName name="Data_BeeindigingsdatumVastOntslag003">Data!$AK$5</definedName>
    <definedName name="Data_BeeindigingsdatumVastOntslag004">Data!$AK$6</definedName>
    <definedName name="Data_BeeindigingsdatumVastOntslag005">Data!$AK$7</definedName>
    <definedName name="Data_BeeindigingsdatumVastOntslag006">Data!$AK$8</definedName>
    <definedName name="Data_BeeindigingsdatumVastOntslag007">Data!$AK$9</definedName>
    <definedName name="Data_BeeindigingsdatumVastOntslag008">Data!$AK$10</definedName>
    <definedName name="Data_BeeindigingsdatumVastOntslag009">Data!$AK$11</definedName>
    <definedName name="Data_BeeindigingsdatumVastOntslag010">Data!$AK$12</definedName>
    <definedName name="Data_BeeindigingsdatumVastOntslag011">Data!$AK$13</definedName>
    <definedName name="Data_BeeindigingsdatumVastOntslag012">Data!$AK$14</definedName>
    <definedName name="Data_BeeindigingsdatumVastOntslag013">Data!$AK$15</definedName>
    <definedName name="Data_BeeindigingsdatumVastOntslag014">Data!$AK$16</definedName>
    <definedName name="Data_BeeindigingsdatumVastOntslag015">Data!$AK$17</definedName>
    <definedName name="Data_BeeindigingsdatumVastOntslag016">Data!$AK$18</definedName>
    <definedName name="Data_BeeindigingsdatumVastOntslag017">Data!$AK$19</definedName>
    <definedName name="Data_BeeindigingsdatumVastOntslag018">Data!$AK$20</definedName>
    <definedName name="Data_BeeindigingsdatumVastOntslag019">Data!$AK$21</definedName>
    <definedName name="Data_BeeindigingsdatumVastOntslag020">Data!$AK$22</definedName>
    <definedName name="Data_BeeindigingsdatumVastOntslag021">Data!$AK$23</definedName>
    <definedName name="Data_BeeindigingsdatumVastOntslag022">Data!$AK$24</definedName>
    <definedName name="Data_BeeindigingsdatumVastOntslag023">Data!$AK$25</definedName>
    <definedName name="Data_BeeindigingsdatumVastOntslag024">Data!$AK$26</definedName>
    <definedName name="Data_BeeindigingsdatumVastOntslag025">Data!$AK$27</definedName>
    <definedName name="Data_BeeindigingsdatumVastOntslag026">Data!$AK$28</definedName>
    <definedName name="Data_BeeindigingsdatumVastOntslag027">Data!$AK$29</definedName>
    <definedName name="Data_BeeindigingsdatumVastOntslag028">Data!$AK$30</definedName>
    <definedName name="Data_BeeindigingsdatumVastOntslag029">Data!$AK$31</definedName>
    <definedName name="Data_BeeindigingsdatumVastOntslag030">Data!$AK$32</definedName>
    <definedName name="Data_BeeindigingsdatumVastOntslag031">Data!$AK$33</definedName>
    <definedName name="Data_BeeindigingsdatumVastOntslag032">Data!$AK$34</definedName>
    <definedName name="Data_BeeindigingsdatumVastOntslag033">Data!$AK$35</definedName>
    <definedName name="Data_BeeindigingsdatumVastOntslag034">Data!$AK$36</definedName>
    <definedName name="Data_BeeindigingsdatumVastOntslag035">Data!$AK$37</definedName>
    <definedName name="Data_BeeindigingsdatumVastOntslag036">Data!$AK$38</definedName>
    <definedName name="Data_BeeindigingsdatumVastOntslag037">Data!$AK$39</definedName>
    <definedName name="Data_BeeindigingsdatumVastOntslag038">Data!$AK$40</definedName>
    <definedName name="Data_BeeindigingsdatumVastOntslag039">Data!$AK$41</definedName>
    <definedName name="Data_BeeindigingsdatumVastOntslag040">Data!$AK$42</definedName>
    <definedName name="Data_BeeindigingsdatumVastOntslag041">Data!$AK$43</definedName>
    <definedName name="Data_BeeindigingsdatumVastOntslag042">Data!$AK$44</definedName>
    <definedName name="Data_BeeindigingsdatumVastOntslag043">Data!$AK$45</definedName>
    <definedName name="Data_BeeindigingsdatumVastOntslag044">Data!$AK$46</definedName>
    <definedName name="Data_BeeindigingsdatumVastOntslag045">Data!$AK$47</definedName>
    <definedName name="Data_BeeindigingsdatumVastOntslag046">Data!$AK$48</definedName>
    <definedName name="Data_BeeindigingsdatumVastOntslag047">Data!$AK$49</definedName>
    <definedName name="Data_BeeindigingsdatumVastOntslag048">Data!$AK$50</definedName>
    <definedName name="Data_BeeindigingsdatumVastOntslag049">Data!$AK$51</definedName>
    <definedName name="Data_BeeindigingsdatumVastOntslag050">Data!$AK$52</definedName>
    <definedName name="Data_BeeindigingsdatumVastOntslag051">Data!$AK$53</definedName>
    <definedName name="Data_BeeindigingsdatumVastOntslag052">Data!$AK$54</definedName>
    <definedName name="Data_BeeindigingsdatumVastOntslag053">Data!$AK$55</definedName>
    <definedName name="Data_BeeindigingsdatumVastOntslag054">Data!$AK$56</definedName>
    <definedName name="Data_BeeindigingsdatumVastOntslag055">Data!$AK$57</definedName>
    <definedName name="Data_BeeindigingsdatumVastOntslag056">Data!$AK$58</definedName>
    <definedName name="Data_BeeindigingsdatumVastOntslag057">Data!$AK$59</definedName>
    <definedName name="Data_BeeindigingsdatumVastOntslag058">Data!$AK$60</definedName>
    <definedName name="Data_BeeindigingsdatumVastOntslag059">Data!$AK$61</definedName>
    <definedName name="Data_BeeindigingsdatumVastOntslag060">Data!$AK$62</definedName>
    <definedName name="Data_BeeindigingsdatumVastOntslag061">Data!$AK$63</definedName>
    <definedName name="Data_BeeindigingsdatumVastOntslag062">Data!$AK$64</definedName>
    <definedName name="Data_BeeindigingsdatumVastOntslag063">Data!$AK$65</definedName>
    <definedName name="Data_BeeindigingsdatumVastOntslag064">Data!$AK$66</definedName>
    <definedName name="Data_BeeindigingsdatumVastOntslag065">Data!$AK$67</definedName>
    <definedName name="Data_BeeindigingsdatumVastOntslag066">Data!$AK$68</definedName>
    <definedName name="Data_BeeindigingsdatumVastOntslag067">Data!$AK$69</definedName>
    <definedName name="Data_BeeindigingsdatumVastOntslag068">Data!$AK$70</definedName>
    <definedName name="Data_BeeindigingsdatumVastOntslag069">Data!$AK$71</definedName>
    <definedName name="Data_BeeindigingsdatumVastOntslag070">Data!$AK$72</definedName>
    <definedName name="Data_BeeindigingsdatumVastOntslag071">Data!$AK$73</definedName>
    <definedName name="Data_BeeindigingsdatumVastOntslag072">Data!$AK$74</definedName>
    <definedName name="Data_BeeindigingsdatumVastOntslag073">Data!$AK$75</definedName>
    <definedName name="Data_BeeindigingsdatumVastOntslag074">Data!$AK$76</definedName>
    <definedName name="Data_BeeindigingsdatumVastOntslag075">Data!$AK$77</definedName>
    <definedName name="Data_BeeindigingsdatumVastOntslag076">Data!$AK$78</definedName>
    <definedName name="Data_BeeindigingsdatumVastOntslag077">Data!$AK$79</definedName>
    <definedName name="Data_BeeindigingsdatumVastOntslag078">Data!$AK$80</definedName>
    <definedName name="Data_BeeindigingsdatumVastOntslag079">Data!$AK$81</definedName>
    <definedName name="Data_BeeindigingsdatumVastOntslag080">Data!$AK$82</definedName>
    <definedName name="Data_BeeindigingsdatumVastOntslag081">Data!$AK$83</definedName>
    <definedName name="Data_BeeindigingsdatumVastOntslag082">Data!$AK$84</definedName>
    <definedName name="Data_BeeindigingsdatumVastOntslag083">Data!$AK$85</definedName>
    <definedName name="Data_BeeindigingsdatumVastOntslag084">Data!$AK$86</definedName>
    <definedName name="Data_BeeindigingsdatumVastOntslag085">Data!$AK$87</definedName>
    <definedName name="Data_BeeindigingsdatumVastOntslag086">Data!$AK$88</definedName>
    <definedName name="Data_BeeindigingsdatumVastOntslag087">Data!$AK$89</definedName>
    <definedName name="Data_BeeindigingsdatumVastOntslag088">Data!$AK$90</definedName>
    <definedName name="Data_BeeindigingsdatumVastOntslag089">Data!$AK$91</definedName>
    <definedName name="Data_BeeindigingsdatumVastOntslag090">Data!$AK$92</definedName>
    <definedName name="Data_BeeindigingsdatumVastOntslag091">Data!$AK$93</definedName>
    <definedName name="Data_BeeindigingsdatumVastOntslag092">Data!$AK$94</definedName>
    <definedName name="Data_BeeindigingsdatumVastOntslag093">Data!$AK$95</definedName>
    <definedName name="Data_BeeindigingsdatumVastOntslag094">Data!$AK$96</definedName>
    <definedName name="Data_BeeindigingsdatumVastOntslag095">Data!$AK$97</definedName>
    <definedName name="Data_BeeindigingsdatumVastOntslag096">Data!$AK$98</definedName>
    <definedName name="Data_BeeindigingsdatumVastOntslag097">Data!$AK$99</definedName>
    <definedName name="Data_BeeindigingsdatumVastOntslag098">Data!$AK$100</definedName>
    <definedName name="Data_BeeindigingsdatumVastOntslag099">Data!$AK$101</definedName>
    <definedName name="Data_BeeindigingsdatumVastOntslag100">Data!$AK$102</definedName>
    <definedName name="Data_BeeindigingsdatumVastOntslag101">Data!$AK$103</definedName>
    <definedName name="Data_BeeindigingsdatumVastOntslag102">Data!$AK$104</definedName>
    <definedName name="Data_BeeindigingsdatumVastOntslag103">Data!$AK$105</definedName>
    <definedName name="Data_BeeindigingsdatumVastOntslag104">Data!$AK$106</definedName>
    <definedName name="Data_BeeindigingsdatumVastOntslag105">Data!$AK$107</definedName>
    <definedName name="Data_BeeindigingsdatumVastOntslag106">Data!$AK$108</definedName>
    <definedName name="Data_BeeindigingsdatumVastOntslag107">Data!$AK$109</definedName>
    <definedName name="Data_BeeindigingsdatumVastOntslag108">Data!$AK$110</definedName>
    <definedName name="Data_BeeindigingsdatumVastOntslag109">Data!$AK$111</definedName>
    <definedName name="Data_BeeindigingsdatumVastOntslag110">Data!$AK$112</definedName>
    <definedName name="Data_BeeindigingsdatumVastOntslag111">Data!$AK$113</definedName>
    <definedName name="Data_BeeindigingsdatumVastOntslag112">Data!$AK$114</definedName>
    <definedName name="Data_BeeindigingsdatumVastOntslag113">Data!$AK$115</definedName>
    <definedName name="Data_BeeindigingsdatumVastOntslag114">Data!$AK$116</definedName>
    <definedName name="Data_BeeindigingsdatumVastOntslag115">Data!$AK$117</definedName>
    <definedName name="Data_BeeindigingsdatumVastOntslag116">Data!$AK$118</definedName>
    <definedName name="Data_BeeindigingsdatumVastOntslag117">Data!$AK$119</definedName>
    <definedName name="Data_BeeindigingsdatumVastOntslag118">Data!$AK$120</definedName>
    <definedName name="Data_BeeindigingsdatumVastOntslag119">Data!$AK$121</definedName>
    <definedName name="Data_BeeindigingsdatumVastOntslag120">Data!$AK$122</definedName>
    <definedName name="Data_BeeindigingsdatumVastOntslag121">Data!$AK$123</definedName>
    <definedName name="Data_BeeindigingsdatumVastOntslag122">Data!$AK$124</definedName>
    <definedName name="Data_BeeindigingsdatumVastOntslag123">Data!$AK$125</definedName>
    <definedName name="Data_BeeindigingsdatumVastOntslag124">Data!$AK$126</definedName>
    <definedName name="Data_BeeindigingsdatumVastOntslag125">Data!$AK$127</definedName>
    <definedName name="Data_BeeindigingsdatumVastOntslag126">Data!$AK$128</definedName>
    <definedName name="Data_BeeindigingsdatumVastOntslag127">Data!$AK$129</definedName>
    <definedName name="Data_BeeindigingsdatumVastOntslag128">Data!$AK$130</definedName>
    <definedName name="Data_BeeindigingsdatumVastOntslag129">Data!$AK$131</definedName>
    <definedName name="Data_BeeindigingsdatumVastOntslag130">Data!$AK$132</definedName>
    <definedName name="Data_BeeindigingsdatumVastOntslag131">Data!$AK$133</definedName>
    <definedName name="Data_BeeindigingsdatumVastOntslag132">Data!$AK$134</definedName>
    <definedName name="Data_BeeindigingsdatumVastOntslag133">Data!$AK$135</definedName>
    <definedName name="Data_BeeindigingsdatumVastOntslag134">Data!$AK$136</definedName>
    <definedName name="Data_BeeindigingsdatumVastOntslag135">Data!$AK$137</definedName>
    <definedName name="Data_BeeindigingsdatumVastOntslag136">Data!$AK$138</definedName>
    <definedName name="Data_BeeindigingsdatumVastOntslag137">Data!$AK$139</definedName>
    <definedName name="Data_BeeindigingsdatumVastOntslag138">Data!$AK$140</definedName>
    <definedName name="Data_BeeindigingsdatumVastOntslag139">Data!$AK$141</definedName>
    <definedName name="Data_BeeindigingsdatumVastOntslag140">Data!$AK$142</definedName>
    <definedName name="Data_BeeindigingsdatumVastOntslag141">Data!$AK$143</definedName>
    <definedName name="Data_BeeindigingsdatumVastOntslag142">Data!$AK$144</definedName>
    <definedName name="Data_BeeindigingsdatumVastOntslag143">Data!$AK$145</definedName>
    <definedName name="Data_BeeindigingsdatumVastOntslag144">Data!$AK$146</definedName>
    <definedName name="Data_BeeindigingsdatumVastOntslag145">Data!$AK$147</definedName>
    <definedName name="Data_BeeindigingsdatumVastOntslag146">Data!$AK$148</definedName>
    <definedName name="Data_BeeindigingsdatumVastOntslag147">Data!$AK$149</definedName>
    <definedName name="Data_BeeindigingsdatumVastOntslag148">Data!$AK$150</definedName>
    <definedName name="Data_BeeindigingsdatumVastOntslag149">Data!$AK$151</definedName>
    <definedName name="Data_BeeindigingsdatumVastOntslag150">Data!$AK$152</definedName>
    <definedName name="Data_BeeindigingsdatumVastOntslag151">Data!$AK$153</definedName>
    <definedName name="Data_BeeindigingsdatumVastOntslag152">Data!$AK$154</definedName>
    <definedName name="Data_BeeindigingsdatumVastOntslag153">Data!$AK$155</definedName>
    <definedName name="Data_BeeindigingsdatumVastOntslag154">Data!$AK$156</definedName>
    <definedName name="Data_BeeindigingsdatumVastOntslag155">Data!$AK$157</definedName>
    <definedName name="Data_BeeindigingsdatumVastOntslag156">Data!$AK$158</definedName>
    <definedName name="Data_BeeindigingsdatumVastOntslag157">Data!$AK$159</definedName>
    <definedName name="Data_BeeindigingsdatumVastOntslag158">Data!$AK$160</definedName>
    <definedName name="Data_BeeindigingsdatumVastOntslag159">Data!$AK$161</definedName>
    <definedName name="Data_BeeindigingsdatumVastOntslag160">Data!$AK$162</definedName>
    <definedName name="Data_BeeindigingsdatumVastOntslag161">Data!$AK$163</definedName>
    <definedName name="Data_BeeindigingsdatumVastOntslag162">Data!$AK$164</definedName>
    <definedName name="Data_BeeindigingsdatumVastOntslag163">Data!$AK$165</definedName>
    <definedName name="Data_BeeindigingsdatumVastOntslag164">Data!$AK$166</definedName>
    <definedName name="Data_BeeindigingsdatumVastOntslag165">Data!$AK$167</definedName>
    <definedName name="Data_BeeindigingsdatumVastOntslag166">Data!$AK$168</definedName>
    <definedName name="Data_BeeindigingsdatumVastOntslag167">Data!$AK$169</definedName>
    <definedName name="Data_BeeindigingsdatumVastOntslag168">Data!$AK$170</definedName>
    <definedName name="Data_BeeindigingsdatumVastOntslag169">Data!$AK$171</definedName>
    <definedName name="Data_BeeindigingsdatumVastOntslag170">Data!$AK$172</definedName>
    <definedName name="Data_BeeindigingsdatumVastOntslag171">Data!$AK$173</definedName>
    <definedName name="Data_BeeindigingsdatumVastOntslag172">Data!$AK$174</definedName>
    <definedName name="Data_BeeindigingsdatumVastOntslag173">Data!$AK$175</definedName>
    <definedName name="Data_BeeindigingsdatumVastOntslag174">Data!$AK$176</definedName>
    <definedName name="Data_BeeindigingsdatumVastOntslag175">Data!$AK$177</definedName>
    <definedName name="Data_BeeindigingsdatumVastOntslag176">Data!$AK$178</definedName>
    <definedName name="Data_BeeindigingsdatumVastOntslag177">Data!$AK$179</definedName>
    <definedName name="Data_BeeindigingsdatumVastOntslag178">Data!$AK$180</definedName>
    <definedName name="Data_BeeindigingsdatumVastOntslag179">Data!$AK$181</definedName>
    <definedName name="Data_BeeindigingsdatumVastOntslag180">Data!$AK$182</definedName>
    <definedName name="Data_BeeindigingsdatumVastOntslag181">Data!$AK$183</definedName>
    <definedName name="Data_BeeindigingsdatumVastOntslag182">Data!$AK$184</definedName>
    <definedName name="Data_BeeindigingsdatumVastOntslag183">Data!$AK$185</definedName>
    <definedName name="Data_BeeindigingsdatumVastOntslag184">Data!$AK$186</definedName>
    <definedName name="Data_BeeindigingsdatumVastOntslag185">Data!$AK$187</definedName>
    <definedName name="Data_BeeindigingsdatumVastOntslag186">Data!$AK$188</definedName>
    <definedName name="Data_BeeindigingsdatumVastOntslag187">Data!$AK$189</definedName>
    <definedName name="Data_BeeindigingsdatumVastOntslag188">Data!$AK$190</definedName>
    <definedName name="Data_BeeindigingsdatumVastOntslag189">Data!$AK$191</definedName>
    <definedName name="Data_BeeindigingsdatumVastOntslag190">Data!$AK$192</definedName>
    <definedName name="Data_BeeindigingsdatumVastOntslag191">Data!$AK$193</definedName>
    <definedName name="Data_BeeindigingsdatumVastOntslag192">Data!$AK$194</definedName>
    <definedName name="Data_BeeindigingsdatumVastOntslag193">Data!$AK$195</definedName>
    <definedName name="Data_BeeindigingsdatumVastOntslag194">Data!$AK$196</definedName>
    <definedName name="Data_BeeindigingsdatumVastOntslag195">Data!$AK$197</definedName>
    <definedName name="Data_BeeindigingsdatumVastOntslag196">Data!$AK$198</definedName>
    <definedName name="Data_BeeindigingsdatumVastOntslag197">Data!$AK$199</definedName>
    <definedName name="Data_BeeindigingsdatumVastOntslag198">Data!$AK$200</definedName>
    <definedName name="Data_BeeindigingsdatumVastOntslag199">Data!$AK$201</definedName>
    <definedName name="Data_BeeindigingsdatumVastOntslag200">Data!$AK$202</definedName>
    <definedName name="Data_BeeindigingsdatumVastOntslag201">Data!$AK$203</definedName>
    <definedName name="Data_BeeindigingsdatumVastOntslag202">Data!$AK$204</definedName>
    <definedName name="Data_BeeindigingsdatumVastOntslag203">Data!$AK$205</definedName>
    <definedName name="Data_BeeindigingsdatumVastOntslag204">Data!$AK$206</definedName>
    <definedName name="Data_BeeindigingsdatumVastOntslag205">Data!$AK$207</definedName>
    <definedName name="Data_BeeindigingsdatumVastOntslag206">Data!$AK$208</definedName>
    <definedName name="Data_BeeindigingsdatumVastOntslag207">Data!$AK$209</definedName>
    <definedName name="Data_BeeindigingsdatumVastOntslag208">Data!$AK$210</definedName>
    <definedName name="Data_BeeindigingsdatumVastOntslag209">Data!$AK$211</definedName>
    <definedName name="Data_BeeindigingsdatumVastOntslag210">Data!$AK$212</definedName>
    <definedName name="Data_BeeindigingsdatumVastOntslag211">Data!$AK$213</definedName>
    <definedName name="Data_BeeindigingsdatumVastOntslag212">Data!$AK$214</definedName>
    <definedName name="Data_BeeindigingsdatumVastOntslag213">Data!$AK$215</definedName>
    <definedName name="Data_BeeindigingsdatumVastOntslag214">Data!$AK$216</definedName>
    <definedName name="Data_BeeindigingsdatumVastOntslag215">Data!$AK$217</definedName>
    <definedName name="Data_BeeindigingsdatumVastOntslag216">Data!$AK$218</definedName>
    <definedName name="Data_BeeindigingsdatumVastOntslag217">Data!$AK$219</definedName>
    <definedName name="Data_BeeindigingsdatumVastOntslag218">Data!$AK$220</definedName>
    <definedName name="Data_BeeindigingsdatumVastOntslag219">Data!$AK$221</definedName>
    <definedName name="Data_BeeindigingsdatumVastOntslag220">Data!$AK$222</definedName>
    <definedName name="Data_BeeindigingsdatumVastOntslag221">Data!$AK$223</definedName>
    <definedName name="Data_BeeindigingsdatumVastOntslag222">Data!$AK$224</definedName>
    <definedName name="Data_BeeindigingsdatumVastOntslag223">Data!$AK$225</definedName>
    <definedName name="Data_BeeindigingsdatumVastOntslag224">Data!$AK$226</definedName>
    <definedName name="Data_BeeindigingsdatumVastOntslag225">Data!$AK$227</definedName>
    <definedName name="Data_BeeindigingsdatumVastOntslag226">Data!$AK$228</definedName>
    <definedName name="Data_BeeindigingsdatumVastOntslag227">Data!$AK$229</definedName>
    <definedName name="Data_BeeindigingsdatumVastOntslag228">Data!$AK$230</definedName>
    <definedName name="Data_BeeindigingsdatumVastOntslag229">Data!$AK$231</definedName>
    <definedName name="Data_BeeindigingsdatumVastOntslag230">Data!$AK$232</definedName>
    <definedName name="Data_BeeindigingsdatumVastOntslag231">Data!$AK$233</definedName>
    <definedName name="Data_BeeindigingsdatumVastOntslag232">Data!$AK$234</definedName>
    <definedName name="Data_BeeindigingsdatumVastOntslag233">Data!$AK$235</definedName>
    <definedName name="Data_BeeindigingsdatumVastOntslag234">Data!$AK$236</definedName>
    <definedName name="Data_BeeindigingsdatumVastOntslag235">Data!$AK$237</definedName>
    <definedName name="Data_BeeindigingsdatumVastOntslag236">Data!$AK$238</definedName>
    <definedName name="Data_BeeindigingsdatumVastOntslag237">Data!$AK$239</definedName>
    <definedName name="Data_BeeindigingsdatumVastOntslag238">Data!$AK$240</definedName>
    <definedName name="Data_BeeindigingsdatumVastOntslag239">Data!$AK$241</definedName>
    <definedName name="Data_BeeindigingsdatumVastOntslag240">Data!$AK$242</definedName>
    <definedName name="Data_BeeindigingsdatumVastOntslag241">Data!$AK$243</definedName>
    <definedName name="Data_BeeindigingsdatumVastOntslag242">Data!$AK$244</definedName>
    <definedName name="Data_BeeindigingsdatumVastOntslag243">Data!$AK$245</definedName>
    <definedName name="Data_BeeindigingsdatumVastOntslag244">Data!$AK$246</definedName>
    <definedName name="Data_BeeindigingsdatumVastOntslag245">Data!$AK$247</definedName>
    <definedName name="Data_BeeindigingsdatumVastOntslag246">Data!$AK$248</definedName>
    <definedName name="Data_BeeindigingsdatumVastOntslag247">Data!$AK$249</definedName>
    <definedName name="Data_BeeindigingsdatumVastOntslag248">Data!$AK$250</definedName>
    <definedName name="Data_BeeindigingsdatumVastOntslag249">Data!$AK$251</definedName>
    <definedName name="Data_BeeindigingsdatumVastOntslag250">Data!$AK$252</definedName>
    <definedName name="Data_BeeindigingsdatumVastOntslag251">Data!$AK$253</definedName>
    <definedName name="Data_BeeindigingsdatumVastOntslag252">Data!$AK$254</definedName>
    <definedName name="Data_BeeindigingsdatumVastOntslag253">Data!$AK$255</definedName>
    <definedName name="Data_BeeindigingsdatumVastOntslag254">Data!$AK$256</definedName>
    <definedName name="Data_BeeindigingsdatumVastOntslag255">Data!$AK$257</definedName>
    <definedName name="Data_BeeindigingsdatumVastOntslag256">Data!$AK$258</definedName>
    <definedName name="Data_BeeindigingsdatumVastOntslag257">Data!$AK$259</definedName>
    <definedName name="Data_BeeindigingsdatumVastOntslag258">Data!$AK$260</definedName>
    <definedName name="Data_BeeindigingsdatumVastOntslag259">Data!$AK$261</definedName>
    <definedName name="Data_BeeindigingsdatumVastOntslag260">Data!$AK$262</definedName>
    <definedName name="Data_BeeindigingsdatumVastOntslag261">Data!$AK$263</definedName>
    <definedName name="Data_BeeindigingsdatumVastOntslag262">Data!$AK$264</definedName>
    <definedName name="Data_BeeindigingsdatumVastOntslag263">Data!$AK$265</definedName>
    <definedName name="Data_BeeindigingsdatumVastOntslag264">Data!$AK$266</definedName>
    <definedName name="Data_BeeindigingsdatumVastOntslag265">Data!$AK$267</definedName>
    <definedName name="Data_BeeindigingsdatumVastOntslag266">Data!$AK$268</definedName>
    <definedName name="Data_BeeindigingsdatumVastOntslag267">Data!$AK$269</definedName>
    <definedName name="Data_BeeindigingsdatumVastOntslag268">Data!$AK$270</definedName>
    <definedName name="Data_BeeindigingsdatumVastOntslag269">Data!$AK$271</definedName>
    <definedName name="Data_BeeindigingsdatumVastOntslag270">Data!$AK$272</definedName>
    <definedName name="Data_BeeindigingsdatumVastOntslag271">Data!$AK$273</definedName>
    <definedName name="Data_BeeindigingsdatumVastOntslag272">Data!$AK$274</definedName>
    <definedName name="Data_BeeindigingsdatumVastOntslag273">Data!$AK$275</definedName>
    <definedName name="Data_BeeindigingsdatumVastOntslag274">Data!$AK$276</definedName>
    <definedName name="Data_BeeindigingsdatumVastOntslag275">Data!$AK$277</definedName>
    <definedName name="Data_BeeindigingsdatumVastOntslag276">Data!$AK$278</definedName>
    <definedName name="Data_BeeindigingsdatumVastOntslag277">Data!$AK$279</definedName>
    <definedName name="Data_BeeindigingsdatumVastOntslag278">Data!$AK$280</definedName>
    <definedName name="Data_BeeindigingsdatumVastOntslag279">Data!$AK$281</definedName>
    <definedName name="Data_BeeindigingsdatumVastOntslag280">Data!$AK$282</definedName>
    <definedName name="Data_BeeindigingsdatumVastOntslag281">Data!$AK$283</definedName>
    <definedName name="Data_BeeindigingsdatumVastOntslag282">Data!$AK$284</definedName>
    <definedName name="Data_BeeindigingsdatumVastOntslag283">Data!$AK$285</definedName>
    <definedName name="Data_BeeindigingsdatumVastOntslag284">Data!$AK$286</definedName>
    <definedName name="Data_BeeindigingsdatumVastOntslag285">Data!$AK$287</definedName>
    <definedName name="Data_BeeindigingsdatumVastOntslag286">Data!$AK$288</definedName>
    <definedName name="Data_BeeindigingsdatumVastOntslag287">Data!$AK$289</definedName>
    <definedName name="Data_BeeindigingsdatumVastOntslag288">Data!$AK$290</definedName>
    <definedName name="Data_BeeindigingsdatumVastOntslag289">Data!$AK$291</definedName>
    <definedName name="Data_BeeindigingsdatumVastOntslag290">Data!$AK$292</definedName>
    <definedName name="Data_BeeindigingsdatumVastOntslag291">Data!$AK$293</definedName>
    <definedName name="Data_BeeindigingsdatumVastOntslag292">Data!$AK$294</definedName>
    <definedName name="Data_BeeindigingsdatumVastOntslag293">Data!$AK$295</definedName>
    <definedName name="Data_BeeindigingsdatumVastOntslag294">Data!$AK$296</definedName>
    <definedName name="Data_BeeindigingsdatumVastOntslag295">Data!$AK$297</definedName>
    <definedName name="Data_BeeindigingsdatumVastOntslag296">Data!$AK$298</definedName>
    <definedName name="Data_BeeindigingsdatumVastOntslag297">Data!$AK$299</definedName>
    <definedName name="Data_BeeindigingsdatumVastOntslag298">Data!$AK$300</definedName>
    <definedName name="Data_BeeindigingsdatumVastOntslag299">Data!$AK$301</definedName>
    <definedName name="Data_BeeindigingsdatumVastOntslag300">Data!$AK$302</definedName>
    <definedName name="Data_BeeindigingsdatumVastOntslag301">Data!$AK$303</definedName>
    <definedName name="Data_BeeindigingsdatumVastOntslag302">Data!$AK$304</definedName>
    <definedName name="Data_BeeindigingsdatumVastOntslag303">Data!$AK$305</definedName>
    <definedName name="Data_BeeindigingsdatumVastOntslag304">Data!$AK$306</definedName>
    <definedName name="Data_BeeindigingsdatumVastOntslag305">Data!$AK$307</definedName>
    <definedName name="Data_BeeindigingsdatumVastOntslag306">Data!$AK$308</definedName>
    <definedName name="Data_BeeindigingsdatumVastOntslag307">Data!$AK$309</definedName>
    <definedName name="Data_BeeindigingsdatumVastOntslag308">Data!$AK$310</definedName>
    <definedName name="Data_BeeindigingsdatumVastOntslag309">Data!$AK$311</definedName>
    <definedName name="Data_BeeindigingsdatumVastOntslag310">Data!$AK$312</definedName>
    <definedName name="Data_BeeindigingsdatumVastOntslag311">Data!$AK$313</definedName>
    <definedName name="Data_BeeindigingsdatumVastOntslag312">Data!$AK$314</definedName>
    <definedName name="Data_BeeindigingsdatumVastOntslag313">Data!$AK$315</definedName>
    <definedName name="Data_BeeindigingsdatumVastOntslag314">Data!$AK$316</definedName>
    <definedName name="Data_BeeindigingsdatumVastOntslag315">Data!$AK$317</definedName>
    <definedName name="Data_BeeindigingsdatumVastOntslag316">Data!$AK$318</definedName>
    <definedName name="Data_BeeindigingsdatumVastOntslag317">Data!$AK$319</definedName>
    <definedName name="Data_BeeindigingsdatumVastOntslag318">Data!$AK$320</definedName>
    <definedName name="Data_BeeindigingsdatumVastOntslag319">Data!$AK$321</definedName>
    <definedName name="Data_BeeindigingsdatumVastOntslag320">Data!$AK$322</definedName>
    <definedName name="Data_BeeindigingsdatumVastOntslag321">Data!$AK$323</definedName>
    <definedName name="Data_BeeindigingsdatumVastOntslag322">Data!$AK$324</definedName>
    <definedName name="Data_BeeindigingsdatumVastOntslag323">Data!$AK$325</definedName>
    <definedName name="Data_BeeindigingsdatumVastOntslag324">Data!$AK$326</definedName>
    <definedName name="Data_BeeindigingsdatumVastOntslag325">Data!$AK$327</definedName>
    <definedName name="Data_BeeindigingsdatumVastOntslag326">Data!$AK$328</definedName>
    <definedName name="Data_BeeindigingsdatumVastOntslag327">Data!$AK$329</definedName>
    <definedName name="Data_BeeindigingsdatumVastOntslag328">Data!$AK$330</definedName>
    <definedName name="Data_BeeindigingsdatumVastOntslag329">Data!$AK$331</definedName>
    <definedName name="Data_BeeindigingsdatumVastOntslag330">Data!$AK$332</definedName>
    <definedName name="Data_BeeindigingsdatumVastOntslag331">Data!$AK$333</definedName>
    <definedName name="Data_BeeindigingsdatumVastOntslag332">Data!$AK$334</definedName>
    <definedName name="Data_BeeindigingsdatumVastOntslag333">Data!$AK$335</definedName>
    <definedName name="Data_BeeindigingsdatumVastOntslag334">Data!$AK$336</definedName>
    <definedName name="Data_BeeindigingsdatumVastOntslag335">Data!$AK$337</definedName>
    <definedName name="Data_BeeindigingsdatumVastOntslag336">Data!$AK$338</definedName>
    <definedName name="Data_BeeindigingsdatumVastOntslag337">Data!$AK$339</definedName>
    <definedName name="Data_BeeindigingsdatumVastOntslag338">Data!$AK$340</definedName>
    <definedName name="Data_BeeindigingsdatumVastOntslag339">Data!$AK$341</definedName>
    <definedName name="Data_BeeindigingsdatumVastOntslag340">Data!$AK$342</definedName>
    <definedName name="Data_BeeindigingsdatumVastOntslag341">Data!$AK$343</definedName>
    <definedName name="Data_BeeindigingsdatumVastOntslag342">Data!$AK$344</definedName>
    <definedName name="Data_BeeindigingsdatumVastOntslag343">Data!$AK$345</definedName>
    <definedName name="Data_BeeindigingsdatumVastOntslag344">Data!$AK$346</definedName>
    <definedName name="Data_BeeindigingsdatumVastOntslag345">Data!$AK$347</definedName>
    <definedName name="Data_BeeindigingsdatumVastOntslag346">Data!$AK$348</definedName>
    <definedName name="Data_BeeindigingsdatumVastOntslag347">Data!$AK$349</definedName>
    <definedName name="Data_BeeindigingsdatumVastOntslag348">Data!$AK$350</definedName>
    <definedName name="Data_BeeindigingsdatumVastOntslag349">Data!$AK$351</definedName>
    <definedName name="Data_BeeindigingsdatumVastOntslag350">Data!$AK$352</definedName>
    <definedName name="Data_BeeindigingsdatumVastOntslag351">Data!$AK$353</definedName>
    <definedName name="Data_BeeindigingsdatumVastOntslag352">Data!$AK$354</definedName>
    <definedName name="Data_BeeindigingsdatumVastOntslag353">Data!$AK$355</definedName>
    <definedName name="Data_BeeindigingsdatumVastOntslag354">Data!$AK$356</definedName>
    <definedName name="Data_BeeindigingsdatumVastOntslag355">Data!$AK$357</definedName>
    <definedName name="Data_BeeindigingsdatumVastOntslag356">Data!$AK$358</definedName>
    <definedName name="Data_BeeindigingsdatumVastOntslag357">Data!$AK$359</definedName>
    <definedName name="Data_BeeindigingsdatumVastOntslag358">Data!$AK$360</definedName>
    <definedName name="Data_BeeindigingsdatumVastOntslag359">Data!$AK$361</definedName>
    <definedName name="Data_BeeindigingsdatumVastOntslag360">Data!$AK$362</definedName>
    <definedName name="Data_BeeindigingsdatumVastOntslag361">Data!$AK$363</definedName>
    <definedName name="Data_BeeindigingsdatumVastOntslag362">Data!$AK$364</definedName>
    <definedName name="Data_BeeindigingsdatumVastOntslag363">Data!$AK$365</definedName>
    <definedName name="Data_BeeindigingsdatumVastOntslag364">Data!$AK$366</definedName>
    <definedName name="Data_BeeindigingsdatumVastOntslag365">Data!$AK$367</definedName>
    <definedName name="Data_BeeindigingsdatumVastOntslag366">Data!$AK$368</definedName>
    <definedName name="Data_BeeindigingsdatumVastOntslag367">Data!$AK$369</definedName>
    <definedName name="Data_BeeindigingsdatumVastOntslag368">Data!$AK$370</definedName>
    <definedName name="Data_BeeindigingsdatumVastOntslag369">Data!$AK$371</definedName>
    <definedName name="Data_BeeindigingsdatumVastOntslag370">Data!$AK$372</definedName>
    <definedName name="Data_BeeindigingsdatumVastOntslag371">Data!$AK$373</definedName>
    <definedName name="Data_BeeindigingsdatumVastOntslag372">Data!$AK$374</definedName>
    <definedName name="Data_BeeindigingsdatumVastOntslag373">Data!$AK$375</definedName>
    <definedName name="Data_BeeindigingsdatumVastOntslag374">Data!$AK$376</definedName>
    <definedName name="Data_BeeindigingsdatumVastOntslag375">Data!$AK$377</definedName>
    <definedName name="Data_BeeindigingsdatumVastOntslag376">Data!$AK$378</definedName>
    <definedName name="Data_BeeindigingsdatumVastOntslag377">Data!$AK$379</definedName>
    <definedName name="Data_BeeindigingsdatumVastOntslag378">Data!$AK$380</definedName>
    <definedName name="Data_BeeindigingsdatumVastOntslag379">Data!$AK$381</definedName>
    <definedName name="Data_BeeindigingsdatumVastOntslag380">Data!$AK$382</definedName>
    <definedName name="Data_BeeindigingsdatumVastOntslag381">Data!$AK$383</definedName>
    <definedName name="Data_BeeindigingsdatumVastOntslag382">Data!$AK$384</definedName>
    <definedName name="Data_BeeindigingsdatumVastOntslag383">Data!$AK$385</definedName>
    <definedName name="Data_BeeindigingsdatumVastOntslag384">Data!$AK$386</definedName>
    <definedName name="Data_BeeindigingsdatumVastOntslag385">Data!$AK$387</definedName>
    <definedName name="Data_BeeindigingsdatumVastOntslag386">Data!$AK$388</definedName>
    <definedName name="Data_BeeindigingsdatumVastOntslag387">Data!$AK$389</definedName>
    <definedName name="Data_BeeindigingsdatumVastOntslag388">Data!$AK$390</definedName>
    <definedName name="Data_BeeindigingsdatumVastOntslag389">Data!$AK$391</definedName>
    <definedName name="Data_BeeindigingsdatumVastOntslag390">Data!$AK$392</definedName>
    <definedName name="Data_BeeindigingsdatumVastOntslag391">Data!$AK$393</definedName>
    <definedName name="Data_BeeindigingsdatumVastOntslag392">Data!$AK$394</definedName>
    <definedName name="Data_BeeindigingsdatumVastOntslag393">Data!$AK$395</definedName>
    <definedName name="Data_BeeindigingsdatumVastOntslag394">Data!$AK$396</definedName>
    <definedName name="Data_BeeindigingsdatumVastOntslag395">Data!$AK$397</definedName>
    <definedName name="Data_BeeindigingsdatumVastOntslag396">Data!$AK$398</definedName>
    <definedName name="Data_BeeindigingsdatumVastOntslag397">Data!$AK$399</definedName>
    <definedName name="Data_BeeindigingsdatumVastOntslag398">Data!$AK$400</definedName>
    <definedName name="Data_BeeindigingsdatumVastOntslag399">Data!$AK$401</definedName>
    <definedName name="Data_BeeindigingsdatumVastOntslag400">Data!$AK$402</definedName>
    <definedName name="Data_BeeindigingsdatumVastOntslag401">Data!$AK$403</definedName>
    <definedName name="Data_BeeindigingsdatumVastOntslag402">Data!$AK$404</definedName>
    <definedName name="Data_BeeindigingsdatumVastOntslag403">Data!$AK$405</definedName>
    <definedName name="Data_BeeindigingsdatumVastOntslag404">Data!$AK$406</definedName>
    <definedName name="Data_BeeindigingsdatumVastOntslag405">Data!$AK$407</definedName>
    <definedName name="Data_BeeindigingsdatumVastOntslag406">Data!$AK$408</definedName>
    <definedName name="Data_BeeindigingsdatumVastOntslag407">Data!$AK$409</definedName>
    <definedName name="Data_BeeindigingsdatumVastOntslag408">Data!$AK$410</definedName>
    <definedName name="Data_BeeindigingsdatumVastOntslag409">Data!$AK$411</definedName>
    <definedName name="Data_BeeindigingsdatumVastOntslag410">Data!$AK$412</definedName>
    <definedName name="Data_BeeindigingsdatumVastOntslag411">Data!$AK$413</definedName>
    <definedName name="Data_BeeindigingsdatumVastOntslag412">Data!$AK$414</definedName>
    <definedName name="Data_BeeindigingsdatumVastOntslag413">Data!$AK$415</definedName>
    <definedName name="Data_BeeindigingsdatumVastOntslag414">Data!$AK$416</definedName>
    <definedName name="Data_BeeindigingsdatumVastOntslag415">Data!$AK$417</definedName>
    <definedName name="Data_BeeindigingsdatumVastOntslag416">Data!$AK$418</definedName>
    <definedName name="Data_BeeindigingsdatumVastOntslag417">Data!$AK$419</definedName>
    <definedName name="Data_BeeindigingsdatumVastOntslag418">Data!$AK$420</definedName>
    <definedName name="Data_BeeindigingsdatumVastOntslag419">Data!$AK$421</definedName>
    <definedName name="Data_BeeindigingsdatumVastOntslag420">Data!$AK$422</definedName>
    <definedName name="Data_BeeindigingsdatumVastOntslag421">Data!$AK$423</definedName>
    <definedName name="Data_BeeindigingsdatumVastOntslag422">Data!$AK$424</definedName>
    <definedName name="Data_BeeindigingsdatumVastOntslag423">Data!$AK$425</definedName>
    <definedName name="Data_BeeindigingsdatumVastOntslag424">Data!$AK$426</definedName>
    <definedName name="Data_BeeindigingsdatumVastOntslag425">Data!$AK$427</definedName>
    <definedName name="Data_BeeindigingsdatumVastOntslag426">Data!$AK$428</definedName>
    <definedName name="Data_BeeindigingsdatumVastOntslag427">Data!$AK$429</definedName>
    <definedName name="Data_BeeindigingsdatumVastOntslag428">Data!$AK$430</definedName>
    <definedName name="Data_BeeindigingsdatumVastOntslag429">Data!$AK$431</definedName>
    <definedName name="Data_BeeindigingsdatumVastOntslag430">Data!$AK$432</definedName>
    <definedName name="Data_BeeindigingsdatumVastOntslag431">Data!$AK$433</definedName>
    <definedName name="Data_BeeindigingsdatumVastOntslag432">Data!$AK$434</definedName>
    <definedName name="Data_BeeindigingsdatumVastOntslag433">Data!$AK$435</definedName>
    <definedName name="Data_BeeindigingsdatumVastOntslag434">Data!$AK$436</definedName>
    <definedName name="Data_BeeindigingsdatumVastOntslag435">Data!$AK$437</definedName>
    <definedName name="Data_BeeindigingsdatumVastOntslag436">Data!$AK$438</definedName>
    <definedName name="Data_BeeindigingsdatumVastOntslag437">Data!$AK$439</definedName>
    <definedName name="Data_BeeindigingsdatumVastOntslag438">Data!$AK$440</definedName>
    <definedName name="Data_BeeindigingsdatumVastOntslag439">Data!$AK$441</definedName>
    <definedName name="Data_BeeindigingsdatumVastOntslag440">Data!$AK$442</definedName>
    <definedName name="Data_BeeindigingsdatumVastOntslag441">Data!$AK$443</definedName>
    <definedName name="Data_BeeindigingsdatumVastOntslag442">Data!$AK$444</definedName>
    <definedName name="Data_BeeindigingsdatumVastOntslag443">Data!$AK$445</definedName>
    <definedName name="Data_BeeindigingsdatumVastOntslag444">Data!$AK$446</definedName>
    <definedName name="Data_BeeindigingsdatumVastOntslag445">Data!$AK$447</definedName>
    <definedName name="Data_BeeindigingsdatumVastOntslag446">Data!$AK$448</definedName>
    <definedName name="Data_BeeindigingsdatumVastOntslag447">Data!$AK$449</definedName>
    <definedName name="Data_BeeindigingsdatumVastOntslag448">Data!$AK$450</definedName>
    <definedName name="Data_BeeindigingsdatumVastOntslag449">Data!$AK$451</definedName>
    <definedName name="Data_BeeindigingsdatumVastOntslag450">Data!$AK$452</definedName>
    <definedName name="Data_BeeindigingsdatumVastOntslag451">Data!$AK$453</definedName>
    <definedName name="Data_BeeindigingsdatumVastOntslag452">Data!$AK$454</definedName>
    <definedName name="Data_BeeindigingsdatumVastOntslag453">Data!$AK$455</definedName>
    <definedName name="Data_BeeindigingsdatumVastOntslag454">Data!$AK$456</definedName>
    <definedName name="Data_BeeindigingsdatumVastOntslag455">Data!$AK$457</definedName>
    <definedName name="Data_BeeindigingsdatumVastOntslag456">Data!$AK$458</definedName>
    <definedName name="Data_BeeindigingsdatumVastOntslag457">Data!$AK$459</definedName>
    <definedName name="Data_BeeindigingsdatumVastOntslag458">Data!$AK$460</definedName>
    <definedName name="Data_BeeindigingsdatumVastOntslag459">Data!$AK$461</definedName>
    <definedName name="Data_BeeindigingsdatumVastOntslag460">Data!$AK$462</definedName>
    <definedName name="Data_BeeindigingsdatumVastOntslag461">Data!$AK$463</definedName>
    <definedName name="Data_BeeindigingsdatumVastOntslag462">Data!$AK$464</definedName>
    <definedName name="Data_BeeindigingsdatumVastOntslag463">Data!$AK$465</definedName>
    <definedName name="Data_BeeindigingsdatumVastOntslag464">Data!$AK$466</definedName>
    <definedName name="Data_BeeindigingsdatumVastOntslag465">Data!$AK$467</definedName>
    <definedName name="Data_BeeindigingsdatumVastOntslag466">Data!$AK$468</definedName>
    <definedName name="Data_BeeindigingsdatumVastOntslag467">Data!$AK$469</definedName>
    <definedName name="Data_BeeindigingsdatumVastOntslag468">Data!$AK$470</definedName>
    <definedName name="Data_BeeindigingsdatumVastOntslag469">Data!$AK$471</definedName>
    <definedName name="Data_BeeindigingsdatumVastOntslag470">Data!$AK$472</definedName>
    <definedName name="Data_BeeindigingsdatumVastOntslag471">Data!$AK$473</definedName>
    <definedName name="Data_BeeindigingsdatumVastOntslag472">Data!$AK$474</definedName>
    <definedName name="Data_BeeindigingsdatumVastOntslag473">Data!$AK$475</definedName>
    <definedName name="Data_BeeindigingsdatumVastOntslag474">Data!$AK$476</definedName>
    <definedName name="Data_BeeindigingsdatumVastOntslag475">Data!$AK$477</definedName>
    <definedName name="Data_BeeindigingsdatumVastOntslag476">Data!$AK$478</definedName>
    <definedName name="Data_BeeindigingsdatumVastOntslag477">Data!$AK$479</definedName>
    <definedName name="Data_BeeindigingsdatumVastOntslag478">Data!$AK$480</definedName>
    <definedName name="Data_BeeindigingsdatumVastOntslag479">Data!$AK$481</definedName>
    <definedName name="Data_BeeindigingsdatumVastOntslag480">Data!$AK$482</definedName>
    <definedName name="Data_BeeindigingsdatumVastOntslag481">Data!$AK$483</definedName>
    <definedName name="Data_BeeindigingsdatumVastOntslag482">Data!$AK$484</definedName>
    <definedName name="Data_BeeindigingsdatumVastOntslag483">Data!$AK$485</definedName>
    <definedName name="Data_BeeindigingsdatumVastOntslag484">Data!$AK$486</definedName>
    <definedName name="Data_BeeindigingsdatumVastOntslag485">Data!$AK$487</definedName>
    <definedName name="Data_BeeindigingsdatumVastOntslag486">Data!$AK$488</definedName>
    <definedName name="Data_BeeindigingsdatumVastOntslag487">Data!$AK$489</definedName>
    <definedName name="Data_BeeindigingsdatumVastOntslag488">Data!$AK$490</definedName>
    <definedName name="Data_BeeindigingsdatumVastOntslag489">Data!$AK$491</definedName>
    <definedName name="Data_BeeindigingsdatumVastOntslag490">Data!$AK$492</definedName>
    <definedName name="Data_BeeindigingsdatumVastOntslag491">Data!$AK$493</definedName>
    <definedName name="Data_BeeindigingsdatumVastOntslag492">Data!$AK$494</definedName>
    <definedName name="Data_BeeindigingsdatumVastOntslag493">Data!$AK$495</definedName>
    <definedName name="Data_BeeindigingsdatumVastOntslag494">Data!$AK$496</definedName>
    <definedName name="Data_BeeindigingsdatumVastOntslag495">Data!$AK$497</definedName>
    <definedName name="Data_BeeindigingsdatumVastOntslag496">Data!$AK$498</definedName>
    <definedName name="Data_BeeindigingsdatumVastOntslag497">Data!$AK$499</definedName>
    <definedName name="Data_BeeindigingsdatumVastOntslag498">Data!$AK$500</definedName>
    <definedName name="Data_BeeindigingsdatumVastOntslag499">Data!$AK$501</definedName>
    <definedName name="Data_BeeindigingsdatumVastOntslag500">Data!$AK$502</definedName>
    <definedName name="Data_BeeindigingsdatumVastVrij001">Data!$AA$3</definedName>
    <definedName name="Data_BeeindigingsdatumVastVrij002">Data!$AA$4</definedName>
    <definedName name="Data_BeeindigingsdatumVastVrij003">Data!$AA$5</definedName>
    <definedName name="Data_BeeindigingsdatumVastVrij004">Data!$AA$6</definedName>
    <definedName name="Data_BeeindigingsdatumVastVrij005">Data!$AA$7</definedName>
    <definedName name="Data_BeeindigingsdatumVastVrij006">Data!$AA$8</definedName>
    <definedName name="Data_BeeindigingsdatumVastVrij007">Data!$AA$9</definedName>
    <definedName name="Data_BeeindigingsdatumVastVrij008">Data!$AA$10</definedName>
    <definedName name="Data_BeeindigingsdatumVastVrij009">Data!$AA$11</definedName>
    <definedName name="Data_BeeindigingsdatumVastVrij010">Data!$AA$12</definedName>
    <definedName name="Data_BeeindigingsdatumVastVrij011">Data!$AA$13</definedName>
    <definedName name="Data_BeeindigingsdatumVastVrij012">Data!$AA$14</definedName>
    <definedName name="Data_BeeindigingsdatumVastVrij013">Data!$AA$15</definedName>
    <definedName name="Data_BeeindigingsdatumVastVrij014">Data!$AA$16</definedName>
    <definedName name="Data_BeeindigingsdatumVastVrij015">Data!$AA$17</definedName>
    <definedName name="Data_BeeindigingsdatumVastVrij016">Data!$AA$18</definedName>
    <definedName name="Data_BeeindigingsdatumVastVrij017">Data!$AA$19</definedName>
    <definedName name="Data_BeeindigingsdatumVastVrij018">Data!$AA$20</definedName>
    <definedName name="Data_BeeindigingsdatumVastVrij019">Data!$AA$21</definedName>
    <definedName name="Data_BeeindigingsdatumVastVrij020">Data!$AA$22</definedName>
    <definedName name="Data_BeeindigingsdatumVastVrij021">Data!$AA$23</definedName>
    <definedName name="Data_BeeindigingsdatumVastVrij022">Data!$AA$24</definedName>
    <definedName name="Data_BeeindigingsdatumVastVrij023">Data!$AA$25</definedName>
    <definedName name="Data_BeeindigingsdatumVastVrij024">Data!$AA$26</definedName>
    <definedName name="Data_BeeindigingsdatumVastVrij025">Data!$AA$27</definedName>
    <definedName name="Data_BeeindigingsdatumVastVrij026">Data!$AA$28</definedName>
    <definedName name="Data_BeeindigingsdatumVastVrij027">Data!$AA$29</definedName>
    <definedName name="Data_BeeindigingsdatumVastVrij028">Data!$AA$30</definedName>
    <definedName name="Data_BeeindigingsdatumVastVrij029">Data!$AA$31</definedName>
    <definedName name="Data_BeeindigingsdatumVastVrij030">Data!$AA$32</definedName>
    <definedName name="Data_BeeindigingsdatumVastVrij031">Data!$AA$33</definedName>
    <definedName name="Data_BeeindigingsdatumVastVrij032">Data!$AA$34</definedName>
    <definedName name="Data_BeeindigingsdatumVastVrij033">Data!$AA$35</definedName>
    <definedName name="Data_BeeindigingsdatumVastVrij034">Data!$AA$36</definedName>
    <definedName name="Data_BeeindigingsdatumVastVrij035">Data!$AA$37</definedName>
    <definedName name="Data_BeeindigingsdatumVastVrij036">Data!$AA$38</definedName>
    <definedName name="Data_BeeindigingsdatumVastVrij037">Data!$AA$39</definedName>
    <definedName name="Data_BeeindigingsdatumVastVrij038">Data!$AA$40</definedName>
    <definedName name="Data_BeeindigingsdatumVastVrij039">Data!$AA$41</definedName>
    <definedName name="Data_BeeindigingsdatumVastVrij040">Data!$AA$42</definedName>
    <definedName name="Data_BeeindigingsdatumVastVrij041">Data!$AA$43</definedName>
    <definedName name="Data_BeeindigingsdatumVastVrij042">Data!$AA$44</definedName>
    <definedName name="Data_BeeindigingsdatumVastVrij043">Data!$AA$45</definedName>
    <definedName name="Data_BeeindigingsdatumVastVrij044">Data!$AA$46</definedName>
    <definedName name="Data_BeeindigingsdatumVastVrij045">Data!$AA$47</definedName>
    <definedName name="Data_BeeindigingsdatumVastVrij046">Data!$AA$48</definedName>
    <definedName name="Data_BeeindigingsdatumVastVrij047">Data!$AA$49</definedName>
    <definedName name="Data_BeeindigingsdatumVastVrij048">Data!$AA$50</definedName>
    <definedName name="Data_BeeindigingsdatumVastVrij049">Data!$AA$51</definedName>
    <definedName name="Data_BeeindigingsdatumVastVrij050">Data!$AA$52</definedName>
    <definedName name="Data_BeeindigingsdatumVastVrij051">Data!$AA$53</definedName>
    <definedName name="Data_BeeindigingsdatumVastVrij052">Data!$AA$54</definedName>
    <definedName name="Data_BeeindigingsdatumVastVrij053">Data!$AA$55</definedName>
    <definedName name="Data_BeeindigingsdatumVastVrij054">Data!$AA$56</definedName>
    <definedName name="Data_BeeindigingsdatumVastVrij055">Data!$AA$57</definedName>
    <definedName name="Data_BeeindigingsdatumVastVrij056">Data!$AA$58</definedName>
    <definedName name="Data_BeeindigingsdatumVastVrij057">Data!$AA$59</definedName>
    <definedName name="Data_BeeindigingsdatumVastVrij058">Data!$AA$60</definedName>
    <definedName name="Data_BeeindigingsdatumVastVrij059">Data!$AA$61</definedName>
    <definedName name="Data_BeeindigingsdatumVastVrij060">Data!$AA$62</definedName>
    <definedName name="Data_BeeindigingsdatumVastVrij061">Data!$AA$63</definedName>
    <definedName name="Data_BeeindigingsdatumVastVrij062">Data!$AA$64</definedName>
    <definedName name="Data_BeeindigingsdatumVastVrij063">Data!$AA$65</definedName>
    <definedName name="Data_BeeindigingsdatumVastVrij064">Data!$AA$66</definedName>
    <definedName name="Data_BeeindigingsdatumVastVrij065">Data!$AA$67</definedName>
    <definedName name="Data_BeeindigingsdatumVastVrij066">Data!$AA$68</definedName>
    <definedName name="Data_BeeindigingsdatumVastVrij067">Data!$AA$69</definedName>
    <definedName name="Data_BeeindigingsdatumVastVrij068">Data!$AA$70</definedName>
    <definedName name="Data_BeeindigingsdatumVastVrij069">Data!$AA$71</definedName>
    <definedName name="Data_BeeindigingsdatumVastVrij070">Data!$AA$72</definedName>
    <definedName name="Data_BeeindigingsdatumVastVrij071">Data!$AA$73</definedName>
    <definedName name="Data_BeeindigingsdatumVastVrij072">Data!$AA$74</definedName>
    <definedName name="Data_BeeindigingsdatumVastVrij073">Data!$AA$75</definedName>
    <definedName name="Data_BeeindigingsdatumVastVrij074">Data!$AA$76</definedName>
    <definedName name="Data_BeeindigingsdatumVastVrij075">Data!$AA$77</definedName>
    <definedName name="Data_BeeindigingsdatumVastVrij076">Data!$AA$78</definedName>
    <definedName name="Data_BeeindigingsdatumVastVrij077">Data!$AA$79</definedName>
    <definedName name="Data_BeeindigingsdatumVastVrij078">Data!$AA$80</definedName>
    <definedName name="Data_BeeindigingsdatumVastVrij079">Data!$AA$81</definedName>
    <definedName name="Data_BeeindigingsdatumVastVrij080">Data!$AA$82</definedName>
    <definedName name="Data_BeeindigingsdatumVastVrij081">Data!$AA$83</definedName>
    <definedName name="Data_BeeindigingsdatumVastVrij082">Data!$AA$84</definedName>
    <definedName name="Data_BeeindigingsdatumVastVrij083">Data!$AA$85</definedName>
    <definedName name="Data_BeeindigingsdatumVastVrij084">Data!$AA$86</definedName>
    <definedName name="Data_BeeindigingsdatumVastVrij085">Data!$AA$87</definedName>
    <definedName name="Data_BeeindigingsdatumVastVrij086">Data!$AA$88</definedName>
    <definedName name="Data_BeeindigingsdatumVastVrij087">Data!$AA$89</definedName>
    <definedName name="Data_BeeindigingsdatumVastVrij088">Data!$AA$90</definedName>
    <definedName name="Data_BeeindigingsdatumVastVrij089">Data!$AA$91</definedName>
    <definedName name="Data_BeeindigingsdatumVastVrij090">Data!$AA$92</definedName>
    <definedName name="Data_BeeindigingsdatumVastVrij091">Data!$AA$93</definedName>
    <definedName name="Data_BeeindigingsdatumVastVrij092">Data!$AA$94</definedName>
    <definedName name="Data_BeeindigingsdatumVastVrij093">Data!$AA$95</definedName>
    <definedName name="Data_BeeindigingsdatumVastVrij094">Data!$AA$96</definedName>
    <definedName name="Data_BeeindigingsdatumVastVrij095">Data!$AA$97</definedName>
    <definedName name="Data_BeeindigingsdatumVastVrij096">Data!$AA$98</definedName>
    <definedName name="Data_BeeindigingsdatumVastVrij097">Data!$AA$99</definedName>
    <definedName name="Data_BeeindigingsdatumVastVrij098">Data!$AA$100</definedName>
    <definedName name="Data_BeeindigingsdatumVastVrij099">Data!$AA$101</definedName>
    <definedName name="Data_BeeindigingsdatumVastVrij100">Data!$AA$102</definedName>
    <definedName name="Data_BeeindigingsdatumVastVrij101">Data!$AA$103</definedName>
    <definedName name="Data_BeeindigingsdatumVastVrij102">Data!$AA$104</definedName>
    <definedName name="Data_BeeindigingsdatumVastVrij103">Data!$AA$105</definedName>
    <definedName name="Data_BeeindigingsdatumVastVrij104">Data!$AA$106</definedName>
    <definedName name="Data_BeeindigingsdatumVastVrij105">Data!$AA$107</definedName>
    <definedName name="Data_BeeindigingsdatumVastVrij106">Data!$AA$108</definedName>
    <definedName name="Data_BeeindigingsdatumVastVrij107">Data!$AA$109</definedName>
    <definedName name="Data_BeeindigingsdatumVastVrij108">Data!$AA$110</definedName>
    <definedName name="Data_BeeindigingsdatumVastVrij109">Data!$AA$111</definedName>
    <definedName name="Data_BeeindigingsdatumVastVrij110">Data!$AA$112</definedName>
    <definedName name="Data_BeeindigingsdatumVastVrij111">Data!$AA$113</definedName>
    <definedName name="Data_BeeindigingsdatumVastVrij112">Data!$AA$114</definedName>
    <definedName name="Data_BeeindigingsdatumVastVrij113">Data!$AA$115</definedName>
    <definedName name="Data_BeeindigingsdatumVastVrij114">Data!$AA$116</definedName>
    <definedName name="Data_BeeindigingsdatumVastVrij115">Data!$AA$117</definedName>
    <definedName name="Data_BeeindigingsdatumVastVrij116">Data!$AA$118</definedName>
    <definedName name="Data_BeeindigingsdatumVastVrij117">Data!$AA$119</definedName>
    <definedName name="Data_BeeindigingsdatumVastVrij118">Data!$AA$120</definedName>
    <definedName name="Data_BeeindigingsdatumVastVrij119">Data!$AA$121</definedName>
    <definedName name="Data_BeeindigingsdatumVastVrij120">Data!$AA$122</definedName>
    <definedName name="Data_BeeindigingsdatumVastVrij121">Data!$AA$123</definedName>
    <definedName name="Data_BeeindigingsdatumVastVrij122">Data!$AA$124</definedName>
    <definedName name="Data_BeeindigingsdatumVastVrij123">Data!$AA$125</definedName>
    <definedName name="Data_BeeindigingsdatumVastVrij124">Data!$AA$126</definedName>
    <definedName name="Data_BeeindigingsdatumVastVrij125">Data!$AA$127</definedName>
    <definedName name="Data_BeeindigingsdatumVastVrij126">Data!$AA$128</definedName>
    <definedName name="Data_BeeindigingsdatumVastVrij127">Data!$AA$129</definedName>
    <definedName name="Data_BeeindigingsdatumVastVrij128">Data!$AA$130</definedName>
    <definedName name="Data_BeeindigingsdatumVastVrij129">Data!$AA$131</definedName>
    <definedName name="Data_BeeindigingsdatumVastVrij130">Data!$AA$132</definedName>
    <definedName name="Data_BeeindigingsdatumVastVrij131">Data!$AA$133</definedName>
    <definedName name="Data_BeeindigingsdatumVastVrij132">Data!$AA$134</definedName>
    <definedName name="Data_BeeindigingsdatumVastVrij133">Data!$AA$135</definedName>
    <definedName name="Data_BeeindigingsdatumVastVrij134">Data!$AA$136</definedName>
    <definedName name="Data_BeeindigingsdatumVastVrij135">Data!$AA$137</definedName>
    <definedName name="Data_BeeindigingsdatumVastVrij136">Data!$AA$138</definedName>
    <definedName name="Data_BeeindigingsdatumVastVrij137">Data!$AA$139</definedName>
    <definedName name="Data_BeeindigingsdatumVastVrij138">Data!$AA$140</definedName>
    <definedName name="Data_BeeindigingsdatumVastVrij139">Data!$AA$141</definedName>
    <definedName name="Data_BeeindigingsdatumVastVrij140">Data!$AA$142</definedName>
    <definedName name="Data_BeeindigingsdatumVastVrij141">Data!$AA$143</definedName>
    <definedName name="Data_BeeindigingsdatumVastVrij142">Data!$AA$144</definedName>
    <definedName name="Data_BeeindigingsdatumVastVrij143">Data!$AA$145</definedName>
    <definedName name="Data_BeeindigingsdatumVastVrij144">Data!$AA$146</definedName>
    <definedName name="Data_BeeindigingsdatumVastVrij145">Data!$AA$147</definedName>
    <definedName name="Data_BeeindigingsdatumVastVrij146">Data!$AA$148</definedName>
    <definedName name="Data_BeeindigingsdatumVastVrij147">Data!$AA$149</definedName>
    <definedName name="Data_BeeindigingsdatumVastVrij148">Data!$AA$150</definedName>
    <definedName name="Data_BeeindigingsdatumVastVrij149">Data!$AA$151</definedName>
    <definedName name="Data_BeeindigingsdatumVastVrij150">Data!$AA$152</definedName>
    <definedName name="Data_BeeindigingsdatumVastVrij151">Data!$AA$153</definedName>
    <definedName name="Data_BeeindigingsdatumVastVrij152">Data!$AA$154</definedName>
    <definedName name="Data_BeeindigingsdatumVastVrij153">Data!$AA$155</definedName>
    <definedName name="Data_BeeindigingsdatumVastVrij154">Data!$AA$156</definedName>
    <definedName name="Data_BeeindigingsdatumVastVrij155">Data!$AA$157</definedName>
    <definedName name="Data_BeeindigingsdatumVastVrij156">Data!$AA$158</definedName>
    <definedName name="Data_BeeindigingsdatumVastVrij157">Data!$AA$159</definedName>
    <definedName name="Data_BeeindigingsdatumVastVrij158">Data!$AA$160</definedName>
    <definedName name="Data_BeeindigingsdatumVastVrij159">Data!$AA$161</definedName>
    <definedName name="Data_BeeindigingsdatumVastVrij160">Data!$AA$162</definedName>
    <definedName name="Data_BeeindigingsdatumVastVrij161">Data!$AA$163</definedName>
    <definedName name="Data_BeeindigingsdatumVastVrij162">Data!$AA$164</definedName>
    <definedName name="Data_BeeindigingsdatumVastVrij163">Data!$AA$165</definedName>
    <definedName name="Data_BeeindigingsdatumVastVrij164">Data!$AA$166</definedName>
    <definedName name="Data_BeeindigingsdatumVastVrij165">Data!$AA$167</definedName>
    <definedName name="Data_BeeindigingsdatumVastVrij166">Data!$AA$168</definedName>
    <definedName name="Data_BeeindigingsdatumVastVrij167">Data!$AA$169</definedName>
    <definedName name="Data_BeeindigingsdatumVastVrij168">Data!$AA$170</definedName>
    <definedName name="Data_BeeindigingsdatumVastVrij169">Data!$AA$171</definedName>
    <definedName name="Data_BeeindigingsdatumVastVrij170">Data!$AA$172</definedName>
    <definedName name="Data_BeeindigingsdatumVastVrij171">Data!$AA$173</definedName>
    <definedName name="Data_BeeindigingsdatumVastVrij172">Data!$AA$174</definedName>
    <definedName name="Data_BeeindigingsdatumVastVrij173">Data!$AA$175</definedName>
    <definedName name="Data_BeeindigingsdatumVastVrij174">Data!$AA$176</definedName>
    <definedName name="Data_BeeindigingsdatumVastVrij175">Data!$AA$177</definedName>
    <definedName name="Data_BeeindigingsdatumVastVrij176">Data!$AA$178</definedName>
    <definedName name="Data_BeeindigingsdatumVastVrij177">Data!$AA$179</definedName>
    <definedName name="Data_BeeindigingsdatumVastVrij178">Data!$AA$180</definedName>
    <definedName name="Data_BeeindigingsdatumVastVrij179">Data!$AA$181</definedName>
    <definedName name="Data_BeeindigingsdatumVastVrij180">Data!$AA$182</definedName>
    <definedName name="Data_BeeindigingsdatumVastVrij181">Data!$AA$183</definedName>
    <definedName name="Data_BeeindigingsdatumVastVrij182">Data!$AA$184</definedName>
    <definedName name="Data_BeeindigingsdatumVastVrij183">Data!$AA$185</definedName>
    <definedName name="Data_BeeindigingsdatumVastVrij184">Data!$AA$186</definedName>
    <definedName name="Data_BeeindigingsdatumVastVrij185">Data!$AA$187</definedName>
    <definedName name="Data_BeeindigingsdatumVastVrij186">Data!$AA$188</definedName>
    <definedName name="Data_BeeindigingsdatumVastVrij187">Data!$AA$189</definedName>
    <definedName name="Data_BeeindigingsdatumVastVrij188">Data!$AA$190</definedName>
    <definedName name="Data_BeeindigingsdatumVastVrij189">Data!$AA$191</definedName>
    <definedName name="Data_BeeindigingsdatumVastVrij190">Data!$AA$192</definedName>
    <definedName name="Data_BeeindigingsdatumVastVrij191">Data!$AA$193</definedName>
    <definedName name="Data_BeeindigingsdatumVastVrij192">Data!$AA$194</definedName>
    <definedName name="Data_BeeindigingsdatumVastVrij193">Data!$AA$195</definedName>
    <definedName name="Data_BeeindigingsdatumVastVrij194">Data!$AA$196</definedName>
    <definedName name="Data_BeeindigingsdatumVastVrij195">Data!$AA$197</definedName>
    <definedName name="Data_BeeindigingsdatumVastVrij196">Data!$AA$198</definedName>
    <definedName name="Data_BeeindigingsdatumVastVrij197">Data!$AA$199</definedName>
    <definedName name="Data_BeeindigingsdatumVastVrij198">Data!$AA$200</definedName>
    <definedName name="Data_BeeindigingsdatumVastVrij199">Data!$AA$201</definedName>
    <definedName name="Data_BeeindigingsdatumVastVrij200">Data!$AA$202</definedName>
    <definedName name="Data_BeeindigingsdatumVastVrij201">Data!$AA$203</definedName>
    <definedName name="Data_BeeindigingsdatumVastVrij202">Data!$AA$204</definedName>
    <definedName name="Data_BeeindigingsdatumVastVrij203">Data!$AA$205</definedName>
    <definedName name="Data_BeeindigingsdatumVastVrij204">Data!$AA$206</definedName>
    <definedName name="Data_BeeindigingsdatumVastVrij205">Data!$AA$207</definedName>
    <definedName name="Data_BeeindigingsdatumVastVrij206">Data!$AA$208</definedName>
    <definedName name="Data_BeeindigingsdatumVastVrij207">Data!$AA$209</definedName>
    <definedName name="Data_BeeindigingsdatumVastVrij208">Data!$AA$210</definedName>
    <definedName name="Data_BeeindigingsdatumVastVrij209">Data!$AA$211</definedName>
    <definedName name="Data_BeeindigingsdatumVastVrij210">Data!$AA$212</definedName>
    <definedName name="Data_BeeindigingsdatumVastVrij211">Data!$AA$213</definedName>
    <definedName name="Data_BeeindigingsdatumVastVrij212">Data!$AA$214</definedName>
    <definedName name="Data_BeeindigingsdatumVastVrij213">Data!$AA$215</definedName>
    <definedName name="Data_BeeindigingsdatumVastVrij214">Data!$AA$216</definedName>
    <definedName name="Data_BeeindigingsdatumVastVrij215">Data!$AA$217</definedName>
    <definedName name="Data_BeeindigingsdatumVastVrij216">Data!$AA$218</definedName>
    <definedName name="Data_BeeindigingsdatumVastVrij217">Data!$AA$219</definedName>
    <definedName name="Data_BeeindigingsdatumVastVrij218">Data!$AA$220</definedName>
    <definedName name="Data_BeeindigingsdatumVastVrij219">Data!$AA$221</definedName>
    <definedName name="Data_BeeindigingsdatumVastVrij220">Data!$AA$222</definedName>
    <definedName name="Data_BeeindigingsdatumVastVrij221">Data!$AA$223</definedName>
    <definedName name="Data_BeeindigingsdatumVastVrij222">Data!$AA$224</definedName>
    <definedName name="Data_BeeindigingsdatumVastVrij223">Data!$AA$225</definedName>
    <definedName name="Data_BeeindigingsdatumVastVrij224">Data!$AA$226</definedName>
    <definedName name="Data_BeeindigingsdatumVastVrij225">Data!$AA$227</definedName>
    <definedName name="Data_BeeindigingsdatumVastVrij226">Data!$AA$228</definedName>
    <definedName name="Data_BeeindigingsdatumVastVrij227">Data!$AA$229</definedName>
    <definedName name="Data_BeeindigingsdatumVastVrij228">Data!$AA$230</definedName>
    <definedName name="Data_BeeindigingsdatumVastVrij229">Data!$AA$231</definedName>
    <definedName name="Data_BeeindigingsdatumVastVrij230">Data!$AA$232</definedName>
    <definedName name="Data_BeeindigingsdatumVastVrij231">Data!$AA$233</definedName>
    <definedName name="Data_BeeindigingsdatumVastVrij232">Data!$AA$234</definedName>
    <definedName name="Data_BeeindigingsdatumVastVrij233">Data!$AA$235</definedName>
    <definedName name="Data_BeeindigingsdatumVastVrij234">Data!$AA$236</definedName>
    <definedName name="Data_BeeindigingsdatumVastVrij235">Data!$AA$237</definedName>
    <definedName name="Data_BeeindigingsdatumVastVrij236">Data!$AA$238</definedName>
    <definedName name="Data_BeeindigingsdatumVastVrij237">Data!$AA$239</definedName>
    <definedName name="Data_BeeindigingsdatumVastVrij238">Data!$AA$240</definedName>
    <definedName name="Data_BeeindigingsdatumVastVrij239">Data!$AA$241</definedName>
    <definedName name="Data_BeeindigingsdatumVastVrij240">Data!$AA$242</definedName>
    <definedName name="Data_BeeindigingsdatumVastVrij241">Data!$AA$243</definedName>
    <definedName name="Data_BeeindigingsdatumVastVrij242">Data!$AA$244</definedName>
    <definedName name="Data_BeeindigingsdatumVastVrij243">Data!$AA$245</definedName>
    <definedName name="Data_BeeindigingsdatumVastVrij244">Data!$AA$246</definedName>
    <definedName name="Data_BeeindigingsdatumVastVrij245">Data!$AA$247</definedName>
    <definedName name="Data_BeeindigingsdatumVastVrij246">Data!$AA$248</definedName>
    <definedName name="Data_BeeindigingsdatumVastVrij247">Data!$AA$249</definedName>
    <definedName name="Data_BeeindigingsdatumVastVrij248">Data!$AA$250</definedName>
    <definedName name="Data_BeeindigingsdatumVastVrij249">Data!$AA$251</definedName>
    <definedName name="Data_BeeindigingsdatumVastVrij250">Data!$AA$252</definedName>
    <definedName name="Data_BeeindigingsdatumVastVrij251">Data!$AA$253</definedName>
    <definedName name="Data_BeeindigingsdatumVastVrij252">Data!$AA$254</definedName>
    <definedName name="Data_BeeindigingsdatumVastVrij253">Data!$AA$255</definedName>
    <definedName name="Data_BeeindigingsdatumVastVrij254">Data!$AA$256</definedName>
    <definedName name="Data_BeeindigingsdatumVastVrij255">Data!$AA$257</definedName>
    <definedName name="Data_BeeindigingsdatumVastVrij256">Data!$AA$258</definedName>
    <definedName name="Data_BeeindigingsdatumVastVrij257">Data!$AA$259</definedName>
    <definedName name="Data_BeeindigingsdatumVastVrij258">Data!$AA$260</definedName>
    <definedName name="Data_BeeindigingsdatumVastVrij259">Data!$AA$261</definedName>
    <definedName name="Data_BeeindigingsdatumVastVrij260">Data!$AA$262</definedName>
    <definedName name="Data_BeeindigingsdatumVastVrij261">Data!$AA$263</definedName>
    <definedName name="Data_BeeindigingsdatumVastVrij262">Data!$AA$264</definedName>
    <definedName name="Data_BeeindigingsdatumVastVrij263">Data!$AA$265</definedName>
    <definedName name="Data_BeeindigingsdatumVastVrij264">Data!$AA$266</definedName>
    <definedName name="Data_BeeindigingsdatumVastVrij265">Data!$AA$267</definedName>
    <definedName name="Data_BeeindigingsdatumVastVrij266">Data!$AA$268</definedName>
    <definedName name="Data_BeeindigingsdatumVastVrij267">Data!$AA$269</definedName>
    <definedName name="Data_BeeindigingsdatumVastVrij268">Data!$AA$270</definedName>
    <definedName name="Data_BeeindigingsdatumVastVrij269">Data!$AA$271</definedName>
    <definedName name="Data_BeeindigingsdatumVastVrij270">Data!$AA$272</definedName>
    <definedName name="Data_BeeindigingsdatumVastVrij271">Data!$AA$273</definedName>
    <definedName name="Data_BeeindigingsdatumVastVrij272">Data!$AA$274</definedName>
    <definedName name="Data_BeeindigingsdatumVastVrij273">Data!$AA$275</definedName>
    <definedName name="Data_BeeindigingsdatumVastVrij274">Data!$AA$276</definedName>
    <definedName name="Data_BeeindigingsdatumVastVrij275">Data!$AA$277</definedName>
    <definedName name="Data_BeeindigingsdatumVastVrij276">Data!$AA$278</definedName>
    <definedName name="Data_BeeindigingsdatumVastVrij277">Data!$AA$279</definedName>
    <definedName name="Data_BeeindigingsdatumVastVrij278">Data!$AA$280</definedName>
    <definedName name="Data_BeeindigingsdatumVastVrij279">Data!$AA$281</definedName>
    <definedName name="Data_BeeindigingsdatumVastVrij280">Data!$AA$282</definedName>
    <definedName name="Data_BeeindigingsdatumVastVrij281">Data!$AA$283</definedName>
    <definedName name="Data_BeeindigingsdatumVastVrij282">Data!$AA$284</definedName>
    <definedName name="Data_BeeindigingsdatumVastVrij283">Data!$AA$285</definedName>
    <definedName name="Data_BeeindigingsdatumVastVrij284">Data!$AA$286</definedName>
    <definedName name="Data_BeeindigingsdatumVastVrij285">Data!$AA$287</definedName>
    <definedName name="Data_BeeindigingsdatumVastVrij286">Data!$AA$288</definedName>
    <definedName name="Data_BeeindigingsdatumVastVrij287">Data!$AA$289</definedName>
    <definedName name="Data_BeeindigingsdatumVastVrij288">Data!$AA$290</definedName>
    <definedName name="Data_BeeindigingsdatumVastVrij289">Data!$AA$291</definedName>
    <definedName name="Data_BeeindigingsdatumVastVrij290">Data!$AA$292</definedName>
    <definedName name="Data_BeeindigingsdatumVastVrij291">Data!$AA$293</definedName>
    <definedName name="Data_BeeindigingsdatumVastVrij292">Data!$AA$294</definedName>
    <definedName name="Data_BeeindigingsdatumVastVrij293">Data!$AA$295</definedName>
    <definedName name="Data_BeeindigingsdatumVastVrij294">Data!$AA$296</definedName>
    <definedName name="Data_BeeindigingsdatumVastVrij295">Data!$AA$297</definedName>
    <definedName name="Data_BeeindigingsdatumVastVrij296">Data!$AA$298</definedName>
    <definedName name="Data_BeeindigingsdatumVastVrij297">Data!$AA$299</definedName>
    <definedName name="Data_BeeindigingsdatumVastVrij298">Data!$AA$300</definedName>
    <definedName name="Data_BeeindigingsdatumVastVrij299">Data!$AA$301</definedName>
    <definedName name="Data_BeeindigingsdatumVastVrij300">Data!$AA$302</definedName>
    <definedName name="Data_BeeindigingsdatumVastVrij301">Data!$AA$303</definedName>
    <definedName name="Data_BeeindigingsdatumVastVrij302">Data!$AA$304</definedName>
    <definedName name="Data_BeeindigingsdatumVastVrij303">Data!$AA$305</definedName>
    <definedName name="Data_BeeindigingsdatumVastVrij304">Data!$AA$306</definedName>
    <definedName name="Data_BeeindigingsdatumVastVrij305">Data!$AA$307</definedName>
    <definedName name="Data_BeeindigingsdatumVastVrij306">Data!$AA$308</definedName>
    <definedName name="Data_BeeindigingsdatumVastVrij307">Data!$AA$309</definedName>
    <definedName name="Data_BeeindigingsdatumVastVrij308">Data!$AA$310</definedName>
    <definedName name="Data_BeeindigingsdatumVastVrij309">Data!$AA$311</definedName>
    <definedName name="Data_BeeindigingsdatumVastVrij310">Data!$AA$312</definedName>
    <definedName name="Data_BeeindigingsdatumVastVrij311">Data!$AA$313</definedName>
    <definedName name="Data_BeeindigingsdatumVastVrij312">Data!$AA$314</definedName>
    <definedName name="Data_BeeindigingsdatumVastVrij313">Data!$AA$315</definedName>
    <definedName name="Data_BeeindigingsdatumVastVrij314">Data!$AA$316</definedName>
    <definedName name="Data_BeeindigingsdatumVastVrij315">Data!$AA$317</definedName>
    <definedName name="Data_BeeindigingsdatumVastVrij316">Data!$AA$318</definedName>
    <definedName name="Data_BeeindigingsdatumVastVrij317">Data!$AA$319</definedName>
    <definedName name="Data_BeeindigingsdatumVastVrij318">Data!$AA$320</definedName>
    <definedName name="Data_BeeindigingsdatumVastVrij319">Data!$AA$321</definedName>
    <definedName name="Data_BeeindigingsdatumVastVrij320">Data!$AA$322</definedName>
    <definedName name="Data_BeeindigingsdatumVastVrij321">Data!$AA$323</definedName>
    <definedName name="Data_BeeindigingsdatumVastVrij322">Data!$AA$324</definedName>
    <definedName name="Data_BeeindigingsdatumVastVrij323">Data!$AA$325</definedName>
    <definedName name="Data_BeeindigingsdatumVastVrij324">Data!$AA$326</definedName>
    <definedName name="Data_BeeindigingsdatumVastVrij325">Data!$AA$327</definedName>
    <definedName name="Data_BeeindigingsdatumVastVrij326">Data!$AA$328</definedName>
    <definedName name="Data_BeeindigingsdatumVastVrij327">Data!$AA$329</definedName>
    <definedName name="Data_BeeindigingsdatumVastVrij328">Data!$AA$330</definedName>
    <definedName name="Data_BeeindigingsdatumVastVrij329">Data!$AA$331</definedName>
    <definedName name="Data_BeeindigingsdatumVastVrij330">Data!$AA$332</definedName>
    <definedName name="Data_BeeindigingsdatumVastVrij331">Data!$AA$333</definedName>
    <definedName name="Data_BeeindigingsdatumVastVrij332">Data!$AA$334</definedName>
    <definedName name="Data_BeeindigingsdatumVastVrij333">Data!$AA$335</definedName>
    <definedName name="Data_BeeindigingsdatumVastVrij334">Data!$AA$336</definedName>
    <definedName name="Data_BeeindigingsdatumVastVrij335">Data!$AA$337</definedName>
    <definedName name="Data_BeeindigingsdatumVastVrij336">Data!$AA$338</definedName>
    <definedName name="Data_BeeindigingsdatumVastVrij337">Data!$AA$339</definedName>
    <definedName name="Data_BeeindigingsdatumVastVrij338">Data!$AA$340</definedName>
    <definedName name="Data_BeeindigingsdatumVastVrij339">Data!$AA$341</definedName>
    <definedName name="Data_BeeindigingsdatumVastVrij340">Data!$AA$342</definedName>
    <definedName name="Data_BeeindigingsdatumVastVrij341">Data!$AA$343</definedName>
    <definedName name="Data_BeeindigingsdatumVastVrij342">Data!$AA$344</definedName>
    <definedName name="Data_BeeindigingsdatumVastVrij343">Data!$AA$345</definedName>
    <definedName name="Data_BeeindigingsdatumVastVrij344">Data!$AA$346</definedName>
    <definedName name="Data_BeeindigingsdatumVastVrij345">Data!$AA$347</definedName>
    <definedName name="Data_BeeindigingsdatumVastVrij346">Data!$AA$348</definedName>
    <definedName name="Data_BeeindigingsdatumVastVrij347">Data!$AA$349</definedName>
    <definedName name="Data_BeeindigingsdatumVastVrij348">Data!$AA$350</definedName>
    <definedName name="Data_BeeindigingsdatumVastVrij349">Data!$AA$351</definedName>
    <definedName name="Data_BeeindigingsdatumVastVrij350">Data!$AA$352</definedName>
    <definedName name="Data_BeeindigingsdatumVastVrij351">Data!$AA$353</definedName>
    <definedName name="Data_BeeindigingsdatumVastVrij352">Data!$AA$354</definedName>
    <definedName name="Data_BeeindigingsdatumVastVrij353">Data!$AA$355</definedName>
    <definedName name="Data_BeeindigingsdatumVastVrij354">Data!$AA$356</definedName>
    <definedName name="Data_BeeindigingsdatumVastVrij355">Data!$AA$357</definedName>
    <definedName name="Data_BeeindigingsdatumVastVrij356">Data!$AA$358</definedName>
    <definedName name="Data_BeeindigingsdatumVastVrij357">Data!$AA$359</definedName>
    <definedName name="Data_BeeindigingsdatumVastVrij358">Data!$AA$360</definedName>
    <definedName name="Data_BeeindigingsdatumVastVrij359">Data!$AA$361</definedName>
    <definedName name="Data_BeeindigingsdatumVastVrij360">Data!$AA$362</definedName>
    <definedName name="Data_BeeindigingsdatumVastVrij361">Data!$AA$363</definedName>
    <definedName name="Data_BeeindigingsdatumVastVrij362">Data!$AA$364</definedName>
    <definedName name="Data_BeeindigingsdatumVastVrij363">Data!$AA$365</definedName>
    <definedName name="Data_BeeindigingsdatumVastVrij364">Data!$AA$366</definedName>
    <definedName name="Data_BeeindigingsdatumVastVrij365">Data!$AA$367</definedName>
    <definedName name="Data_BeeindigingsdatumVastVrij366">Data!$AA$368</definedName>
    <definedName name="Data_BeeindigingsdatumVastVrij367">Data!$AA$369</definedName>
    <definedName name="Data_BeeindigingsdatumVastVrij368">Data!$AA$370</definedName>
    <definedName name="Data_BeeindigingsdatumVastVrij369">Data!$AA$371</definedName>
    <definedName name="Data_BeeindigingsdatumVastVrij370">Data!$AA$372</definedName>
    <definedName name="Data_BeeindigingsdatumVastVrij371">Data!$AA$373</definedName>
    <definedName name="Data_BeeindigingsdatumVastVrij372">Data!$AA$374</definedName>
    <definedName name="Data_BeeindigingsdatumVastVrij373">Data!$AA$375</definedName>
    <definedName name="Data_BeeindigingsdatumVastVrij374">Data!$AA$376</definedName>
    <definedName name="Data_BeeindigingsdatumVastVrij375">Data!$AA$377</definedName>
    <definedName name="Data_BeeindigingsdatumVastVrij376">Data!$AA$378</definedName>
    <definedName name="Data_BeeindigingsdatumVastVrij377">Data!$AA$379</definedName>
    <definedName name="Data_BeeindigingsdatumVastVrij378">Data!$AA$380</definedName>
    <definedName name="Data_BeeindigingsdatumVastVrij379">Data!$AA$381</definedName>
    <definedName name="Data_BeeindigingsdatumVastVrij380">Data!$AA$382</definedName>
    <definedName name="Data_BeeindigingsdatumVastVrij381">Data!$AA$383</definedName>
    <definedName name="Data_BeeindigingsdatumVastVrij382">Data!$AA$384</definedName>
    <definedName name="Data_BeeindigingsdatumVastVrij383">Data!$AA$385</definedName>
    <definedName name="Data_BeeindigingsdatumVastVrij384">Data!$AA$386</definedName>
    <definedName name="Data_BeeindigingsdatumVastVrij385">Data!$AA$387</definedName>
    <definedName name="Data_BeeindigingsdatumVastVrij386">Data!$AA$388</definedName>
    <definedName name="Data_BeeindigingsdatumVastVrij387">Data!$AA$389</definedName>
    <definedName name="Data_BeeindigingsdatumVastVrij388">Data!$AA$390</definedName>
    <definedName name="Data_BeeindigingsdatumVastVrij389">Data!$AA$391</definedName>
    <definedName name="Data_BeeindigingsdatumVastVrij390">Data!$AA$392</definedName>
    <definedName name="Data_BeeindigingsdatumVastVrij391">Data!$AA$393</definedName>
    <definedName name="Data_BeeindigingsdatumVastVrij392">Data!$AA$394</definedName>
    <definedName name="Data_BeeindigingsdatumVastVrij393">Data!$AA$395</definedName>
    <definedName name="Data_BeeindigingsdatumVastVrij394">Data!$AA$396</definedName>
    <definedName name="Data_BeeindigingsdatumVastVrij395">Data!$AA$397</definedName>
    <definedName name="Data_BeeindigingsdatumVastVrij396">Data!$AA$398</definedName>
    <definedName name="Data_BeeindigingsdatumVastVrij397">Data!$AA$399</definedName>
    <definedName name="Data_BeeindigingsdatumVastVrij398">Data!$AA$400</definedName>
    <definedName name="Data_BeeindigingsdatumVastVrij399">Data!$AA$401</definedName>
    <definedName name="Data_BeeindigingsdatumVastVrij400">Data!$AA$402</definedName>
    <definedName name="Data_BeeindigingsdatumVastVrij401">Data!$AA$403</definedName>
    <definedName name="Data_BeeindigingsdatumVastVrij402">Data!$AA$404</definedName>
    <definedName name="Data_BeeindigingsdatumVastVrij403">Data!$AA$405</definedName>
    <definedName name="Data_BeeindigingsdatumVastVrij404">Data!$AA$406</definedName>
    <definedName name="Data_BeeindigingsdatumVastVrij405">Data!$AA$407</definedName>
    <definedName name="Data_BeeindigingsdatumVastVrij406">Data!$AA$408</definedName>
    <definedName name="Data_BeeindigingsdatumVastVrij407">Data!$AA$409</definedName>
    <definedName name="Data_BeeindigingsdatumVastVrij408">Data!$AA$410</definedName>
    <definedName name="Data_BeeindigingsdatumVastVrij409">Data!$AA$411</definedName>
    <definedName name="Data_BeeindigingsdatumVastVrij410">Data!$AA$412</definedName>
    <definedName name="Data_BeeindigingsdatumVastVrij411">Data!$AA$413</definedName>
    <definedName name="Data_BeeindigingsdatumVastVrij412">Data!$AA$414</definedName>
    <definedName name="Data_BeeindigingsdatumVastVrij413">Data!$AA$415</definedName>
    <definedName name="Data_BeeindigingsdatumVastVrij414">Data!$AA$416</definedName>
    <definedName name="Data_BeeindigingsdatumVastVrij415">Data!$AA$417</definedName>
    <definedName name="Data_BeeindigingsdatumVastVrij416">Data!$AA$418</definedName>
    <definedName name="Data_BeeindigingsdatumVastVrij417">Data!$AA$419</definedName>
    <definedName name="Data_BeeindigingsdatumVastVrij418">Data!$AA$420</definedName>
    <definedName name="Data_BeeindigingsdatumVastVrij419">Data!$AA$421</definedName>
    <definedName name="Data_BeeindigingsdatumVastVrij420">Data!$AA$422</definedName>
    <definedName name="Data_BeeindigingsdatumVastVrij421">Data!$AA$423</definedName>
    <definedName name="Data_BeeindigingsdatumVastVrij422">Data!$AA$424</definedName>
    <definedName name="Data_BeeindigingsdatumVastVrij423">Data!$AA$425</definedName>
    <definedName name="Data_BeeindigingsdatumVastVrij424">Data!$AA$426</definedName>
    <definedName name="Data_BeeindigingsdatumVastVrij425">Data!$AA$427</definedName>
    <definedName name="Data_BeeindigingsdatumVastVrij426">Data!$AA$428</definedName>
    <definedName name="Data_BeeindigingsdatumVastVrij427">Data!$AA$429</definedName>
    <definedName name="Data_BeeindigingsdatumVastVrij428">Data!$AA$430</definedName>
    <definedName name="Data_BeeindigingsdatumVastVrij429">Data!$AA$431</definedName>
    <definedName name="Data_BeeindigingsdatumVastVrij430">Data!$AA$432</definedName>
    <definedName name="Data_BeeindigingsdatumVastVrij431">Data!$AA$433</definedName>
    <definedName name="Data_BeeindigingsdatumVastVrij432">Data!$AA$434</definedName>
    <definedName name="Data_BeeindigingsdatumVastVrij433">Data!$AA$435</definedName>
    <definedName name="Data_BeeindigingsdatumVastVrij434">Data!$AA$436</definedName>
    <definedName name="Data_BeeindigingsdatumVastVrij435">Data!$AA$437</definedName>
    <definedName name="Data_BeeindigingsdatumVastVrij436">Data!$AA$438</definedName>
    <definedName name="Data_BeeindigingsdatumVastVrij437">Data!$AA$439</definedName>
    <definedName name="Data_BeeindigingsdatumVastVrij438">Data!$AA$440</definedName>
    <definedName name="Data_BeeindigingsdatumVastVrij439">Data!$AA$441</definedName>
    <definedName name="Data_BeeindigingsdatumVastVrij440">Data!$AA$442</definedName>
    <definedName name="Data_BeeindigingsdatumVastVrij441">Data!$AA$443</definedName>
    <definedName name="Data_BeeindigingsdatumVastVrij442">Data!$AA$444</definedName>
    <definedName name="Data_BeeindigingsdatumVastVrij443">Data!$AA$445</definedName>
    <definedName name="Data_BeeindigingsdatumVastVrij444">Data!$AA$446</definedName>
    <definedName name="Data_BeeindigingsdatumVastVrij445">Data!$AA$447</definedName>
    <definedName name="Data_BeeindigingsdatumVastVrij446">Data!$AA$448</definedName>
    <definedName name="Data_BeeindigingsdatumVastVrij447">Data!$AA$449</definedName>
    <definedName name="Data_BeeindigingsdatumVastVrij448">Data!$AA$450</definedName>
    <definedName name="Data_BeeindigingsdatumVastVrij449">Data!$AA$451</definedName>
    <definedName name="Data_BeeindigingsdatumVastVrij450">Data!$AA$452</definedName>
    <definedName name="Data_BeeindigingsdatumVastVrij451">Data!$AA$453</definedName>
    <definedName name="Data_BeeindigingsdatumVastVrij452">Data!$AA$454</definedName>
    <definedName name="Data_BeeindigingsdatumVastVrij453">Data!$AA$455</definedName>
    <definedName name="Data_BeeindigingsdatumVastVrij454">Data!$AA$456</definedName>
    <definedName name="Data_BeeindigingsdatumVastVrij455">Data!$AA$457</definedName>
    <definedName name="Data_BeeindigingsdatumVastVrij456">Data!$AA$458</definedName>
    <definedName name="Data_BeeindigingsdatumVastVrij457">Data!$AA$459</definedName>
    <definedName name="Data_BeeindigingsdatumVastVrij458">Data!$AA$460</definedName>
    <definedName name="Data_BeeindigingsdatumVastVrij459">Data!$AA$461</definedName>
    <definedName name="Data_BeeindigingsdatumVastVrij460">Data!$AA$462</definedName>
    <definedName name="Data_BeeindigingsdatumVastVrij461">Data!$AA$463</definedName>
    <definedName name="Data_BeeindigingsdatumVastVrij462">Data!$AA$464</definedName>
    <definedName name="Data_BeeindigingsdatumVastVrij463">Data!$AA$465</definedName>
    <definedName name="Data_BeeindigingsdatumVastVrij464">Data!$AA$466</definedName>
    <definedName name="Data_BeeindigingsdatumVastVrij465">Data!$AA$467</definedName>
    <definedName name="Data_BeeindigingsdatumVastVrij466">Data!$AA$468</definedName>
    <definedName name="Data_BeeindigingsdatumVastVrij467">Data!$AA$469</definedName>
    <definedName name="Data_BeeindigingsdatumVastVrij468">Data!$AA$470</definedName>
    <definedName name="Data_BeeindigingsdatumVastVrij469">Data!$AA$471</definedName>
    <definedName name="Data_BeeindigingsdatumVastVrij470">Data!$AA$472</definedName>
    <definedName name="Data_BeeindigingsdatumVastVrij471">Data!$AA$473</definedName>
    <definedName name="Data_BeeindigingsdatumVastVrij472">Data!$AA$474</definedName>
    <definedName name="Data_BeeindigingsdatumVastVrij473">Data!$AA$475</definedName>
    <definedName name="Data_BeeindigingsdatumVastVrij474">Data!$AA$476</definedName>
    <definedName name="Data_BeeindigingsdatumVastVrij475">Data!$AA$477</definedName>
    <definedName name="Data_BeeindigingsdatumVastVrij476">Data!$AA$478</definedName>
    <definedName name="Data_BeeindigingsdatumVastVrij477">Data!$AA$479</definedName>
    <definedName name="Data_BeeindigingsdatumVastVrij478">Data!$AA$480</definedName>
    <definedName name="Data_BeeindigingsdatumVastVrij479">Data!$AA$481</definedName>
    <definedName name="Data_BeeindigingsdatumVastVrij480">Data!$AA$482</definedName>
    <definedName name="Data_BeeindigingsdatumVastVrij481">Data!$AA$483</definedName>
    <definedName name="Data_BeeindigingsdatumVastVrij482">Data!$AA$484</definedName>
    <definedName name="Data_BeeindigingsdatumVastVrij483">Data!$AA$485</definedName>
    <definedName name="Data_BeeindigingsdatumVastVrij484">Data!$AA$486</definedName>
    <definedName name="Data_BeeindigingsdatumVastVrij485">Data!$AA$487</definedName>
    <definedName name="Data_BeeindigingsdatumVastVrij486">Data!$AA$488</definedName>
    <definedName name="Data_BeeindigingsdatumVastVrij487">Data!$AA$489</definedName>
    <definedName name="Data_BeeindigingsdatumVastVrij488">Data!$AA$490</definedName>
    <definedName name="Data_BeeindigingsdatumVastVrij489">Data!$AA$491</definedName>
    <definedName name="Data_BeeindigingsdatumVastVrij490">Data!$AA$492</definedName>
    <definedName name="Data_BeeindigingsdatumVastVrij491">Data!$AA$493</definedName>
    <definedName name="Data_BeeindigingsdatumVastVrij492">Data!$AA$494</definedName>
    <definedName name="Data_BeeindigingsdatumVastVrij493">Data!$AA$495</definedName>
    <definedName name="Data_BeeindigingsdatumVastVrij494">Data!$AA$496</definedName>
    <definedName name="Data_BeeindigingsdatumVastVrij495">Data!$AA$497</definedName>
    <definedName name="Data_BeeindigingsdatumVastVrij496">Data!$AA$498</definedName>
    <definedName name="Data_BeeindigingsdatumVastVrij497">Data!$AA$499</definedName>
    <definedName name="Data_BeeindigingsdatumVastVrij498">Data!$AA$500</definedName>
    <definedName name="Data_BeeindigingsdatumVastVrij499">Data!$AA$501</definedName>
    <definedName name="Data_BeeindigingsdatumVastVrij500">Data!$AA$502</definedName>
    <definedName name="Data_BekostDerdenLabel01">Data!$H$3</definedName>
    <definedName name="Data_BekostDerdenLabel02">Data!$H$4</definedName>
    <definedName name="Data_BekostDerdenLabel03">Data!$H$5</definedName>
    <definedName name="Data_BekostDerdenLabel04">Data!$H$6</definedName>
    <definedName name="Data_BekostDerdenLabel05">Data!$H$7</definedName>
    <definedName name="Data_BekostDerdenLabel06">Data!$H$8</definedName>
    <definedName name="Data_BekostDerdenLabel07">Data!$H$9</definedName>
    <definedName name="Data_BekostDerdenLabel08">Data!$H$10</definedName>
    <definedName name="Data_BekostDerdenLabel09">Data!$H$11</definedName>
    <definedName name="Data_BekostDerdenLabel10">Data!$H$12</definedName>
    <definedName name="Data_BekostZorginfLabel01">Data!$L$3</definedName>
    <definedName name="Data_BekostZorginfLabel02">Data!$L$4</definedName>
    <definedName name="Data_BekostZorginfLabel03">Data!$L$5</definedName>
    <definedName name="Data_BekostZorginfLabel04">Data!$L$6</definedName>
    <definedName name="Data_BekostZorginfLabel05">Data!$L$7</definedName>
    <definedName name="Data_BekostZorginfLabel06">Data!$L$8</definedName>
    <definedName name="Data_BekostZorginfLabel07">Data!$L$9</definedName>
    <definedName name="Data_BekostZorginfLabel08">Data!$L$10</definedName>
    <definedName name="Data_BekostZorginfLabel09">Data!$L$11</definedName>
    <definedName name="Data_BekostZorginfLabel10">Data!$L$12</definedName>
    <definedName name="Data_GemSubsidie121301">Data!$I$29</definedName>
    <definedName name="Data_GemSubsidie121302">Data!$I$30</definedName>
    <definedName name="Data_GemSubsidie121303">Data!$I$31</definedName>
    <definedName name="Data_GemSubsidie121304">Data!$I$32</definedName>
    <definedName name="Data_GemSubsidie121305">Data!$I$33</definedName>
    <definedName name="Data_GemSubsidie121306">Data!$I$34</definedName>
    <definedName name="Data_GemSubsidie121307">Data!$I$35</definedName>
    <definedName name="Data_GemSubsidie121308">Data!$I$36</definedName>
    <definedName name="Data_GemSubsidie121309">Data!$I$37</definedName>
    <definedName name="Data_GemSubsidie121310">Data!$I$38</definedName>
    <definedName name="Data_GemSubsidie131401">Data!$J$29</definedName>
    <definedName name="Data_GemSubsidie131402">Data!$J$30</definedName>
    <definedName name="Data_GemSubsidie131403">Data!$J$31</definedName>
    <definedName name="Data_GemSubsidie131404">Data!$J$32</definedName>
    <definedName name="Data_GemSubsidie131405">Data!$J$33</definedName>
    <definedName name="Data_GemSubsidie131406">Data!$J$34</definedName>
    <definedName name="Data_GemSubsidie131407">Data!$J$35</definedName>
    <definedName name="Data_GemSubsidie131408">Data!$J$36</definedName>
    <definedName name="Data_GemSubsidie131409">Data!$J$37</definedName>
    <definedName name="Data_GemSubsidie131410">Data!$J$38</definedName>
    <definedName name="Data_GemSubsidieOmschr01">Data!$H$29</definedName>
    <definedName name="Data_GemSubsidieOmschr02">Data!$H$30</definedName>
    <definedName name="Data_GemSubsidieOmschr03">Data!$H$31</definedName>
    <definedName name="Data_GemSubsidieOmschr04">Data!$H$32</definedName>
    <definedName name="Data_GemSubsidieOmschr05">Data!$H$33</definedName>
    <definedName name="Data_GemSubsidieOmschr06">Data!$H$34</definedName>
    <definedName name="Data_GemSubsidieOmschr07">Data!$H$35</definedName>
    <definedName name="Data_GemSubsidieOmschr08">Data!$H$36</definedName>
    <definedName name="Data_GemSubsidieOmschr09">Data!$H$37</definedName>
    <definedName name="Data_GemSubsidieOmschr10">Data!$H$38</definedName>
    <definedName name="Data_LoonkostenNatVerloop001">Data!$AV$3</definedName>
    <definedName name="Data_LoonkostenNatVerloop002">Data!$AV$4</definedName>
    <definedName name="Data_LoonkostenNatVerloop003">Data!$AV$5</definedName>
    <definedName name="Data_LoonkostenNatVerloop004">Data!$AV$6</definedName>
    <definedName name="Data_LoonkostenNatVerloop005">Data!$AV$7</definedName>
    <definedName name="Data_LoonkostenNatVerloop006">Data!$AV$8</definedName>
    <definedName name="Data_LoonkostenNatVerloop007">Data!$AV$9</definedName>
    <definedName name="Data_LoonkostenNatVerloop008">Data!$AV$10</definedName>
    <definedName name="Data_LoonkostenNatVerloop009">Data!$AV$11</definedName>
    <definedName name="Data_LoonkostenNatVerloop010">Data!$AV$12</definedName>
    <definedName name="Data_LoonkostenNatVerloop011">Data!$AV$13</definedName>
    <definedName name="Data_LoonkostenNatVerloop012">Data!$AV$14</definedName>
    <definedName name="Data_LoonkostenNatVerloop013">Data!$AV$15</definedName>
    <definedName name="Data_LoonkostenNatVerloop014">Data!$AV$16</definedName>
    <definedName name="Data_LoonkostenNatVerloop015">Data!$AV$17</definedName>
    <definedName name="Data_LoonkostenNatVerloop016">Data!$AV$18</definedName>
    <definedName name="Data_LoonkostenNatVerloop017">Data!$AV$19</definedName>
    <definedName name="Data_LoonkostenNatVerloop018">Data!$AV$20</definedName>
    <definedName name="Data_LoonkostenNatVerloop019">Data!$AV$21</definedName>
    <definedName name="Data_LoonkostenNatVerloop020">Data!$AV$22</definedName>
    <definedName name="Data_LoonkostenNatVerloop021">Data!$AV$23</definedName>
    <definedName name="Data_LoonkostenNatVerloop022">Data!$AV$24</definedName>
    <definedName name="Data_LoonkostenNatVerloop023">Data!$AV$25</definedName>
    <definedName name="Data_LoonkostenNatVerloop024">Data!$AV$26</definedName>
    <definedName name="Data_LoonkostenNatVerloop025">Data!$AV$27</definedName>
    <definedName name="Data_LoonkostenNatVerloop026">Data!$AV$28</definedName>
    <definedName name="Data_LoonkostenNatVerloop027">Data!$AV$29</definedName>
    <definedName name="Data_LoonkostenNatVerloop028">Data!$AV$30</definedName>
    <definedName name="Data_LoonkostenNatVerloop029">Data!$AV$31</definedName>
    <definedName name="Data_LoonkostenNatVerloop030">Data!$AV$32</definedName>
    <definedName name="Data_LoonkostenNatVerloop031">Data!$AV$33</definedName>
    <definedName name="Data_LoonkostenNatVerloop032">Data!$AV$34</definedName>
    <definedName name="Data_LoonkostenNatVerloop033">Data!$AV$35</definedName>
    <definedName name="Data_LoonkostenNatVerloop034">Data!$AV$36</definedName>
    <definedName name="Data_LoonkostenNatVerloop035">Data!$AV$37</definedName>
    <definedName name="Data_LoonkostenNatVerloop036">Data!$AV$38</definedName>
    <definedName name="Data_LoonkostenNatVerloop037">Data!$AV$39</definedName>
    <definedName name="Data_LoonkostenNatVerloop038">Data!$AV$40</definedName>
    <definedName name="Data_LoonkostenNatVerloop039">Data!$AV$41</definedName>
    <definedName name="Data_LoonkostenNatVerloop040">Data!$AV$42</definedName>
    <definedName name="Data_LoonkostenNatVerloop041">Data!$AV$43</definedName>
    <definedName name="Data_LoonkostenNatVerloop042">Data!$AV$44</definedName>
    <definedName name="Data_LoonkostenNatVerloop043">Data!$AV$45</definedName>
    <definedName name="Data_LoonkostenNatVerloop044">Data!$AV$46</definedName>
    <definedName name="Data_LoonkostenNatVerloop045">Data!$AV$47</definedName>
    <definedName name="Data_LoonkostenNatVerloop046">Data!$AV$48</definedName>
    <definedName name="Data_LoonkostenNatVerloop047">Data!$AV$49</definedName>
    <definedName name="Data_LoonkostenNatVerloop048">Data!$AV$50</definedName>
    <definedName name="Data_LoonkostenNatVerloop049">Data!$AV$51</definedName>
    <definedName name="Data_LoonkostenNatVerloop050">Data!$AV$52</definedName>
    <definedName name="Data_LoonkostenNatVerloop051">Data!$AV$53</definedName>
    <definedName name="Data_LoonkostenNatVerloop052">Data!$AV$54</definedName>
    <definedName name="Data_LoonkostenNatVerloop053">Data!$AV$55</definedName>
    <definedName name="Data_LoonkostenNatVerloop054">Data!$AV$56</definedName>
    <definedName name="Data_LoonkostenNatVerloop055">Data!$AV$57</definedName>
    <definedName name="Data_LoonkostenNatVerloop056">Data!$AV$58</definedName>
    <definedName name="Data_LoonkostenNatVerloop057">Data!$AV$59</definedName>
    <definedName name="Data_LoonkostenNatVerloop058">Data!$AV$60</definedName>
    <definedName name="Data_LoonkostenNatVerloop059">Data!$AV$61</definedName>
    <definedName name="Data_LoonkostenNatVerloop060">Data!$AV$62</definedName>
    <definedName name="Data_LoonkostenNatVerloop061">Data!$AV$63</definedName>
    <definedName name="Data_LoonkostenNatVerloop062">Data!$AV$64</definedName>
    <definedName name="Data_LoonkostenNatVerloop063">Data!$AV$65</definedName>
    <definedName name="Data_LoonkostenNatVerloop064">Data!$AV$66</definedName>
    <definedName name="Data_LoonkostenNatVerloop065">Data!$AV$67</definedName>
    <definedName name="Data_LoonkostenNatVerloop066">Data!$AV$68</definedName>
    <definedName name="Data_LoonkostenNatVerloop067">Data!$AV$69</definedName>
    <definedName name="Data_LoonkostenNatVerloop068">Data!$AV$70</definedName>
    <definedName name="Data_LoonkostenNatVerloop069">Data!$AV$71</definedName>
    <definedName name="Data_LoonkostenNatVerloop070">Data!$AV$72</definedName>
    <definedName name="Data_LoonkostenNatVerloop071">Data!$AV$73</definedName>
    <definedName name="Data_LoonkostenNatVerloop072">Data!$AV$74</definedName>
    <definedName name="Data_LoonkostenNatVerloop073">Data!$AV$75</definedName>
    <definedName name="Data_LoonkostenNatVerloop074">Data!$AV$76</definedName>
    <definedName name="Data_LoonkostenNatVerloop075">Data!$AV$77</definedName>
    <definedName name="Data_LoonkostenNatVerloop076">Data!$AV$78</definedName>
    <definedName name="Data_LoonkostenNatVerloop077">Data!$AV$79</definedName>
    <definedName name="Data_LoonkostenNatVerloop078">Data!$AV$80</definedName>
    <definedName name="Data_LoonkostenNatVerloop079">Data!$AV$81</definedName>
    <definedName name="Data_LoonkostenNatVerloop080">Data!$AV$82</definedName>
    <definedName name="Data_LoonkostenNatVerloop081">Data!$AV$83</definedName>
    <definedName name="Data_LoonkostenNatVerloop082">Data!$AV$84</definedName>
    <definedName name="Data_LoonkostenNatVerloop083">Data!$AV$85</definedName>
    <definedName name="Data_LoonkostenNatVerloop084">Data!$AV$86</definedName>
    <definedName name="Data_LoonkostenNatVerloop085">Data!$AV$87</definedName>
    <definedName name="Data_LoonkostenNatVerloop086">Data!$AV$88</definedName>
    <definedName name="Data_LoonkostenNatVerloop087">Data!$AV$89</definedName>
    <definedName name="Data_LoonkostenNatVerloop088">Data!$AV$90</definedName>
    <definedName name="Data_LoonkostenNatVerloop089">Data!$AV$91</definedName>
    <definedName name="Data_LoonkostenNatVerloop090">Data!$AV$92</definedName>
    <definedName name="Data_LoonkostenNatVerloop091">Data!$AV$93</definedName>
    <definedName name="Data_LoonkostenNatVerloop092">Data!$AV$94</definedName>
    <definedName name="Data_LoonkostenNatVerloop093">Data!$AV$95</definedName>
    <definedName name="Data_LoonkostenNatVerloop094">Data!$AV$96</definedName>
    <definedName name="Data_LoonkostenNatVerloop095">Data!$AV$97</definedName>
    <definedName name="Data_LoonkostenNatVerloop096">Data!$AV$98</definedName>
    <definedName name="Data_LoonkostenNatVerloop097">Data!$AV$99</definedName>
    <definedName name="Data_LoonkostenNatVerloop098">Data!$AV$100</definedName>
    <definedName name="Data_LoonkostenNatVerloop099">Data!$AV$101</definedName>
    <definedName name="Data_LoonkostenNatVerloop100">Data!$AV$102</definedName>
    <definedName name="Data_LoonkostenNatVerloop101">Data!$AV$103</definedName>
    <definedName name="Data_LoonkostenNatVerloop102">Data!$AV$104</definedName>
    <definedName name="Data_LoonkostenNatVerloop103">Data!$AV$105</definedName>
    <definedName name="Data_LoonkostenNatVerloop104">Data!$AV$106</definedName>
    <definedName name="Data_LoonkostenNatVerloop105">Data!$AV$107</definedName>
    <definedName name="Data_LoonkostenNatVerloop106">Data!$AV$108</definedName>
    <definedName name="Data_LoonkostenNatVerloop107">Data!$AV$109</definedName>
    <definedName name="Data_LoonkostenNatVerloop108">Data!$AV$110</definedName>
    <definedName name="Data_LoonkostenNatVerloop109">Data!$AV$111</definedName>
    <definedName name="Data_LoonkostenNatVerloop110">Data!$AV$112</definedName>
    <definedName name="Data_LoonkostenNatVerloop111">Data!$AV$113</definedName>
    <definedName name="Data_LoonkostenNatVerloop112">Data!$AV$114</definedName>
    <definedName name="Data_LoonkostenNatVerloop113">Data!$AV$115</definedName>
    <definedName name="Data_LoonkostenNatVerloop114">Data!$AV$116</definedName>
    <definedName name="Data_LoonkostenNatVerloop115">Data!$AV$117</definedName>
    <definedName name="Data_LoonkostenNatVerloop116">Data!$AV$118</definedName>
    <definedName name="Data_LoonkostenNatVerloop117">Data!$AV$119</definedName>
    <definedName name="Data_LoonkostenNatVerloop118">Data!$AV$120</definedName>
    <definedName name="Data_LoonkostenNatVerloop119">Data!$AV$121</definedName>
    <definedName name="Data_LoonkostenNatVerloop120">Data!$AV$122</definedName>
    <definedName name="Data_LoonkostenNatVerloop121">Data!$AV$123</definedName>
    <definedName name="Data_LoonkostenNatVerloop122">Data!$AV$124</definedName>
    <definedName name="Data_LoonkostenNatVerloop123">Data!$AV$125</definedName>
    <definedName name="Data_LoonkostenNatVerloop124">Data!$AV$126</definedName>
    <definedName name="Data_LoonkostenNatVerloop125">Data!$AV$127</definedName>
    <definedName name="Data_LoonkostenNatVerloop126">Data!$AV$128</definedName>
    <definedName name="Data_LoonkostenNatVerloop127">Data!$AV$129</definedName>
    <definedName name="Data_LoonkostenNatVerloop128">Data!$AV$130</definedName>
    <definedName name="Data_LoonkostenNatVerloop129">Data!$AV$131</definedName>
    <definedName name="Data_LoonkostenNatVerloop130">Data!$AV$132</definedName>
    <definedName name="Data_LoonkostenNatVerloop131">Data!$AV$133</definedName>
    <definedName name="Data_LoonkostenNatVerloop132">Data!$AV$134</definedName>
    <definedName name="Data_LoonkostenNatVerloop133">Data!$AV$135</definedName>
    <definedName name="Data_LoonkostenNatVerloop134">Data!$AV$136</definedName>
    <definedName name="Data_LoonkostenNatVerloop135">Data!$AV$137</definedName>
    <definedName name="Data_LoonkostenNatVerloop136">Data!$AV$138</definedName>
    <definedName name="Data_LoonkostenNatVerloop137">Data!$AV$139</definedName>
    <definedName name="Data_LoonkostenNatVerloop138">Data!$AV$140</definedName>
    <definedName name="Data_LoonkostenNatVerloop139">Data!$AV$141</definedName>
    <definedName name="Data_LoonkostenNatVerloop140">Data!$AV$142</definedName>
    <definedName name="Data_LoonkostenNatVerloop141">Data!$AV$143</definedName>
    <definedName name="Data_LoonkostenNatVerloop142">Data!$AV$144</definedName>
    <definedName name="Data_LoonkostenNatVerloop143">Data!$AV$145</definedName>
    <definedName name="Data_LoonkostenNatVerloop144">Data!$AV$146</definedName>
    <definedName name="Data_LoonkostenNatVerloop145">Data!$AV$147</definedName>
    <definedName name="Data_LoonkostenNatVerloop146">Data!$AV$148</definedName>
    <definedName name="Data_LoonkostenNatVerloop147">Data!$AV$149</definedName>
    <definedName name="Data_LoonkostenNatVerloop148">Data!$AV$150</definedName>
    <definedName name="Data_LoonkostenNatVerloop149">Data!$AV$151</definedName>
    <definedName name="Data_LoonkostenNatVerloop150">Data!$AV$152</definedName>
    <definedName name="Data_LoonkostenNatVerloop151">Data!$AV$153</definedName>
    <definedName name="Data_LoonkostenNatVerloop152">Data!$AV$154</definedName>
    <definedName name="Data_LoonkostenNatVerloop153">Data!$AV$155</definedName>
    <definedName name="Data_LoonkostenNatVerloop154">Data!$AV$156</definedName>
    <definedName name="Data_LoonkostenNatVerloop155">Data!$AV$157</definedName>
    <definedName name="Data_LoonkostenNatVerloop156">Data!$AV$158</definedName>
    <definedName name="Data_LoonkostenNatVerloop157">Data!$AV$159</definedName>
    <definedName name="Data_LoonkostenNatVerloop158">Data!$AV$160</definedName>
    <definedName name="Data_LoonkostenNatVerloop159">Data!$AV$161</definedName>
    <definedName name="Data_LoonkostenNatVerloop160">Data!$AV$162</definedName>
    <definedName name="Data_LoonkostenNatVerloop161">Data!$AV$163</definedName>
    <definedName name="Data_LoonkostenNatVerloop162">Data!$AV$164</definedName>
    <definedName name="Data_LoonkostenNatVerloop163">Data!$AV$165</definedName>
    <definedName name="Data_LoonkostenNatVerloop164">Data!$AV$166</definedName>
    <definedName name="Data_LoonkostenNatVerloop165">Data!$AV$167</definedName>
    <definedName name="Data_LoonkostenNatVerloop166">Data!$AV$168</definedName>
    <definedName name="Data_LoonkostenNatVerloop167">Data!$AV$169</definedName>
    <definedName name="Data_LoonkostenNatVerloop168">Data!$AV$170</definedName>
    <definedName name="Data_LoonkostenNatVerloop169">Data!$AV$171</definedName>
    <definedName name="Data_LoonkostenNatVerloop170">Data!$AV$172</definedName>
    <definedName name="Data_LoonkostenNatVerloop171">Data!$AV$173</definedName>
    <definedName name="Data_LoonkostenNatVerloop172">Data!$AV$174</definedName>
    <definedName name="Data_LoonkostenNatVerloop173">Data!$AV$175</definedName>
    <definedName name="Data_LoonkostenNatVerloop174">Data!$AV$176</definedName>
    <definedName name="Data_LoonkostenNatVerloop175">Data!$AV$177</definedName>
    <definedName name="Data_LoonkostenNatVerloop176">Data!$AV$178</definedName>
    <definedName name="Data_LoonkostenNatVerloop177">Data!$AV$179</definedName>
    <definedName name="Data_LoonkostenNatVerloop178">Data!$AV$180</definedName>
    <definedName name="Data_LoonkostenNatVerloop179">Data!$AV$181</definedName>
    <definedName name="Data_LoonkostenNatVerloop180">Data!$AV$182</definedName>
    <definedName name="Data_LoonkostenNatVerloop181">Data!$AV$183</definedName>
    <definedName name="Data_LoonkostenNatVerloop182">Data!$AV$184</definedName>
    <definedName name="Data_LoonkostenNatVerloop183">Data!$AV$185</definedName>
    <definedName name="Data_LoonkostenNatVerloop184">Data!$AV$186</definedName>
    <definedName name="Data_LoonkostenNatVerloop185">Data!$AV$187</definedName>
    <definedName name="Data_LoonkostenNatVerloop186">Data!$AV$188</definedName>
    <definedName name="Data_LoonkostenNatVerloop187">Data!$AV$189</definedName>
    <definedName name="Data_LoonkostenNatVerloop188">Data!$AV$190</definedName>
    <definedName name="Data_LoonkostenNatVerloop189">Data!$AV$191</definedName>
    <definedName name="Data_LoonkostenNatVerloop190">Data!$AV$192</definedName>
    <definedName name="Data_LoonkostenNatVerloop191">Data!$AV$193</definedName>
    <definedName name="Data_LoonkostenNatVerloop192">Data!$AV$194</definedName>
    <definedName name="Data_LoonkostenNatVerloop193">Data!$AV$195</definedName>
    <definedName name="Data_LoonkostenNatVerloop194">Data!$AV$196</definedName>
    <definedName name="Data_LoonkostenNatVerloop195">Data!$AV$197</definedName>
    <definedName name="Data_LoonkostenNatVerloop196">Data!$AV$198</definedName>
    <definedName name="Data_LoonkostenNatVerloop197">Data!$AV$199</definedName>
    <definedName name="Data_LoonkostenNatVerloop198">Data!$AV$200</definedName>
    <definedName name="Data_LoonkostenNatVerloop199">Data!$AV$201</definedName>
    <definedName name="Data_LoonkostenNatVerloop200">Data!$AV$202</definedName>
    <definedName name="Data_LoonkostenNatVerloop201">Data!$AV$203</definedName>
    <definedName name="Data_LoonkostenNatVerloop202">Data!$AV$204</definedName>
    <definedName name="Data_LoonkostenNatVerloop203">Data!$AV$205</definedName>
    <definedName name="Data_LoonkostenNatVerloop204">Data!$AV$206</definedName>
    <definedName name="Data_LoonkostenNatVerloop205">Data!$AV$207</definedName>
    <definedName name="Data_LoonkostenNatVerloop206">Data!$AV$208</definedName>
    <definedName name="Data_LoonkostenNatVerloop207">Data!$AV$209</definedName>
    <definedName name="Data_LoonkostenNatVerloop208">Data!$AV$210</definedName>
    <definedName name="Data_LoonkostenNatVerloop209">Data!$AV$211</definedName>
    <definedName name="Data_LoonkostenNatVerloop210">Data!$AV$212</definedName>
    <definedName name="Data_LoonkostenNatVerloop211">Data!$AV$213</definedName>
    <definedName name="Data_LoonkostenNatVerloop212">Data!$AV$214</definedName>
    <definedName name="Data_LoonkostenNatVerloop213">Data!$AV$215</definedName>
    <definedName name="Data_LoonkostenNatVerloop214">Data!$AV$216</definedName>
    <definedName name="Data_LoonkostenNatVerloop215">Data!$AV$217</definedName>
    <definedName name="Data_LoonkostenNatVerloop216">Data!$AV$218</definedName>
    <definedName name="Data_LoonkostenNatVerloop217">Data!$AV$219</definedName>
    <definedName name="Data_LoonkostenNatVerloop218">Data!$AV$220</definedName>
    <definedName name="Data_LoonkostenNatVerloop219">Data!$AV$221</definedName>
    <definedName name="Data_LoonkostenNatVerloop220">Data!$AV$222</definedName>
    <definedName name="Data_LoonkostenNatVerloop221">Data!$AV$223</definedName>
    <definedName name="Data_LoonkostenNatVerloop222">Data!$AV$224</definedName>
    <definedName name="Data_LoonkostenNatVerloop223">Data!$AV$225</definedName>
    <definedName name="Data_LoonkostenNatVerloop224">Data!$AV$226</definedName>
    <definedName name="Data_LoonkostenNatVerloop225">Data!$AV$227</definedName>
    <definedName name="Data_LoonkostenNatVerloop226">Data!$AV$228</definedName>
    <definedName name="Data_LoonkostenNatVerloop227">Data!$AV$229</definedName>
    <definedName name="Data_LoonkostenNatVerloop228">Data!$AV$230</definedName>
    <definedName name="Data_LoonkostenNatVerloop229">Data!$AV$231</definedName>
    <definedName name="Data_LoonkostenNatVerloop230">Data!$AV$232</definedName>
    <definedName name="Data_LoonkostenNatVerloop231">Data!$AV$233</definedName>
    <definedName name="Data_LoonkostenNatVerloop232">Data!$AV$234</definedName>
    <definedName name="Data_LoonkostenNatVerloop233">Data!$AV$235</definedName>
    <definedName name="Data_LoonkostenNatVerloop234">Data!$AV$236</definedName>
    <definedName name="Data_LoonkostenNatVerloop235">Data!$AV$237</definedName>
    <definedName name="Data_LoonkostenNatVerloop236">Data!$AV$238</definedName>
    <definedName name="Data_LoonkostenNatVerloop237">Data!$AV$239</definedName>
    <definedName name="Data_LoonkostenNatVerloop238">Data!$AV$240</definedName>
    <definedName name="Data_LoonkostenNatVerloop239">Data!$AV$241</definedName>
    <definedName name="Data_LoonkostenNatVerloop240">Data!$AV$242</definedName>
    <definedName name="Data_LoonkostenNatVerloop241">Data!$AV$243</definedName>
    <definedName name="Data_LoonkostenNatVerloop242">Data!$AV$244</definedName>
    <definedName name="Data_LoonkostenNatVerloop243">Data!$AV$245</definedName>
    <definedName name="Data_LoonkostenNatVerloop244">Data!$AV$246</definedName>
    <definedName name="Data_LoonkostenNatVerloop245">Data!$AV$247</definedName>
    <definedName name="Data_LoonkostenNatVerloop246">Data!$AV$248</definedName>
    <definedName name="Data_LoonkostenNatVerloop247">Data!$AV$249</definedName>
    <definedName name="Data_LoonkostenNatVerloop248">Data!$AV$250</definedName>
    <definedName name="Data_LoonkostenNatVerloop249">Data!$AV$251</definedName>
    <definedName name="Data_LoonkostenNatVerloop250">Data!$AV$252</definedName>
    <definedName name="Data_LoonkostenNatVerloop251">Data!$AV$253</definedName>
    <definedName name="Data_LoonkostenNatVerloop252">Data!$AV$254</definedName>
    <definedName name="Data_LoonkostenNatVerloop253">Data!$AV$255</definedName>
    <definedName name="Data_LoonkostenNatVerloop254">Data!$AV$256</definedName>
    <definedName name="Data_LoonkostenNatVerloop255">Data!$AV$257</definedName>
    <definedName name="Data_LoonkostenNatVerloop256">Data!$AV$258</definedName>
    <definedName name="Data_LoonkostenNatVerloop257">Data!$AV$259</definedName>
    <definedName name="Data_LoonkostenNatVerloop258">Data!$AV$260</definedName>
    <definedName name="Data_LoonkostenNatVerloop259">Data!$AV$261</definedName>
    <definedName name="Data_LoonkostenNatVerloop260">Data!$AV$262</definedName>
    <definedName name="Data_LoonkostenNatVerloop261">Data!$AV$263</definedName>
    <definedName name="Data_LoonkostenNatVerloop262">Data!$AV$264</definedName>
    <definedName name="Data_LoonkostenNatVerloop263">Data!$AV$265</definedName>
    <definedName name="Data_LoonkostenNatVerloop264">Data!$AV$266</definedName>
    <definedName name="Data_LoonkostenNatVerloop265">Data!$AV$267</definedName>
    <definedName name="Data_LoonkostenNatVerloop266">Data!$AV$268</definedName>
    <definedName name="Data_LoonkostenNatVerloop267">Data!$AV$269</definedName>
    <definedName name="Data_LoonkostenNatVerloop268">Data!$AV$270</definedName>
    <definedName name="Data_LoonkostenNatVerloop269">Data!$AV$271</definedName>
    <definedName name="Data_LoonkostenNatVerloop270">Data!$AV$272</definedName>
    <definedName name="Data_LoonkostenNatVerloop271">Data!$AV$273</definedName>
    <definedName name="Data_LoonkostenNatVerloop272">Data!$AV$274</definedName>
    <definedName name="Data_LoonkostenNatVerloop273">Data!$AV$275</definedName>
    <definedName name="Data_LoonkostenNatVerloop274">Data!$AV$276</definedName>
    <definedName name="Data_LoonkostenNatVerloop275">Data!$AV$277</definedName>
    <definedName name="Data_LoonkostenNatVerloop276">Data!$AV$278</definedName>
    <definedName name="Data_LoonkostenNatVerloop277">Data!$AV$279</definedName>
    <definedName name="Data_LoonkostenNatVerloop278">Data!$AV$280</definedName>
    <definedName name="Data_LoonkostenNatVerloop279">Data!$AV$281</definedName>
    <definedName name="Data_LoonkostenNatVerloop280">Data!$AV$282</definedName>
    <definedName name="Data_LoonkostenNatVerloop281">Data!$AV$283</definedName>
    <definedName name="Data_LoonkostenNatVerloop282">Data!$AV$284</definedName>
    <definedName name="Data_LoonkostenNatVerloop283">Data!$AV$285</definedName>
    <definedName name="Data_LoonkostenNatVerloop284">Data!$AV$286</definedName>
    <definedName name="Data_LoonkostenNatVerloop285">Data!$AV$287</definedName>
    <definedName name="Data_LoonkostenNatVerloop286">Data!$AV$288</definedName>
    <definedName name="Data_LoonkostenNatVerloop287">Data!$AV$289</definedName>
    <definedName name="Data_LoonkostenNatVerloop288">Data!$AV$290</definedName>
    <definedName name="Data_LoonkostenNatVerloop289">Data!$AV$291</definedName>
    <definedName name="Data_LoonkostenNatVerloop290">Data!$AV$292</definedName>
    <definedName name="Data_LoonkostenNatVerloop291">Data!$AV$293</definedName>
    <definedName name="Data_LoonkostenNatVerloop292">Data!$AV$294</definedName>
    <definedName name="Data_LoonkostenNatVerloop293">Data!$AV$295</definedName>
    <definedName name="Data_LoonkostenNatVerloop294">Data!$AV$296</definedName>
    <definedName name="Data_LoonkostenNatVerloop295">Data!$AV$297</definedName>
    <definedName name="Data_LoonkostenNatVerloop296">Data!$AV$298</definedName>
    <definedName name="Data_LoonkostenNatVerloop297">Data!$AV$299</definedName>
    <definedName name="Data_LoonkostenNatVerloop298">Data!$AV$300</definedName>
    <definedName name="Data_LoonkostenNatVerloop299">Data!$AV$301</definedName>
    <definedName name="Data_LoonkostenNatVerloop300">Data!$AV$302</definedName>
    <definedName name="Data_LoonkostenNatVerloop301">Data!$AV$303</definedName>
    <definedName name="Data_LoonkostenNatVerloop302">Data!$AV$304</definedName>
    <definedName name="Data_LoonkostenNatVerloop303">Data!$AV$305</definedName>
    <definedName name="Data_LoonkostenNatVerloop304">Data!$AV$306</definedName>
    <definedName name="Data_LoonkostenNatVerloop305">Data!$AV$307</definedName>
    <definedName name="Data_LoonkostenNatVerloop306">Data!$AV$308</definedName>
    <definedName name="Data_LoonkostenNatVerloop307">Data!$AV$309</definedName>
    <definedName name="Data_LoonkostenNatVerloop308">Data!$AV$310</definedName>
    <definedName name="Data_LoonkostenNatVerloop309">Data!$AV$311</definedName>
    <definedName name="Data_LoonkostenNatVerloop310">Data!$AV$312</definedName>
    <definedName name="Data_LoonkostenNatVerloop311">Data!$AV$313</definedName>
    <definedName name="Data_LoonkostenNatVerloop312">Data!$AV$314</definedName>
    <definedName name="Data_LoonkostenNatVerloop313">Data!$AV$315</definedName>
    <definedName name="Data_LoonkostenNatVerloop314">Data!$AV$316</definedName>
    <definedName name="Data_LoonkostenNatVerloop315">Data!$AV$317</definedName>
    <definedName name="Data_LoonkostenNatVerloop316">Data!$AV$318</definedName>
    <definedName name="Data_LoonkostenNatVerloop317">Data!$AV$319</definedName>
    <definedName name="Data_LoonkostenNatVerloop318">Data!$AV$320</definedName>
    <definedName name="Data_LoonkostenNatVerloop319">Data!$AV$321</definedName>
    <definedName name="Data_LoonkostenNatVerloop320">Data!$AV$322</definedName>
    <definedName name="Data_LoonkostenNatVerloop321">Data!$AV$323</definedName>
    <definedName name="Data_LoonkostenNatVerloop322">Data!$AV$324</definedName>
    <definedName name="Data_LoonkostenNatVerloop323">Data!$AV$325</definedName>
    <definedName name="Data_LoonkostenNatVerloop324">Data!$AV$326</definedName>
    <definedName name="Data_LoonkostenNatVerloop325">Data!$AV$327</definedName>
    <definedName name="Data_LoonkostenNatVerloop326">Data!$AV$328</definedName>
    <definedName name="Data_LoonkostenNatVerloop327">Data!$AV$329</definedName>
    <definedName name="Data_LoonkostenNatVerloop328">Data!$AV$330</definedName>
    <definedName name="Data_LoonkostenNatVerloop329">Data!$AV$331</definedName>
    <definedName name="Data_LoonkostenNatVerloop330">Data!$AV$332</definedName>
    <definedName name="Data_LoonkostenNatVerloop331">Data!$AV$333</definedName>
    <definedName name="Data_LoonkostenNatVerloop332">Data!$AV$334</definedName>
    <definedName name="Data_LoonkostenNatVerloop333">Data!$AV$335</definedName>
    <definedName name="Data_LoonkostenNatVerloop334">Data!$AV$336</definedName>
    <definedName name="Data_LoonkostenNatVerloop335">Data!$AV$337</definedName>
    <definedName name="Data_LoonkostenNatVerloop336">Data!$AV$338</definedName>
    <definedName name="Data_LoonkostenNatVerloop337">Data!$AV$339</definedName>
    <definedName name="Data_LoonkostenNatVerloop338">Data!$AV$340</definedName>
    <definedName name="Data_LoonkostenNatVerloop339">Data!$AV$341</definedName>
    <definedName name="Data_LoonkostenNatVerloop340">Data!$AV$342</definedName>
    <definedName name="Data_LoonkostenNatVerloop341">Data!$AV$343</definedName>
    <definedName name="Data_LoonkostenNatVerloop342">Data!$AV$344</definedName>
    <definedName name="Data_LoonkostenNatVerloop343">Data!$AV$345</definedName>
    <definedName name="Data_LoonkostenNatVerloop344">Data!$AV$346</definedName>
    <definedName name="Data_LoonkostenNatVerloop345">Data!$AV$347</definedName>
    <definedName name="Data_LoonkostenNatVerloop346">Data!$AV$348</definedName>
    <definedName name="Data_LoonkostenNatVerloop347">Data!$AV$349</definedName>
    <definedName name="Data_LoonkostenNatVerloop348">Data!$AV$350</definedName>
    <definedName name="Data_LoonkostenNatVerloop349">Data!$AV$351</definedName>
    <definedName name="Data_LoonkostenNatVerloop350">Data!$AV$352</definedName>
    <definedName name="Data_LoonkostenNatVerloop351">Data!$AV$353</definedName>
    <definedName name="Data_LoonkostenNatVerloop352">Data!$AV$354</definedName>
    <definedName name="Data_LoonkostenNatVerloop353">Data!$AV$355</definedName>
    <definedName name="Data_LoonkostenNatVerloop354">Data!$AV$356</definedName>
    <definedName name="Data_LoonkostenNatVerloop355">Data!$AV$357</definedName>
    <definedName name="Data_LoonkostenNatVerloop356">Data!$AV$358</definedName>
    <definedName name="Data_LoonkostenNatVerloop357">Data!$AV$359</definedName>
    <definedName name="Data_LoonkostenNatVerloop358">Data!$AV$360</definedName>
    <definedName name="Data_LoonkostenNatVerloop359">Data!$AV$361</definedName>
    <definedName name="Data_LoonkostenNatVerloop360">Data!$AV$362</definedName>
    <definedName name="Data_LoonkostenNatVerloop361">Data!$AV$363</definedName>
    <definedName name="Data_LoonkostenNatVerloop362">Data!$AV$364</definedName>
    <definedName name="Data_LoonkostenNatVerloop363">Data!$AV$365</definedName>
    <definedName name="Data_LoonkostenNatVerloop364">Data!$AV$366</definedName>
    <definedName name="Data_LoonkostenNatVerloop365">Data!$AV$367</definedName>
    <definedName name="Data_LoonkostenNatVerloop366">Data!$AV$368</definedName>
    <definedName name="Data_LoonkostenNatVerloop367">Data!$AV$369</definedName>
    <definedName name="Data_LoonkostenNatVerloop368">Data!$AV$370</definedName>
    <definedName name="Data_LoonkostenNatVerloop369">Data!$AV$371</definedName>
    <definedName name="Data_LoonkostenNatVerloop370">Data!$AV$372</definedName>
    <definedName name="Data_LoonkostenNatVerloop371">Data!$AV$373</definedName>
    <definedName name="Data_LoonkostenNatVerloop372">Data!$AV$374</definedName>
    <definedName name="Data_LoonkostenNatVerloop373">Data!$AV$375</definedName>
    <definedName name="Data_LoonkostenNatVerloop374">Data!$AV$376</definedName>
    <definedName name="Data_LoonkostenNatVerloop375">Data!$AV$377</definedName>
    <definedName name="Data_LoonkostenNatVerloop376">Data!$AV$378</definedName>
    <definedName name="Data_LoonkostenNatVerloop377">Data!$AV$379</definedName>
    <definedName name="Data_LoonkostenNatVerloop378">Data!$AV$380</definedName>
    <definedName name="Data_LoonkostenNatVerloop379">Data!$AV$381</definedName>
    <definedName name="Data_LoonkostenNatVerloop380">Data!$AV$382</definedName>
    <definedName name="Data_LoonkostenNatVerloop381">Data!$AV$383</definedName>
    <definedName name="Data_LoonkostenNatVerloop382">Data!$AV$384</definedName>
    <definedName name="Data_LoonkostenNatVerloop383">Data!$AV$385</definedName>
    <definedName name="Data_LoonkostenNatVerloop384">Data!$AV$386</definedName>
    <definedName name="Data_LoonkostenNatVerloop385">Data!$AV$387</definedName>
    <definedName name="Data_LoonkostenNatVerloop386">Data!$AV$388</definedName>
    <definedName name="Data_LoonkostenNatVerloop387">Data!$AV$389</definedName>
    <definedName name="Data_LoonkostenNatVerloop388">Data!$AV$390</definedName>
    <definedName name="Data_LoonkostenNatVerloop389">Data!$AV$391</definedName>
    <definedName name="Data_LoonkostenNatVerloop390">Data!$AV$392</definedName>
    <definedName name="Data_LoonkostenNatVerloop391">Data!$AV$393</definedName>
    <definedName name="Data_LoonkostenNatVerloop392">Data!$AV$394</definedName>
    <definedName name="Data_LoonkostenNatVerloop393">Data!$AV$395</definedName>
    <definedName name="Data_LoonkostenNatVerloop394">Data!$AV$396</definedName>
    <definedName name="Data_LoonkostenNatVerloop395">Data!$AV$397</definedName>
    <definedName name="Data_LoonkostenNatVerloop396">Data!$AV$398</definedName>
    <definedName name="Data_LoonkostenNatVerloop397">Data!$AV$399</definedName>
    <definedName name="Data_LoonkostenNatVerloop398">Data!$AV$400</definedName>
    <definedName name="Data_LoonkostenNatVerloop399">Data!$AV$401</definedName>
    <definedName name="Data_LoonkostenNatVerloop400">Data!$AV$402</definedName>
    <definedName name="Data_LoonkostenNatVerloop401">Data!$AV$403</definedName>
    <definedName name="Data_LoonkostenNatVerloop402">Data!$AV$404</definedName>
    <definedName name="Data_LoonkostenNatVerloop403">Data!$AV$405</definedName>
    <definedName name="Data_LoonkostenNatVerloop404">Data!$AV$406</definedName>
    <definedName name="Data_LoonkostenNatVerloop405">Data!$AV$407</definedName>
    <definedName name="Data_LoonkostenNatVerloop406">Data!$AV$408</definedName>
    <definedName name="Data_LoonkostenNatVerloop407">Data!$AV$409</definedName>
    <definedName name="Data_LoonkostenNatVerloop408">Data!$AV$410</definedName>
    <definedName name="Data_LoonkostenNatVerloop409">Data!$AV$411</definedName>
    <definedName name="Data_LoonkostenNatVerloop410">Data!$AV$412</definedName>
    <definedName name="Data_LoonkostenNatVerloop411">Data!$AV$413</definedName>
    <definedName name="Data_LoonkostenNatVerloop412">Data!$AV$414</definedName>
    <definedName name="Data_LoonkostenNatVerloop413">Data!$AV$415</definedName>
    <definedName name="Data_LoonkostenNatVerloop414">Data!$AV$416</definedName>
    <definedName name="Data_LoonkostenNatVerloop415">Data!$AV$417</definedName>
    <definedName name="Data_LoonkostenNatVerloop416">Data!$AV$418</definedName>
    <definedName name="Data_LoonkostenNatVerloop417">Data!$AV$419</definedName>
    <definedName name="Data_LoonkostenNatVerloop418">Data!$AV$420</definedName>
    <definedName name="Data_LoonkostenNatVerloop419">Data!$AV$421</definedName>
    <definedName name="Data_LoonkostenNatVerloop420">Data!$AV$422</definedName>
    <definedName name="Data_LoonkostenNatVerloop421">Data!$AV$423</definedName>
    <definedName name="Data_LoonkostenNatVerloop422">Data!$AV$424</definedName>
    <definedName name="Data_LoonkostenNatVerloop423">Data!$AV$425</definedName>
    <definedName name="Data_LoonkostenNatVerloop424">Data!$AV$426</definedName>
    <definedName name="Data_LoonkostenNatVerloop425">Data!$AV$427</definedName>
    <definedName name="Data_LoonkostenNatVerloop426">Data!$AV$428</definedName>
    <definedName name="Data_LoonkostenNatVerloop427">Data!$AV$429</definedName>
    <definedName name="Data_LoonkostenNatVerloop428">Data!$AV$430</definedName>
    <definedName name="Data_LoonkostenNatVerloop429">Data!$AV$431</definedName>
    <definedName name="Data_LoonkostenNatVerloop430">Data!$AV$432</definedName>
    <definedName name="Data_LoonkostenNatVerloop431">Data!$AV$433</definedName>
    <definedName name="Data_LoonkostenNatVerloop432">Data!$AV$434</definedName>
    <definedName name="Data_LoonkostenNatVerloop433">Data!$AV$435</definedName>
    <definedName name="Data_LoonkostenNatVerloop434">Data!$AV$436</definedName>
    <definedName name="Data_LoonkostenNatVerloop435">Data!$AV$437</definedName>
    <definedName name="Data_LoonkostenNatVerloop436">Data!$AV$438</definedName>
    <definedName name="Data_LoonkostenNatVerloop437">Data!$AV$439</definedName>
    <definedName name="Data_LoonkostenNatVerloop438">Data!$AV$440</definedName>
    <definedName name="Data_LoonkostenNatVerloop439">Data!$AV$441</definedName>
    <definedName name="Data_LoonkostenNatVerloop440">Data!$AV$442</definedName>
    <definedName name="Data_LoonkostenNatVerloop441">Data!$AV$443</definedName>
    <definedName name="Data_LoonkostenNatVerloop442">Data!$AV$444</definedName>
    <definedName name="Data_LoonkostenNatVerloop443">Data!$AV$445</definedName>
    <definedName name="Data_LoonkostenNatVerloop444">Data!$AV$446</definedName>
    <definedName name="Data_LoonkostenNatVerloop445">Data!$AV$447</definedName>
    <definedName name="Data_LoonkostenNatVerloop446">Data!$AV$448</definedName>
    <definedName name="Data_LoonkostenNatVerloop447">Data!$AV$449</definedName>
    <definedName name="Data_LoonkostenNatVerloop448">Data!$AV$450</definedName>
    <definedName name="Data_LoonkostenNatVerloop449">Data!$AV$451</definedName>
    <definedName name="Data_LoonkostenNatVerloop450">Data!$AV$452</definedName>
    <definedName name="Data_LoonkostenNatVerloop451">Data!$AV$453</definedName>
    <definedName name="Data_LoonkostenNatVerloop452">Data!$AV$454</definedName>
    <definedName name="Data_LoonkostenNatVerloop453">Data!$AV$455</definedName>
    <definedName name="Data_LoonkostenNatVerloop454">Data!$AV$456</definedName>
    <definedName name="Data_LoonkostenNatVerloop455">Data!$AV$457</definedName>
    <definedName name="Data_LoonkostenNatVerloop456">Data!$AV$458</definedName>
    <definedName name="Data_LoonkostenNatVerloop457">Data!$AV$459</definedName>
    <definedName name="Data_LoonkostenNatVerloop458">Data!$AV$460</definedName>
    <definedName name="Data_LoonkostenNatVerloop459">Data!$AV$461</definedName>
    <definedName name="Data_LoonkostenNatVerloop460">Data!$AV$462</definedName>
    <definedName name="Data_LoonkostenNatVerloop461">Data!$AV$463</definedName>
    <definedName name="Data_LoonkostenNatVerloop462">Data!$AV$464</definedName>
    <definedName name="Data_LoonkostenNatVerloop463">Data!$AV$465</definedName>
    <definedName name="Data_LoonkostenNatVerloop464">Data!$AV$466</definedName>
    <definedName name="Data_LoonkostenNatVerloop465">Data!$AV$467</definedName>
    <definedName name="Data_LoonkostenNatVerloop466">Data!$AV$468</definedName>
    <definedName name="Data_LoonkostenNatVerloop467">Data!$AV$469</definedName>
    <definedName name="Data_LoonkostenNatVerloop468">Data!$AV$470</definedName>
    <definedName name="Data_LoonkostenNatVerloop469">Data!$AV$471</definedName>
    <definedName name="Data_LoonkostenNatVerloop470">Data!$AV$472</definedName>
    <definedName name="Data_LoonkostenNatVerloop471">Data!$AV$473</definedName>
    <definedName name="Data_LoonkostenNatVerloop472">Data!$AV$474</definedName>
    <definedName name="Data_LoonkostenNatVerloop473">Data!$AV$475</definedName>
    <definedName name="Data_LoonkostenNatVerloop474">Data!$AV$476</definedName>
    <definedName name="Data_LoonkostenNatVerloop475">Data!$AV$477</definedName>
    <definedName name="Data_LoonkostenNatVerloop476">Data!$AV$478</definedName>
    <definedName name="Data_LoonkostenNatVerloop477">Data!$AV$479</definedName>
    <definedName name="Data_LoonkostenNatVerloop478">Data!$AV$480</definedName>
    <definedName name="Data_LoonkostenNatVerloop479">Data!$AV$481</definedName>
    <definedName name="Data_LoonkostenNatVerloop480">Data!$AV$482</definedName>
    <definedName name="Data_LoonkostenNatVerloop481">Data!$AV$483</definedName>
    <definedName name="Data_LoonkostenNatVerloop482">Data!$AV$484</definedName>
    <definedName name="Data_LoonkostenNatVerloop483">Data!$AV$485</definedName>
    <definedName name="Data_LoonkostenNatVerloop484">Data!$AV$486</definedName>
    <definedName name="Data_LoonkostenNatVerloop485">Data!$AV$487</definedName>
    <definedName name="Data_LoonkostenNatVerloop486">Data!$AV$488</definedName>
    <definedName name="Data_LoonkostenNatVerloop487">Data!$AV$489</definedName>
    <definedName name="Data_LoonkostenNatVerloop488">Data!$AV$490</definedName>
    <definedName name="Data_LoonkostenNatVerloop489">Data!$AV$491</definedName>
    <definedName name="Data_LoonkostenNatVerloop490">Data!$AV$492</definedName>
    <definedName name="Data_LoonkostenNatVerloop491">Data!$AV$493</definedName>
    <definedName name="Data_LoonkostenNatVerloop492">Data!$AV$494</definedName>
    <definedName name="Data_LoonkostenNatVerloop493">Data!$AV$495</definedName>
    <definedName name="Data_LoonkostenNatVerloop494">Data!$AV$496</definedName>
    <definedName name="Data_LoonkostenNatVerloop495">Data!$AV$497</definedName>
    <definedName name="Data_LoonkostenNatVerloop496">Data!$AV$498</definedName>
    <definedName name="Data_LoonkostenNatVerloop497">Data!$AV$499</definedName>
    <definedName name="Data_LoonkostenNatVerloop498">Data!$AV$500</definedName>
    <definedName name="Data_LoonkostenNatVerloop499">Data!$AV$501</definedName>
    <definedName name="Data_LoonkostenNatVerloop500">Data!$AV$502</definedName>
    <definedName name="Data_LoonkostenTijd001">Data!$R$3</definedName>
    <definedName name="Data_LoonkostenTijd002">Data!$R$4</definedName>
    <definedName name="Data_LoonkostenTijd003">Data!$R$5</definedName>
    <definedName name="Data_LoonkostenTijd004">Data!$R$6</definedName>
    <definedName name="Data_LoonkostenTijd005">Data!$R$7</definedName>
    <definedName name="Data_LoonkostenTijd006">Data!$R$8</definedName>
    <definedName name="Data_LoonkostenTijd007">Data!$R$9</definedName>
    <definedName name="Data_LoonkostenTijd008">Data!$R$10</definedName>
    <definedName name="Data_LoonkostenTijd009">Data!$R$11</definedName>
    <definedName name="Data_LoonkostenTijd010">Data!$R$12</definedName>
    <definedName name="Data_LoonkostenTijd011">Data!$R$13</definedName>
    <definedName name="Data_LoonkostenTijd012">Data!$R$14</definedName>
    <definedName name="Data_LoonkostenTijd013">Data!$R$15</definedName>
    <definedName name="Data_LoonkostenTijd014">Data!$R$16</definedName>
    <definedName name="Data_LoonkostenTijd015">Data!$R$17</definedName>
    <definedName name="Data_LoonkostenTijd016">Data!$R$18</definedName>
    <definedName name="Data_LoonkostenTijd017">Data!$R$19</definedName>
    <definedName name="Data_LoonkostenTijd018">Data!$R$20</definedName>
    <definedName name="Data_LoonkostenTijd019">Data!$R$21</definedName>
    <definedName name="Data_LoonkostenTijd020">Data!$R$22</definedName>
    <definedName name="Data_LoonkostenTijd021">Data!$R$23</definedName>
    <definedName name="Data_LoonkostenTijd022">Data!$R$24</definedName>
    <definedName name="Data_LoonkostenTijd023">Data!$R$25</definedName>
    <definedName name="Data_LoonkostenTijd024">Data!$R$26</definedName>
    <definedName name="Data_LoonkostenTijd025">Data!$R$27</definedName>
    <definedName name="Data_LoonkostenTijd026">Data!$R$28</definedName>
    <definedName name="Data_LoonkostenTijd027">Data!$R$29</definedName>
    <definedName name="Data_LoonkostenTijd028">Data!$R$30</definedName>
    <definedName name="Data_LoonkostenTijd029">Data!$R$31</definedName>
    <definedName name="Data_LoonkostenTijd030">Data!$R$32</definedName>
    <definedName name="Data_LoonkostenTijd031">Data!$R$33</definedName>
    <definedName name="Data_LoonkostenTijd032">Data!$R$34</definedName>
    <definedName name="Data_LoonkostenTijd033">Data!$R$35</definedName>
    <definedName name="Data_LoonkostenTijd034">Data!$R$36</definedName>
    <definedName name="Data_LoonkostenTijd035">Data!$R$37</definedName>
    <definedName name="Data_LoonkostenTijd036">Data!$R$38</definedName>
    <definedName name="Data_LoonkostenTijd037">Data!$R$39</definedName>
    <definedName name="Data_LoonkostenTijd038">Data!$R$40</definedName>
    <definedName name="Data_LoonkostenTijd039">Data!$R$41</definedName>
    <definedName name="Data_LoonkostenTijd040">Data!$R$42</definedName>
    <definedName name="Data_LoonkostenTijd041">Data!$R$43</definedName>
    <definedName name="Data_LoonkostenTijd042">Data!$R$44</definedName>
    <definedName name="Data_LoonkostenTijd043">Data!$R$45</definedName>
    <definedName name="Data_LoonkostenTijd044">Data!$R$46</definedName>
    <definedName name="Data_LoonkostenTijd045">Data!$R$47</definedName>
    <definedName name="Data_LoonkostenTijd046">Data!$R$48</definedName>
    <definedName name="Data_LoonkostenTijd047">Data!$R$49</definedName>
    <definedName name="Data_LoonkostenTijd048">Data!$R$50</definedName>
    <definedName name="Data_LoonkostenTijd049">Data!$R$51</definedName>
    <definedName name="Data_LoonkostenTijd050">Data!$R$52</definedName>
    <definedName name="Data_LoonkostenTijd051">Data!$R$53</definedName>
    <definedName name="Data_LoonkostenTijd052">Data!$R$54</definedName>
    <definedName name="Data_LoonkostenTijd053">Data!$R$55</definedName>
    <definedName name="Data_LoonkostenTijd054">Data!$R$56</definedName>
    <definedName name="Data_LoonkostenTijd055">Data!$R$57</definedName>
    <definedName name="Data_LoonkostenTijd056">Data!$R$58</definedName>
    <definedName name="Data_LoonkostenTijd057">Data!$R$59</definedName>
    <definedName name="Data_LoonkostenTijd058">Data!$R$60</definedName>
    <definedName name="Data_LoonkostenTijd059">Data!$R$61</definedName>
    <definedName name="Data_LoonkostenTijd060">Data!$R$62</definedName>
    <definedName name="Data_LoonkostenTijd061">Data!$R$63</definedName>
    <definedName name="Data_LoonkostenTijd062">Data!$R$64</definedName>
    <definedName name="Data_LoonkostenTijd063">Data!$R$65</definedName>
    <definedName name="Data_LoonkostenTijd064">Data!$R$66</definedName>
    <definedName name="Data_LoonkostenTijd065">Data!$R$67</definedName>
    <definedName name="Data_LoonkostenTijd066">Data!$R$68</definedName>
    <definedName name="Data_LoonkostenTijd067">Data!$R$69</definedName>
    <definedName name="Data_LoonkostenTijd068">Data!$R$70</definedName>
    <definedName name="Data_LoonkostenTijd069">Data!$R$71</definedName>
    <definedName name="Data_LoonkostenTijd070">Data!$R$72</definedName>
    <definedName name="Data_LoonkostenTijd071">Data!$R$73</definedName>
    <definedName name="Data_LoonkostenTijd072">Data!$R$74</definedName>
    <definedName name="Data_LoonkostenTijd073">Data!$R$75</definedName>
    <definedName name="Data_LoonkostenTijd074">Data!$R$76</definedName>
    <definedName name="Data_LoonkostenTijd075">Data!$R$77</definedName>
    <definedName name="Data_LoonkostenTijd076">Data!$R$78</definedName>
    <definedName name="Data_LoonkostenTijd077">Data!$R$79</definedName>
    <definedName name="Data_LoonkostenTijd078">Data!$R$80</definedName>
    <definedName name="Data_LoonkostenTijd079">Data!$R$81</definedName>
    <definedName name="Data_LoonkostenTijd080">Data!$R$82</definedName>
    <definedName name="Data_LoonkostenTijd081">Data!$R$83</definedName>
    <definedName name="Data_LoonkostenTijd082">Data!$R$84</definedName>
    <definedName name="Data_LoonkostenTijd083">Data!$R$85</definedName>
    <definedName name="Data_LoonkostenTijd084">Data!$R$86</definedName>
    <definedName name="Data_LoonkostenTijd085">Data!$R$87</definedName>
    <definedName name="Data_LoonkostenTijd086">Data!$R$88</definedName>
    <definedName name="Data_LoonkostenTijd087">Data!$R$89</definedName>
    <definedName name="Data_LoonkostenTijd088">Data!$R$90</definedName>
    <definedName name="Data_LoonkostenTijd089">Data!$R$91</definedName>
    <definedName name="Data_LoonkostenTijd090">Data!$R$92</definedName>
    <definedName name="Data_LoonkostenTijd091">Data!$R$93</definedName>
    <definedName name="Data_LoonkostenTijd092">Data!$R$94</definedName>
    <definedName name="Data_LoonkostenTijd093">Data!$R$95</definedName>
    <definedName name="Data_LoonkostenTijd094">Data!$R$96</definedName>
    <definedName name="Data_LoonkostenTijd095">Data!$R$97</definedName>
    <definedName name="Data_LoonkostenTijd096">Data!$R$98</definedName>
    <definedName name="Data_LoonkostenTijd097">Data!$R$99</definedName>
    <definedName name="Data_LoonkostenTijd098">Data!$R$100</definedName>
    <definedName name="Data_LoonkostenTijd099">Data!$R$101</definedName>
    <definedName name="Data_LoonkostenTijd100">Data!$R$102</definedName>
    <definedName name="Data_LoonkostenTijd101">Data!$R$103</definedName>
    <definedName name="Data_LoonkostenTijd102">Data!$R$104</definedName>
    <definedName name="Data_LoonkostenTijd103">Data!$R$105</definedName>
    <definedName name="Data_LoonkostenTijd104">Data!$R$106</definedName>
    <definedName name="Data_LoonkostenTijd105">Data!$R$107</definedName>
    <definedName name="Data_LoonkostenTijd106">Data!$R$108</definedName>
    <definedName name="Data_LoonkostenTijd107">Data!$R$109</definedName>
    <definedName name="Data_LoonkostenTijd108">Data!$R$110</definedName>
    <definedName name="Data_LoonkostenTijd109">Data!$R$111</definedName>
    <definedName name="Data_LoonkostenTijd110">Data!$R$112</definedName>
    <definedName name="Data_LoonkostenTijd111">Data!$R$113</definedName>
    <definedName name="Data_LoonkostenTijd112">Data!$R$114</definedName>
    <definedName name="Data_LoonkostenTijd113">Data!$R$115</definedName>
    <definedName name="Data_LoonkostenTijd114">Data!$R$116</definedName>
    <definedName name="Data_LoonkostenTijd115">Data!$R$117</definedName>
    <definedName name="Data_LoonkostenTijd116">Data!$R$118</definedName>
    <definedName name="Data_LoonkostenTijd117">Data!$R$119</definedName>
    <definedName name="Data_LoonkostenTijd118">Data!$R$120</definedName>
    <definedName name="Data_LoonkostenTijd119">Data!$R$121</definedName>
    <definedName name="Data_LoonkostenTijd120">Data!$R$122</definedName>
    <definedName name="Data_LoonkostenTijd121">Data!$R$123</definedName>
    <definedName name="Data_LoonkostenTijd122">Data!$R$124</definedName>
    <definedName name="Data_LoonkostenTijd123">Data!$R$125</definedName>
    <definedName name="Data_LoonkostenTijd124">Data!$R$126</definedName>
    <definedName name="Data_LoonkostenTijd125">Data!$R$127</definedName>
    <definedName name="Data_LoonkostenTijd126">Data!$R$128</definedName>
    <definedName name="Data_LoonkostenTijd127">Data!$R$129</definedName>
    <definedName name="Data_LoonkostenTijd128">Data!$R$130</definedName>
    <definedName name="Data_LoonkostenTijd129">Data!$R$131</definedName>
    <definedName name="Data_LoonkostenTijd130">Data!$R$132</definedName>
    <definedName name="Data_LoonkostenTijd131">Data!$R$133</definedName>
    <definedName name="Data_LoonkostenTijd132">Data!$R$134</definedName>
    <definedName name="Data_LoonkostenTijd133">Data!$R$135</definedName>
    <definedName name="Data_LoonkostenTijd134">Data!$R$136</definedName>
    <definedName name="Data_LoonkostenTijd135">Data!$R$137</definedName>
    <definedName name="Data_LoonkostenTijd136">Data!$R$138</definedName>
    <definedName name="Data_LoonkostenTijd137">Data!$R$139</definedName>
    <definedName name="Data_LoonkostenTijd138">Data!$R$140</definedName>
    <definedName name="Data_LoonkostenTijd139">Data!$R$141</definedName>
    <definedName name="Data_LoonkostenTijd140">Data!$R$142</definedName>
    <definedName name="Data_LoonkostenTijd141">Data!$R$143</definedName>
    <definedName name="Data_LoonkostenTijd142">Data!$R$144</definedName>
    <definedName name="Data_LoonkostenTijd143">Data!$R$145</definedName>
    <definedName name="Data_LoonkostenTijd144">Data!$R$146</definedName>
    <definedName name="Data_LoonkostenTijd145">Data!$R$147</definedName>
    <definedName name="Data_LoonkostenTijd146">Data!$R$148</definedName>
    <definedName name="Data_LoonkostenTijd147">Data!$R$149</definedName>
    <definedName name="Data_LoonkostenTijd148">Data!$R$150</definedName>
    <definedName name="Data_LoonkostenTijd149">Data!$R$151</definedName>
    <definedName name="Data_LoonkostenTijd150">Data!$R$152</definedName>
    <definedName name="Data_LoonkostenTijd151">Data!$R$153</definedName>
    <definedName name="Data_LoonkostenTijd152">Data!$R$154</definedName>
    <definedName name="Data_LoonkostenTijd153">Data!$R$155</definedName>
    <definedName name="Data_LoonkostenTijd154">Data!$R$156</definedName>
    <definedName name="Data_LoonkostenTijd155">Data!$R$157</definedName>
    <definedName name="Data_LoonkostenTijd156">Data!$R$158</definedName>
    <definedName name="Data_LoonkostenTijd157">Data!$R$159</definedName>
    <definedName name="Data_LoonkostenTijd158">Data!$R$160</definedName>
    <definedName name="Data_LoonkostenTijd159">Data!$R$161</definedName>
    <definedName name="Data_LoonkostenTijd160">Data!$R$162</definedName>
    <definedName name="Data_LoonkostenTijd161">Data!$R$163</definedName>
    <definedName name="Data_LoonkostenTijd162">Data!$R$164</definedName>
    <definedName name="Data_LoonkostenTijd163">Data!$R$165</definedName>
    <definedName name="Data_LoonkostenTijd164">Data!$R$166</definedName>
    <definedName name="Data_LoonkostenTijd165">Data!$R$167</definedName>
    <definedName name="Data_LoonkostenTijd166">Data!$R$168</definedName>
    <definedName name="Data_LoonkostenTijd167">Data!$R$169</definedName>
    <definedName name="Data_LoonkostenTijd168">Data!$R$170</definedName>
    <definedName name="Data_LoonkostenTijd169">Data!$R$171</definedName>
    <definedName name="Data_LoonkostenTijd170">Data!$R$172</definedName>
    <definedName name="Data_LoonkostenTijd171">Data!$R$173</definedName>
    <definedName name="Data_LoonkostenTijd172">Data!$R$174</definedName>
    <definedName name="Data_LoonkostenTijd173">Data!$R$175</definedName>
    <definedName name="Data_LoonkostenTijd174">Data!$R$176</definedName>
    <definedName name="Data_LoonkostenTijd175">Data!$R$177</definedName>
    <definedName name="Data_LoonkostenTijd176">Data!$R$178</definedName>
    <definedName name="Data_LoonkostenTijd177">Data!$R$179</definedName>
    <definedName name="Data_LoonkostenTijd178">Data!$R$180</definedName>
    <definedName name="Data_LoonkostenTijd179">Data!$R$181</definedName>
    <definedName name="Data_LoonkostenTijd180">Data!$R$182</definedName>
    <definedName name="Data_LoonkostenTijd181">Data!$R$183</definedName>
    <definedName name="Data_LoonkostenTijd182">Data!$R$184</definedName>
    <definedName name="Data_LoonkostenTijd183">Data!$R$185</definedName>
    <definedName name="Data_LoonkostenTijd184">Data!$R$186</definedName>
    <definedName name="Data_LoonkostenTijd185">Data!$R$187</definedName>
    <definedName name="Data_LoonkostenTijd186">Data!$R$188</definedName>
    <definedName name="Data_LoonkostenTijd187">Data!$R$189</definedName>
    <definedName name="Data_LoonkostenTijd188">Data!$R$190</definedName>
    <definedName name="Data_LoonkostenTijd189">Data!$R$191</definedName>
    <definedName name="Data_LoonkostenTijd190">Data!$R$192</definedName>
    <definedName name="Data_LoonkostenTijd191">Data!$R$193</definedName>
    <definedName name="Data_LoonkostenTijd192">Data!$R$194</definedName>
    <definedName name="Data_LoonkostenTijd193">Data!$R$195</definedName>
    <definedName name="Data_LoonkostenTijd194">Data!$R$196</definedName>
    <definedName name="Data_LoonkostenTijd195">Data!$R$197</definedName>
    <definedName name="Data_LoonkostenTijd196">Data!$R$198</definedName>
    <definedName name="Data_LoonkostenTijd197">Data!$R$199</definedName>
    <definedName name="Data_LoonkostenTijd198">Data!$R$200</definedName>
    <definedName name="Data_LoonkostenTijd199">Data!$R$201</definedName>
    <definedName name="Data_LoonkostenTijd200">Data!$R$202</definedName>
    <definedName name="Data_LoonkostenTijd201">Data!$R$203</definedName>
    <definedName name="Data_LoonkostenTijd202">Data!$R$204</definedName>
    <definedName name="Data_LoonkostenTijd203">Data!$R$205</definedName>
    <definedName name="Data_LoonkostenTijd204">Data!$R$206</definedName>
    <definedName name="Data_LoonkostenTijd205">Data!$R$207</definedName>
    <definedName name="Data_LoonkostenTijd206">Data!$R$208</definedName>
    <definedName name="Data_LoonkostenTijd207">Data!$R$209</definedName>
    <definedName name="Data_LoonkostenTijd208">Data!$R$210</definedName>
    <definedName name="Data_LoonkostenTijd209">Data!$R$211</definedName>
    <definedName name="Data_LoonkostenTijd210">Data!$R$212</definedName>
    <definedName name="Data_LoonkostenTijd211">Data!$R$213</definedName>
    <definedName name="Data_LoonkostenTijd212">Data!$R$214</definedName>
    <definedName name="Data_LoonkostenTijd213">Data!$R$215</definedName>
    <definedName name="Data_LoonkostenTijd214">Data!$R$216</definedName>
    <definedName name="Data_LoonkostenTijd215">Data!$R$217</definedName>
    <definedName name="Data_LoonkostenTijd216">Data!$R$218</definedName>
    <definedName name="Data_LoonkostenTijd217">Data!$R$219</definedName>
    <definedName name="Data_LoonkostenTijd218">Data!$R$220</definedName>
    <definedName name="Data_LoonkostenTijd219">Data!$R$221</definedName>
    <definedName name="Data_LoonkostenTijd220">Data!$R$222</definedName>
    <definedName name="Data_LoonkostenTijd221">Data!$R$223</definedName>
    <definedName name="Data_LoonkostenTijd222">Data!$R$224</definedName>
    <definedName name="Data_LoonkostenTijd223">Data!$R$225</definedName>
    <definedName name="Data_LoonkostenTijd224">Data!$R$226</definedName>
    <definedName name="Data_LoonkostenTijd225">Data!$R$227</definedName>
    <definedName name="Data_LoonkostenTijd226">Data!$R$228</definedName>
    <definedName name="Data_LoonkostenTijd227">Data!$R$229</definedName>
    <definedName name="Data_LoonkostenTijd228">Data!$R$230</definedName>
    <definedName name="Data_LoonkostenTijd229">Data!$R$231</definedName>
    <definedName name="Data_LoonkostenTijd230">Data!$R$232</definedName>
    <definedName name="Data_LoonkostenTijd231">Data!$R$233</definedName>
    <definedName name="Data_LoonkostenTijd232">Data!$R$234</definedName>
    <definedName name="Data_LoonkostenTijd233">Data!$R$235</definedName>
    <definedName name="Data_LoonkostenTijd234">Data!$R$236</definedName>
    <definedName name="Data_LoonkostenTijd235">Data!$R$237</definedName>
    <definedName name="Data_LoonkostenTijd236">Data!$R$238</definedName>
    <definedName name="Data_LoonkostenTijd237">Data!$R$239</definedName>
    <definedName name="Data_LoonkostenTijd238">Data!$R$240</definedName>
    <definedName name="Data_LoonkostenTijd239">Data!$R$241</definedName>
    <definedName name="Data_LoonkostenTijd240">Data!$R$242</definedName>
    <definedName name="Data_LoonkostenTijd241">Data!$R$243</definedName>
    <definedName name="Data_LoonkostenTijd242">Data!$R$244</definedName>
    <definedName name="Data_LoonkostenTijd243">Data!$R$245</definedName>
    <definedName name="Data_LoonkostenTijd244">Data!$R$246</definedName>
    <definedName name="Data_LoonkostenTijd245">Data!$R$247</definedName>
    <definedName name="Data_LoonkostenTijd246">Data!$R$248</definedName>
    <definedName name="Data_LoonkostenTijd247">Data!$R$249</definedName>
    <definedName name="Data_LoonkostenTijd248">Data!$R$250</definedName>
    <definedName name="Data_LoonkostenTijd249">Data!$R$251</definedName>
    <definedName name="Data_LoonkostenTijd250">Data!$R$252</definedName>
    <definedName name="Data_LoonkostenTijd251">Data!$R$253</definedName>
    <definedName name="Data_LoonkostenTijd252">Data!$R$254</definedName>
    <definedName name="Data_LoonkostenTijd253">Data!$R$255</definedName>
    <definedName name="Data_LoonkostenTijd254">Data!$R$256</definedName>
    <definedName name="Data_LoonkostenTijd255">Data!$R$257</definedName>
    <definedName name="Data_LoonkostenTijd256">Data!$R$258</definedName>
    <definedName name="Data_LoonkostenTijd257">Data!$R$259</definedName>
    <definedName name="Data_LoonkostenTijd258">Data!$R$260</definedName>
    <definedName name="Data_LoonkostenTijd259">Data!$R$261</definedName>
    <definedName name="Data_LoonkostenTijd260">Data!$R$262</definedName>
    <definedName name="Data_LoonkostenTijd261">Data!$R$263</definedName>
    <definedName name="Data_LoonkostenTijd262">Data!$R$264</definedName>
    <definedName name="Data_LoonkostenTijd263">Data!$R$265</definedName>
    <definedName name="Data_LoonkostenTijd264">Data!$R$266</definedName>
    <definedName name="Data_LoonkostenTijd265">Data!$R$267</definedName>
    <definedName name="Data_LoonkostenTijd266">Data!$R$268</definedName>
    <definedName name="Data_LoonkostenTijd267">Data!$R$269</definedName>
    <definedName name="Data_LoonkostenTijd268">Data!$R$270</definedName>
    <definedName name="Data_LoonkostenTijd269">Data!$R$271</definedName>
    <definedName name="Data_LoonkostenTijd270">Data!$R$272</definedName>
    <definedName name="Data_LoonkostenTijd271">Data!$R$273</definedName>
    <definedName name="Data_LoonkostenTijd272">Data!$R$274</definedName>
    <definedName name="Data_LoonkostenTijd273">Data!$R$275</definedName>
    <definedName name="Data_LoonkostenTijd274">Data!$R$276</definedName>
    <definedName name="Data_LoonkostenTijd275">Data!$R$277</definedName>
    <definedName name="Data_LoonkostenTijd276">Data!$R$278</definedName>
    <definedName name="Data_LoonkostenTijd277">Data!$R$279</definedName>
    <definedName name="Data_LoonkostenTijd278">Data!$R$280</definedName>
    <definedName name="Data_LoonkostenTijd279">Data!$R$281</definedName>
    <definedName name="Data_LoonkostenTijd280">Data!$R$282</definedName>
    <definedName name="Data_LoonkostenTijd281">Data!$R$283</definedName>
    <definedName name="Data_LoonkostenTijd282">Data!$R$284</definedName>
    <definedName name="Data_LoonkostenTijd283">Data!$R$285</definedName>
    <definedName name="Data_LoonkostenTijd284">Data!$R$286</definedName>
    <definedName name="Data_LoonkostenTijd285">Data!$R$287</definedName>
    <definedName name="Data_LoonkostenTijd286">Data!$R$288</definedName>
    <definedName name="Data_LoonkostenTijd287">Data!$R$289</definedName>
    <definedName name="Data_LoonkostenTijd288">Data!$R$290</definedName>
    <definedName name="Data_LoonkostenTijd289">Data!$R$291</definedName>
    <definedName name="Data_LoonkostenTijd290">Data!$R$292</definedName>
    <definedName name="Data_LoonkostenTijd291">Data!$R$293</definedName>
    <definedName name="Data_LoonkostenTijd292">Data!$R$294</definedName>
    <definedName name="Data_LoonkostenTijd293">Data!$R$295</definedName>
    <definedName name="Data_LoonkostenTijd294">Data!$R$296</definedName>
    <definedName name="Data_LoonkostenTijd295">Data!$R$297</definedName>
    <definedName name="Data_LoonkostenTijd296">Data!$R$298</definedName>
    <definedName name="Data_LoonkostenTijd297">Data!$R$299</definedName>
    <definedName name="Data_LoonkostenTijd298">Data!$R$300</definedName>
    <definedName name="Data_LoonkostenTijd299">Data!$R$301</definedName>
    <definedName name="Data_LoonkostenTijd300">Data!$R$302</definedName>
    <definedName name="Data_LoonkostenTijd301">Data!$R$303</definedName>
    <definedName name="Data_LoonkostenTijd302">Data!$R$304</definedName>
    <definedName name="Data_LoonkostenTijd303">Data!$R$305</definedName>
    <definedName name="Data_LoonkostenTijd304">Data!$R$306</definedName>
    <definedName name="Data_LoonkostenTijd305">Data!$R$307</definedName>
    <definedName name="Data_LoonkostenTijd306">Data!$R$308</definedName>
    <definedName name="Data_LoonkostenTijd307">Data!$R$309</definedName>
    <definedName name="Data_LoonkostenTijd308">Data!$R$310</definedName>
    <definedName name="Data_LoonkostenTijd309">Data!$R$311</definedName>
    <definedName name="Data_LoonkostenTijd310">Data!$R$312</definedName>
    <definedName name="Data_LoonkostenTijd311">Data!$R$313</definedName>
    <definedName name="Data_LoonkostenTijd312">Data!$R$314</definedName>
    <definedName name="Data_LoonkostenTijd313">Data!$R$315</definedName>
    <definedName name="Data_LoonkostenTijd314">Data!$R$316</definedName>
    <definedName name="Data_LoonkostenTijd315">Data!$R$317</definedName>
    <definedName name="Data_LoonkostenTijd316">Data!$R$318</definedName>
    <definedName name="Data_LoonkostenTijd317">Data!$R$319</definedName>
    <definedName name="Data_LoonkostenTijd318">Data!$R$320</definedName>
    <definedName name="Data_LoonkostenTijd319">Data!$R$321</definedName>
    <definedName name="Data_LoonkostenTijd320">Data!$R$322</definedName>
    <definedName name="Data_LoonkostenTijd321">Data!$R$323</definedName>
    <definedName name="Data_LoonkostenTijd322">Data!$R$324</definedName>
    <definedName name="Data_LoonkostenTijd323">Data!$R$325</definedName>
    <definedName name="Data_LoonkostenTijd324">Data!$R$326</definedName>
    <definedName name="Data_LoonkostenTijd325">Data!$R$327</definedName>
    <definedName name="Data_LoonkostenTijd326">Data!$R$328</definedName>
    <definedName name="Data_LoonkostenTijd327">Data!$R$329</definedName>
    <definedName name="Data_LoonkostenTijd328">Data!$R$330</definedName>
    <definedName name="Data_LoonkostenTijd329">Data!$R$331</definedName>
    <definedName name="Data_LoonkostenTijd330">Data!$R$332</definedName>
    <definedName name="Data_LoonkostenTijd331">Data!$R$333</definedName>
    <definedName name="Data_LoonkostenTijd332">Data!$R$334</definedName>
    <definedName name="Data_LoonkostenTijd333">Data!$R$335</definedName>
    <definedName name="Data_LoonkostenTijd334">Data!$R$336</definedName>
    <definedName name="Data_LoonkostenTijd335">Data!$R$337</definedName>
    <definedName name="Data_LoonkostenTijd336">Data!$R$338</definedName>
    <definedName name="Data_LoonkostenTijd337">Data!$R$339</definedName>
    <definedName name="Data_LoonkostenTijd338">Data!$R$340</definedName>
    <definedName name="Data_LoonkostenTijd339">Data!$R$341</definedName>
    <definedName name="Data_LoonkostenTijd340">Data!$R$342</definedName>
    <definedName name="Data_LoonkostenTijd341">Data!$R$343</definedName>
    <definedName name="Data_LoonkostenTijd342">Data!$R$344</definedName>
    <definedName name="Data_LoonkostenTijd343">Data!$R$345</definedName>
    <definedName name="Data_LoonkostenTijd344">Data!$R$346</definedName>
    <definedName name="Data_LoonkostenTijd345">Data!$R$347</definedName>
    <definedName name="Data_LoonkostenTijd346">Data!$R$348</definedName>
    <definedName name="Data_LoonkostenTijd347">Data!$R$349</definedName>
    <definedName name="Data_LoonkostenTijd348">Data!$R$350</definedName>
    <definedName name="Data_LoonkostenTijd349">Data!$R$351</definedName>
    <definedName name="Data_LoonkostenTijd350">Data!$R$352</definedName>
    <definedName name="Data_LoonkostenTijd351">Data!$R$353</definedName>
    <definedName name="Data_LoonkostenTijd352">Data!$R$354</definedName>
    <definedName name="Data_LoonkostenTijd353">Data!$R$355</definedName>
    <definedName name="Data_LoonkostenTijd354">Data!$R$356</definedName>
    <definedName name="Data_LoonkostenTijd355">Data!$R$357</definedName>
    <definedName name="Data_LoonkostenTijd356">Data!$R$358</definedName>
    <definedName name="Data_LoonkostenTijd357">Data!$R$359</definedName>
    <definedName name="Data_LoonkostenTijd358">Data!$R$360</definedName>
    <definedName name="Data_LoonkostenTijd359">Data!$R$361</definedName>
    <definedName name="Data_LoonkostenTijd360">Data!$R$362</definedName>
    <definedName name="Data_LoonkostenTijd361">Data!$R$363</definedName>
    <definedName name="Data_LoonkostenTijd362">Data!$R$364</definedName>
    <definedName name="Data_LoonkostenTijd363">Data!$R$365</definedName>
    <definedName name="Data_LoonkostenTijd364">Data!$R$366</definedName>
    <definedName name="Data_LoonkostenTijd365">Data!$R$367</definedName>
    <definedName name="Data_LoonkostenTijd366">Data!$R$368</definedName>
    <definedName name="Data_LoonkostenTijd367">Data!$R$369</definedName>
    <definedName name="Data_LoonkostenTijd368">Data!$R$370</definedName>
    <definedName name="Data_LoonkostenTijd369">Data!$R$371</definedName>
    <definedName name="Data_LoonkostenTijd370">Data!$R$372</definedName>
    <definedName name="Data_LoonkostenTijd371">Data!$R$373</definedName>
    <definedName name="Data_LoonkostenTijd372">Data!$R$374</definedName>
    <definedName name="Data_LoonkostenTijd373">Data!$R$375</definedName>
    <definedName name="Data_LoonkostenTijd374">Data!$R$376</definedName>
    <definedName name="Data_LoonkostenTijd375">Data!$R$377</definedName>
    <definedName name="Data_LoonkostenTijd376">Data!$R$378</definedName>
    <definedName name="Data_LoonkostenTijd377">Data!$R$379</definedName>
    <definedName name="Data_LoonkostenTijd378">Data!$R$380</definedName>
    <definedName name="Data_LoonkostenTijd379">Data!$R$381</definedName>
    <definedName name="Data_LoonkostenTijd380">Data!$R$382</definedName>
    <definedName name="Data_LoonkostenTijd381">Data!$R$383</definedName>
    <definedName name="Data_LoonkostenTijd382">Data!$R$384</definedName>
    <definedName name="Data_LoonkostenTijd383">Data!$R$385</definedName>
    <definedName name="Data_LoonkostenTijd384">Data!$R$386</definedName>
    <definedName name="Data_LoonkostenTijd385">Data!$R$387</definedName>
    <definedName name="Data_LoonkostenTijd386">Data!$R$388</definedName>
    <definedName name="Data_LoonkostenTijd387">Data!$R$389</definedName>
    <definedName name="Data_LoonkostenTijd388">Data!$R$390</definedName>
    <definedName name="Data_LoonkostenTijd389">Data!$R$391</definedName>
    <definedName name="Data_LoonkostenTijd390">Data!$R$392</definedName>
    <definedName name="Data_LoonkostenTijd391">Data!$R$393</definedName>
    <definedName name="Data_LoonkostenTijd392">Data!$R$394</definedName>
    <definedName name="Data_LoonkostenTijd393">Data!$R$395</definedName>
    <definedName name="Data_LoonkostenTijd394">Data!$R$396</definedName>
    <definedName name="Data_LoonkostenTijd395">Data!$R$397</definedName>
    <definedName name="Data_LoonkostenTijd396">Data!$R$398</definedName>
    <definedName name="Data_LoonkostenTijd397">Data!$R$399</definedName>
    <definedName name="Data_LoonkostenTijd398">Data!$R$400</definedName>
    <definedName name="Data_LoonkostenTijd399">Data!$R$401</definedName>
    <definedName name="Data_LoonkostenTijd400">Data!$R$402</definedName>
    <definedName name="Data_LoonkostenTijd401">Data!$R$403</definedName>
    <definedName name="Data_LoonkostenTijd402">Data!$R$404</definedName>
    <definedName name="Data_LoonkostenTijd403">Data!$R$405</definedName>
    <definedName name="Data_LoonkostenTijd404">Data!$R$406</definedName>
    <definedName name="Data_LoonkostenTijd405">Data!$R$407</definedName>
    <definedName name="Data_LoonkostenTijd406">Data!$R$408</definedName>
    <definedName name="Data_LoonkostenTijd407">Data!$R$409</definedName>
    <definedName name="Data_LoonkostenTijd408">Data!$R$410</definedName>
    <definedName name="Data_LoonkostenTijd409">Data!$R$411</definedName>
    <definedName name="Data_LoonkostenTijd410">Data!$R$412</definedName>
    <definedName name="Data_LoonkostenTijd411">Data!$R$413</definedName>
    <definedName name="Data_LoonkostenTijd412">Data!$R$414</definedName>
    <definedName name="Data_LoonkostenTijd413">Data!$R$415</definedName>
    <definedName name="Data_LoonkostenTijd414">Data!$R$416</definedName>
    <definedName name="Data_LoonkostenTijd415">Data!$R$417</definedName>
    <definedName name="Data_LoonkostenTijd416">Data!$R$418</definedName>
    <definedName name="Data_LoonkostenTijd417">Data!$R$419</definedName>
    <definedName name="Data_LoonkostenTijd418">Data!$R$420</definedName>
    <definedName name="Data_LoonkostenTijd419">Data!$R$421</definedName>
    <definedName name="Data_LoonkostenTijd420">Data!$R$422</definedName>
    <definedName name="Data_LoonkostenTijd421">Data!$R$423</definedName>
    <definedName name="Data_LoonkostenTijd422">Data!$R$424</definedName>
    <definedName name="Data_LoonkostenTijd423">Data!$R$425</definedName>
    <definedName name="Data_LoonkostenTijd424">Data!$R$426</definedName>
    <definedName name="Data_LoonkostenTijd425">Data!$R$427</definedName>
    <definedName name="Data_LoonkostenTijd426">Data!$R$428</definedName>
    <definedName name="Data_LoonkostenTijd427">Data!$R$429</definedName>
    <definedName name="Data_LoonkostenTijd428">Data!$R$430</definedName>
    <definedName name="Data_LoonkostenTijd429">Data!$R$431</definedName>
    <definedName name="Data_LoonkostenTijd430">Data!$R$432</definedName>
    <definedName name="Data_LoonkostenTijd431">Data!$R$433</definedName>
    <definedName name="Data_LoonkostenTijd432">Data!$R$434</definedName>
    <definedName name="Data_LoonkostenTijd433">Data!$R$435</definedName>
    <definedName name="Data_LoonkostenTijd434">Data!$R$436</definedName>
    <definedName name="Data_LoonkostenTijd435">Data!$R$437</definedName>
    <definedName name="Data_LoonkostenTijd436">Data!$R$438</definedName>
    <definedName name="Data_LoonkostenTijd437">Data!$R$439</definedName>
    <definedName name="Data_LoonkostenTijd438">Data!$R$440</definedName>
    <definedName name="Data_LoonkostenTijd439">Data!$R$441</definedName>
    <definedName name="Data_LoonkostenTijd440">Data!$R$442</definedName>
    <definedName name="Data_LoonkostenTijd441">Data!$R$443</definedName>
    <definedName name="Data_LoonkostenTijd442">Data!$R$444</definedName>
    <definedName name="Data_LoonkostenTijd443">Data!$R$445</definedName>
    <definedName name="Data_LoonkostenTijd444">Data!$R$446</definedName>
    <definedName name="Data_LoonkostenTijd445">Data!$R$447</definedName>
    <definedName name="Data_LoonkostenTijd446">Data!$R$448</definedName>
    <definedName name="Data_LoonkostenTijd447">Data!$R$449</definedName>
    <definedName name="Data_LoonkostenTijd448">Data!$R$450</definedName>
    <definedName name="Data_LoonkostenTijd449">Data!$R$451</definedName>
    <definedName name="Data_LoonkostenTijd450">Data!$R$452</definedName>
    <definedName name="Data_LoonkostenTijd451">Data!$R$453</definedName>
    <definedName name="Data_LoonkostenTijd452">Data!$R$454</definedName>
    <definedName name="Data_LoonkostenTijd453">Data!$R$455</definedName>
    <definedName name="Data_LoonkostenTijd454">Data!$R$456</definedName>
    <definedName name="Data_LoonkostenTijd455">Data!$R$457</definedName>
    <definedName name="Data_LoonkostenTijd456">Data!$R$458</definedName>
    <definedName name="Data_LoonkostenTijd457">Data!$R$459</definedName>
    <definedName name="Data_LoonkostenTijd458">Data!$R$460</definedName>
    <definedName name="Data_LoonkostenTijd459">Data!$R$461</definedName>
    <definedName name="Data_LoonkostenTijd460">Data!$R$462</definedName>
    <definedName name="Data_LoonkostenTijd461">Data!$R$463</definedName>
    <definedName name="Data_LoonkostenTijd462">Data!$R$464</definedName>
    <definedName name="Data_LoonkostenTijd463">Data!$R$465</definedName>
    <definedName name="Data_LoonkostenTijd464">Data!$R$466</definedName>
    <definedName name="Data_LoonkostenTijd465">Data!$R$467</definedName>
    <definedName name="Data_LoonkostenTijd466">Data!$R$468</definedName>
    <definedName name="Data_LoonkostenTijd467">Data!$R$469</definedName>
    <definedName name="Data_LoonkostenTijd468">Data!$R$470</definedName>
    <definedName name="Data_LoonkostenTijd469">Data!$R$471</definedName>
    <definedName name="Data_LoonkostenTijd470">Data!$R$472</definedName>
    <definedName name="Data_LoonkostenTijd471">Data!$R$473</definedName>
    <definedName name="Data_LoonkostenTijd472">Data!$R$474</definedName>
    <definedName name="Data_LoonkostenTijd473">Data!$R$475</definedName>
    <definedName name="Data_LoonkostenTijd474">Data!$R$476</definedName>
    <definedName name="Data_LoonkostenTijd475">Data!$R$477</definedName>
    <definedName name="Data_LoonkostenTijd476">Data!$R$478</definedName>
    <definedName name="Data_LoonkostenTijd477">Data!$R$479</definedName>
    <definedName name="Data_LoonkostenTijd478">Data!$R$480</definedName>
    <definedName name="Data_LoonkostenTijd479">Data!$R$481</definedName>
    <definedName name="Data_LoonkostenTijd480">Data!$R$482</definedName>
    <definedName name="Data_LoonkostenTijd481">Data!$R$483</definedName>
    <definedName name="Data_LoonkostenTijd482">Data!$R$484</definedName>
    <definedName name="Data_LoonkostenTijd483">Data!$R$485</definedName>
    <definedName name="Data_LoonkostenTijd484">Data!$R$486</definedName>
    <definedName name="Data_LoonkostenTijd485">Data!$R$487</definedName>
    <definedName name="Data_LoonkostenTijd486">Data!$R$488</definedName>
    <definedName name="Data_LoonkostenTijd487">Data!$R$489</definedName>
    <definedName name="Data_LoonkostenTijd488">Data!$R$490</definedName>
    <definedName name="Data_LoonkostenTijd489">Data!$R$491</definedName>
    <definedName name="Data_LoonkostenTijd490">Data!$R$492</definedName>
    <definedName name="Data_LoonkostenTijd491">Data!$R$493</definedName>
    <definedName name="Data_LoonkostenTijd492">Data!$R$494</definedName>
    <definedName name="Data_LoonkostenTijd493">Data!$R$495</definedName>
    <definedName name="Data_LoonkostenTijd494">Data!$R$496</definedName>
    <definedName name="Data_LoonkostenTijd495">Data!$R$497</definedName>
    <definedName name="Data_LoonkostenTijd496">Data!$R$498</definedName>
    <definedName name="Data_LoonkostenTijd497">Data!$R$499</definedName>
    <definedName name="Data_LoonkostenTijd498">Data!$R$500</definedName>
    <definedName name="Data_LoonkostenTijd499">Data!$R$501</definedName>
    <definedName name="Data_LoonkostenTijd500">Data!$R$502</definedName>
    <definedName name="Data_LoonkostenVastOntslag001">Data!$AL$3</definedName>
    <definedName name="Data_LoonkostenVastOntslag002">Data!$AL$4</definedName>
    <definedName name="Data_LoonkostenVastOntslag003">Data!$AL$5</definedName>
    <definedName name="Data_LoonkostenVastOntslag004">Data!$AL$6</definedName>
    <definedName name="Data_LoonkostenVastOntslag005">Data!$AL$7</definedName>
    <definedName name="Data_LoonkostenVastOntslag006">Data!$AL$8</definedName>
    <definedName name="Data_LoonkostenVastOntslag007">Data!$AL$9</definedName>
    <definedName name="Data_LoonkostenVastOntslag008">Data!$AL$10</definedName>
    <definedName name="Data_LoonkostenVastOntslag009">Data!$AL$11</definedName>
    <definedName name="Data_LoonkostenVastOntslag010">Data!$AL$12</definedName>
    <definedName name="Data_LoonkostenVastOntslag011">Data!$AL$13</definedName>
    <definedName name="Data_LoonkostenVastOntslag012">Data!$AL$14</definedName>
    <definedName name="Data_LoonkostenVastOntslag013">Data!$AL$15</definedName>
    <definedName name="Data_LoonkostenVastOntslag014">Data!$AL$16</definedName>
    <definedName name="Data_LoonkostenVastOntslag015">Data!$AL$17</definedName>
    <definedName name="Data_LoonkostenVastOntslag016">Data!$AL$18</definedName>
    <definedName name="Data_LoonkostenVastOntslag017">Data!$AL$19</definedName>
    <definedName name="Data_LoonkostenVastOntslag018">Data!$AL$20</definedName>
    <definedName name="Data_LoonkostenVastOntslag019">Data!$AL$21</definedName>
    <definedName name="Data_LoonkostenVastOntslag020">Data!$AL$22</definedName>
    <definedName name="Data_LoonkostenVastOntslag021">Data!$AL$23</definedName>
    <definedName name="Data_LoonkostenVastOntslag022">Data!$AL$24</definedName>
    <definedName name="Data_LoonkostenVastOntslag023">Data!$AL$25</definedName>
    <definedName name="Data_LoonkostenVastOntslag024">Data!$AL$26</definedName>
    <definedName name="Data_LoonkostenVastOntslag025">Data!$AL$27</definedName>
    <definedName name="Data_LoonkostenVastOntslag026">Data!$AL$28</definedName>
    <definedName name="Data_LoonkostenVastOntslag027">Data!$AL$29</definedName>
    <definedName name="Data_LoonkostenVastOntslag028">Data!$AL$30</definedName>
    <definedName name="Data_LoonkostenVastOntslag029">Data!$AL$31</definedName>
    <definedName name="Data_LoonkostenVastOntslag030">Data!$AL$32</definedName>
    <definedName name="Data_LoonkostenVastOntslag031">Data!$AL$33</definedName>
    <definedName name="Data_LoonkostenVastOntslag032">Data!$AL$34</definedName>
    <definedName name="Data_LoonkostenVastOntslag033">Data!$AL$35</definedName>
    <definedName name="Data_LoonkostenVastOntslag034">Data!$AL$36</definedName>
    <definedName name="Data_LoonkostenVastOntslag035">Data!$AL$37</definedName>
    <definedName name="Data_LoonkostenVastOntslag036">Data!$AL$38</definedName>
    <definedName name="Data_LoonkostenVastOntslag037">Data!$AL$39</definedName>
    <definedName name="Data_LoonkostenVastOntslag038">Data!$AL$40</definedName>
    <definedName name="Data_LoonkostenVastOntslag039">Data!$AL$41</definedName>
    <definedName name="Data_LoonkostenVastOntslag040">Data!$AL$42</definedName>
    <definedName name="Data_LoonkostenVastOntslag041">Data!$AL$43</definedName>
    <definedName name="Data_LoonkostenVastOntslag042">Data!$AL$44</definedName>
    <definedName name="Data_LoonkostenVastOntslag043">Data!$AL$45</definedName>
    <definedName name="Data_LoonkostenVastOntslag044">Data!$AL$46</definedName>
    <definedName name="Data_LoonkostenVastOntslag045">Data!$AL$47</definedName>
    <definedName name="Data_LoonkostenVastOntslag046">Data!$AL$48</definedName>
    <definedName name="Data_LoonkostenVastOntslag047">Data!$AL$49</definedName>
    <definedName name="Data_LoonkostenVastOntslag048">Data!$AL$50</definedName>
    <definedName name="Data_LoonkostenVastOntslag049">Data!$AL$51</definedName>
    <definedName name="Data_LoonkostenVastOntslag050">Data!$AL$52</definedName>
    <definedName name="Data_LoonkostenVastOntslag051">Data!$AL$53</definedName>
    <definedName name="Data_LoonkostenVastOntslag052">Data!$AL$54</definedName>
    <definedName name="Data_LoonkostenVastOntslag053">Data!$AL$55</definedName>
    <definedName name="Data_LoonkostenVastOntslag054">Data!$AL$56</definedName>
    <definedName name="Data_LoonkostenVastOntslag055">Data!$AL$57</definedName>
    <definedName name="Data_LoonkostenVastOntslag056">Data!$AL$58</definedName>
    <definedName name="Data_LoonkostenVastOntslag057">Data!$AL$59</definedName>
    <definedName name="Data_LoonkostenVastOntslag058">Data!$AL$60</definedName>
    <definedName name="Data_LoonkostenVastOntslag059">Data!$AL$61</definedName>
    <definedName name="Data_LoonkostenVastOntslag060">Data!$AL$62</definedName>
    <definedName name="Data_LoonkostenVastOntslag061">Data!$AL$63</definedName>
    <definedName name="Data_LoonkostenVastOntslag062">Data!$AL$64</definedName>
    <definedName name="Data_LoonkostenVastOntslag063">Data!$AL$65</definedName>
    <definedName name="Data_LoonkostenVastOntslag064">Data!$AL$66</definedName>
    <definedName name="Data_LoonkostenVastOntslag065">Data!$AL$67</definedName>
    <definedName name="Data_LoonkostenVastOntslag066">Data!$AL$68</definedName>
    <definedName name="Data_LoonkostenVastOntslag067">Data!$AL$69</definedName>
    <definedName name="Data_LoonkostenVastOntslag068">Data!$AL$70</definedName>
    <definedName name="Data_LoonkostenVastOntslag069">Data!$AL$71</definedName>
    <definedName name="Data_LoonkostenVastOntslag070">Data!$AL$72</definedName>
    <definedName name="Data_LoonkostenVastOntslag071">Data!$AL$73</definedName>
    <definedName name="Data_LoonkostenVastOntslag072">Data!$AL$74</definedName>
    <definedName name="Data_LoonkostenVastOntslag073">Data!$AL$75</definedName>
    <definedName name="Data_LoonkostenVastOntslag074">Data!$AL$76</definedName>
    <definedName name="Data_LoonkostenVastOntslag075">Data!$AL$77</definedName>
    <definedName name="Data_LoonkostenVastOntslag076">Data!$AL$78</definedName>
    <definedName name="Data_LoonkostenVastOntslag077">Data!$AL$79</definedName>
    <definedName name="Data_LoonkostenVastOntslag078">Data!$AL$80</definedName>
    <definedName name="Data_LoonkostenVastOntslag079">Data!$AL$81</definedName>
    <definedName name="Data_LoonkostenVastOntslag080">Data!$AL$82</definedName>
    <definedName name="Data_LoonkostenVastOntslag081">Data!$AL$83</definedName>
    <definedName name="Data_LoonkostenVastOntslag082">Data!$AL$84</definedName>
    <definedName name="Data_LoonkostenVastOntslag083">Data!$AL$85</definedName>
    <definedName name="Data_LoonkostenVastOntslag084">Data!$AL$86</definedName>
    <definedName name="Data_LoonkostenVastOntslag085">Data!$AL$87</definedName>
    <definedName name="Data_LoonkostenVastOntslag086">Data!$AL$88</definedName>
    <definedName name="Data_LoonkostenVastOntslag087">Data!$AL$89</definedName>
    <definedName name="Data_LoonkostenVastOntslag088">Data!$AL$90</definedName>
    <definedName name="Data_LoonkostenVastOntslag089">Data!$AL$91</definedName>
    <definedName name="Data_LoonkostenVastOntslag090">Data!$AL$92</definedName>
    <definedName name="Data_LoonkostenVastOntslag091">Data!$AL$93</definedName>
    <definedName name="Data_LoonkostenVastOntslag092">Data!$AL$94</definedName>
    <definedName name="Data_LoonkostenVastOntslag093">Data!$AL$95</definedName>
    <definedName name="Data_LoonkostenVastOntslag094">Data!$AL$96</definedName>
    <definedName name="Data_LoonkostenVastOntslag095">Data!$AL$97</definedName>
    <definedName name="Data_LoonkostenVastOntslag096">Data!$AL$98</definedName>
    <definedName name="Data_LoonkostenVastOntslag097">Data!$AL$99</definedName>
    <definedName name="Data_LoonkostenVastOntslag098">Data!$AL$100</definedName>
    <definedName name="Data_LoonkostenVastOntslag099">Data!$AL$101</definedName>
    <definedName name="Data_LoonkostenVastOntslag100">Data!$AL$102</definedName>
    <definedName name="Data_LoonkostenVastOntslag101">Data!$AL$103</definedName>
    <definedName name="Data_LoonkostenVastOntslag102">Data!$AL$104</definedName>
    <definedName name="Data_LoonkostenVastOntslag103">Data!$AL$105</definedName>
    <definedName name="Data_LoonkostenVastOntslag104">Data!$AL$106</definedName>
    <definedName name="Data_LoonkostenVastOntslag105">Data!$AL$107</definedName>
    <definedName name="Data_LoonkostenVastOntslag106">Data!$AL$108</definedName>
    <definedName name="Data_LoonkostenVastOntslag107">Data!$AL$109</definedName>
    <definedName name="Data_LoonkostenVastOntslag108">Data!$AL$110</definedName>
    <definedName name="Data_LoonkostenVastOntslag109">Data!$AL$111</definedName>
    <definedName name="Data_LoonkostenVastOntslag110">Data!$AL$112</definedName>
    <definedName name="Data_LoonkostenVastOntslag111">Data!$AL$113</definedName>
    <definedName name="Data_LoonkostenVastOntslag112">Data!$AL$114</definedName>
    <definedName name="Data_LoonkostenVastOntslag113">Data!$AL$115</definedName>
    <definedName name="Data_LoonkostenVastOntslag114">Data!$AL$116</definedName>
    <definedName name="Data_LoonkostenVastOntslag115">Data!$AL$117</definedName>
    <definedName name="Data_LoonkostenVastOntslag116">Data!$AL$118</definedName>
    <definedName name="Data_LoonkostenVastOntslag117">Data!$AL$119</definedName>
    <definedName name="Data_LoonkostenVastOntslag118">Data!$AL$120</definedName>
    <definedName name="Data_LoonkostenVastOntslag119">Data!$AL$121</definedName>
    <definedName name="Data_LoonkostenVastOntslag120">Data!$AL$122</definedName>
    <definedName name="Data_LoonkostenVastOntslag121">Data!$AL$123</definedName>
    <definedName name="Data_LoonkostenVastOntslag122">Data!$AL$124</definedName>
    <definedName name="Data_LoonkostenVastOntslag123">Data!$AL$125</definedName>
    <definedName name="Data_LoonkostenVastOntslag124">Data!$AL$126</definedName>
    <definedName name="Data_LoonkostenVastOntslag125">Data!$AL$127</definedName>
    <definedName name="Data_LoonkostenVastOntslag126">Data!$AL$128</definedName>
    <definedName name="Data_LoonkostenVastOntslag127">Data!$AL$129</definedName>
    <definedName name="Data_LoonkostenVastOntslag128">Data!$AL$130</definedName>
    <definedName name="Data_LoonkostenVastOntslag129">Data!$AL$131</definedName>
    <definedName name="Data_LoonkostenVastOntslag130">Data!$AL$132</definedName>
    <definedName name="Data_LoonkostenVastOntslag131">Data!$AL$133</definedName>
    <definedName name="Data_LoonkostenVastOntslag132">Data!$AL$134</definedName>
    <definedName name="Data_LoonkostenVastOntslag133">Data!$AL$135</definedName>
    <definedName name="Data_LoonkostenVastOntslag134">Data!$AL$136</definedName>
    <definedName name="Data_LoonkostenVastOntslag135">Data!$AL$137</definedName>
    <definedName name="Data_LoonkostenVastOntslag136">Data!$AL$138</definedName>
    <definedName name="Data_LoonkostenVastOntslag137">Data!$AL$139</definedName>
    <definedName name="Data_LoonkostenVastOntslag138">Data!$AL$140</definedName>
    <definedName name="Data_LoonkostenVastOntslag139">Data!$AL$141</definedName>
    <definedName name="Data_LoonkostenVastOntslag140">Data!$AL$142</definedName>
    <definedName name="Data_LoonkostenVastOntslag141">Data!$AL$143</definedName>
    <definedName name="Data_LoonkostenVastOntslag142">Data!$AL$144</definedName>
    <definedName name="Data_LoonkostenVastOntslag143">Data!$AL$145</definedName>
    <definedName name="Data_LoonkostenVastOntslag144">Data!$AL$146</definedName>
    <definedName name="Data_LoonkostenVastOntslag145">Data!$AL$147</definedName>
    <definedName name="Data_LoonkostenVastOntslag146">Data!$AL$148</definedName>
    <definedName name="Data_LoonkostenVastOntslag147">Data!$AL$149</definedName>
    <definedName name="Data_LoonkostenVastOntslag148">Data!$AL$150</definedName>
    <definedName name="Data_LoonkostenVastOntslag149">Data!$AL$151</definedName>
    <definedName name="Data_LoonkostenVastOntslag150">Data!$AL$152</definedName>
    <definedName name="Data_LoonkostenVastOntslag151">Data!$AL$153</definedName>
    <definedName name="Data_LoonkostenVastOntslag152">Data!$AL$154</definedName>
    <definedName name="Data_LoonkostenVastOntslag153">Data!$AL$155</definedName>
    <definedName name="Data_LoonkostenVastOntslag154">Data!$AL$156</definedName>
    <definedName name="Data_LoonkostenVastOntslag155">Data!$AL$157</definedName>
    <definedName name="Data_LoonkostenVastOntslag156">Data!$AL$158</definedName>
    <definedName name="Data_LoonkostenVastOntslag157">Data!$AL$159</definedName>
    <definedName name="Data_LoonkostenVastOntslag158">Data!$AL$160</definedName>
    <definedName name="Data_LoonkostenVastOntslag159">Data!$AL$161</definedName>
    <definedName name="Data_LoonkostenVastOntslag160">Data!$AL$162</definedName>
    <definedName name="Data_LoonkostenVastOntslag161">Data!$AL$163</definedName>
    <definedName name="Data_LoonkostenVastOntslag162">Data!$AL$164</definedName>
    <definedName name="Data_LoonkostenVastOntslag163">Data!$AL$165</definedName>
    <definedName name="Data_LoonkostenVastOntslag164">Data!$AL$166</definedName>
    <definedName name="Data_LoonkostenVastOntslag165">Data!$AL$167</definedName>
    <definedName name="Data_LoonkostenVastOntslag166">Data!$AL$168</definedName>
    <definedName name="Data_LoonkostenVastOntslag167">Data!$AL$169</definedName>
    <definedName name="Data_LoonkostenVastOntslag168">Data!$AL$170</definedName>
    <definedName name="Data_LoonkostenVastOntslag169">Data!$AL$171</definedName>
    <definedName name="Data_LoonkostenVastOntslag170">Data!$AL$172</definedName>
    <definedName name="Data_LoonkostenVastOntslag171">Data!$AL$173</definedName>
    <definedName name="Data_LoonkostenVastOntslag172">Data!$AL$174</definedName>
    <definedName name="Data_LoonkostenVastOntslag173">Data!$AL$175</definedName>
    <definedName name="Data_LoonkostenVastOntslag174">Data!$AL$176</definedName>
    <definedName name="Data_LoonkostenVastOntslag175">Data!$AL$177</definedName>
    <definedName name="Data_LoonkostenVastOntslag176">Data!$AL$178</definedName>
    <definedName name="Data_LoonkostenVastOntslag177">Data!$AL$179</definedName>
    <definedName name="Data_LoonkostenVastOntslag178">Data!$AL$180</definedName>
    <definedName name="Data_LoonkostenVastOntslag179">Data!$AL$181</definedName>
    <definedName name="Data_LoonkostenVastOntslag180">Data!$AL$182</definedName>
    <definedName name="Data_LoonkostenVastOntslag181">Data!$AL$183</definedName>
    <definedName name="Data_LoonkostenVastOntslag182">Data!$AL$184</definedName>
    <definedName name="Data_LoonkostenVastOntslag183">Data!$AL$185</definedName>
    <definedName name="Data_LoonkostenVastOntslag184">Data!$AL$186</definedName>
    <definedName name="Data_LoonkostenVastOntslag185">Data!$AL$187</definedName>
    <definedName name="Data_LoonkostenVastOntslag186">Data!$AL$188</definedName>
    <definedName name="Data_LoonkostenVastOntslag187">Data!$AL$189</definedName>
    <definedName name="Data_LoonkostenVastOntslag188">Data!$AL$190</definedName>
    <definedName name="Data_LoonkostenVastOntslag189">Data!$AL$191</definedName>
    <definedName name="Data_LoonkostenVastOntslag190">Data!$AL$192</definedName>
    <definedName name="Data_LoonkostenVastOntslag191">Data!$AL$193</definedName>
    <definedName name="Data_LoonkostenVastOntslag192">Data!$AL$194</definedName>
    <definedName name="Data_LoonkostenVastOntslag193">Data!$AL$195</definedName>
    <definedName name="Data_LoonkostenVastOntslag194">Data!$AL$196</definedName>
    <definedName name="Data_LoonkostenVastOntslag195">Data!$AL$197</definedName>
    <definedName name="Data_LoonkostenVastOntslag196">Data!$AL$198</definedName>
    <definedName name="Data_LoonkostenVastOntslag197">Data!$AL$199</definedName>
    <definedName name="Data_LoonkostenVastOntslag198">Data!$AL$200</definedName>
    <definedName name="Data_LoonkostenVastOntslag199">Data!$AL$201</definedName>
    <definedName name="Data_LoonkostenVastOntslag200">Data!$AL$202</definedName>
    <definedName name="Data_LoonkostenVastOntslag201">Data!$AL$203</definedName>
    <definedName name="Data_LoonkostenVastOntslag202">Data!$AL$204</definedName>
    <definedName name="Data_LoonkostenVastOntslag203">Data!$AL$205</definedName>
    <definedName name="Data_LoonkostenVastOntslag204">Data!$AL$206</definedName>
    <definedName name="Data_LoonkostenVastOntslag205">Data!$AL$207</definedName>
    <definedName name="Data_LoonkostenVastOntslag206">Data!$AL$208</definedName>
    <definedName name="Data_LoonkostenVastOntslag207">Data!$AL$209</definedName>
    <definedName name="Data_LoonkostenVastOntslag208">Data!$AL$210</definedName>
    <definedName name="Data_LoonkostenVastOntslag209">Data!$AL$211</definedName>
    <definedName name="Data_LoonkostenVastOntslag210">Data!$AL$212</definedName>
    <definedName name="Data_LoonkostenVastOntslag211">Data!$AL$213</definedName>
    <definedName name="Data_LoonkostenVastOntslag212">Data!$AL$214</definedName>
    <definedName name="Data_LoonkostenVastOntslag213">Data!$AL$215</definedName>
    <definedName name="Data_LoonkostenVastOntslag214">Data!$AL$216</definedName>
    <definedName name="Data_LoonkostenVastOntslag215">Data!$AL$217</definedName>
    <definedName name="Data_LoonkostenVastOntslag216">Data!$AL$218</definedName>
    <definedName name="Data_LoonkostenVastOntslag217">Data!$AL$219</definedName>
    <definedName name="Data_LoonkostenVastOntslag218">Data!$AL$220</definedName>
    <definedName name="Data_LoonkostenVastOntslag219">Data!$AL$221</definedName>
    <definedName name="Data_LoonkostenVastOntslag220">Data!$AL$222</definedName>
    <definedName name="Data_LoonkostenVastOntslag221">Data!$AL$223</definedName>
    <definedName name="Data_LoonkostenVastOntslag222">Data!$AL$224</definedName>
    <definedName name="Data_LoonkostenVastOntslag223">Data!$AL$225</definedName>
    <definedName name="Data_LoonkostenVastOntslag224">Data!$AL$226</definedName>
    <definedName name="Data_LoonkostenVastOntslag225">Data!$AL$227</definedName>
    <definedName name="Data_LoonkostenVastOntslag226">Data!$AL$228</definedName>
    <definedName name="Data_LoonkostenVastOntslag227">Data!$AL$229</definedName>
    <definedName name="Data_LoonkostenVastOntslag228">Data!$AL$230</definedName>
    <definedName name="Data_LoonkostenVastOntslag229">Data!$AL$231</definedName>
    <definedName name="Data_LoonkostenVastOntslag230">Data!$AL$232</definedName>
    <definedName name="Data_LoonkostenVastOntslag231">Data!$AL$233</definedName>
    <definedName name="Data_LoonkostenVastOntslag232">Data!$AL$234</definedName>
    <definedName name="Data_LoonkostenVastOntslag233">Data!$AL$235</definedName>
    <definedName name="Data_LoonkostenVastOntslag234">Data!$AL$236</definedName>
    <definedName name="Data_LoonkostenVastOntslag235">Data!$AL$237</definedName>
    <definedName name="Data_LoonkostenVastOntslag236">Data!$AL$238</definedName>
    <definedName name="Data_LoonkostenVastOntslag237">Data!$AL$239</definedName>
    <definedName name="Data_LoonkostenVastOntslag238">Data!$AL$240</definedName>
    <definedName name="Data_LoonkostenVastOntslag239">Data!$AL$241</definedName>
    <definedName name="Data_LoonkostenVastOntslag240">Data!$AL$242</definedName>
    <definedName name="Data_LoonkostenVastOntslag241">Data!$AL$243</definedName>
    <definedName name="Data_LoonkostenVastOntslag242">Data!$AL$244</definedName>
    <definedName name="Data_LoonkostenVastOntslag243">Data!$AL$245</definedName>
    <definedName name="Data_LoonkostenVastOntslag244">Data!$AL$246</definedName>
    <definedName name="Data_LoonkostenVastOntslag245">Data!$AL$247</definedName>
    <definedName name="Data_LoonkostenVastOntslag246">Data!$AL$248</definedName>
    <definedName name="Data_LoonkostenVastOntslag247">Data!$AL$249</definedName>
    <definedName name="Data_LoonkostenVastOntslag248">Data!$AL$250</definedName>
    <definedName name="Data_LoonkostenVastOntslag249">Data!$AL$251</definedName>
    <definedName name="Data_LoonkostenVastOntslag250">Data!$AL$252</definedName>
    <definedName name="Data_LoonkostenVastOntslag251">Data!$AL$253</definedName>
    <definedName name="Data_LoonkostenVastOntslag252">Data!$AL$254</definedName>
    <definedName name="Data_LoonkostenVastOntslag253">Data!$AL$255</definedName>
    <definedName name="Data_LoonkostenVastOntslag254">Data!$AL$256</definedName>
    <definedName name="Data_LoonkostenVastOntslag255">Data!$AL$257</definedName>
    <definedName name="Data_LoonkostenVastOntslag256">Data!$AL$258</definedName>
    <definedName name="Data_LoonkostenVastOntslag257">Data!$AL$259</definedName>
    <definedName name="Data_LoonkostenVastOntslag258">Data!$AL$260</definedName>
    <definedName name="Data_LoonkostenVastOntslag259">Data!$AL$261</definedName>
    <definedName name="Data_LoonkostenVastOntslag260">Data!$AL$262</definedName>
    <definedName name="Data_LoonkostenVastOntslag261">Data!$AL$263</definedName>
    <definedName name="Data_LoonkostenVastOntslag262">Data!$AL$264</definedName>
    <definedName name="Data_LoonkostenVastOntslag263">Data!$AL$265</definedName>
    <definedName name="Data_LoonkostenVastOntslag264">Data!$AL$266</definedName>
    <definedName name="Data_LoonkostenVastOntslag265">Data!$AL$267</definedName>
    <definedName name="Data_LoonkostenVastOntslag266">Data!$AL$268</definedName>
    <definedName name="Data_LoonkostenVastOntslag267">Data!$AL$269</definedName>
    <definedName name="Data_LoonkostenVastOntslag268">Data!$AL$270</definedName>
    <definedName name="Data_LoonkostenVastOntslag269">Data!$AL$271</definedName>
    <definedName name="Data_LoonkostenVastOntslag270">Data!$AL$272</definedName>
    <definedName name="Data_LoonkostenVastOntslag271">Data!$AL$273</definedName>
    <definedName name="Data_LoonkostenVastOntslag272">Data!$AL$274</definedName>
    <definedName name="Data_LoonkostenVastOntslag273">Data!$AL$275</definedName>
    <definedName name="Data_LoonkostenVastOntslag274">Data!$AL$276</definedName>
    <definedName name="Data_LoonkostenVastOntslag275">Data!$AL$277</definedName>
    <definedName name="Data_LoonkostenVastOntslag276">Data!$AL$278</definedName>
    <definedName name="Data_LoonkostenVastOntslag277">Data!$AL$279</definedName>
    <definedName name="Data_LoonkostenVastOntslag278">Data!$AL$280</definedName>
    <definedName name="Data_LoonkostenVastOntslag279">Data!$AL$281</definedName>
    <definedName name="Data_LoonkostenVastOntslag280">Data!$AL$282</definedName>
    <definedName name="Data_LoonkostenVastOntslag281">Data!$AL$283</definedName>
    <definedName name="Data_LoonkostenVastOntslag282">Data!$AL$284</definedName>
    <definedName name="Data_LoonkostenVastOntslag283">Data!$AL$285</definedName>
    <definedName name="Data_LoonkostenVastOntslag284">Data!$AL$286</definedName>
    <definedName name="Data_LoonkostenVastOntslag285">Data!$AL$287</definedName>
    <definedName name="Data_LoonkostenVastOntslag286">Data!$AL$288</definedName>
    <definedName name="Data_LoonkostenVastOntslag287">Data!$AL$289</definedName>
    <definedName name="Data_LoonkostenVastOntslag288">Data!$AL$290</definedName>
    <definedName name="Data_LoonkostenVastOntslag289">Data!$AL$291</definedName>
    <definedName name="Data_LoonkostenVastOntslag290">Data!$AL$292</definedName>
    <definedName name="Data_LoonkostenVastOntslag291">Data!$AL$293</definedName>
    <definedName name="Data_LoonkostenVastOntslag292">Data!$AL$294</definedName>
    <definedName name="Data_LoonkostenVastOntslag293">Data!$AL$295</definedName>
    <definedName name="Data_LoonkostenVastOntslag294">Data!$AL$296</definedName>
    <definedName name="Data_LoonkostenVastOntslag295">Data!$AL$297</definedName>
    <definedName name="Data_LoonkostenVastOntslag296">Data!$AL$298</definedName>
    <definedName name="Data_LoonkostenVastOntslag297">Data!$AL$299</definedName>
    <definedName name="Data_LoonkostenVastOntslag298">Data!$AL$300</definedName>
    <definedName name="Data_LoonkostenVastOntslag299">Data!$AL$301</definedName>
    <definedName name="Data_LoonkostenVastOntslag300">Data!$AL$302</definedName>
    <definedName name="Data_LoonkostenVastOntslag301">Data!$AL$303</definedName>
    <definedName name="Data_LoonkostenVastOntslag302">Data!$AL$304</definedName>
    <definedName name="Data_LoonkostenVastOntslag303">Data!$AL$305</definedName>
    <definedName name="Data_LoonkostenVastOntslag304">Data!$AL$306</definedName>
    <definedName name="Data_LoonkostenVastOntslag305">Data!$AL$307</definedName>
    <definedName name="Data_LoonkostenVastOntslag306">Data!$AL$308</definedName>
    <definedName name="Data_LoonkostenVastOntslag307">Data!$AL$309</definedName>
    <definedName name="Data_LoonkostenVastOntslag308">Data!$AL$310</definedName>
    <definedName name="Data_LoonkostenVastOntslag309">Data!$AL$311</definedName>
    <definedName name="Data_LoonkostenVastOntslag310">Data!$AL$312</definedName>
    <definedName name="Data_LoonkostenVastOntslag311">Data!$AL$313</definedName>
    <definedName name="Data_LoonkostenVastOntslag312">Data!$AL$314</definedName>
    <definedName name="Data_LoonkostenVastOntslag313">Data!$AL$315</definedName>
    <definedName name="Data_LoonkostenVastOntslag314">Data!$AL$316</definedName>
    <definedName name="Data_LoonkostenVastOntslag315">Data!$AL$317</definedName>
    <definedName name="Data_LoonkostenVastOntslag316">Data!$AL$318</definedName>
    <definedName name="Data_LoonkostenVastOntslag317">Data!$AL$319</definedName>
    <definedName name="Data_LoonkostenVastOntslag318">Data!$AL$320</definedName>
    <definedName name="Data_LoonkostenVastOntslag319">Data!$AL$321</definedName>
    <definedName name="Data_LoonkostenVastOntslag320">Data!$AL$322</definedName>
    <definedName name="Data_LoonkostenVastOntslag321">Data!$AL$323</definedName>
    <definedName name="Data_LoonkostenVastOntslag322">Data!$AL$324</definedName>
    <definedName name="Data_LoonkostenVastOntslag323">Data!$AL$325</definedName>
    <definedName name="Data_LoonkostenVastOntslag324">Data!$AL$326</definedName>
    <definedName name="Data_LoonkostenVastOntslag325">Data!$AL$327</definedName>
    <definedName name="Data_LoonkostenVastOntslag326">Data!$AL$328</definedName>
    <definedName name="Data_LoonkostenVastOntslag327">Data!$AL$329</definedName>
    <definedName name="Data_LoonkostenVastOntslag328">Data!$AL$330</definedName>
    <definedName name="Data_LoonkostenVastOntslag329">Data!$AL$331</definedName>
    <definedName name="Data_LoonkostenVastOntslag330">Data!$AL$332</definedName>
    <definedName name="Data_LoonkostenVastOntslag331">Data!$AL$333</definedName>
    <definedName name="Data_LoonkostenVastOntslag332">Data!$AL$334</definedName>
    <definedName name="Data_LoonkostenVastOntslag333">Data!$AL$335</definedName>
    <definedName name="Data_LoonkostenVastOntslag334">Data!$AL$336</definedName>
    <definedName name="Data_LoonkostenVastOntslag335">Data!$AL$337</definedName>
    <definedName name="Data_LoonkostenVastOntslag336">Data!$AL$338</definedName>
    <definedName name="Data_LoonkostenVastOntslag337">Data!$AL$339</definedName>
    <definedName name="Data_LoonkostenVastOntslag338">Data!$AL$340</definedName>
    <definedName name="Data_LoonkostenVastOntslag339">Data!$AL$341</definedName>
    <definedName name="Data_LoonkostenVastOntslag340">Data!$AL$342</definedName>
    <definedName name="Data_LoonkostenVastOntslag341">Data!$AL$343</definedName>
    <definedName name="Data_LoonkostenVastOntslag342">Data!$AL$344</definedName>
    <definedName name="Data_LoonkostenVastOntslag343">Data!$AL$345</definedName>
    <definedName name="Data_LoonkostenVastOntslag344">Data!$AL$346</definedName>
    <definedName name="Data_LoonkostenVastOntslag345">Data!$AL$347</definedName>
    <definedName name="Data_LoonkostenVastOntslag346">Data!$AL$348</definedName>
    <definedName name="Data_LoonkostenVastOntslag347">Data!$AL$349</definedName>
    <definedName name="Data_LoonkostenVastOntslag348">Data!$AL$350</definedName>
    <definedName name="Data_LoonkostenVastOntslag349">Data!$AL$351</definedName>
    <definedName name="Data_LoonkostenVastOntslag350">Data!$AL$352</definedName>
    <definedName name="Data_LoonkostenVastOntslag351">Data!$AL$353</definedName>
    <definedName name="Data_LoonkostenVastOntslag352">Data!$AL$354</definedName>
    <definedName name="Data_LoonkostenVastOntslag353">Data!$AL$355</definedName>
    <definedName name="Data_LoonkostenVastOntslag354">Data!$AL$356</definedName>
    <definedName name="Data_LoonkostenVastOntslag355">Data!$AL$357</definedName>
    <definedName name="Data_LoonkostenVastOntslag356">Data!$AL$358</definedName>
    <definedName name="Data_LoonkostenVastOntslag357">Data!$AL$359</definedName>
    <definedName name="Data_LoonkostenVastOntslag358">Data!$AL$360</definedName>
    <definedName name="Data_LoonkostenVastOntslag359">Data!$AL$361</definedName>
    <definedName name="Data_LoonkostenVastOntslag360">Data!$AL$362</definedName>
    <definedName name="Data_LoonkostenVastOntslag361">Data!$AL$363</definedName>
    <definedName name="Data_LoonkostenVastOntslag362">Data!$AL$364</definedName>
    <definedName name="Data_LoonkostenVastOntslag363">Data!$AL$365</definedName>
    <definedName name="Data_LoonkostenVastOntslag364">Data!$AL$366</definedName>
    <definedName name="Data_LoonkostenVastOntslag365">Data!$AL$367</definedName>
    <definedName name="Data_LoonkostenVastOntslag366">Data!$AL$368</definedName>
    <definedName name="Data_LoonkostenVastOntslag367">Data!$AL$369</definedName>
    <definedName name="Data_LoonkostenVastOntslag368">Data!$AL$370</definedName>
    <definedName name="Data_LoonkostenVastOntslag369">Data!$AL$371</definedName>
    <definedName name="Data_LoonkostenVastOntslag370">Data!$AL$372</definedName>
    <definedName name="Data_LoonkostenVastOntslag371">Data!$AL$373</definedName>
    <definedName name="Data_LoonkostenVastOntslag372">Data!$AL$374</definedName>
    <definedName name="Data_LoonkostenVastOntslag373">Data!$AL$375</definedName>
    <definedName name="Data_LoonkostenVastOntslag374">Data!$AL$376</definedName>
    <definedName name="Data_LoonkostenVastOntslag375">Data!$AL$377</definedName>
    <definedName name="Data_LoonkostenVastOntslag376">Data!$AL$378</definedName>
    <definedName name="Data_LoonkostenVastOntslag377">Data!$AL$379</definedName>
    <definedName name="Data_LoonkostenVastOntslag378">Data!$AL$380</definedName>
    <definedName name="Data_LoonkostenVastOntslag379">Data!$AL$381</definedName>
    <definedName name="Data_LoonkostenVastOntslag380">Data!$AL$382</definedName>
    <definedName name="Data_LoonkostenVastOntslag381">Data!$AL$383</definedName>
    <definedName name="Data_LoonkostenVastOntslag382">Data!$AL$384</definedName>
    <definedName name="Data_LoonkostenVastOntslag383">Data!$AL$385</definedName>
    <definedName name="Data_LoonkostenVastOntslag384">Data!$AL$386</definedName>
    <definedName name="Data_LoonkostenVastOntslag385">Data!$AL$387</definedName>
    <definedName name="Data_LoonkostenVastOntslag386">Data!$AL$388</definedName>
    <definedName name="Data_LoonkostenVastOntslag387">Data!$AL$389</definedName>
    <definedName name="Data_LoonkostenVastOntslag388">Data!$AL$390</definedName>
    <definedName name="Data_LoonkostenVastOntslag389">Data!$AL$391</definedName>
    <definedName name="Data_LoonkostenVastOntslag390">Data!$AL$392</definedName>
    <definedName name="Data_LoonkostenVastOntslag391">Data!$AL$393</definedName>
    <definedName name="Data_LoonkostenVastOntslag392">Data!$AL$394</definedName>
    <definedName name="Data_LoonkostenVastOntslag393">Data!$AL$395</definedName>
    <definedName name="Data_LoonkostenVastOntslag394">Data!$AL$396</definedName>
    <definedName name="Data_LoonkostenVastOntslag395">Data!$AL$397</definedName>
    <definedName name="Data_LoonkostenVastOntslag396">Data!$AL$398</definedName>
    <definedName name="Data_LoonkostenVastOntslag397">Data!$AL$399</definedName>
    <definedName name="Data_LoonkostenVastOntslag398">Data!$AL$400</definedName>
    <definedName name="Data_LoonkostenVastOntslag399">Data!$AL$401</definedName>
    <definedName name="Data_LoonkostenVastOntslag400">Data!$AL$402</definedName>
    <definedName name="Data_LoonkostenVastOntslag401">Data!$AL$403</definedName>
    <definedName name="Data_LoonkostenVastOntslag402">Data!$AL$404</definedName>
    <definedName name="Data_LoonkostenVastOntslag403">Data!$AL$405</definedName>
    <definedName name="Data_LoonkostenVastOntslag404">Data!$AL$406</definedName>
    <definedName name="Data_LoonkostenVastOntslag405">Data!$AL$407</definedName>
    <definedName name="Data_LoonkostenVastOntslag406">Data!$AL$408</definedName>
    <definedName name="Data_LoonkostenVastOntslag407">Data!$AL$409</definedName>
    <definedName name="Data_LoonkostenVastOntslag408">Data!$AL$410</definedName>
    <definedName name="Data_LoonkostenVastOntslag409">Data!$AL$411</definedName>
    <definedName name="Data_LoonkostenVastOntslag410">Data!$AL$412</definedName>
    <definedName name="Data_LoonkostenVastOntslag411">Data!$AL$413</definedName>
    <definedName name="Data_LoonkostenVastOntslag412">Data!$AL$414</definedName>
    <definedName name="Data_LoonkostenVastOntslag413">Data!$AL$415</definedName>
    <definedName name="Data_LoonkostenVastOntslag414">Data!$AL$416</definedName>
    <definedName name="Data_LoonkostenVastOntslag415">Data!$AL$417</definedName>
    <definedName name="Data_LoonkostenVastOntslag416">Data!$AL$418</definedName>
    <definedName name="Data_LoonkostenVastOntslag417">Data!$AL$419</definedName>
    <definedName name="Data_LoonkostenVastOntslag418">Data!$AL$420</definedName>
    <definedName name="Data_LoonkostenVastOntslag419">Data!$AL$421</definedName>
    <definedName name="Data_LoonkostenVastOntslag420">Data!$AL$422</definedName>
    <definedName name="Data_LoonkostenVastOntslag421">Data!$AL$423</definedName>
    <definedName name="Data_LoonkostenVastOntslag422">Data!$AL$424</definedName>
    <definedName name="Data_LoonkostenVastOntslag423">Data!$AL$425</definedName>
    <definedName name="Data_LoonkostenVastOntslag424">Data!$AL$426</definedName>
    <definedName name="Data_LoonkostenVastOntslag425">Data!$AL$427</definedName>
    <definedName name="Data_LoonkostenVastOntslag426">Data!$AL$428</definedName>
    <definedName name="Data_LoonkostenVastOntslag427">Data!$AL$429</definedName>
    <definedName name="Data_LoonkostenVastOntslag428">Data!$AL$430</definedName>
    <definedName name="Data_LoonkostenVastOntslag429">Data!$AL$431</definedName>
    <definedName name="Data_LoonkostenVastOntslag430">Data!$AL$432</definedName>
    <definedName name="Data_LoonkostenVastOntslag431">Data!$AL$433</definedName>
    <definedName name="Data_LoonkostenVastOntslag432">Data!$AL$434</definedName>
    <definedName name="Data_LoonkostenVastOntslag433">Data!$AL$435</definedName>
    <definedName name="Data_LoonkostenVastOntslag434">Data!$AL$436</definedName>
    <definedName name="Data_LoonkostenVastOntslag435">Data!$AL$437</definedName>
    <definedName name="Data_LoonkostenVastOntslag436">Data!$AL$438</definedName>
    <definedName name="Data_LoonkostenVastOntslag437">Data!$AL$439</definedName>
    <definedName name="Data_LoonkostenVastOntslag438">Data!$AL$440</definedName>
    <definedName name="Data_LoonkostenVastOntslag439">Data!$AL$441</definedName>
    <definedName name="Data_LoonkostenVastOntslag440">Data!$AL$442</definedName>
    <definedName name="Data_LoonkostenVastOntslag441">Data!$AL$443</definedName>
    <definedName name="Data_LoonkostenVastOntslag442">Data!$AL$444</definedName>
    <definedName name="Data_LoonkostenVastOntslag443">Data!$AL$445</definedName>
    <definedName name="Data_LoonkostenVastOntslag444">Data!$AL$446</definedName>
    <definedName name="Data_LoonkostenVastOntslag445">Data!$AL$447</definedName>
    <definedName name="Data_LoonkostenVastOntslag446">Data!$AL$448</definedName>
    <definedName name="Data_LoonkostenVastOntslag447">Data!$AL$449</definedName>
    <definedName name="Data_LoonkostenVastOntslag448">Data!$AL$450</definedName>
    <definedName name="Data_LoonkostenVastOntslag449">Data!$AL$451</definedName>
    <definedName name="Data_LoonkostenVastOntslag450">Data!$AL$452</definedName>
    <definedName name="Data_LoonkostenVastOntslag451">Data!$AL$453</definedName>
    <definedName name="Data_LoonkostenVastOntslag452">Data!$AL$454</definedName>
    <definedName name="Data_LoonkostenVastOntslag453">Data!$AL$455</definedName>
    <definedName name="Data_LoonkostenVastOntslag454">Data!$AL$456</definedName>
    <definedName name="Data_LoonkostenVastOntslag455">Data!$AL$457</definedName>
    <definedName name="Data_LoonkostenVastOntslag456">Data!$AL$458</definedName>
    <definedName name="Data_LoonkostenVastOntslag457">Data!$AL$459</definedName>
    <definedName name="Data_LoonkostenVastOntslag458">Data!$AL$460</definedName>
    <definedName name="Data_LoonkostenVastOntslag459">Data!$AL$461</definedName>
    <definedName name="Data_LoonkostenVastOntslag460">Data!$AL$462</definedName>
    <definedName name="Data_LoonkostenVastOntslag461">Data!$AL$463</definedName>
    <definedName name="Data_LoonkostenVastOntslag462">Data!$AL$464</definedName>
    <definedName name="Data_LoonkostenVastOntslag463">Data!$AL$465</definedName>
    <definedName name="Data_LoonkostenVastOntslag464">Data!$AL$466</definedName>
    <definedName name="Data_LoonkostenVastOntslag465">Data!$AL$467</definedName>
    <definedName name="Data_LoonkostenVastOntslag466">Data!$AL$468</definedName>
    <definedName name="Data_LoonkostenVastOntslag467">Data!$AL$469</definedName>
    <definedName name="Data_LoonkostenVastOntslag468">Data!$AL$470</definedName>
    <definedName name="Data_LoonkostenVastOntslag469">Data!$AL$471</definedName>
    <definedName name="Data_LoonkostenVastOntslag470">Data!$AL$472</definedName>
    <definedName name="Data_LoonkostenVastOntslag471">Data!$AL$473</definedName>
    <definedName name="Data_LoonkostenVastOntslag472">Data!$AL$474</definedName>
    <definedName name="Data_LoonkostenVastOntslag473">Data!$AL$475</definedName>
    <definedName name="Data_LoonkostenVastOntslag474">Data!$AL$476</definedName>
    <definedName name="Data_LoonkostenVastOntslag475">Data!$AL$477</definedName>
    <definedName name="Data_LoonkostenVastOntslag476">Data!$AL$478</definedName>
    <definedName name="Data_LoonkostenVastOntslag477">Data!$AL$479</definedName>
    <definedName name="Data_LoonkostenVastOntslag478">Data!$AL$480</definedName>
    <definedName name="Data_LoonkostenVastOntslag479">Data!$AL$481</definedName>
    <definedName name="Data_LoonkostenVastOntslag480">Data!$AL$482</definedName>
    <definedName name="Data_LoonkostenVastOntslag481">Data!$AL$483</definedName>
    <definedName name="Data_LoonkostenVastOntslag482">Data!$AL$484</definedName>
    <definedName name="Data_LoonkostenVastOntslag483">Data!$AL$485</definedName>
    <definedName name="Data_LoonkostenVastOntslag484">Data!$AL$486</definedName>
    <definedName name="Data_LoonkostenVastOntslag485">Data!$AL$487</definedName>
    <definedName name="Data_LoonkostenVastOntslag486">Data!$AL$488</definedName>
    <definedName name="Data_LoonkostenVastOntslag487">Data!$AL$489</definedName>
    <definedName name="Data_LoonkostenVastOntslag488">Data!$AL$490</definedName>
    <definedName name="Data_LoonkostenVastOntslag489">Data!$AL$491</definedName>
    <definedName name="Data_LoonkostenVastOntslag490">Data!$AL$492</definedName>
    <definedName name="Data_LoonkostenVastOntslag491">Data!$AL$493</definedName>
    <definedName name="Data_LoonkostenVastOntslag492">Data!$AL$494</definedName>
    <definedName name="Data_LoonkostenVastOntslag493">Data!$AL$495</definedName>
    <definedName name="Data_LoonkostenVastOntslag494">Data!$AL$496</definedName>
    <definedName name="Data_LoonkostenVastOntslag495">Data!$AL$497</definedName>
    <definedName name="Data_LoonkostenVastOntslag496">Data!$AL$498</definedName>
    <definedName name="Data_LoonkostenVastOntslag497">Data!$AL$499</definedName>
    <definedName name="Data_LoonkostenVastOntslag498">Data!$AL$500</definedName>
    <definedName name="Data_LoonkostenVastOntslag499">Data!$AL$501</definedName>
    <definedName name="Data_LoonkostenVastOntslag500">Data!$AL$502</definedName>
    <definedName name="Data_LoonkostenVastVrij001">Data!$AB$3</definedName>
    <definedName name="Data_LoonkostenVastVrij002">Data!$AB$4</definedName>
    <definedName name="Data_LoonkostenVastVrij003">Data!$AB$5</definedName>
    <definedName name="Data_LoonkostenVastVrij004">Data!$AB$6</definedName>
    <definedName name="Data_LoonkostenVastVrij005">Data!$AB$7</definedName>
    <definedName name="Data_LoonkostenVastVrij006">Data!$AB$8</definedName>
    <definedName name="Data_LoonkostenVastVrij007">Data!$AB$9</definedName>
    <definedName name="Data_LoonkostenVastVrij008">Data!$AB$10</definedName>
    <definedName name="Data_LoonkostenVastVrij009">Data!$AB$11</definedName>
    <definedName name="Data_LoonkostenVastVrij010">Data!$AB$12</definedName>
    <definedName name="Data_LoonkostenVastVrij011">Data!$AB$13</definedName>
    <definedName name="Data_LoonkostenVastVrij012">Data!$AB$14</definedName>
    <definedName name="Data_LoonkostenVastVrij013">Data!$AB$15</definedName>
    <definedName name="Data_LoonkostenVastVrij014">Data!$AB$16</definedName>
    <definedName name="Data_LoonkostenVastVrij015">Data!$AB$17</definedName>
    <definedName name="Data_LoonkostenVastVrij016">Data!$AB$18</definedName>
    <definedName name="Data_LoonkostenVastVrij017">Data!$AB$19</definedName>
    <definedName name="Data_LoonkostenVastVrij018">Data!$AB$20</definedName>
    <definedName name="Data_LoonkostenVastVrij019">Data!$AB$21</definedName>
    <definedName name="Data_LoonkostenVastVrij020">Data!$AB$22</definedName>
    <definedName name="Data_LoonkostenVastVrij021">Data!$AB$23</definedName>
    <definedName name="Data_LoonkostenVastVrij022">Data!$AB$24</definedName>
    <definedName name="Data_LoonkostenVastVrij023">Data!$AB$25</definedName>
    <definedName name="Data_LoonkostenVastVrij024">Data!$AB$26</definedName>
    <definedName name="Data_LoonkostenVastVrij025">Data!$AB$27</definedName>
    <definedName name="Data_LoonkostenVastVrij026">Data!$AB$28</definedName>
    <definedName name="Data_LoonkostenVastVrij027">Data!$AB$29</definedName>
    <definedName name="Data_LoonkostenVastVrij028">Data!$AB$30</definedName>
    <definedName name="Data_LoonkostenVastVrij029">Data!$AB$31</definedName>
    <definedName name="Data_LoonkostenVastVrij030">Data!$AB$32</definedName>
    <definedName name="Data_LoonkostenVastVrij031">Data!$AB$33</definedName>
    <definedName name="Data_LoonkostenVastVrij032">Data!$AB$34</definedName>
    <definedName name="Data_LoonkostenVastVrij033">Data!$AB$35</definedName>
    <definedName name="Data_LoonkostenVastVrij034">Data!$AB$36</definedName>
    <definedName name="Data_LoonkostenVastVrij035">Data!$AB$37</definedName>
    <definedName name="Data_LoonkostenVastVrij036">Data!$AB$38</definedName>
    <definedName name="Data_LoonkostenVastVrij037">Data!$AB$39</definedName>
    <definedName name="Data_LoonkostenVastVrij038">Data!$AB$40</definedName>
    <definedName name="Data_LoonkostenVastVrij039">Data!$AB$41</definedName>
    <definedName name="Data_LoonkostenVastVrij040">Data!$AB$42</definedName>
    <definedName name="Data_LoonkostenVastVrij041">Data!$AB$43</definedName>
    <definedName name="Data_LoonkostenVastVrij042">Data!$AB$44</definedName>
    <definedName name="Data_LoonkostenVastVrij043">Data!$AB$45</definedName>
    <definedName name="Data_LoonkostenVastVrij044">Data!$AB$46</definedName>
    <definedName name="Data_LoonkostenVastVrij045">Data!$AB$47</definedName>
    <definedName name="Data_LoonkostenVastVrij046">Data!$AB$48</definedName>
    <definedName name="Data_LoonkostenVastVrij047">Data!$AB$49</definedName>
    <definedName name="Data_LoonkostenVastVrij048">Data!$AB$50</definedName>
    <definedName name="Data_LoonkostenVastVrij049">Data!$AB$51</definedName>
    <definedName name="Data_LoonkostenVastVrij050">Data!$AB$52</definedName>
    <definedName name="Data_LoonkostenVastVrij051">Data!$AB$53</definedName>
    <definedName name="Data_LoonkostenVastVrij052">Data!$AB$54</definedName>
    <definedName name="Data_LoonkostenVastVrij053">Data!$AB$55</definedName>
    <definedName name="Data_LoonkostenVastVrij054">Data!$AB$56</definedName>
    <definedName name="Data_LoonkostenVastVrij055">Data!$AB$57</definedName>
    <definedName name="Data_LoonkostenVastVrij056">Data!$AB$58</definedName>
    <definedName name="Data_LoonkostenVastVrij057">Data!$AB$59</definedName>
    <definedName name="Data_LoonkostenVastVrij058">Data!$AB$60</definedName>
    <definedName name="Data_LoonkostenVastVrij059">Data!$AB$61</definedName>
    <definedName name="Data_LoonkostenVastVrij060">Data!$AB$62</definedName>
    <definedName name="Data_LoonkostenVastVrij061">Data!$AB$63</definedName>
    <definedName name="Data_LoonkostenVastVrij062">Data!$AB$64</definedName>
    <definedName name="Data_LoonkostenVastVrij063">Data!$AB$65</definedName>
    <definedName name="Data_LoonkostenVastVrij064">Data!$AB$66</definedName>
    <definedName name="Data_LoonkostenVastVrij065">Data!$AB$67</definedName>
    <definedName name="Data_LoonkostenVastVrij066">Data!$AB$68</definedName>
    <definedName name="Data_LoonkostenVastVrij067">Data!$AB$69</definedName>
    <definedName name="Data_LoonkostenVastVrij068">Data!$AB$70</definedName>
    <definedName name="Data_LoonkostenVastVrij069">Data!$AB$71</definedName>
    <definedName name="Data_LoonkostenVastVrij070">Data!$AB$72</definedName>
    <definedName name="Data_LoonkostenVastVrij071">Data!$AB$73</definedName>
    <definedName name="Data_LoonkostenVastVrij072">Data!$AB$74</definedName>
    <definedName name="Data_LoonkostenVastVrij073">Data!$AB$75</definedName>
    <definedName name="Data_LoonkostenVastVrij074">Data!$AB$76</definedName>
    <definedName name="Data_LoonkostenVastVrij075">Data!$AB$77</definedName>
    <definedName name="Data_LoonkostenVastVrij076">Data!$AB$78</definedName>
    <definedName name="Data_LoonkostenVastVrij077">Data!$AB$79</definedName>
    <definedName name="Data_LoonkostenVastVrij078">Data!$AB$80</definedName>
    <definedName name="Data_LoonkostenVastVrij079">Data!$AB$81</definedName>
    <definedName name="Data_LoonkostenVastVrij080">Data!$AB$82</definedName>
    <definedName name="Data_LoonkostenVastVrij081">Data!$AB$83</definedName>
    <definedName name="Data_LoonkostenVastVrij082">Data!$AB$84</definedName>
    <definedName name="Data_LoonkostenVastVrij083">Data!$AB$85</definedName>
    <definedName name="Data_LoonkostenVastVrij084">Data!$AB$86</definedName>
    <definedName name="Data_LoonkostenVastVrij085">Data!$AB$87</definedName>
    <definedName name="Data_LoonkostenVastVrij086">Data!$AB$88</definedName>
    <definedName name="Data_LoonkostenVastVrij087">Data!$AB$89</definedName>
    <definedName name="Data_LoonkostenVastVrij088">Data!$AB$90</definedName>
    <definedName name="Data_LoonkostenVastVrij089">Data!$AB$91</definedName>
    <definedName name="Data_LoonkostenVastVrij090">Data!$AB$92</definedName>
    <definedName name="Data_LoonkostenVastVrij091">Data!$AB$93</definedName>
    <definedName name="Data_LoonkostenVastVrij092">Data!$AB$94</definedName>
    <definedName name="Data_LoonkostenVastVrij093">Data!$AB$95</definedName>
    <definedName name="Data_LoonkostenVastVrij094">Data!$AB$96</definedName>
    <definedName name="Data_LoonkostenVastVrij095">Data!$AB$97</definedName>
    <definedName name="Data_LoonkostenVastVrij096">Data!$AB$98</definedName>
    <definedName name="Data_LoonkostenVastVrij097">Data!$AB$99</definedName>
    <definedName name="Data_LoonkostenVastVrij098">Data!$AB$100</definedName>
    <definedName name="Data_LoonkostenVastVrij099">Data!$AB$101</definedName>
    <definedName name="Data_LoonkostenVastVrij100">Data!$AB$102</definedName>
    <definedName name="Data_LoonkostenVastVrij101">Data!$AB$103</definedName>
    <definedName name="Data_LoonkostenVastVrij102">Data!$AB$104</definedName>
    <definedName name="Data_LoonkostenVastVrij103">Data!$AB$105</definedName>
    <definedName name="Data_LoonkostenVastVrij104">Data!$AB$106</definedName>
    <definedName name="Data_LoonkostenVastVrij105">Data!$AB$107</definedName>
    <definedName name="Data_LoonkostenVastVrij106">Data!$AB$108</definedName>
    <definedName name="Data_LoonkostenVastVrij107">Data!$AB$109</definedName>
    <definedName name="Data_LoonkostenVastVrij108">Data!$AB$110</definedName>
    <definedName name="Data_LoonkostenVastVrij109">Data!$AB$111</definedName>
    <definedName name="Data_LoonkostenVastVrij110">Data!$AB$112</definedName>
    <definedName name="Data_LoonkostenVastVrij111">Data!$AB$113</definedName>
    <definedName name="Data_LoonkostenVastVrij112">Data!$AB$114</definedName>
    <definedName name="Data_LoonkostenVastVrij113">Data!$AB$115</definedName>
    <definedName name="Data_LoonkostenVastVrij114">Data!$AB$116</definedName>
    <definedName name="Data_LoonkostenVastVrij115">Data!$AB$117</definedName>
    <definedName name="Data_LoonkostenVastVrij116">Data!$AB$118</definedName>
    <definedName name="Data_LoonkostenVastVrij117">Data!$AB$119</definedName>
    <definedName name="Data_LoonkostenVastVrij118">Data!$AB$120</definedName>
    <definedName name="Data_LoonkostenVastVrij119">Data!$AB$121</definedName>
    <definedName name="Data_LoonkostenVastVrij120">Data!$AB$122</definedName>
    <definedName name="Data_LoonkostenVastVrij121">Data!$AB$123</definedName>
    <definedName name="Data_LoonkostenVastVrij122">Data!$AB$124</definedName>
    <definedName name="Data_LoonkostenVastVrij123">Data!$AB$125</definedName>
    <definedName name="Data_LoonkostenVastVrij124">Data!$AB$126</definedName>
    <definedName name="Data_LoonkostenVastVrij125">Data!$AB$127</definedName>
    <definedName name="Data_LoonkostenVastVrij126">Data!$AB$128</definedName>
    <definedName name="Data_LoonkostenVastVrij127">Data!$AB$129</definedName>
    <definedName name="Data_LoonkostenVastVrij128">Data!$AB$130</definedName>
    <definedName name="Data_LoonkostenVastVrij129">Data!$AB$131</definedName>
    <definedName name="Data_LoonkostenVastVrij130">Data!$AB$132</definedName>
    <definedName name="Data_LoonkostenVastVrij131">Data!$AB$133</definedName>
    <definedName name="Data_LoonkostenVastVrij132">Data!$AB$134</definedName>
    <definedName name="Data_LoonkostenVastVrij133">Data!$AB$135</definedName>
    <definedName name="Data_LoonkostenVastVrij134">Data!$AB$136</definedName>
    <definedName name="Data_LoonkostenVastVrij135">Data!$AB$137</definedName>
    <definedName name="Data_LoonkostenVastVrij136">Data!$AB$138</definedName>
    <definedName name="Data_LoonkostenVastVrij137">Data!$AB$139</definedName>
    <definedName name="Data_LoonkostenVastVrij138">Data!$AB$140</definedName>
    <definedName name="Data_LoonkostenVastVrij139">Data!$AB$141</definedName>
    <definedName name="Data_LoonkostenVastVrij140">Data!$AB$142</definedName>
    <definedName name="Data_LoonkostenVastVrij141">Data!$AB$143</definedName>
    <definedName name="Data_LoonkostenVastVrij142">Data!$AB$144</definedName>
    <definedName name="Data_LoonkostenVastVrij143">Data!$AB$145</definedName>
    <definedName name="Data_LoonkostenVastVrij144">Data!$AB$146</definedName>
    <definedName name="Data_LoonkostenVastVrij145">Data!$AB$147</definedName>
    <definedName name="Data_LoonkostenVastVrij146">Data!$AB$148</definedName>
    <definedName name="Data_LoonkostenVastVrij147">Data!$AB$149</definedName>
    <definedName name="Data_LoonkostenVastVrij148">Data!$AB$150</definedName>
    <definedName name="Data_LoonkostenVastVrij149">Data!$AB$151</definedName>
    <definedName name="Data_LoonkostenVastVrij150">Data!$AB$152</definedName>
    <definedName name="Data_LoonkostenVastVrij151">Data!$AB$153</definedName>
    <definedName name="Data_LoonkostenVastVrij152">Data!$AB$154</definedName>
    <definedName name="Data_LoonkostenVastVrij153">Data!$AB$155</definedName>
    <definedName name="Data_LoonkostenVastVrij154">Data!$AB$156</definedName>
    <definedName name="Data_LoonkostenVastVrij155">Data!$AB$157</definedName>
    <definedName name="Data_LoonkostenVastVrij156">Data!$AB$158</definedName>
    <definedName name="Data_LoonkostenVastVrij157">Data!$AB$159</definedName>
    <definedName name="Data_LoonkostenVastVrij158">Data!$AB$160</definedName>
    <definedName name="Data_LoonkostenVastVrij159">Data!$AB$161</definedName>
    <definedName name="Data_LoonkostenVastVrij160">Data!$AB$162</definedName>
    <definedName name="Data_LoonkostenVastVrij161">Data!$AB$163</definedName>
    <definedName name="Data_LoonkostenVastVrij162">Data!$AB$164</definedName>
    <definedName name="Data_LoonkostenVastVrij163">Data!$AB$165</definedName>
    <definedName name="Data_LoonkostenVastVrij164">Data!$AB$166</definedName>
    <definedName name="Data_LoonkostenVastVrij165">Data!$AB$167</definedName>
    <definedName name="Data_LoonkostenVastVrij166">Data!$AB$168</definedName>
    <definedName name="Data_LoonkostenVastVrij167">Data!$AB$169</definedName>
    <definedName name="Data_LoonkostenVastVrij168">Data!$AB$170</definedName>
    <definedName name="Data_LoonkostenVastVrij169">Data!$AB$171</definedName>
    <definedName name="Data_LoonkostenVastVrij170">Data!$AB$172</definedName>
    <definedName name="Data_LoonkostenVastVrij171">Data!$AB$173</definedName>
    <definedName name="Data_LoonkostenVastVrij172">Data!$AB$174</definedName>
    <definedName name="Data_LoonkostenVastVrij173">Data!$AB$175</definedName>
    <definedName name="Data_LoonkostenVastVrij174">Data!$AB$176</definedName>
    <definedName name="Data_LoonkostenVastVrij175">Data!$AB$177</definedName>
    <definedName name="Data_LoonkostenVastVrij176">Data!$AB$178</definedName>
    <definedName name="Data_LoonkostenVastVrij177">Data!$AB$179</definedName>
    <definedName name="Data_LoonkostenVastVrij178">Data!$AB$180</definedName>
    <definedName name="Data_LoonkostenVastVrij179">Data!$AB$181</definedName>
    <definedName name="Data_LoonkostenVastVrij180">Data!$AB$182</definedName>
    <definedName name="Data_LoonkostenVastVrij181">Data!$AB$183</definedName>
    <definedName name="Data_LoonkostenVastVrij182">Data!$AB$184</definedName>
    <definedName name="Data_LoonkostenVastVrij183">Data!$AB$185</definedName>
    <definedName name="Data_LoonkostenVastVrij184">Data!$AB$186</definedName>
    <definedName name="Data_LoonkostenVastVrij185">Data!$AB$187</definedName>
    <definedName name="Data_LoonkostenVastVrij186">Data!$AB$188</definedName>
    <definedName name="Data_LoonkostenVastVrij187">Data!$AB$189</definedName>
    <definedName name="Data_LoonkostenVastVrij188">Data!$AB$190</definedName>
    <definedName name="Data_LoonkostenVastVrij189">Data!$AB$191</definedName>
    <definedName name="Data_LoonkostenVastVrij190">Data!$AB$192</definedName>
    <definedName name="Data_LoonkostenVastVrij191">Data!$AB$193</definedName>
    <definedName name="Data_LoonkostenVastVrij192">Data!$AB$194</definedName>
    <definedName name="Data_LoonkostenVastVrij193">Data!$AB$195</definedName>
    <definedName name="Data_LoonkostenVastVrij194">Data!$AB$196</definedName>
    <definedName name="Data_LoonkostenVastVrij195">Data!$AB$197</definedName>
    <definedName name="Data_LoonkostenVastVrij196">Data!$AB$198</definedName>
    <definedName name="Data_LoonkostenVastVrij197">Data!$AB$199</definedName>
    <definedName name="Data_LoonkostenVastVrij198">Data!$AB$200</definedName>
    <definedName name="Data_LoonkostenVastVrij199">Data!$AB$201</definedName>
    <definedName name="Data_LoonkostenVastVrij200">Data!$AB$202</definedName>
    <definedName name="Data_LoonkostenVastVrij201">Data!$AB$203</definedName>
    <definedName name="Data_LoonkostenVastVrij202">Data!$AB$204</definedName>
    <definedName name="Data_LoonkostenVastVrij203">Data!$AB$205</definedName>
    <definedName name="Data_LoonkostenVastVrij204">Data!$AB$206</definedName>
    <definedName name="Data_LoonkostenVastVrij205">Data!$AB$207</definedName>
    <definedName name="Data_LoonkostenVastVrij206">Data!$AB$208</definedName>
    <definedName name="Data_LoonkostenVastVrij207">Data!$AB$209</definedName>
    <definedName name="Data_LoonkostenVastVrij208">Data!$AB$210</definedName>
    <definedName name="Data_LoonkostenVastVrij209">Data!$AB$211</definedName>
    <definedName name="Data_LoonkostenVastVrij210">Data!$AB$212</definedName>
    <definedName name="Data_LoonkostenVastVrij211">Data!$AB$213</definedName>
    <definedName name="Data_LoonkostenVastVrij212">Data!$AB$214</definedName>
    <definedName name="Data_LoonkostenVastVrij213">Data!$AB$215</definedName>
    <definedName name="Data_LoonkostenVastVrij214">Data!$AB$216</definedName>
    <definedName name="Data_LoonkostenVastVrij215">Data!$AB$217</definedName>
    <definedName name="Data_LoonkostenVastVrij216">Data!$AB$218</definedName>
    <definedName name="Data_LoonkostenVastVrij217">Data!$AB$219</definedName>
    <definedName name="Data_LoonkostenVastVrij218">Data!$AB$220</definedName>
    <definedName name="Data_LoonkostenVastVrij219">Data!$AB$221</definedName>
    <definedName name="Data_LoonkostenVastVrij220">Data!$AB$222</definedName>
    <definedName name="Data_LoonkostenVastVrij221">Data!$AB$223</definedName>
    <definedName name="Data_LoonkostenVastVrij222">Data!$AB$224</definedName>
    <definedName name="Data_LoonkostenVastVrij223">Data!$AB$225</definedName>
    <definedName name="Data_LoonkostenVastVrij224">Data!$AB$226</definedName>
    <definedName name="Data_LoonkostenVastVrij225">Data!$AB$227</definedName>
    <definedName name="Data_LoonkostenVastVrij226">Data!$AB$228</definedName>
    <definedName name="Data_LoonkostenVastVrij227">Data!$AB$229</definedName>
    <definedName name="Data_LoonkostenVastVrij228">Data!$AB$230</definedName>
    <definedName name="Data_LoonkostenVastVrij229">Data!$AB$231</definedName>
    <definedName name="Data_LoonkostenVastVrij230">Data!$AB$232</definedName>
    <definedName name="Data_LoonkostenVastVrij231">Data!$AB$233</definedName>
    <definedName name="Data_LoonkostenVastVrij232">Data!$AB$234</definedName>
    <definedName name="Data_LoonkostenVastVrij233">Data!$AB$235</definedName>
    <definedName name="Data_LoonkostenVastVrij234">Data!$AB$236</definedName>
    <definedName name="Data_LoonkostenVastVrij235">Data!$AB$237</definedName>
    <definedName name="Data_LoonkostenVastVrij236">Data!$AB$238</definedName>
    <definedName name="Data_LoonkostenVastVrij237">Data!$AB$239</definedName>
    <definedName name="Data_LoonkostenVastVrij238">Data!$AB$240</definedName>
    <definedName name="Data_LoonkostenVastVrij239">Data!$AB$241</definedName>
    <definedName name="Data_LoonkostenVastVrij240">Data!$AB$242</definedName>
    <definedName name="Data_LoonkostenVastVrij241">Data!$AB$243</definedName>
    <definedName name="Data_LoonkostenVastVrij242">Data!$AB$244</definedName>
    <definedName name="Data_LoonkostenVastVrij243">Data!$AB$245</definedName>
    <definedName name="Data_LoonkostenVastVrij244">Data!$AB$246</definedName>
    <definedName name="Data_LoonkostenVastVrij245">Data!$AB$247</definedName>
    <definedName name="Data_LoonkostenVastVrij246">Data!$AB$248</definedName>
    <definedName name="Data_LoonkostenVastVrij247">Data!$AB$249</definedName>
    <definedName name="Data_LoonkostenVastVrij248">Data!$AB$250</definedName>
    <definedName name="Data_LoonkostenVastVrij249">Data!$AB$251</definedName>
    <definedName name="Data_LoonkostenVastVrij250">Data!$AB$252</definedName>
    <definedName name="Data_LoonkostenVastVrij251">Data!$AB$253</definedName>
    <definedName name="Data_LoonkostenVastVrij252">Data!$AB$254</definedName>
    <definedName name="Data_LoonkostenVastVrij253">Data!$AB$255</definedName>
    <definedName name="Data_LoonkostenVastVrij254">Data!$AB$256</definedName>
    <definedName name="Data_LoonkostenVastVrij255">Data!$AB$257</definedName>
    <definedName name="Data_LoonkostenVastVrij256">Data!$AB$258</definedName>
    <definedName name="Data_LoonkostenVastVrij257">Data!$AB$259</definedName>
    <definedName name="Data_LoonkostenVastVrij258">Data!$AB$260</definedName>
    <definedName name="Data_LoonkostenVastVrij259">Data!$AB$261</definedName>
    <definedName name="Data_LoonkostenVastVrij260">Data!$AB$262</definedName>
    <definedName name="Data_LoonkostenVastVrij261">Data!$AB$263</definedName>
    <definedName name="Data_LoonkostenVastVrij262">Data!$AB$264</definedName>
    <definedName name="Data_LoonkostenVastVrij263">Data!$AB$265</definedName>
    <definedName name="Data_LoonkostenVastVrij264">Data!$AB$266</definedName>
    <definedName name="Data_LoonkostenVastVrij265">Data!$AB$267</definedName>
    <definedName name="Data_LoonkostenVastVrij266">Data!$AB$268</definedName>
    <definedName name="Data_LoonkostenVastVrij267">Data!$AB$269</definedName>
    <definedName name="Data_LoonkostenVastVrij268">Data!$AB$270</definedName>
    <definedName name="Data_LoonkostenVastVrij269">Data!$AB$271</definedName>
    <definedName name="Data_LoonkostenVastVrij270">Data!$AB$272</definedName>
    <definedName name="Data_LoonkostenVastVrij271">Data!$AB$273</definedName>
    <definedName name="Data_LoonkostenVastVrij272">Data!$AB$274</definedName>
    <definedName name="Data_LoonkostenVastVrij273">Data!$AB$275</definedName>
    <definedName name="Data_LoonkostenVastVrij274">Data!$AB$276</definedName>
    <definedName name="Data_LoonkostenVastVrij275">Data!$AB$277</definedName>
    <definedName name="Data_LoonkostenVastVrij276">Data!$AB$278</definedName>
    <definedName name="Data_LoonkostenVastVrij277">Data!$AB$279</definedName>
    <definedName name="Data_LoonkostenVastVrij278">Data!$AB$280</definedName>
    <definedName name="Data_LoonkostenVastVrij279">Data!$AB$281</definedName>
    <definedName name="Data_LoonkostenVastVrij280">Data!$AB$282</definedName>
    <definedName name="Data_LoonkostenVastVrij281">Data!$AB$283</definedName>
    <definedName name="Data_LoonkostenVastVrij282">Data!$AB$284</definedName>
    <definedName name="Data_LoonkostenVastVrij283">Data!$AB$285</definedName>
    <definedName name="Data_LoonkostenVastVrij284">Data!$AB$286</definedName>
    <definedName name="Data_LoonkostenVastVrij285">Data!$AB$287</definedName>
    <definedName name="Data_LoonkostenVastVrij286">Data!$AB$288</definedName>
    <definedName name="Data_LoonkostenVastVrij287">Data!$AB$289</definedName>
    <definedName name="Data_LoonkostenVastVrij288">Data!$AB$290</definedName>
    <definedName name="Data_LoonkostenVastVrij289">Data!$AB$291</definedName>
    <definedName name="Data_LoonkostenVastVrij290">Data!$AB$292</definedName>
    <definedName name="Data_LoonkostenVastVrij291">Data!$AB$293</definedName>
    <definedName name="Data_LoonkostenVastVrij292">Data!$AB$294</definedName>
    <definedName name="Data_LoonkostenVastVrij293">Data!$AB$295</definedName>
    <definedName name="Data_LoonkostenVastVrij294">Data!$AB$296</definedName>
    <definedName name="Data_LoonkostenVastVrij295">Data!$AB$297</definedName>
    <definedName name="Data_LoonkostenVastVrij296">Data!$AB$298</definedName>
    <definedName name="Data_LoonkostenVastVrij297">Data!$AB$299</definedName>
    <definedName name="Data_LoonkostenVastVrij298">Data!$AB$300</definedName>
    <definedName name="Data_LoonkostenVastVrij299">Data!$AB$301</definedName>
    <definedName name="Data_LoonkostenVastVrij300">Data!$AB$302</definedName>
    <definedName name="Data_LoonkostenVastVrij301">Data!$AB$303</definedName>
    <definedName name="Data_LoonkostenVastVrij302">Data!$AB$304</definedName>
    <definedName name="Data_LoonkostenVastVrij303">Data!$AB$305</definedName>
    <definedName name="Data_LoonkostenVastVrij304">Data!$AB$306</definedName>
    <definedName name="Data_LoonkostenVastVrij305">Data!$AB$307</definedName>
    <definedName name="Data_LoonkostenVastVrij306">Data!$AB$308</definedName>
    <definedName name="Data_LoonkostenVastVrij307">Data!$AB$309</definedName>
    <definedName name="Data_LoonkostenVastVrij308">Data!$AB$310</definedName>
    <definedName name="Data_LoonkostenVastVrij309">Data!$AB$311</definedName>
    <definedName name="Data_LoonkostenVastVrij310">Data!$AB$312</definedName>
    <definedName name="Data_LoonkostenVastVrij311">Data!$AB$313</definedName>
    <definedName name="Data_LoonkostenVastVrij312">Data!$AB$314</definedName>
    <definedName name="Data_LoonkostenVastVrij313">Data!$AB$315</definedName>
    <definedName name="Data_LoonkostenVastVrij314">Data!$AB$316</definedName>
    <definedName name="Data_LoonkostenVastVrij315">Data!$AB$317</definedName>
    <definedName name="Data_LoonkostenVastVrij316">Data!$AB$318</definedName>
    <definedName name="Data_LoonkostenVastVrij317">Data!$AB$319</definedName>
    <definedName name="Data_LoonkostenVastVrij318">Data!$AB$320</definedName>
    <definedName name="Data_LoonkostenVastVrij319">Data!$AB$321</definedName>
    <definedName name="Data_LoonkostenVastVrij320">Data!$AB$322</definedName>
    <definedName name="Data_LoonkostenVastVrij321">Data!$AB$323</definedName>
    <definedName name="Data_LoonkostenVastVrij322">Data!$AB$324</definedName>
    <definedName name="Data_LoonkostenVastVrij323">Data!$AB$325</definedName>
    <definedName name="Data_LoonkostenVastVrij324">Data!$AB$326</definedName>
    <definedName name="Data_LoonkostenVastVrij325">Data!$AB$327</definedName>
    <definedName name="Data_LoonkostenVastVrij326">Data!$AB$328</definedName>
    <definedName name="Data_LoonkostenVastVrij327">Data!$AB$329</definedName>
    <definedName name="Data_LoonkostenVastVrij328">Data!$AB$330</definedName>
    <definedName name="Data_LoonkostenVastVrij329">Data!$AB$331</definedName>
    <definedName name="Data_LoonkostenVastVrij330">Data!$AB$332</definedName>
    <definedName name="Data_LoonkostenVastVrij331">Data!$AB$333</definedName>
    <definedName name="Data_LoonkostenVastVrij332">Data!$AB$334</definedName>
    <definedName name="Data_LoonkostenVastVrij333">Data!$AB$335</definedName>
    <definedName name="Data_LoonkostenVastVrij334">Data!$AB$336</definedName>
    <definedName name="Data_LoonkostenVastVrij335">Data!$AB$337</definedName>
    <definedName name="Data_LoonkostenVastVrij336">Data!$AB$338</definedName>
    <definedName name="Data_LoonkostenVastVrij337">Data!$AB$339</definedName>
    <definedName name="Data_LoonkostenVastVrij338">Data!$AB$340</definedName>
    <definedName name="Data_LoonkostenVastVrij339">Data!$AB$341</definedName>
    <definedName name="Data_LoonkostenVastVrij340">Data!$AB$342</definedName>
    <definedName name="Data_LoonkostenVastVrij341">Data!$AB$343</definedName>
    <definedName name="Data_LoonkostenVastVrij342">Data!$AB$344</definedName>
    <definedName name="Data_LoonkostenVastVrij343">Data!$AB$345</definedName>
    <definedName name="Data_LoonkostenVastVrij344">Data!$AB$346</definedName>
    <definedName name="Data_LoonkostenVastVrij345">Data!$AB$347</definedName>
    <definedName name="Data_LoonkostenVastVrij346">Data!$AB$348</definedName>
    <definedName name="Data_LoonkostenVastVrij347">Data!$AB$349</definedName>
    <definedName name="Data_LoonkostenVastVrij348">Data!$AB$350</definedName>
    <definedName name="Data_LoonkostenVastVrij349">Data!$AB$351</definedName>
    <definedName name="Data_LoonkostenVastVrij350">Data!$AB$352</definedName>
    <definedName name="Data_LoonkostenVastVrij351">Data!$AB$353</definedName>
    <definedName name="Data_LoonkostenVastVrij352">Data!$AB$354</definedName>
    <definedName name="Data_LoonkostenVastVrij353">Data!$AB$355</definedName>
    <definedName name="Data_LoonkostenVastVrij354">Data!$AB$356</definedName>
    <definedName name="Data_LoonkostenVastVrij355">Data!$AB$357</definedName>
    <definedName name="Data_LoonkostenVastVrij356">Data!$AB$358</definedName>
    <definedName name="Data_LoonkostenVastVrij357">Data!$AB$359</definedName>
    <definedName name="Data_LoonkostenVastVrij358">Data!$AB$360</definedName>
    <definedName name="Data_LoonkostenVastVrij359">Data!$AB$361</definedName>
    <definedName name="Data_LoonkostenVastVrij360">Data!$AB$362</definedName>
    <definedName name="Data_LoonkostenVastVrij361">Data!$AB$363</definedName>
    <definedName name="Data_LoonkostenVastVrij362">Data!$AB$364</definedName>
    <definedName name="Data_LoonkostenVastVrij363">Data!$AB$365</definedName>
    <definedName name="Data_LoonkostenVastVrij364">Data!$AB$366</definedName>
    <definedName name="Data_LoonkostenVastVrij365">Data!$AB$367</definedName>
    <definedName name="Data_LoonkostenVastVrij366">Data!$AB$368</definedName>
    <definedName name="Data_LoonkostenVastVrij367">Data!$AB$369</definedName>
    <definedName name="Data_LoonkostenVastVrij368">Data!$AB$370</definedName>
    <definedName name="Data_LoonkostenVastVrij369">Data!$AB$371</definedName>
    <definedName name="Data_LoonkostenVastVrij370">Data!$AB$372</definedName>
    <definedName name="Data_LoonkostenVastVrij371">Data!$AB$373</definedName>
    <definedName name="Data_LoonkostenVastVrij372">Data!$AB$374</definedName>
    <definedName name="Data_LoonkostenVastVrij373">Data!$AB$375</definedName>
    <definedName name="Data_LoonkostenVastVrij374">Data!$AB$376</definedName>
    <definedName name="Data_LoonkostenVastVrij375">Data!$AB$377</definedName>
    <definedName name="Data_LoonkostenVastVrij376">Data!$AB$378</definedName>
    <definedName name="Data_LoonkostenVastVrij377">Data!$AB$379</definedName>
    <definedName name="Data_LoonkostenVastVrij378">Data!$AB$380</definedName>
    <definedName name="Data_LoonkostenVastVrij379">Data!$AB$381</definedName>
    <definedName name="Data_LoonkostenVastVrij380">Data!$AB$382</definedName>
    <definedName name="Data_LoonkostenVastVrij381">Data!$AB$383</definedName>
    <definedName name="Data_LoonkostenVastVrij382">Data!$AB$384</definedName>
    <definedName name="Data_LoonkostenVastVrij383">Data!$AB$385</definedName>
    <definedName name="Data_LoonkostenVastVrij384">Data!$AB$386</definedName>
    <definedName name="Data_LoonkostenVastVrij385">Data!$AB$387</definedName>
    <definedName name="Data_LoonkostenVastVrij386">Data!$AB$388</definedName>
    <definedName name="Data_LoonkostenVastVrij387">Data!$AB$389</definedName>
    <definedName name="Data_LoonkostenVastVrij388">Data!$AB$390</definedName>
    <definedName name="Data_LoonkostenVastVrij389">Data!$AB$391</definedName>
    <definedName name="Data_LoonkostenVastVrij390">Data!$AB$392</definedName>
    <definedName name="Data_LoonkostenVastVrij391">Data!$AB$393</definedName>
    <definedName name="Data_LoonkostenVastVrij392">Data!$AB$394</definedName>
    <definedName name="Data_LoonkostenVastVrij393">Data!$AB$395</definedName>
    <definedName name="Data_LoonkostenVastVrij394">Data!$AB$396</definedName>
    <definedName name="Data_LoonkostenVastVrij395">Data!$AB$397</definedName>
    <definedName name="Data_LoonkostenVastVrij396">Data!$AB$398</definedName>
    <definedName name="Data_LoonkostenVastVrij397">Data!$AB$399</definedName>
    <definedName name="Data_LoonkostenVastVrij398">Data!$AB$400</definedName>
    <definedName name="Data_LoonkostenVastVrij399">Data!$AB$401</definedName>
    <definedName name="Data_LoonkostenVastVrij400">Data!$AB$402</definedName>
    <definedName name="Data_LoonkostenVastVrij401">Data!$AB$403</definedName>
    <definedName name="Data_LoonkostenVastVrij402">Data!$AB$404</definedName>
    <definedName name="Data_LoonkostenVastVrij403">Data!$AB$405</definedName>
    <definedName name="Data_LoonkostenVastVrij404">Data!$AB$406</definedName>
    <definedName name="Data_LoonkostenVastVrij405">Data!$AB$407</definedName>
    <definedName name="Data_LoonkostenVastVrij406">Data!$AB$408</definedName>
    <definedName name="Data_LoonkostenVastVrij407">Data!$AB$409</definedName>
    <definedName name="Data_LoonkostenVastVrij408">Data!$AB$410</definedName>
    <definedName name="Data_LoonkostenVastVrij409">Data!$AB$411</definedName>
    <definedName name="Data_LoonkostenVastVrij410">Data!$AB$412</definedName>
    <definedName name="Data_LoonkostenVastVrij411">Data!$AB$413</definedName>
    <definedName name="Data_LoonkostenVastVrij412">Data!$AB$414</definedName>
    <definedName name="Data_LoonkostenVastVrij413">Data!$AB$415</definedName>
    <definedName name="Data_LoonkostenVastVrij414">Data!$AB$416</definedName>
    <definedName name="Data_LoonkostenVastVrij415">Data!$AB$417</definedName>
    <definedName name="Data_LoonkostenVastVrij416">Data!$AB$418</definedName>
    <definedName name="Data_LoonkostenVastVrij417">Data!$AB$419</definedName>
    <definedName name="Data_LoonkostenVastVrij418">Data!$AB$420</definedName>
    <definedName name="Data_LoonkostenVastVrij419">Data!$AB$421</definedName>
    <definedName name="Data_LoonkostenVastVrij420">Data!$AB$422</definedName>
    <definedName name="Data_LoonkostenVastVrij421">Data!$AB$423</definedName>
    <definedName name="Data_LoonkostenVastVrij422">Data!$AB$424</definedName>
    <definedName name="Data_LoonkostenVastVrij423">Data!$AB$425</definedName>
    <definedName name="Data_LoonkostenVastVrij424">Data!$AB$426</definedName>
    <definedName name="Data_LoonkostenVastVrij425">Data!$AB$427</definedName>
    <definedName name="Data_LoonkostenVastVrij426">Data!$AB$428</definedName>
    <definedName name="Data_LoonkostenVastVrij427">Data!$AB$429</definedName>
    <definedName name="Data_LoonkostenVastVrij428">Data!$AB$430</definedName>
    <definedName name="Data_LoonkostenVastVrij429">Data!$AB$431</definedName>
    <definedName name="Data_LoonkostenVastVrij430">Data!$AB$432</definedName>
    <definedName name="Data_LoonkostenVastVrij431">Data!$AB$433</definedName>
    <definedName name="Data_LoonkostenVastVrij432">Data!$AB$434</definedName>
    <definedName name="Data_LoonkostenVastVrij433">Data!$AB$435</definedName>
    <definedName name="Data_LoonkostenVastVrij434">Data!$AB$436</definedName>
    <definedName name="Data_LoonkostenVastVrij435">Data!$AB$437</definedName>
    <definedName name="Data_LoonkostenVastVrij436">Data!$AB$438</definedName>
    <definedName name="Data_LoonkostenVastVrij437">Data!$AB$439</definedName>
    <definedName name="Data_LoonkostenVastVrij438">Data!$AB$440</definedName>
    <definedName name="Data_LoonkostenVastVrij439">Data!$AB$441</definedName>
    <definedName name="Data_LoonkostenVastVrij440">Data!$AB$442</definedName>
    <definedName name="Data_LoonkostenVastVrij441">Data!$AB$443</definedName>
    <definedName name="Data_LoonkostenVastVrij442">Data!$AB$444</definedName>
    <definedName name="Data_LoonkostenVastVrij443">Data!$AB$445</definedName>
    <definedName name="Data_LoonkostenVastVrij444">Data!$AB$446</definedName>
    <definedName name="Data_LoonkostenVastVrij445">Data!$AB$447</definedName>
    <definedName name="Data_LoonkostenVastVrij446">Data!$AB$448</definedName>
    <definedName name="Data_LoonkostenVastVrij447">Data!$AB$449</definedName>
    <definedName name="Data_LoonkostenVastVrij448">Data!$AB$450</definedName>
    <definedName name="Data_LoonkostenVastVrij449">Data!$AB$451</definedName>
    <definedName name="Data_LoonkostenVastVrij450">Data!$AB$452</definedName>
    <definedName name="Data_LoonkostenVastVrij451">Data!$AB$453</definedName>
    <definedName name="Data_LoonkostenVastVrij452">Data!$AB$454</definedName>
    <definedName name="Data_LoonkostenVastVrij453">Data!$AB$455</definedName>
    <definedName name="Data_LoonkostenVastVrij454">Data!$AB$456</definedName>
    <definedName name="Data_LoonkostenVastVrij455">Data!$AB$457</definedName>
    <definedName name="Data_LoonkostenVastVrij456">Data!$AB$458</definedName>
    <definedName name="Data_LoonkostenVastVrij457">Data!$AB$459</definedName>
    <definedName name="Data_LoonkostenVastVrij458">Data!$AB$460</definedName>
    <definedName name="Data_LoonkostenVastVrij459">Data!$AB$461</definedName>
    <definedName name="Data_LoonkostenVastVrij460">Data!$AB$462</definedName>
    <definedName name="Data_LoonkostenVastVrij461">Data!$AB$463</definedName>
    <definedName name="Data_LoonkostenVastVrij462">Data!$AB$464</definedName>
    <definedName name="Data_LoonkostenVastVrij463">Data!$AB$465</definedName>
    <definedName name="Data_LoonkostenVastVrij464">Data!$AB$466</definedName>
    <definedName name="Data_LoonkostenVastVrij465">Data!$AB$467</definedName>
    <definedName name="Data_LoonkostenVastVrij466">Data!$AB$468</definedName>
    <definedName name="Data_LoonkostenVastVrij467">Data!$AB$469</definedName>
    <definedName name="Data_LoonkostenVastVrij468">Data!$AB$470</definedName>
    <definedName name="Data_LoonkostenVastVrij469">Data!$AB$471</definedName>
    <definedName name="Data_LoonkostenVastVrij470">Data!$AB$472</definedName>
    <definedName name="Data_LoonkostenVastVrij471">Data!$AB$473</definedName>
    <definedName name="Data_LoonkostenVastVrij472">Data!$AB$474</definedName>
    <definedName name="Data_LoonkostenVastVrij473">Data!$AB$475</definedName>
    <definedName name="Data_LoonkostenVastVrij474">Data!$AB$476</definedName>
    <definedName name="Data_LoonkostenVastVrij475">Data!$AB$477</definedName>
    <definedName name="Data_LoonkostenVastVrij476">Data!$AB$478</definedName>
    <definedName name="Data_LoonkostenVastVrij477">Data!$AB$479</definedName>
    <definedName name="Data_LoonkostenVastVrij478">Data!$AB$480</definedName>
    <definedName name="Data_LoonkostenVastVrij479">Data!$AB$481</definedName>
    <definedName name="Data_LoonkostenVastVrij480">Data!$AB$482</definedName>
    <definedName name="Data_LoonkostenVastVrij481">Data!$AB$483</definedName>
    <definedName name="Data_LoonkostenVastVrij482">Data!$AB$484</definedName>
    <definedName name="Data_LoonkostenVastVrij483">Data!$AB$485</definedName>
    <definedName name="Data_LoonkostenVastVrij484">Data!$AB$486</definedName>
    <definedName name="Data_LoonkostenVastVrij485">Data!$AB$487</definedName>
    <definedName name="Data_LoonkostenVastVrij486">Data!$AB$488</definedName>
    <definedName name="Data_LoonkostenVastVrij487">Data!$AB$489</definedName>
    <definedName name="Data_LoonkostenVastVrij488">Data!$AB$490</definedName>
    <definedName name="Data_LoonkostenVastVrij489">Data!$AB$491</definedName>
    <definedName name="Data_LoonkostenVastVrij490">Data!$AB$492</definedName>
    <definedName name="Data_LoonkostenVastVrij491">Data!$AB$493</definedName>
    <definedName name="Data_LoonkostenVastVrij492">Data!$AB$494</definedName>
    <definedName name="Data_LoonkostenVastVrij493">Data!$AB$495</definedName>
    <definedName name="Data_LoonkostenVastVrij494">Data!$AB$496</definedName>
    <definedName name="Data_LoonkostenVastVrij495">Data!$AB$497</definedName>
    <definedName name="Data_LoonkostenVastVrij496">Data!$AB$498</definedName>
    <definedName name="Data_LoonkostenVastVrij497">Data!$AB$499</definedName>
    <definedName name="Data_LoonkostenVastVrij498">Data!$AB$500</definedName>
    <definedName name="Data_LoonkostenVastVrij499">Data!$AB$501</definedName>
    <definedName name="Data_LoonkostenVastVrij500">Data!$AB$502</definedName>
    <definedName name="Data_NaamPersoonNatVerloop001">Data!$AT$3</definedName>
    <definedName name="Data_NaamPersoonNatVerloop002">Data!$AT$4</definedName>
    <definedName name="Data_NaamPersoonNatVerloop003">Data!$AT$5</definedName>
    <definedName name="Data_NaamPersoonNatVerloop004">Data!$AT$6</definedName>
    <definedName name="Data_NaamPersoonNatVerloop005">Data!$AT$7</definedName>
    <definedName name="Data_NaamPersoonNatVerloop006">Data!$AT$8</definedName>
    <definedName name="Data_NaamPersoonNatVerloop007">Data!$AT$9</definedName>
    <definedName name="Data_NaamPersoonNatVerloop008">Data!$AT$10</definedName>
    <definedName name="Data_NaamPersoonNatVerloop009">Data!$AT$11</definedName>
    <definedName name="Data_NaamPersoonNatVerloop010">Data!$AT$12</definedName>
    <definedName name="Data_NaamPersoonNatVerloop011">Data!$AT$13</definedName>
    <definedName name="Data_NaamPersoonNatVerloop012">Data!$AT$14</definedName>
    <definedName name="Data_NaamPersoonNatVerloop013">Data!$AT$15</definedName>
    <definedName name="Data_NaamPersoonNatVerloop014">Data!$AT$16</definedName>
    <definedName name="Data_NaamPersoonNatVerloop015">Data!$AT$17</definedName>
    <definedName name="Data_NaamPersoonNatVerloop016">Data!$AT$18</definedName>
    <definedName name="Data_NaamPersoonNatVerloop017">Data!$AT$19</definedName>
    <definedName name="Data_NaamPersoonNatVerloop018">Data!$AT$20</definedName>
    <definedName name="Data_NaamPersoonNatVerloop019">Data!$AT$21</definedName>
    <definedName name="Data_NaamPersoonNatVerloop020">Data!$AT$22</definedName>
    <definedName name="Data_NaamPersoonNatVerloop021">Data!$AT$23</definedName>
    <definedName name="Data_NaamPersoonNatVerloop022">Data!$AT$24</definedName>
    <definedName name="Data_NaamPersoonNatVerloop023">Data!$AT$25</definedName>
    <definedName name="Data_NaamPersoonNatVerloop024">Data!$AT$26</definedName>
    <definedName name="Data_NaamPersoonNatVerloop025">Data!$AT$27</definedName>
    <definedName name="Data_NaamPersoonNatVerloop026">Data!$AT$28</definedName>
    <definedName name="Data_NaamPersoonNatVerloop027">Data!$AT$29</definedName>
    <definedName name="Data_NaamPersoonNatVerloop028">Data!$AT$30</definedName>
    <definedName name="Data_NaamPersoonNatVerloop029">Data!$AT$31</definedName>
    <definedName name="Data_NaamPersoonNatVerloop030">Data!$AT$32</definedName>
    <definedName name="Data_NaamPersoonNatVerloop031">Data!$AT$33</definedName>
    <definedName name="Data_NaamPersoonNatVerloop032">Data!$AT$34</definedName>
    <definedName name="Data_NaamPersoonNatVerloop033">Data!$AT$35</definedName>
    <definedName name="Data_NaamPersoonNatVerloop034">Data!$AT$36</definedName>
    <definedName name="Data_NaamPersoonNatVerloop035">Data!$AT$37</definedName>
    <definedName name="Data_NaamPersoonNatVerloop036">Data!$AT$38</definedName>
    <definedName name="Data_NaamPersoonNatVerloop037">Data!$AT$39</definedName>
    <definedName name="Data_NaamPersoonNatVerloop038">Data!$AT$40</definedName>
    <definedName name="Data_NaamPersoonNatVerloop039">Data!$AT$41</definedName>
    <definedName name="Data_NaamPersoonNatVerloop040">Data!$AT$42</definedName>
    <definedName name="Data_NaamPersoonNatVerloop041">Data!$AT$43</definedName>
    <definedName name="Data_NaamPersoonNatVerloop042">Data!$AT$44</definedName>
    <definedName name="Data_NaamPersoonNatVerloop043">Data!$AT$45</definedName>
    <definedName name="Data_NaamPersoonNatVerloop044">Data!$AT$46</definedName>
    <definedName name="Data_NaamPersoonNatVerloop045">Data!$AT$47</definedName>
    <definedName name="Data_NaamPersoonNatVerloop046">Data!$AT$48</definedName>
    <definedName name="Data_NaamPersoonNatVerloop047">Data!$AT$49</definedName>
    <definedName name="Data_NaamPersoonNatVerloop048">Data!$AT$50</definedName>
    <definedName name="Data_NaamPersoonNatVerloop049">Data!$AT$51</definedName>
    <definedName name="Data_NaamPersoonNatVerloop050">Data!$AT$52</definedName>
    <definedName name="Data_NaamPersoonNatVerloop051">Data!$AT$53</definedName>
    <definedName name="Data_NaamPersoonNatVerloop052">Data!$AT$54</definedName>
    <definedName name="Data_NaamPersoonNatVerloop053">Data!$AT$55</definedName>
    <definedName name="Data_NaamPersoonNatVerloop054">Data!$AT$56</definedName>
    <definedName name="Data_NaamPersoonNatVerloop055">Data!$AT$57</definedName>
    <definedName name="Data_NaamPersoonNatVerloop056">Data!$AT$58</definedName>
    <definedName name="Data_NaamPersoonNatVerloop057">Data!$AT$59</definedName>
    <definedName name="Data_NaamPersoonNatVerloop058">Data!$AT$60</definedName>
    <definedName name="Data_NaamPersoonNatVerloop059">Data!$AT$61</definedName>
    <definedName name="Data_NaamPersoonNatVerloop060">Data!$AT$62</definedName>
    <definedName name="Data_NaamPersoonNatVerloop061">Data!$AT$63</definedName>
    <definedName name="Data_NaamPersoonNatVerloop062">Data!$AT$64</definedName>
    <definedName name="Data_NaamPersoonNatVerloop063">Data!$AT$65</definedName>
    <definedName name="Data_NaamPersoonNatVerloop064">Data!$AT$66</definedName>
    <definedName name="Data_NaamPersoonNatVerloop065">Data!$AT$67</definedName>
    <definedName name="Data_NaamPersoonNatVerloop066">Data!$AT$68</definedName>
    <definedName name="Data_NaamPersoonNatVerloop067">Data!$AT$69</definedName>
    <definedName name="Data_NaamPersoonNatVerloop068">Data!$AT$70</definedName>
    <definedName name="Data_NaamPersoonNatVerloop069">Data!$AT$71</definedName>
    <definedName name="Data_NaamPersoonNatVerloop070">Data!$AT$72</definedName>
    <definedName name="Data_NaamPersoonNatVerloop071">Data!$AT$73</definedName>
    <definedName name="Data_NaamPersoonNatVerloop072">Data!$AT$74</definedName>
    <definedName name="Data_NaamPersoonNatVerloop073">Data!$AT$75</definedName>
    <definedName name="Data_NaamPersoonNatVerloop074">Data!$AT$76</definedName>
    <definedName name="Data_NaamPersoonNatVerloop075">Data!$AT$77</definedName>
    <definedName name="Data_NaamPersoonNatVerloop076">Data!$AT$78</definedName>
    <definedName name="Data_NaamPersoonNatVerloop077">Data!$AT$79</definedName>
    <definedName name="Data_NaamPersoonNatVerloop078">Data!$AT$80</definedName>
    <definedName name="Data_NaamPersoonNatVerloop079">Data!$AT$81</definedName>
    <definedName name="Data_NaamPersoonNatVerloop080">Data!$AT$82</definedName>
    <definedName name="Data_NaamPersoonNatVerloop081">Data!$AT$83</definedName>
    <definedName name="Data_NaamPersoonNatVerloop082">Data!$AT$84</definedName>
    <definedName name="Data_NaamPersoonNatVerloop083">Data!$AT$85</definedName>
    <definedName name="Data_NaamPersoonNatVerloop084">Data!$AT$86</definedName>
    <definedName name="Data_NaamPersoonNatVerloop085">Data!$AT$87</definedName>
    <definedName name="Data_NaamPersoonNatVerloop086">Data!$AT$88</definedName>
    <definedName name="Data_NaamPersoonNatVerloop087">Data!$AT$89</definedName>
    <definedName name="Data_NaamPersoonNatVerloop088">Data!$AT$90</definedName>
    <definedName name="Data_NaamPersoonNatVerloop089">Data!$AT$91</definedName>
    <definedName name="Data_NaamPersoonNatVerloop090">Data!$AT$92</definedName>
    <definedName name="Data_NaamPersoonNatVerloop091">Data!$AT$93</definedName>
    <definedName name="Data_NaamPersoonNatVerloop092">Data!$AT$94</definedName>
    <definedName name="Data_NaamPersoonNatVerloop093">Data!$AT$95</definedName>
    <definedName name="Data_NaamPersoonNatVerloop094">Data!$AT$96</definedName>
    <definedName name="Data_NaamPersoonNatVerloop095">Data!$AT$97</definedName>
    <definedName name="Data_NaamPersoonNatVerloop096">Data!$AT$98</definedName>
    <definedName name="Data_NaamPersoonNatVerloop097">Data!$AT$99</definedName>
    <definedName name="Data_NaamPersoonNatVerloop098">Data!$AT$100</definedName>
    <definedName name="Data_NaamPersoonNatVerloop099">Data!$AT$101</definedName>
    <definedName name="Data_NaamPersoonNatVerloop100">Data!$AT$102</definedName>
    <definedName name="Data_NaamPersoonNatVerloop101">Data!$AT$103</definedName>
    <definedName name="Data_NaamPersoonNatVerloop102">Data!$AT$104</definedName>
    <definedName name="Data_NaamPersoonNatVerloop103">Data!$AT$105</definedName>
    <definedName name="Data_NaamPersoonNatVerloop104">Data!$AT$106</definedName>
    <definedName name="Data_NaamPersoonNatVerloop105">Data!$AT$107</definedName>
    <definedName name="Data_NaamPersoonNatVerloop106">Data!$AT$108</definedName>
    <definedName name="Data_NaamPersoonNatVerloop107">Data!$AT$109</definedName>
    <definedName name="Data_NaamPersoonNatVerloop108">Data!$AT$110</definedName>
    <definedName name="Data_NaamPersoonNatVerloop109">Data!$AT$111</definedName>
    <definedName name="Data_NaamPersoonNatVerloop110">Data!$AT$112</definedName>
    <definedName name="Data_NaamPersoonNatVerloop111">Data!$AT$113</definedName>
    <definedName name="Data_NaamPersoonNatVerloop112">Data!$AT$114</definedName>
    <definedName name="Data_NaamPersoonNatVerloop113">Data!$AT$115</definedName>
    <definedName name="Data_NaamPersoonNatVerloop114">Data!$AT$116</definedName>
    <definedName name="Data_NaamPersoonNatVerloop115">Data!$AT$117</definedName>
    <definedName name="Data_NaamPersoonNatVerloop116">Data!$AT$118</definedName>
    <definedName name="Data_NaamPersoonNatVerloop117">Data!$AT$119</definedName>
    <definedName name="Data_NaamPersoonNatVerloop118">Data!$AT$120</definedName>
    <definedName name="Data_NaamPersoonNatVerloop119">Data!$AT$121</definedName>
    <definedName name="Data_NaamPersoonNatVerloop120">Data!$AT$122</definedName>
    <definedName name="Data_NaamPersoonNatVerloop121">Data!$AT$123</definedName>
    <definedName name="Data_NaamPersoonNatVerloop122">Data!$AT$124</definedName>
    <definedName name="Data_NaamPersoonNatVerloop123">Data!$AT$125</definedName>
    <definedName name="Data_NaamPersoonNatVerloop124">Data!$AT$126</definedName>
    <definedName name="Data_NaamPersoonNatVerloop125">Data!$AT$127</definedName>
    <definedName name="Data_NaamPersoonNatVerloop126">Data!$AT$128</definedName>
    <definedName name="Data_NaamPersoonNatVerloop127">Data!$AT$129</definedName>
    <definedName name="Data_NaamPersoonNatVerloop128">Data!$AT$130</definedName>
    <definedName name="Data_NaamPersoonNatVerloop129">Data!$AT$131</definedName>
    <definedName name="Data_NaamPersoonNatVerloop130">Data!$AT$132</definedName>
    <definedName name="Data_NaamPersoonNatVerloop131">Data!$AT$133</definedName>
    <definedName name="Data_NaamPersoonNatVerloop132">Data!$AT$134</definedName>
    <definedName name="Data_NaamPersoonNatVerloop133">Data!$AT$135</definedName>
    <definedName name="Data_NaamPersoonNatVerloop134">Data!$AT$136</definedName>
    <definedName name="Data_NaamPersoonNatVerloop135">Data!$AT$137</definedName>
    <definedName name="Data_NaamPersoonNatVerloop136">Data!$AT$138</definedName>
    <definedName name="Data_NaamPersoonNatVerloop137">Data!$AT$139</definedName>
    <definedName name="Data_NaamPersoonNatVerloop138">Data!$AT$140</definedName>
    <definedName name="Data_NaamPersoonNatVerloop139">Data!$AT$141</definedName>
    <definedName name="Data_NaamPersoonNatVerloop140">Data!$AT$142</definedName>
    <definedName name="Data_NaamPersoonNatVerloop141">Data!$AT$143</definedName>
    <definedName name="Data_NaamPersoonNatVerloop142">Data!$AT$144</definedName>
    <definedName name="Data_NaamPersoonNatVerloop143">Data!$AT$145</definedName>
    <definedName name="Data_NaamPersoonNatVerloop144">Data!$AT$146</definedName>
    <definedName name="Data_NaamPersoonNatVerloop145">Data!$AT$147</definedName>
    <definedName name="Data_NaamPersoonNatVerloop146">Data!$AT$148</definedName>
    <definedName name="Data_NaamPersoonNatVerloop147">Data!$AT$149</definedName>
    <definedName name="Data_NaamPersoonNatVerloop148">Data!$AT$150</definedName>
    <definedName name="Data_NaamPersoonNatVerloop149">Data!$AT$151</definedName>
    <definedName name="Data_NaamPersoonNatVerloop150">Data!$AT$152</definedName>
    <definedName name="Data_NaamPersoonNatVerloop151">Data!$AT$153</definedName>
    <definedName name="Data_NaamPersoonNatVerloop152">Data!$AT$154</definedName>
    <definedName name="Data_NaamPersoonNatVerloop153">Data!$AT$155</definedName>
    <definedName name="Data_NaamPersoonNatVerloop154">Data!$AT$156</definedName>
    <definedName name="Data_NaamPersoonNatVerloop155">Data!$AT$157</definedName>
    <definedName name="Data_NaamPersoonNatVerloop156">Data!$AT$158</definedName>
    <definedName name="Data_NaamPersoonNatVerloop157">Data!$AT$159</definedName>
    <definedName name="Data_NaamPersoonNatVerloop158">Data!$AT$160</definedName>
    <definedName name="Data_NaamPersoonNatVerloop159">Data!$AT$161</definedName>
    <definedName name="Data_NaamPersoonNatVerloop160">Data!$AT$162</definedName>
    <definedName name="Data_NaamPersoonNatVerloop161">Data!$AT$163</definedName>
    <definedName name="Data_NaamPersoonNatVerloop162">Data!$AT$164</definedName>
    <definedName name="Data_NaamPersoonNatVerloop163">Data!$AT$165</definedName>
    <definedName name="Data_NaamPersoonNatVerloop164">Data!$AT$166</definedName>
    <definedName name="Data_NaamPersoonNatVerloop165">Data!$AT$167</definedName>
    <definedName name="Data_NaamPersoonNatVerloop166">Data!$AT$168</definedName>
    <definedName name="Data_NaamPersoonNatVerloop167">Data!$AT$169</definedName>
    <definedName name="Data_NaamPersoonNatVerloop168">Data!$AT$170</definedName>
    <definedName name="Data_NaamPersoonNatVerloop169">Data!$AT$171</definedName>
    <definedName name="Data_NaamPersoonNatVerloop170">Data!$AT$172</definedName>
    <definedName name="Data_NaamPersoonNatVerloop171">Data!$AT$173</definedName>
    <definedName name="Data_NaamPersoonNatVerloop172">Data!$AT$174</definedName>
    <definedName name="Data_NaamPersoonNatVerloop173">Data!$AT$175</definedName>
    <definedName name="Data_NaamPersoonNatVerloop174">Data!$AT$176</definedName>
    <definedName name="Data_NaamPersoonNatVerloop175">Data!$AT$177</definedName>
    <definedName name="Data_NaamPersoonNatVerloop176">Data!$AT$178</definedName>
    <definedName name="Data_NaamPersoonNatVerloop177">Data!$AT$179</definedName>
    <definedName name="Data_NaamPersoonNatVerloop178">Data!$AT$180</definedName>
    <definedName name="Data_NaamPersoonNatVerloop179">Data!$AT$181</definedName>
    <definedName name="Data_NaamPersoonNatVerloop180">Data!$AT$182</definedName>
    <definedName name="Data_NaamPersoonNatVerloop181">Data!$AT$183</definedName>
    <definedName name="Data_NaamPersoonNatVerloop182">Data!$AT$184</definedName>
    <definedName name="Data_NaamPersoonNatVerloop183">Data!$AT$185</definedName>
    <definedName name="Data_NaamPersoonNatVerloop184">Data!$AT$186</definedName>
    <definedName name="Data_NaamPersoonNatVerloop185">Data!$AT$187</definedName>
    <definedName name="Data_NaamPersoonNatVerloop186">Data!$AT$188</definedName>
    <definedName name="Data_NaamPersoonNatVerloop187">Data!$AT$189</definedName>
    <definedName name="Data_NaamPersoonNatVerloop188">Data!$AT$190</definedName>
    <definedName name="Data_NaamPersoonNatVerloop189">Data!$AT$191</definedName>
    <definedName name="Data_NaamPersoonNatVerloop190">Data!$AT$192</definedName>
    <definedName name="Data_NaamPersoonNatVerloop191">Data!$AT$193</definedName>
    <definedName name="Data_NaamPersoonNatVerloop192">Data!$AT$194</definedName>
    <definedName name="Data_NaamPersoonNatVerloop193">Data!$AT$195</definedName>
    <definedName name="Data_NaamPersoonNatVerloop194">Data!$AT$196</definedName>
    <definedName name="Data_NaamPersoonNatVerloop195">Data!$AT$197</definedName>
    <definedName name="Data_NaamPersoonNatVerloop196">Data!$AT$198</definedName>
    <definedName name="Data_NaamPersoonNatVerloop197">Data!$AT$199</definedName>
    <definedName name="Data_NaamPersoonNatVerloop198">Data!$AT$200</definedName>
    <definedName name="Data_NaamPersoonNatVerloop199">Data!$AT$201</definedName>
    <definedName name="Data_NaamPersoonNatVerloop200">Data!$AT$202</definedName>
    <definedName name="Data_NaamPersoonNatVerloop201">Data!$AT$203</definedName>
    <definedName name="Data_NaamPersoonNatVerloop202">Data!$AT$204</definedName>
    <definedName name="Data_NaamPersoonNatVerloop203">Data!$AT$205</definedName>
    <definedName name="Data_NaamPersoonNatVerloop204">Data!$AT$206</definedName>
    <definedName name="Data_NaamPersoonNatVerloop205">Data!$AT$207</definedName>
    <definedName name="Data_NaamPersoonNatVerloop206">Data!$AT$208</definedName>
    <definedName name="Data_NaamPersoonNatVerloop207">Data!$AT$209</definedName>
    <definedName name="Data_NaamPersoonNatVerloop208">Data!$AT$210</definedName>
    <definedName name="Data_NaamPersoonNatVerloop209">Data!$AT$211</definedName>
    <definedName name="Data_NaamPersoonNatVerloop210">Data!$AT$212</definedName>
    <definedName name="Data_NaamPersoonNatVerloop211">Data!$AT$213</definedName>
    <definedName name="Data_NaamPersoonNatVerloop212">Data!$AT$214</definedName>
    <definedName name="Data_NaamPersoonNatVerloop213">Data!$AT$215</definedName>
    <definedName name="Data_NaamPersoonNatVerloop214">Data!$AT$216</definedName>
    <definedName name="Data_NaamPersoonNatVerloop215">Data!$AT$217</definedName>
    <definedName name="Data_NaamPersoonNatVerloop216">Data!$AT$218</definedName>
    <definedName name="Data_NaamPersoonNatVerloop217">Data!$AT$219</definedName>
    <definedName name="Data_NaamPersoonNatVerloop218">Data!$AT$220</definedName>
    <definedName name="Data_NaamPersoonNatVerloop219">Data!$AT$221</definedName>
    <definedName name="Data_NaamPersoonNatVerloop220">Data!$AT$222</definedName>
    <definedName name="Data_NaamPersoonNatVerloop221">Data!$AT$223</definedName>
    <definedName name="Data_NaamPersoonNatVerloop222">Data!$AT$224</definedName>
    <definedName name="Data_NaamPersoonNatVerloop223">Data!$AT$225</definedName>
    <definedName name="Data_NaamPersoonNatVerloop224">Data!$AT$226</definedName>
    <definedName name="Data_NaamPersoonNatVerloop225">Data!$AT$227</definedName>
    <definedName name="Data_NaamPersoonNatVerloop226">Data!$AT$228</definedName>
    <definedName name="Data_NaamPersoonNatVerloop227">Data!$AT$229</definedName>
    <definedName name="Data_NaamPersoonNatVerloop228">Data!$AT$230</definedName>
    <definedName name="Data_NaamPersoonNatVerloop229">Data!$AT$231</definedName>
    <definedName name="Data_NaamPersoonNatVerloop230">Data!$AT$232</definedName>
    <definedName name="Data_NaamPersoonNatVerloop231">Data!$AT$233</definedName>
    <definedName name="Data_NaamPersoonNatVerloop232">Data!$AT$234</definedName>
    <definedName name="Data_NaamPersoonNatVerloop233">Data!$AT$235</definedName>
    <definedName name="Data_NaamPersoonNatVerloop234">Data!$AT$236</definedName>
    <definedName name="Data_NaamPersoonNatVerloop235">Data!$AT$237</definedName>
    <definedName name="Data_NaamPersoonNatVerloop236">Data!$AT$238</definedName>
    <definedName name="Data_NaamPersoonNatVerloop237">Data!$AT$239</definedName>
    <definedName name="Data_NaamPersoonNatVerloop238">Data!$AT$240</definedName>
    <definedName name="Data_NaamPersoonNatVerloop239">Data!$AT$241</definedName>
    <definedName name="Data_NaamPersoonNatVerloop240">Data!$AT$242</definedName>
    <definedName name="Data_NaamPersoonNatVerloop241">Data!$AT$243</definedName>
    <definedName name="Data_NaamPersoonNatVerloop242">Data!$AT$244</definedName>
    <definedName name="Data_NaamPersoonNatVerloop243">Data!$AT$245</definedName>
    <definedName name="Data_NaamPersoonNatVerloop244">Data!$AT$246</definedName>
    <definedName name="Data_NaamPersoonNatVerloop245">Data!$AT$247</definedName>
    <definedName name="Data_NaamPersoonNatVerloop246">Data!$AT$248</definedName>
    <definedName name="Data_NaamPersoonNatVerloop247">Data!$AT$249</definedName>
    <definedName name="Data_NaamPersoonNatVerloop248">Data!$AT$250</definedName>
    <definedName name="Data_NaamPersoonNatVerloop249">Data!$AT$251</definedName>
    <definedName name="Data_NaamPersoonNatVerloop250">Data!$AT$252</definedName>
    <definedName name="Data_NaamPersoonNatVerloop251">Data!$AT$253</definedName>
    <definedName name="Data_NaamPersoonNatVerloop252">Data!$AT$254</definedName>
    <definedName name="Data_NaamPersoonNatVerloop253">Data!$AT$255</definedName>
    <definedName name="Data_NaamPersoonNatVerloop254">Data!$AT$256</definedName>
    <definedName name="Data_NaamPersoonNatVerloop255">Data!$AT$257</definedName>
    <definedName name="Data_NaamPersoonNatVerloop256">Data!$AT$258</definedName>
    <definedName name="Data_NaamPersoonNatVerloop257">Data!$AT$259</definedName>
    <definedName name="Data_NaamPersoonNatVerloop258">Data!$AT$260</definedName>
    <definedName name="Data_NaamPersoonNatVerloop259">Data!$AT$261</definedName>
    <definedName name="Data_NaamPersoonNatVerloop260">Data!$AT$262</definedName>
    <definedName name="Data_NaamPersoonNatVerloop261">Data!$AT$263</definedName>
    <definedName name="Data_NaamPersoonNatVerloop262">Data!$AT$264</definedName>
    <definedName name="Data_NaamPersoonNatVerloop263">Data!$AT$265</definedName>
    <definedName name="Data_NaamPersoonNatVerloop264">Data!$AT$266</definedName>
    <definedName name="Data_NaamPersoonNatVerloop265">Data!$AT$267</definedName>
    <definedName name="Data_NaamPersoonNatVerloop266">Data!$AT$268</definedName>
    <definedName name="Data_NaamPersoonNatVerloop267">Data!$AT$269</definedName>
    <definedName name="Data_NaamPersoonNatVerloop268">Data!$AT$270</definedName>
    <definedName name="Data_NaamPersoonNatVerloop269">Data!$AT$271</definedName>
    <definedName name="Data_NaamPersoonNatVerloop270">Data!$AT$272</definedName>
    <definedName name="Data_NaamPersoonNatVerloop271">Data!$AT$273</definedName>
    <definedName name="Data_NaamPersoonNatVerloop272">Data!$AT$274</definedName>
    <definedName name="Data_NaamPersoonNatVerloop273">Data!$AT$275</definedName>
    <definedName name="Data_NaamPersoonNatVerloop274">Data!$AT$276</definedName>
    <definedName name="Data_NaamPersoonNatVerloop275">Data!$AT$277</definedName>
    <definedName name="Data_NaamPersoonNatVerloop276">Data!$AT$278</definedName>
    <definedName name="Data_NaamPersoonNatVerloop277">Data!$AT$279</definedName>
    <definedName name="Data_NaamPersoonNatVerloop278">Data!$AT$280</definedName>
    <definedName name="Data_NaamPersoonNatVerloop279">Data!$AT$281</definedName>
    <definedName name="Data_NaamPersoonNatVerloop280">Data!$AT$282</definedName>
    <definedName name="Data_NaamPersoonNatVerloop281">Data!$AT$283</definedName>
    <definedName name="Data_NaamPersoonNatVerloop282">Data!$AT$284</definedName>
    <definedName name="Data_NaamPersoonNatVerloop283">Data!$AT$285</definedName>
    <definedName name="Data_NaamPersoonNatVerloop284">Data!$AT$286</definedName>
    <definedName name="Data_NaamPersoonNatVerloop285">Data!$AT$287</definedName>
    <definedName name="Data_NaamPersoonNatVerloop286">Data!$AT$288</definedName>
    <definedName name="Data_NaamPersoonNatVerloop287">Data!$AT$289</definedName>
    <definedName name="Data_NaamPersoonNatVerloop288">Data!$AT$290</definedName>
    <definedName name="Data_NaamPersoonNatVerloop289">Data!$AT$291</definedName>
    <definedName name="Data_NaamPersoonNatVerloop290">Data!$AT$292</definedName>
    <definedName name="Data_NaamPersoonNatVerloop291">Data!$AT$293</definedName>
    <definedName name="Data_NaamPersoonNatVerloop292">Data!$AT$294</definedName>
    <definedName name="Data_NaamPersoonNatVerloop293">Data!$AT$295</definedName>
    <definedName name="Data_NaamPersoonNatVerloop294">Data!$AT$296</definedName>
    <definedName name="Data_NaamPersoonNatVerloop295">Data!$AT$297</definedName>
    <definedName name="Data_NaamPersoonNatVerloop296">Data!$AT$298</definedName>
    <definedName name="Data_NaamPersoonNatVerloop297">Data!$AT$299</definedName>
    <definedName name="Data_NaamPersoonNatVerloop298">Data!$AT$300</definedName>
    <definedName name="Data_NaamPersoonNatVerloop299">Data!$AT$301</definedName>
    <definedName name="Data_NaamPersoonNatVerloop300">Data!$AT$302</definedName>
    <definedName name="Data_NaamPersoonNatVerloop301">Data!$AT$303</definedName>
    <definedName name="Data_NaamPersoonNatVerloop302">Data!$AT$304</definedName>
    <definedName name="Data_NaamPersoonNatVerloop303">Data!$AT$305</definedName>
    <definedName name="Data_NaamPersoonNatVerloop304">Data!$AT$306</definedName>
    <definedName name="Data_NaamPersoonNatVerloop305">Data!$AT$307</definedName>
    <definedName name="Data_NaamPersoonNatVerloop306">Data!$AT$308</definedName>
    <definedName name="Data_NaamPersoonNatVerloop307">Data!$AT$309</definedName>
    <definedName name="Data_NaamPersoonNatVerloop308">Data!$AT$310</definedName>
    <definedName name="Data_NaamPersoonNatVerloop309">Data!$AT$311</definedName>
    <definedName name="Data_NaamPersoonNatVerloop310">Data!$AT$312</definedName>
    <definedName name="Data_NaamPersoonNatVerloop311">Data!$AT$313</definedName>
    <definedName name="Data_NaamPersoonNatVerloop312">Data!$AT$314</definedName>
    <definedName name="Data_NaamPersoonNatVerloop313">Data!$AT$315</definedName>
    <definedName name="Data_NaamPersoonNatVerloop314">Data!$AT$316</definedName>
    <definedName name="Data_NaamPersoonNatVerloop315">Data!$AT$317</definedName>
    <definedName name="Data_NaamPersoonNatVerloop316">Data!$AT$318</definedName>
    <definedName name="Data_NaamPersoonNatVerloop317">Data!$AT$319</definedName>
    <definedName name="Data_NaamPersoonNatVerloop318">Data!$AT$320</definedName>
    <definedName name="Data_NaamPersoonNatVerloop319">Data!$AT$321</definedName>
    <definedName name="Data_NaamPersoonNatVerloop320">Data!$AT$322</definedName>
    <definedName name="Data_NaamPersoonNatVerloop321">Data!$AT$323</definedName>
    <definedName name="Data_NaamPersoonNatVerloop322">Data!$AT$324</definedName>
    <definedName name="Data_NaamPersoonNatVerloop323">Data!$AT$325</definedName>
    <definedName name="Data_NaamPersoonNatVerloop324">Data!$AT$326</definedName>
    <definedName name="Data_NaamPersoonNatVerloop325">Data!$AT$327</definedName>
    <definedName name="Data_NaamPersoonNatVerloop326">Data!$AT$328</definedName>
    <definedName name="Data_NaamPersoonNatVerloop327">Data!$AT$329</definedName>
    <definedName name="Data_NaamPersoonNatVerloop328">Data!$AT$330</definedName>
    <definedName name="Data_NaamPersoonNatVerloop329">Data!$AT$331</definedName>
    <definedName name="Data_NaamPersoonNatVerloop330">Data!$AT$332</definedName>
    <definedName name="Data_NaamPersoonNatVerloop331">Data!$AT$333</definedName>
    <definedName name="Data_NaamPersoonNatVerloop332">Data!$AT$334</definedName>
    <definedName name="Data_NaamPersoonNatVerloop333">Data!$AT$335</definedName>
    <definedName name="Data_NaamPersoonNatVerloop334">Data!$AT$336</definedName>
    <definedName name="Data_NaamPersoonNatVerloop335">Data!$AT$337</definedName>
    <definedName name="Data_NaamPersoonNatVerloop336">Data!$AT$338</definedName>
    <definedName name="Data_NaamPersoonNatVerloop337">Data!$AT$339</definedName>
    <definedName name="Data_NaamPersoonNatVerloop338">Data!$AT$340</definedName>
    <definedName name="Data_NaamPersoonNatVerloop339">Data!$AT$341</definedName>
    <definedName name="Data_NaamPersoonNatVerloop340">Data!$AT$342</definedName>
    <definedName name="Data_NaamPersoonNatVerloop341">Data!$AT$343</definedName>
    <definedName name="Data_NaamPersoonNatVerloop342">Data!$AT$344</definedName>
    <definedName name="Data_NaamPersoonNatVerloop343">Data!$AT$345</definedName>
    <definedName name="Data_NaamPersoonNatVerloop344">Data!$AT$346</definedName>
    <definedName name="Data_NaamPersoonNatVerloop345">Data!$AT$347</definedName>
    <definedName name="Data_NaamPersoonNatVerloop346">Data!$AT$348</definedName>
    <definedName name="Data_NaamPersoonNatVerloop347">Data!$AT$349</definedName>
    <definedName name="Data_NaamPersoonNatVerloop348">Data!$AT$350</definedName>
    <definedName name="Data_NaamPersoonNatVerloop349">Data!$AT$351</definedName>
    <definedName name="Data_NaamPersoonNatVerloop350">Data!$AT$352</definedName>
    <definedName name="Data_NaamPersoonNatVerloop351">Data!$AT$353</definedName>
    <definedName name="Data_NaamPersoonNatVerloop352">Data!$AT$354</definedName>
    <definedName name="Data_NaamPersoonNatVerloop353">Data!$AT$355</definedName>
    <definedName name="Data_NaamPersoonNatVerloop354">Data!$AT$356</definedName>
    <definedName name="Data_NaamPersoonNatVerloop355">Data!$AT$357</definedName>
    <definedName name="Data_NaamPersoonNatVerloop356">Data!$AT$358</definedName>
    <definedName name="Data_NaamPersoonNatVerloop357">Data!$AT$359</definedName>
    <definedName name="Data_NaamPersoonNatVerloop358">Data!$AT$360</definedName>
    <definedName name="Data_NaamPersoonNatVerloop359">Data!$AT$361</definedName>
    <definedName name="Data_NaamPersoonNatVerloop360">Data!$AT$362</definedName>
    <definedName name="Data_NaamPersoonNatVerloop361">Data!$AT$363</definedName>
    <definedName name="Data_NaamPersoonNatVerloop362">Data!$AT$364</definedName>
    <definedName name="Data_NaamPersoonNatVerloop363">Data!$AT$365</definedName>
    <definedName name="Data_NaamPersoonNatVerloop364">Data!$AT$366</definedName>
    <definedName name="Data_NaamPersoonNatVerloop365">Data!$AT$367</definedName>
    <definedName name="Data_NaamPersoonNatVerloop366">Data!$AT$368</definedName>
    <definedName name="Data_NaamPersoonNatVerloop367">Data!$AT$369</definedName>
    <definedName name="Data_NaamPersoonNatVerloop368">Data!$AT$370</definedName>
    <definedName name="Data_NaamPersoonNatVerloop369">Data!$AT$371</definedName>
    <definedName name="Data_NaamPersoonNatVerloop370">Data!$AT$372</definedName>
    <definedName name="Data_NaamPersoonNatVerloop371">Data!$AT$373</definedName>
    <definedName name="Data_NaamPersoonNatVerloop372">Data!$AT$374</definedName>
    <definedName name="Data_NaamPersoonNatVerloop373">Data!$AT$375</definedName>
    <definedName name="Data_NaamPersoonNatVerloop374">Data!$AT$376</definedName>
    <definedName name="Data_NaamPersoonNatVerloop375">Data!$AT$377</definedName>
    <definedName name="Data_NaamPersoonNatVerloop376">Data!$AT$378</definedName>
    <definedName name="Data_NaamPersoonNatVerloop377">Data!$AT$379</definedName>
    <definedName name="Data_NaamPersoonNatVerloop378">Data!$AT$380</definedName>
    <definedName name="Data_NaamPersoonNatVerloop379">Data!$AT$381</definedName>
    <definedName name="Data_NaamPersoonNatVerloop380">Data!$AT$382</definedName>
    <definedName name="Data_NaamPersoonNatVerloop381">Data!$AT$383</definedName>
    <definedName name="Data_NaamPersoonNatVerloop382">Data!$AT$384</definedName>
    <definedName name="Data_NaamPersoonNatVerloop383">Data!$AT$385</definedName>
    <definedName name="Data_NaamPersoonNatVerloop384">Data!$AT$386</definedName>
    <definedName name="Data_NaamPersoonNatVerloop385">Data!$AT$387</definedName>
    <definedName name="Data_NaamPersoonNatVerloop386">Data!$AT$388</definedName>
    <definedName name="Data_NaamPersoonNatVerloop387">Data!$AT$389</definedName>
    <definedName name="Data_NaamPersoonNatVerloop388">Data!$AT$390</definedName>
    <definedName name="Data_NaamPersoonNatVerloop389">Data!$AT$391</definedName>
    <definedName name="Data_NaamPersoonNatVerloop390">Data!$AT$392</definedName>
    <definedName name="Data_NaamPersoonNatVerloop391">Data!$AT$393</definedName>
    <definedName name="Data_NaamPersoonNatVerloop392">Data!$AT$394</definedName>
    <definedName name="Data_NaamPersoonNatVerloop393">Data!$AT$395</definedName>
    <definedName name="Data_NaamPersoonNatVerloop394">Data!$AT$396</definedName>
    <definedName name="Data_NaamPersoonNatVerloop395">Data!$AT$397</definedName>
    <definedName name="Data_NaamPersoonNatVerloop396">Data!$AT$398</definedName>
    <definedName name="Data_NaamPersoonNatVerloop397">Data!$AT$399</definedName>
    <definedName name="Data_NaamPersoonNatVerloop398">Data!$AT$400</definedName>
    <definedName name="Data_NaamPersoonNatVerloop399">Data!$AT$401</definedName>
    <definedName name="Data_NaamPersoonNatVerloop400">Data!$AT$402</definedName>
    <definedName name="Data_NaamPersoonNatVerloop401">Data!$AT$403</definedName>
    <definedName name="Data_NaamPersoonNatVerloop402">Data!$AT$404</definedName>
    <definedName name="Data_NaamPersoonNatVerloop403">Data!$AT$405</definedName>
    <definedName name="Data_NaamPersoonNatVerloop404">Data!$AT$406</definedName>
    <definedName name="Data_NaamPersoonNatVerloop405">Data!$AT$407</definedName>
    <definedName name="Data_NaamPersoonNatVerloop406">Data!$AT$408</definedName>
    <definedName name="Data_NaamPersoonNatVerloop407">Data!$AT$409</definedName>
    <definedName name="Data_NaamPersoonNatVerloop408">Data!$AT$410</definedName>
    <definedName name="Data_NaamPersoonNatVerloop409">Data!$AT$411</definedName>
    <definedName name="Data_NaamPersoonNatVerloop410">Data!$AT$412</definedName>
    <definedName name="Data_NaamPersoonNatVerloop411">Data!$AT$413</definedName>
    <definedName name="Data_NaamPersoonNatVerloop412">Data!$AT$414</definedName>
    <definedName name="Data_NaamPersoonNatVerloop413">Data!$AT$415</definedName>
    <definedName name="Data_NaamPersoonNatVerloop414">Data!$AT$416</definedName>
    <definedName name="Data_NaamPersoonNatVerloop415">Data!$AT$417</definedName>
    <definedName name="Data_NaamPersoonNatVerloop416">Data!$AT$418</definedName>
    <definedName name="Data_NaamPersoonNatVerloop417">Data!$AT$419</definedName>
    <definedName name="Data_NaamPersoonNatVerloop418">Data!$AT$420</definedName>
    <definedName name="Data_NaamPersoonNatVerloop419">Data!$AT$421</definedName>
    <definedName name="Data_NaamPersoonNatVerloop420">Data!$AT$422</definedName>
    <definedName name="Data_NaamPersoonNatVerloop421">Data!$AT$423</definedName>
    <definedName name="Data_NaamPersoonNatVerloop422">Data!$AT$424</definedName>
    <definedName name="Data_NaamPersoonNatVerloop423">Data!$AT$425</definedName>
    <definedName name="Data_NaamPersoonNatVerloop424">Data!$AT$426</definedName>
    <definedName name="Data_NaamPersoonNatVerloop425">Data!$AT$427</definedName>
    <definedName name="Data_NaamPersoonNatVerloop426">Data!$AT$428</definedName>
    <definedName name="Data_NaamPersoonNatVerloop427">Data!$AT$429</definedName>
    <definedName name="Data_NaamPersoonNatVerloop428">Data!$AT$430</definedName>
    <definedName name="Data_NaamPersoonNatVerloop429">Data!$AT$431</definedName>
    <definedName name="Data_NaamPersoonNatVerloop430">Data!$AT$432</definedName>
    <definedName name="Data_NaamPersoonNatVerloop431">Data!$AT$433</definedName>
    <definedName name="Data_NaamPersoonNatVerloop432">Data!$AT$434</definedName>
    <definedName name="Data_NaamPersoonNatVerloop433">Data!$AT$435</definedName>
    <definedName name="Data_NaamPersoonNatVerloop434">Data!$AT$436</definedName>
    <definedName name="Data_NaamPersoonNatVerloop435">Data!$AT$437</definedName>
    <definedName name="Data_NaamPersoonNatVerloop436">Data!$AT$438</definedName>
    <definedName name="Data_NaamPersoonNatVerloop437">Data!$AT$439</definedName>
    <definedName name="Data_NaamPersoonNatVerloop438">Data!$AT$440</definedName>
    <definedName name="Data_NaamPersoonNatVerloop439">Data!$AT$441</definedName>
    <definedName name="Data_NaamPersoonNatVerloop440">Data!$AT$442</definedName>
    <definedName name="Data_NaamPersoonNatVerloop441">Data!$AT$443</definedName>
    <definedName name="Data_NaamPersoonNatVerloop442">Data!$AT$444</definedName>
    <definedName name="Data_NaamPersoonNatVerloop443">Data!$AT$445</definedName>
    <definedName name="Data_NaamPersoonNatVerloop444">Data!$AT$446</definedName>
    <definedName name="Data_NaamPersoonNatVerloop445">Data!$AT$447</definedName>
    <definedName name="Data_NaamPersoonNatVerloop446">Data!$AT$448</definedName>
    <definedName name="Data_NaamPersoonNatVerloop447">Data!$AT$449</definedName>
    <definedName name="Data_NaamPersoonNatVerloop448">Data!$AT$450</definedName>
    <definedName name="Data_NaamPersoonNatVerloop449">Data!$AT$451</definedName>
    <definedName name="Data_NaamPersoonNatVerloop450">Data!$AT$452</definedName>
    <definedName name="Data_NaamPersoonNatVerloop451">Data!$AT$453</definedName>
    <definedName name="Data_NaamPersoonNatVerloop452">Data!$AT$454</definedName>
    <definedName name="Data_NaamPersoonNatVerloop453">Data!$AT$455</definedName>
    <definedName name="Data_NaamPersoonNatVerloop454">Data!$AT$456</definedName>
    <definedName name="Data_NaamPersoonNatVerloop455">Data!$AT$457</definedName>
    <definedName name="Data_NaamPersoonNatVerloop456">Data!$AT$458</definedName>
    <definedName name="Data_NaamPersoonNatVerloop457">Data!$AT$459</definedName>
    <definedName name="Data_NaamPersoonNatVerloop458">Data!$AT$460</definedName>
    <definedName name="Data_NaamPersoonNatVerloop459">Data!$AT$461</definedName>
    <definedName name="Data_NaamPersoonNatVerloop460">Data!$AT$462</definedName>
    <definedName name="Data_NaamPersoonNatVerloop461">Data!$AT$463</definedName>
    <definedName name="Data_NaamPersoonNatVerloop462">Data!$AT$464</definedName>
    <definedName name="Data_NaamPersoonNatVerloop463">Data!$AT$465</definedName>
    <definedName name="Data_NaamPersoonNatVerloop464">Data!$AT$466</definedName>
    <definedName name="Data_NaamPersoonNatVerloop465">Data!$AT$467</definedName>
    <definedName name="Data_NaamPersoonNatVerloop466">Data!$AT$468</definedName>
    <definedName name="Data_NaamPersoonNatVerloop467">Data!$AT$469</definedName>
    <definedName name="Data_NaamPersoonNatVerloop468">Data!$AT$470</definedName>
    <definedName name="Data_NaamPersoonNatVerloop469">Data!$AT$471</definedName>
    <definedName name="Data_NaamPersoonNatVerloop470">Data!$AT$472</definedName>
    <definedName name="Data_NaamPersoonNatVerloop471">Data!$AT$473</definedName>
    <definedName name="Data_NaamPersoonNatVerloop472">Data!$AT$474</definedName>
    <definedName name="Data_NaamPersoonNatVerloop473">Data!$AT$475</definedName>
    <definedName name="Data_NaamPersoonNatVerloop474">Data!$AT$476</definedName>
    <definedName name="Data_NaamPersoonNatVerloop475">Data!$AT$477</definedName>
    <definedName name="Data_NaamPersoonNatVerloop476">Data!$AT$478</definedName>
    <definedName name="Data_NaamPersoonNatVerloop477">Data!$AT$479</definedName>
    <definedName name="Data_NaamPersoonNatVerloop478">Data!$AT$480</definedName>
    <definedName name="Data_NaamPersoonNatVerloop479">Data!$AT$481</definedName>
    <definedName name="Data_NaamPersoonNatVerloop480">Data!$AT$482</definedName>
    <definedName name="Data_NaamPersoonNatVerloop481">Data!$AT$483</definedName>
    <definedName name="Data_NaamPersoonNatVerloop482">Data!$AT$484</definedName>
    <definedName name="Data_NaamPersoonNatVerloop483">Data!$AT$485</definedName>
    <definedName name="Data_NaamPersoonNatVerloop484">Data!$AT$486</definedName>
    <definedName name="Data_NaamPersoonNatVerloop485">Data!$AT$487</definedName>
    <definedName name="Data_NaamPersoonNatVerloop486">Data!$AT$488</definedName>
    <definedName name="Data_NaamPersoonNatVerloop487">Data!$AT$489</definedName>
    <definedName name="Data_NaamPersoonNatVerloop488">Data!$AT$490</definedName>
    <definedName name="Data_NaamPersoonNatVerloop489">Data!$AT$491</definedName>
    <definedName name="Data_NaamPersoonNatVerloop490">Data!$AT$492</definedName>
    <definedName name="Data_NaamPersoonNatVerloop491">Data!$AT$493</definedName>
    <definedName name="Data_NaamPersoonNatVerloop492">Data!$AT$494</definedName>
    <definedName name="Data_NaamPersoonNatVerloop493">Data!$AT$495</definedName>
    <definedName name="Data_NaamPersoonNatVerloop494">Data!$AT$496</definedName>
    <definedName name="Data_NaamPersoonNatVerloop495">Data!$AT$497</definedName>
    <definedName name="Data_NaamPersoonNatVerloop496">Data!$AT$498</definedName>
    <definedName name="Data_NaamPersoonNatVerloop497">Data!$AT$499</definedName>
    <definedName name="Data_NaamPersoonNatVerloop498">Data!$AT$500</definedName>
    <definedName name="Data_NaamPersoonNatVerloop499">Data!$AT$501</definedName>
    <definedName name="Data_NaamPersoonNatVerloop500">Data!$AT$502</definedName>
    <definedName name="Data_NaamPersoonTijd001">Data!$P$3</definedName>
    <definedName name="Data_NaamPersoonTijd002">Data!$P$4</definedName>
    <definedName name="Data_NaamPersoonTijd003">Data!$P$5</definedName>
    <definedName name="Data_NaamPersoonTijd004">Data!$P$6</definedName>
    <definedName name="Data_NaamPersoonTijd005">Data!$P$7</definedName>
    <definedName name="Data_NaamPersoonTijd006">Data!$P$8</definedName>
    <definedName name="Data_NaamPersoonTijd007">Data!$P$9</definedName>
    <definedName name="Data_NaamPersoonTijd008">Data!$P$10</definedName>
    <definedName name="Data_NaamPersoonTijd009">Data!$P$11</definedName>
    <definedName name="Data_NaamPersoonTijd010">Data!$P$12</definedName>
    <definedName name="Data_NaamPersoonTijd011">Data!$P$13</definedName>
    <definedName name="Data_NaamPersoonTijd012">Data!$P$14</definedName>
    <definedName name="Data_NaamPersoonTijd013">Data!$P$15</definedName>
    <definedName name="Data_NaamPersoonTijd014">Data!$P$16</definedName>
    <definedName name="Data_NaamPersoonTijd015">Data!$P$17</definedName>
    <definedName name="Data_NaamPersoonTijd016">Data!$P$18</definedName>
    <definedName name="Data_NaamPersoonTijd017">Data!$P$19</definedName>
    <definedName name="Data_NaamPersoonTijd018">Data!$P$20</definedName>
    <definedName name="Data_NaamPersoonTijd019">Data!$P$21</definedName>
    <definedName name="Data_NaamPersoonTijd020">Data!$P$22</definedName>
    <definedName name="Data_NaamPersoonTijd021">Data!$P$23</definedName>
    <definedName name="Data_NaamPersoonTijd022">Data!$P$24</definedName>
    <definedName name="Data_NaamPersoonTijd023">Data!$P$25</definedName>
    <definedName name="Data_NaamPersoonTijd024">Data!$P$26</definedName>
    <definedName name="Data_NaamPersoonTijd025">Data!$P$27</definedName>
    <definedName name="Data_NaamPersoonTijd026">Data!$P$28</definedName>
    <definedName name="Data_NaamPersoonTijd027">Data!$P$29</definedName>
    <definedName name="Data_NaamPersoonTijd028">Data!$P$30</definedName>
    <definedName name="Data_NaamPersoonTijd029">Data!$P$31</definedName>
    <definedName name="Data_NaamPersoonTijd030">Data!$P$32</definedName>
    <definedName name="Data_NaamPersoonTijd031">Data!$P$33</definedName>
    <definedName name="Data_NaamPersoonTijd032">Data!$P$34</definedName>
    <definedName name="Data_NaamPersoonTijd033">Data!$P$35</definedName>
    <definedName name="Data_NaamPersoonTijd034">Data!$P$36</definedName>
    <definedName name="Data_NaamPersoonTijd035">Data!$P$37</definedName>
    <definedName name="Data_NaamPersoonTijd036">Data!$P$38</definedName>
    <definedName name="Data_NaamPersoonTijd037">Data!$P$39</definedName>
    <definedName name="Data_NaamPersoonTijd038">Data!$P$40</definedName>
    <definedName name="Data_NaamPersoonTijd039">Data!$P$41</definedName>
    <definedName name="Data_NaamPersoonTijd040">Data!$P$42</definedName>
    <definedName name="Data_NaamPersoonTijd041">Data!$P$43</definedName>
    <definedName name="Data_NaamPersoonTijd042">Data!$P$44</definedName>
    <definedName name="Data_NaamPersoonTijd043">Data!$P$45</definedName>
    <definedName name="Data_NaamPersoonTijd044">Data!$P$46</definedName>
    <definedName name="Data_NaamPersoonTijd045">Data!$P$47</definedName>
    <definedName name="Data_NaamPersoonTijd046">Data!$P$48</definedName>
    <definedName name="Data_NaamPersoonTijd047">Data!$P$49</definedName>
    <definedName name="Data_NaamPersoonTijd048">Data!$P$50</definedName>
    <definedName name="Data_NaamPersoonTijd049">Data!$P$51</definedName>
    <definedName name="Data_NaamPersoonTijd050">Data!$P$52</definedName>
    <definedName name="Data_NaamPersoonTijd051">Data!$P$53</definedName>
    <definedName name="Data_NaamPersoonTijd052">Data!$P$54</definedName>
    <definedName name="Data_NaamPersoonTijd053">Data!$P$55</definedName>
    <definedName name="Data_NaamPersoonTijd054">Data!$P$56</definedName>
    <definedName name="Data_NaamPersoonTijd055">Data!$P$57</definedName>
    <definedName name="Data_NaamPersoonTijd056">Data!$P$58</definedName>
    <definedName name="Data_NaamPersoonTijd057">Data!$P$59</definedName>
    <definedName name="Data_NaamPersoonTijd058">Data!$P$60</definedName>
    <definedName name="Data_NaamPersoonTijd059">Data!$P$61</definedName>
    <definedName name="Data_NaamPersoonTijd060">Data!$P$62</definedName>
    <definedName name="Data_NaamPersoonTijd061">Data!$P$63</definedName>
    <definedName name="Data_NaamPersoonTijd062">Data!$P$64</definedName>
    <definedName name="Data_NaamPersoonTijd063">Data!$P$65</definedName>
    <definedName name="Data_NaamPersoonTijd064">Data!$P$66</definedName>
    <definedName name="Data_NaamPersoonTijd065">Data!$P$67</definedName>
    <definedName name="Data_NaamPersoonTijd066">Data!$P$68</definedName>
    <definedName name="Data_NaamPersoonTijd067">Data!$P$69</definedName>
    <definedName name="Data_NaamPersoonTijd068">Data!$P$70</definedName>
    <definedName name="Data_NaamPersoonTijd069">Data!$P$71</definedName>
    <definedName name="Data_NaamPersoonTijd070">Data!$P$72</definedName>
    <definedName name="Data_NaamPersoonTijd071">Data!$P$73</definedName>
    <definedName name="Data_NaamPersoonTijd072">Data!$P$74</definedName>
    <definedName name="Data_NaamPersoonTijd073">Data!$P$75</definedName>
    <definedName name="Data_NaamPersoonTijd074">Data!$P$76</definedName>
    <definedName name="Data_NaamPersoonTijd075">Data!$P$77</definedName>
    <definedName name="Data_NaamPersoonTijd076">Data!$P$78</definedName>
    <definedName name="Data_NaamPersoonTijd077">Data!$P$79</definedName>
    <definedName name="Data_NaamPersoonTijd078">Data!$P$80</definedName>
    <definedName name="Data_NaamPersoonTijd079">Data!$P$81</definedName>
    <definedName name="Data_NaamPersoonTijd080">Data!$P$82</definedName>
    <definedName name="Data_NaamPersoonTijd081">Data!$P$83</definedName>
    <definedName name="Data_NaamPersoonTijd082">Data!$P$84</definedName>
    <definedName name="Data_NaamPersoonTijd083">Data!$P$85</definedName>
    <definedName name="Data_NaamPersoonTijd084">Data!$P$86</definedName>
    <definedName name="Data_NaamPersoonTijd085">Data!$P$87</definedName>
    <definedName name="Data_NaamPersoonTijd086">Data!$P$88</definedName>
    <definedName name="Data_NaamPersoonTijd087">Data!$P$89</definedName>
    <definedName name="Data_NaamPersoonTijd088">Data!$P$90</definedName>
    <definedName name="Data_NaamPersoonTijd089">Data!$P$91</definedName>
    <definedName name="Data_NaamPersoonTijd090">Data!$P$92</definedName>
    <definedName name="Data_NaamPersoonTijd091">Data!$P$93</definedName>
    <definedName name="Data_NaamPersoonTijd092">Data!$P$94</definedName>
    <definedName name="Data_NaamPersoonTijd093">Data!$P$95</definedName>
    <definedName name="Data_NaamPersoonTijd094">Data!$P$96</definedName>
    <definedName name="Data_NaamPersoonTijd095">Data!$P$97</definedName>
    <definedName name="Data_NaamPersoonTijd096">Data!$P$98</definedName>
    <definedName name="Data_NaamPersoonTijd097">Data!$P$99</definedName>
    <definedName name="Data_NaamPersoonTijd098">Data!$P$100</definedName>
    <definedName name="Data_NaamPersoonTijd099">Data!$P$101</definedName>
    <definedName name="Data_NaamPersoonTijd100">Data!$P$102</definedName>
    <definedName name="Data_NaamPersoonTijd101">Data!$P$103</definedName>
    <definedName name="Data_NaamPersoonTijd102">Data!$P$104</definedName>
    <definedName name="Data_NaamPersoonTijd103">Data!$P$105</definedName>
    <definedName name="Data_NaamPersoonTijd104">Data!$P$106</definedName>
    <definedName name="Data_NaamPersoonTijd105">Data!$P$107</definedName>
    <definedName name="Data_NaamPersoonTijd106">Data!$P$108</definedName>
    <definedName name="Data_NaamPersoonTijd107">Data!$P$109</definedName>
    <definedName name="Data_NaamPersoonTijd108">Data!$P$110</definedName>
    <definedName name="Data_NaamPersoonTijd109">Data!$P$111</definedName>
    <definedName name="Data_NaamPersoonTijd110">Data!$P$112</definedName>
    <definedName name="Data_NaamPersoonTijd111">Data!$P$113</definedName>
    <definedName name="Data_NaamPersoonTijd112">Data!$P$114</definedName>
    <definedName name="Data_NaamPersoonTijd113">Data!$P$115</definedName>
    <definedName name="Data_NaamPersoonTijd114">Data!$P$116</definedName>
    <definedName name="Data_NaamPersoonTijd115">Data!$P$117</definedName>
    <definedName name="Data_NaamPersoonTijd116">Data!$P$118</definedName>
    <definedName name="Data_NaamPersoonTijd117">Data!$P$119</definedName>
    <definedName name="Data_NaamPersoonTijd118">Data!$P$120</definedName>
    <definedName name="Data_NaamPersoonTijd119">Data!$P$121</definedName>
    <definedName name="Data_NaamPersoonTijd120">Data!$P$122</definedName>
    <definedName name="Data_NaamPersoonTijd121">Data!$P$123</definedName>
    <definedName name="Data_NaamPersoonTijd122">Data!$P$124</definedName>
    <definedName name="Data_NaamPersoonTijd123">Data!$P$125</definedName>
    <definedName name="Data_NaamPersoonTijd124">Data!$P$126</definedName>
    <definedName name="Data_NaamPersoonTijd125">Data!$P$127</definedName>
    <definedName name="Data_NaamPersoonTijd126">Data!$P$128</definedName>
    <definedName name="Data_NaamPersoonTijd127">Data!$P$129</definedName>
    <definedName name="Data_NaamPersoonTijd128">Data!$P$130</definedName>
    <definedName name="Data_NaamPersoonTijd129">Data!$P$131</definedName>
    <definedName name="Data_NaamPersoonTijd130">Data!$P$132</definedName>
    <definedName name="Data_NaamPersoonTijd131">Data!$P$133</definedName>
    <definedName name="Data_NaamPersoonTijd132">Data!$P$134</definedName>
    <definedName name="Data_NaamPersoonTijd133">Data!$P$135</definedName>
    <definedName name="Data_NaamPersoonTijd134">Data!$P$136</definedName>
    <definedName name="Data_NaamPersoonTijd135">Data!$P$137</definedName>
    <definedName name="Data_NaamPersoonTijd136">Data!$P$138</definedName>
    <definedName name="Data_NaamPersoonTijd137">Data!$P$139</definedName>
    <definedName name="Data_NaamPersoonTijd138">Data!$P$140</definedName>
    <definedName name="Data_NaamPersoonTijd139">Data!$P$141</definedName>
    <definedName name="Data_NaamPersoonTijd140">Data!$P$142</definedName>
    <definedName name="Data_NaamPersoonTijd141">Data!$P$143</definedName>
    <definedName name="Data_NaamPersoonTijd142">Data!$P$144</definedName>
    <definedName name="Data_NaamPersoonTijd143">Data!$P$145</definedName>
    <definedName name="Data_NaamPersoonTijd144">Data!$P$146</definedName>
    <definedName name="Data_NaamPersoonTijd145">Data!$P$147</definedName>
    <definedName name="Data_NaamPersoonTijd146">Data!$P$148</definedName>
    <definedName name="Data_NaamPersoonTijd147">Data!$P$149</definedName>
    <definedName name="Data_NaamPersoonTijd148">Data!$P$150</definedName>
    <definedName name="Data_NaamPersoonTijd149">Data!$P$151</definedName>
    <definedName name="Data_NaamPersoonTijd150">Data!$P$152</definedName>
    <definedName name="Data_NaamPersoonTijd151">Data!$P$153</definedName>
    <definedName name="Data_NaamPersoonTijd152">Data!$P$154</definedName>
    <definedName name="Data_NaamPersoonTijd153">Data!$P$155</definedName>
    <definedName name="Data_NaamPersoonTijd154">Data!$P$156</definedName>
    <definedName name="Data_NaamPersoonTijd155">Data!$P$157</definedName>
    <definedName name="Data_NaamPersoonTijd156">Data!$P$158</definedName>
    <definedName name="Data_NaamPersoonTijd157">Data!$P$159</definedName>
    <definedName name="Data_NaamPersoonTijd158">Data!$P$160</definedName>
    <definedName name="Data_NaamPersoonTijd159">Data!$P$161</definedName>
    <definedName name="Data_NaamPersoonTijd160">Data!$P$162</definedName>
    <definedName name="Data_NaamPersoonTijd161">Data!$P$163</definedName>
    <definedName name="Data_NaamPersoonTijd162">Data!$P$164</definedName>
    <definedName name="Data_NaamPersoonTijd163">Data!$P$165</definedName>
    <definedName name="Data_NaamPersoonTijd164">Data!$P$166</definedName>
    <definedName name="Data_NaamPersoonTijd165">Data!$P$167</definedName>
    <definedName name="Data_NaamPersoonTijd166">Data!$P$168</definedName>
    <definedName name="Data_NaamPersoonTijd167">Data!$P$169</definedName>
    <definedName name="Data_NaamPersoonTijd168">Data!$P$170</definedName>
    <definedName name="Data_NaamPersoonTijd169">Data!$P$171</definedName>
    <definedName name="Data_NaamPersoonTijd170">Data!$P$172</definedName>
    <definedName name="Data_NaamPersoonTijd171">Data!$P$173</definedName>
    <definedName name="Data_NaamPersoonTijd172">Data!$P$174</definedName>
    <definedName name="Data_NaamPersoonTijd173">Data!$P$175</definedName>
    <definedName name="Data_NaamPersoonTijd174">Data!$P$176</definedName>
    <definedName name="Data_NaamPersoonTijd175">Data!$P$177</definedName>
    <definedName name="Data_NaamPersoonTijd176">Data!$P$178</definedName>
    <definedName name="Data_NaamPersoonTijd177">Data!$P$179</definedName>
    <definedName name="Data_NaamPersoonTijd178">Data!$P$180</definedName>
    <definedName name="Data_NaamPersoonTijd179">Data!$P$181</definedName>
    <definedName name="Data_NaamPersoonTijd180">Data!$P$182</definedName>
    <definedName name="Data_NaamPersoonTijd181">Data!$P$183</definedName>
    <definedName name="Data_NaamPersoonTijd182">Data!$P$184</definedName>
    <definedName name="Data_NaamPersoonTijd183">Data!$P$185</definedName>
    <definedName name="Data_NaamPersoonTijd184">Data!$P$186</definedName>
    <definedName name="Data_NaamPersoonTijd185">Data!$P$187</definedName>
    <definedName name="Data_NaamPersoonTijd186">Data!$P$188</definedName>
    <definedName name="Data_NaamPersoonTijd187">Data!$P$189</definedName>
    <definedName name="Data_NaamPersoonTijd188">Data!$P$190</definedName>
    <definedName name="Data_NaamPersoonTijd189">Data!$P$191</definedName>
    <definedName name="Data_NaamPersoonTijd190">Data!$P$192</definedName>
    <definedName name="Data_NaamPersoonTijd191">Data!$P$193</definedName>
    <definedName name="Data_NaamPersoonTijd192">Data!$P$194</definedName>
    <definedName name="Data_NaamPersoonTijd193">Data!$P$195</definedName>
    <definedName name="Data_NaamPersoonTijd194">Data!$P$196</definedName>
    <definedName name="Data_NaamPersoonTijd195">Data!$P$197</definedName>
    <definedName name="Data_NaamPersoonTijd196">Data!$P$198</definedName>
    <definedName name="Data_NaamPersoonTijd197">Data!$P$199</definedName>
    <definedName name="Data_NaamPersoonTijd198">Data!$P$200</definedName>
    <definedName name="Data_NaamPersoonTijd199">Data!$P$201</definedName>
    <definedName name="Data_NaamPersoonTijd200">Data!$P$202</definedName>
    <definedName name="Data_NaamPersoonTijd201">Data!$P$203</definedName>
    <definedName name="Data_NaamPersoonTijd202">Data!$P$204</definedName>
    <definedName name="Data_NaamPersoonTijd203">Data!$P$205</definedName>
    <definedName name="Data_NaamPersoonTijd204">Data!$P$206</definedName>
    <definedName name="Data_NaamPersoonTijd205">Data!$P$207</definedName>
    <definedName name="Data_NaamPersoonTijd206">Data!$P$208</definedName>
    <definedName name="Data_NaamPersoonTijd207">Data!$P$209</definedName>
    <definedName name="Data_NaamPersoonTijd208">Data!$P$210</definedName>
    <definedName name="Data_NaamPersoonTijd209">Data!$P$211</definedName>
    <definedName name="Data_NaamPersoonTijd210">Data!$P$212</definedName>
    <definedName name="Data_NaamPersoonTijd211">Data!$P$213</definedName>
    <definedName name="Data_NaamPersoonTijd212">Data!$P$214</definedName>
    <definedName name="Data_NaamPersoonTijd213">Data!$P$215</definedName>
    <definedName name="Data_NaamPersoonTijd214">Data!$P$216</definedName>
    <definedName name="Data_NaamPersoonTijd215">Data!$P$217</definedName>
    <definedName name="Data_NaamPersoonTijd216">Data!$P$218</definedName>
    <definedName name="Data_NaamPersoonTijd217">Data!$P$219</definedName>
    <definedName name="Data_NaamPersoonTijd218">Data!$P$220</definedName>
    <definedName name="Data_NaamPersoonTijd219">Data!$P$221</definedName>
    <definedName name="Data_NaamPersoonTijd220">Data!$P$222</definedName>
    <definedName name="Data_NaamPersoonTijd221">Data!$P$223</definedName>
    <definedName name="Data_NaamPersoonTijd222">Data!$P$224</definedName>
    <definedName name="Data_NaamPersoonTijd223">Data!$P$225</definedName>
    <definedName name="Data_NaamPersoonTijd224">Data!$P$226</definedName>
    <definedName name="Data_NaamPersoonTijd225">Data!$P$227</definedName>
    <definedName name="Data_NaamPersoonTijd226">Data!$P$228</definedName>
    <definedName name="Data_NaamPersoonTijd227">Data!$P$229</definedName>
    <definedName name="Data_NaamPersoonTijd228">Data!$P$230</definedName>
    <definedName name="Data_NaamPersoonTijd229">Data!$P$231</definedName>
    <definedName name="Data_NaamPersoonTijd230">Data!$P$232</definedName>
    <definedName name="Data_NaamPersoonTijd231">Data!$P$233</definedName>
    <definedName name="Data_NaamPersoonTijd232">Data!$P$234</definedName>
    <definedName name="Data_NaamPersoonTijd233">Data!$P$235</definedName>
    <definedName name="Data_NaamPersoonTijd234">Data!$P$236</definedName>
    <definedName name="Data_NaamPersoonTijd235">Data!$P$237</definedName>
    <definedName name="Data_NaamPersoonTijd236">Data!$P$238</definedName>
    <definedName name="Data_NaamPersoonTijd237">Data!$P$239</definedName>
    <definedName name="Data_NaamPersoonTijd238">Data!$P$240</definedName>
    <definedName name="Data_NaamPersoonTijd239">Data!$P$241</definedName>
    <definedName name="Data_NaamPersoonTijd240">Data!$P$242</definedName>
    <definedName name="Data_NaamPersoonTijd241">Data!$P$243</definedName>
    <definedName name="Data_NaamPersoonTijd242">Data!$P$244</definedName>
    <definedName name="Data_NaamPersoonTijd243">Data!$P$245</definedName>
    <definedName name="Data_NaamPersoonTijd244">Data!$P$246</definedName>
    <definedName name="Data_NaamPersoonTijd245">Data!$P$247</definedName>
    <definedName name="Data_NaamPersoonTijd246">Data!$P$248</definedName>
    <definedName name="Data_NaamPersoonTijd247">Data!$P$249</definedName>
    <definedName name="Data_NaamPersoonTijd248">Data!$P$250</definedName>
    <definedName name="Data_NaamPersoonTijd249">Data!$P$251</definedName>
    <definedName name="Data_NaamPersoonTijd250">Data!$P$252</definedName>
    <definedName name="Data_NaamPersoonTijd251">Data!$P$253</definedName>
    <definedName name="Data_NaamPersoonTijd252">Data!$P$254</definedName>
    <definedName name="Data_NaamPersoonTijd253">Data!$P$255</definedName>
    <definedName name="Data_NaamPersoonTijd254">Data!$P$256</definedName>
    <definedName name="Data_NaamPersoonTijd255">Data!$P$257</definedName>
    <definedName name="Data_NaamPersoonTijd256">Data!$P$258</definedName>
    <definedName name="Data_NaamPersoonTijd257">Data!$P$259</definedName>
    <definedName name="Data_NaamPersoonTijd258">Data!$P$260</definedName>
    <definedName name="Data_NaamPersoonTijd259">Data!$P$261</definedName>
    <definedName name="Data_NaamPersoonTijd260">Data!$P$262</definedName>
    <definedName name="Data_NaamPersoonTijd261">Data!$P$263</definedName>
    <definedName name="Data_NaamPersoonTijd262">Data!$P$264</definedName>
    <definedName name="Data_NaamPersoonTijd263">Data!$P$265</definedName>
    <definedName name="Data_NaamPersoonTijd264">Data!$P$266</definedName>
    <definedName name="Data_NaamPersoonTijd265">Data!$P$267</definedName>
    <definedName name="Data_NaamPersoonTijd266">Data!$P$268</definedName>
    <definedName name="Data_NaamPersoonTijd267">Data!$P$269</definedName>
    <definedName name="Data_NaamPersoonTijd268">Data!$P$270</definedName>
    <definedName name="Data_NaamPersoonTijd269">Data!$P$271</definedName>
    <definedName name="Data_NaamPersoonTijd270">Data!$P$272</definedName>
    <definedName name="Data_NaamPersoonTijd271">Data!$P$273</definedName>
    <definedName name="Data_NaamPersoonTijd272">Data!$P$274</definedName>
    <definedName name="Data_NaamPersoonTijd273">Data!$P$275</definedName>
    <definedName name="Data_NaamPersoonTijd274">Data!$P$276</definedName>
    <definedName name="Data_NaamPersoonTijd275">Data!$P$277</definedName>
    <definedName name="Data_NaamPersoonTijd276">Data!$P$278</definedName>
    <definedName name="Data_NaamPersoonTijd277">Data!$P$279</definedName>
    <definedName name="Data_NaamPersoonTijd278">Data!$P$280</definedName>
    <definedName name="Data_NaamPersoonTijd279">Data!$P$281</definedName>
    <definedName name="Data_NaamPersoonTijd280">Data!$P$282</definedName>
    <definedName name="Data_NaamPersoonTijd281">Data!$P$283</definedName>
    <definedName name="Data_NaamPersoonTijd282">Data!$P$284</definedName>
    <definedName name="Data_NaamPersoonTijd283">Data!$P$285</definedName>
    <definedName name="Data_NaamPersoonTijd284">Data!$P$286</definedName>
    <definedName name="Data_NaamPersoonTijd285">Data!$P$287</definedName>
    <definedName name="Data_NaamPersoonTijd286">Data!$P$288</definedName>
    <definedName name="Data_NaamPersoonTijd287">Data!$P$289</definedName>
    <definedName name="Data_NaamPersoonTijd288">Data!$P$290</definedName>
    <definedName name="Data_NaamPersoonTijd289">Data!$P$291</definedName>
    <definedName name="Data_NaamPersoonTijd290">Data!$P$292</definedName>
    <definedName name="Data_NaamPersoonTijd291">Data!$P$293</definedName>
    <definedName name="Data_NaamPersoonTijd292">Data!$P$294</definedName>
    <definedName name="Data_NaamPersoonTijd293">Data!$P$295</definedName>
    <definedName name="Data_NaamPersoonTijd294">Data!$P$296</definedName>
    <definedName name="Data_NaamPersoonTijd295">Data!$P$297</definedName>
    <definedName name="Data_NaamPersoonTijd296">Data!$P$298</definedName>
    <definedName name="Data_NaamPersoonTijd297">Data!$P$299</definedName>
    <definedName name="Data_NaamPersoonTijd298">Data!$P$300</definedName>
    <definedName name="Data_NaamPersoonTijd299">Data!$P$301</definedName>
    <definedName name="Data_NaamPersoonTijd300">Data!$P$302</definedName>
    <definedName name="Data_NaamPersoonTijd301">Data!$P$303</definedName>
    <definedName name="Data_NaamPersoonTijd302">Data!$P$304</definedName>
    <definedName name="Data_NaamPersoonTijd303">Data!$P$305</definedName>
    <definedName name="Data_NaamPersoonTijd304">Data!$P$306</definedName>
    <definedName name="Data_NaamPersoonTijd305">Data!$P$307</definedName>
    <definedName name="Data_NaamPersoonTijd306">Data!$P$308</definedName>
    <definedName name="Data_NaamPersoonTijd307">Data!$P$309</definedName>
    <definedName name="Data_NaamPersoonTijd308">Data!$P$310</definedName>
    <definedName name="Data_NaamPersoonTijd309">Data!$P$311</definedName>
    <definedName name="Data_NaamPersoonTijd310">Data!$P$312</definedName>
    <definedName name="Data_NaamPersoonTijd311">Data!$P$313</definedName>
    <definedName name="Data_NaamPersoonTijd312">Data!$P$314</definedName>
    <definedName name="Data_NaamPersoonTijd313">Data!$P$315</definedName>
    <definedName name="Data_NaamPersoonTijd314">Data!$P$316</definedName>
    <definedName name="Data_NaamPersoonTijd315">Data!$P$317</definedName>
    <definedName name="Data_NaamPersoonTijd316">Data!$P$318</definedName>
    <definedName name="Data_NaamPersoonTijd317">Data!$P$319</definedName>
    <definedName name="Data_NaamPersoonTijd318">Data!$P$320</definedName>
    <definedName name="Data_NaamPersoonTijd319">Data!$P$321</definedName>
    <definedName name="Data_NaamPersoonTijd320">Data!$P$322</definedName>
    <definedName name="Data_NaamPersoonTijd321">Data!$P$323</definedName>
    <definedName name="Data_NaamPersoonTijd322">Data!$P$324</definedName>
    <definedName name="Data_NaamPersoonTijd323">Data!$P$325</definedName>
    <definedName name="Data_NaamPersoonTijd324">Data!$P$326</definedName>
    <definedName name="Data_NaamPersoonTijd325">Data!$P$327</definedName>
    <definedName name="Data_NaamPersoonTijd326">Data!$P$328</definedName>
    <definedName name="Data_NaamPersoonTijd327">Data!$P$329</definedName>
    <definedName name="Data_NaamPersoonTijd328">Data!$P$330</definedName>
    <definedName name="Data_NaamPersoonTijd329">Data!$P$331</definedName>
    <definedName name="Data_NaamPersoonTijd330">Data!$P$332</definedName>
    <definedName name="Data_NaamPersoonTijd331">Data!$P$333</definedName>
    <definedName name="Data_NaamPersoonTijd332">Data!$P$334</definedName>
    <definedName name="Data_NaamPersoonTijd333">Data!$P$335</definedName>
    <definedName name="Data_NaamPersoonTijd334">Data!$P$336</definedName>
    <definedName name="Data_NaamPersoonTijd335">Data!$P$337</definedName>
    <definedName name="Data_NaamPersoonTijd336">Data!$P$338</definedName>
    <definedName name="Data_NaamPersoonTijd337">Data!$P$339</definedName>
    <definedName name="Data_NaamPersoonTijd338">Data!$P$340</definedName>
    <definedName name="Data_NaamPersoonTijd339">Data!$P$341</definedName>
    <definedName name="Data_NaamPersoonTijd340">Data!$P$342</definedName>
    <definedName name="Data_NaamPersoonTijd341">Data!$P$343</definedName>
    <definedName name="Data_NaamPersoonTijd342">Data!$P$344</definedName>
    <definedName name="Data_NaamPersoonTijd343">Data!$P$345</definedName>
    <definedName name="Data_NaamPersoonTijd344">Data!$P$346</definedName>
    <definedName name="Data_NaamPersoonTijd345">Data!$P$347</definedName>
    <definedName name="Data_NaamPersoonTijd346">Data!$P$348</definedName>
    <definedName name="Data_NaamPersoonTijd347">Data!$P$349</definedName>
    <definedName name="Data_NaamPersoonTijd348">Data!$P$350</definedName>
    <definedName name="Data_NaamPersoonTijd349">Data!$P$351</definedName>
    <definedName name="Data_NaamPersoonTijd350">Data!$P$352</definedName>
    <definedName name="Data_NaamPersoonTijd351">Data!$P$353</definedName>
    <definedName name="Data_NaamPersoonTijd352">Data!$P$354</definedName>
    <definedName name="Data_NaamPersoonTijd353">Data!$P$355</definedName>
    <definedName name="Data_NaamPersoonTijd354">Data!$P$356</definedName>
    <definedName name="Data_NaamPersoonTijd355">Data!$P$357</definedName>
    <definedName name="Data_NaamPersoonTijd356">Data!$P$358</definedName>
    <definedName name="Data_NaamPersoonTijd357">Data!$P$359</definedName>
    <definedName name="Data_NaamPersoonTijd358">Data!$P$360</definedName>
    <definedName name="Data_NaamPersoonTijd359">Data!$P$361</definedName>
    <definedName name="Data_NaamPersoonTijd360">Data!$P$362</definedName>
    <definedName name="Data_NaamPersoonTijd361">Data!$P$363</definedName>
    <definedName name="Data_NaamPersoonTijd362">Data!$P$364</definedName>
    <definedName name="Data_NaamPersoonTijd363">Data!$P$365</definedName>
    <definedName name="Data_NaamPersoonTijd364">Data!$P$366</definedName>
    <definedName name="Data_NaamPersoonTijd365">Data!$P$367</definedName>
    <definedName name="Data_NaamPersoonTijd366">Data!$P$368</definedName>
    <definedName name="Data_NaamPersoonTijd367">Data!$P$369</definedName>
    <definedName name="Data_NaamPersoonTijd368">Data!$P$370</definedName>
    <definedName name="Data_NaamPersoonTijd369">Data!$P$371</definedName>
    <definedName name="Data_NaamPersoonTijd370">Data!$P$372</definedName>
    <definedName name="Data_NaamPersoonTijd371">Data!$P$373</definedName>
    <definedName name="Data_NaamPersoonTijd372">Data!$P$374</definedName>
    <definedName name="Data_NaamPersoonTijd373">Data!$P$375</definedName>
    <definedName name="Data_NaamPersoonTijd374">Data!$P$376</definedName>
    <definedName name="Data_NaamPersoonTijd375">Data!$P$377</definedName>
    <definedName name="Data_NaamPersoonTijd376">Data!$P$378</definedName>
    <definedName name="Data_NaamPersoonTijd377">Data!$P$379</definedName>
    <definedName name="Data_NaamPersoonTijd378">Data!$P$380</definedName>
    <definedName name="Data_NaamPersoonTijd379">Data!$P$381</definedName>
    <definedName name="Data_NaamPersoonTijd380">Data!$P$382</definedName>
    <definedName name="Data_NaamPersoonTijd381">Data!$P$383</definedName>
    <definedName name="Data_NaamPersoonTijd382">Data!$P$384</definedName>
    <definedName name="Data_NaamPersoonTijd383">Data!$P$385</definedName>
    <definedName name="Data_NaamPersoonTijd384">Data!$P$386</definedName>
    <definedName name="Data_NaamPersoonTijd385">Data!$P$387</definedName>
    <definedName name="Data_NaamPersoonTijd386">Data!$P$388</definedName>
    <definedName name="Data_NaamPersoonTijd387">Data!$P$389</definedName>
    <definedName name="Data_NaamPersoonTijd388">Data!$P$390</definedName>
    <definedName name="Data_NaamPersoonTijd389">Data!$P$391</definedName>
    <definedName name="Data_NaamPersoonTijd390">Data!$P$392</definedName>
    <definedName name="Data_NaamPersoonTijd391">Data!$P$393</definedName>
    <definedName name="Data_NaamPersoonTijd392">Data!$P$394</definedName>
    <definedName name="Data_NaamPersoonTijd393">Data!$P$395</definedName>
    <definedName name="Data_NaamPersoonTijd394">Data!$P$396</definedName>
    <definedName name="Data_NaamPersoonTijd395">Data!$P$397</definedName>
    <definedName name="Data_NaamPersoonTijd396">Data!$P$398</definedName>
    <definedName name="Data_NaamPersoonTijd397">Data!$P$399</definedName>
    <definedName name="Data_NaamPersoonTijd398">Data!$P$400</definedName>
    <definedName name="Data_NaamPersoonTijd399">Data!$P$401</definedName>
    <definedName name="Data_NaamPersoonTijd400">Data!$P$402</definedName>
    <definedName name="Data_NaamPersoonTijd401">Data!$P$403</definedName>
    <definedName name="Data_NaamPersoonTijd402">Data!$P$404</definedName>
    <definedName name="Data_NaamPersoonTijd403">Data!$P$405</definedName>
    <definedName name="Data_NaamPersoonTijd404">Data!$P$406</definedName>
    <definedName name="Data_NaamPersoonTijd405">Data!$P$407</definedName>
    <definedName name="Data_NaamPersoonTijd406">Data!$P$408</definedName>
    <definedName name="Data_NaamPersoonTijd407">Data!$P$409</definedName>
    <definedName name="Data_NaamPersoonTijd408">Data!$P$410</definedName>
    <definedName name="Data_NaamPersoonTijd409">Data!$P$411</definedName>
    <definedName name="Data_NaamPersoonTijd410">Data!$P$412</definedName>
    <definedName name="Data_NaamPersoonTijd411">Data!$P$413</definedName>
    <definedName name="Data_NaamPersoonTijd412">Data!$P$414</definedName>
    <definedName name="Data_NaamPersoonTijd413">Data!$P$415</definedName>
    <definedName name="Data_NaamPersoonTijd414">Data!$P$416</definedName>
    <definedName name="Data_NaamPersoonTijd415">Data!$P$417</definedName>
    <definedName name="Data_NaamPersoonTijd416">Data!$P$418</definedName>
    <definedName name="Data_NaamPersoonTijd417">Data!$P$419</definedName>
    <definedName name="Data_NaamPersoonTijd418">Data!$P$420</definedName>
    <definedName name="Data_NaamPersoonTijd419">Data!$P$421</definedName>
    <definedName name="Data_NaamPersoonTijd420">Data!$P$422</definedName>
    <definedName name="Data_NaamPersoonTijd421">Data!$P$423</definedName>
    <definedName name="Data_NaamPersoonTijd422">Data!$P$424</definedName>
    <definedName name="Data_NaamPersoonTijd423">Data!$P$425</definedName>
    <definedName name="Data_NaamPersoonTijd424">Data!$P$426</definedName>
    <definedName name="Data_NaamPersoonTijd425">Data!$P$427</definedName>
    <definedName name="Data_NaamPersoonTijd426">Data!$P$428</definedName>
    <definedName name="Data_NaamPersoonTijd427">Data!$P$429</definedName>
    <definedName name="Data_NaamPersoonTijd428">Data!$P$430</definedName>
    <definedName name="Data_NaamPersoonTijd429">Data!$P$431</definedName>
    <definedName name="Data_NaamPersoonTijd430">Data!$P$432</definedName>
    <definedName name="Data_NaamPersoonTijd431">Data!$P$433</definedName>
    <definedName name="Data_NaamPersoonTijd432">Data!$P$434</definedName>
    <definedName name="Data_NaamPersoonTijd433">Data!$P$435</definedName>
    <definedName name="Data_NaamPersoonTijd434">Data!$P$436</definedName>
    <definedName name="Data_NaamPersoonTijd435">Data!$P$437</definedName>
    <definedName name="Data_NaamPersoonTijd436">Data!$P$438</definedName>
    <definedName name="Data_NaamPersoonTijd437">Data!$P$439</definedName>
    <definedName name="Data_NaamPersoonTijd438">Data!$P$440</definedName>
    <definedName name="Data_NaamPersoonTijd439">Data!$P$441</definedName>
    <definedName name="Data_NaamPersoonTijd440">Data!$P$442</definedName>
    <definedName name="Data_NaamPersoonTijd441">Data!$P$443</definedName>
    <definedName name="Data_NaamPersoonTijd442">Data!$P$444</definedName>
    <definedName name="Data_NaamPersoonTijd443">Data!$P$445</definedName>
    <definedName name="Data_NaamPersoonTijd444">Data!$P$446</definedName>
    <definedName name="Data_NaamPersoonTijd445">Data!$P$447</definedName>
    <definedName name="Data_NaamPersoonTijd446">Data!$P$448</definedName>
    <definedName name="Data_NaamPersoonTijd447">Data!$P$449</definedName>
    <definedName name="Data_NaamPersoonTijd448">Data!$P$450</definedName>
    <definedName name="Data_NaamPersoonTijd449">Data!$P$451</definedName>
    <definedName name="Data_NaamPersoonTijd450">Data!$P$452</definedName>
    <definedName name="Data_NaamPersoonTijd451">Data!$P$453</definedName>
    <definedName name="Data_NaamPersoonTijd452">Data!$P$454</definedName>
    <definedName name="Data_NaamPersoonTijd453">Data!$P$455</definedName>
    <definedName name="Data_NaamPersoonTijd454">Data!$P$456</definedName>
    <definedName name="Data_NaamPersoonTijd455">Data!$P$457</definedName>
    <definedName name="Data_NaamPersoonTijd456">Data!$P$458</definedName>
    <definedName name="Data_NaamPersoonTijd457">Data!$P$459</definedName>
    <definedName name="Data_NaamPersoonTijd458">Data!$P$460</definedName>
    <definedName name="Data_NaamPersoonTijd459">Data!$P$461</definedName>
    <definedName name="Data_NaamPersoonTijd460">Data!$P$462</definedName>
    <definedName name="Data_NaamPersoonTijd461">Data!$P$463</definedName>
    <definedName name="Data_NaamPersoonTijd462">Data!$P$464</definedName>
    <definedName name="Data_NaamPersoonTijd463">Data!$P$465</definedName>
    <definedName name="Data_NaamPersoonTijd464">Data!$P$466</definedName>
    <definedName name="Data_NaamPersoonTijd465">Data!$P$467</definedName>
    <definedName name="Data_NaamPersoonTijd466">Data!$P$468</definedName>
    <definedName name="Data_NaamPersoonTijd467">Data!$P$469</definedName>
    <definedName name="Data_NaamPersoonTijd468">Data!$P$470</definedName>
    <definedName name="Data_NaamPersoonTijd469">Data!$P$471</definedName>
    <definedName name="Data_NaamPersoonTijd470">Data!$P$472</definedName>
    <definedName name="Data_NaamPersoonTijd471">Data!$P$473</definedName>
    <definedName name="Data_NaamPersoonTijd472">Data!$P$474</definedName>
    <definedName name="Data_NaamPersoonTijd473">Data!$P$475</definedName>
    <definedName name="Data_NaamPersoonTijd474">Data!$P$476</definedName>
    <definedName name="Data_NaamPersoonTijd475">Data!$P$477</definedName>
    <definedName name="Data_NaamPersoonTijd476">Data!$P$478</definedName>
    <definedName name="Data_NaamPersoonTijd477">Data!$P$479</definedName>
    <definedName name="Data_NaamPersoonTijd478">Data!$P$480</definedName>
    <definedName name="Data_NaamPersoonTijd479">Data!$P$481</definedName>
    <definedName name="Data_NaamPersoonTijd480">Data!$P$482</definedName>
    <definedName name="Data_NaamPersoonTijd481">Data!$P$483</definedName>
    <definedName name="Data_NaamPersoonTijd482">Data!$P$484</definedName>
    <definedName name="Data_NaamPersoonTijd483">Data!$P$485</definedName>
    <definedName name="Data_NaamPersoonTijd484">Data!$P$486</definedName>
    <definedName name="Data_NaamPersoonTijd485">Data!$P$487</definedName>
    <definedName name="Data_NaamPersoonTijd486">Data!$P$488</definedName>
    <definedName name="Data_NaamPersoonTijd487">Data!$P$489</definedName>
    <definedName name="Data_NaamPersoonTijd488">Data!$P$490</definedName>
    <definedName name="Data_NaamPersoonTijd489">Data!$P$491</definedName>
    <definedName name="Data_NaamPersoonTijd490">Data!$P$492</definedName>
    <definedName name="Data_NaamPersoonTijd491">Data!$P$493</definedName>
    <definedName name="Data_NaamPersoonTijd492">Data!$P$494</definedName>
    <definedName name="Data_NaamPersoonTijd493">Data!$P$495</definedName>
    <definedName name="Data_NaamPersoonTijd494">Data!$P$496</definedName>
    <definedName name="Data_NaamPersoonTijd495">Data!$P$497</definedName>
    <definedName name="Data_NaamPersoonTijd496">Data!$P$498</definedName>
    <definedName name="Data_NaamPersoonTijd497">Data!$P$499</definedName>
    <definedName name="Data_NaamPersoonTijd498">Data!$P$500</definedName>
    <definedName name="Data_NaamPersoonTijd499">Data!$P$501</definedName>
    <definedName name="Data_NaamPersoonTijd500">Data!$P$502</definedName>
    <definedName name="Data_NaamPersoonVastOntslag001">Data!$AJ$3</definedName>
    <definedName name="Data_NaamPersoonVastOntslag002">Data!$AJ$4</definedName>
    <definedName name="Data_NaamPersoonVastOntslag003">Data!$AJ$5</definedName>
    <definedName name="Data_NaamPersoonVastOntslag004">Data!$AJ$6</definedName>
    <definedName name="Data_NaamPersoonVastOntslag005">Data!$AJ$7</definedName>
    <definedName name="Data_NaamPersoonVastOntslag006">Data!$AJ$8</definedName>
    <definedName name="Data_NaamPersoonVastOntslag007">Data!$AJ$9</definedName>
    <definedName name="Data_NaamPersoonVastOntslag008">Data!$AJ$10</definedName>
    <definedName name="Data_NaamPersoonVastOntslag009">Data!$AJ$11</definedName>
    <definedName name="Data_NaamPersoonVastOntslag010">Data!$AJ$12</definedName>
    <definedName name="Data_NaamPersoonVastOntslag011">Data!$AJ$13</definedName>
    <definedName name="Data_NaamPersoonVastOntslag012">Data!$AJ$14</definedName>
    <definedName name="Data_NaamPersoonVastOntslag013">Data!$AJ$15</definedName>
    <definedName name="Data_NaamPersoonVastOntslag014">Data!$AJ$16</definedName>
    <definedName name="Data_NaamPersoonVastOntslag015">Data!$AJ$17</definedName>
    <definedName name="Data_NaamPersoonVastOntslag016">Data!$AJ$18</definedName>
    <definedName name="Data_NaamPersoonVastOntslag017">Data!$AJ$19</definedName>
    <definedName name="Data_NaamPersoonVastOntslag018">Data!$AJ$20</definedName>
    <definedName name="Data_NaamPersoonVastOntslag019">Data!$AJ$21</definedName>
    <definedName name="Data_NaamPersoonVastOntslag020">Data!$AJ$22</definedName>
    <definedName name="Data_NaamPersoonVastOntslag021">Data!$AJ$23</definedName>
    <definedName name="Data_NaamPersoonVastOntslag022">Data!$AJ$24</definedName>
    <definedName name="Data_NaamPersoonVastOntslag023">Data!$AJ$25</definedName>
    <definedName name="Data_NaamPersoonVastOntslag024">Data!$AJ$26</definedName>
    <definedName name="Data_NaamPersoonVastOntslag025">Data!$AJ$27</definedName>
    <definedName name="Data_NaamPersoonVastOntslag026">Data!$AJ$28</definedName>
    <definedName name="Data_NaamPersoonVastOntslag027">Data!$AJ$29</definedName>
    <definedName name="Data_NaamPersoonVastOntslag028">Data!$AJ$30</definedName>
    <definedName name="Data_NaamPersoonVastOntslag029">Data!$AJ$31</definedName>
    <definedName name="Data_NaamPersoonVastOntslag030">Data!$AJ$32</definedName>
    <definedName name="Data_NaamPersoonVastOntslag031">Data!$AJ$33</definedName>
    <definedName name="Data_NaamPersoonVastOntslag032">Data!$AJ$34</definedName>
    <definedName name="Data_NaamPersoonVastOntslag033">Data!$AJ$35</definedName>
    <definedName name="Data_NaamPersoonVastOntslag034">Data!$AJ$36</definedName>
    <definedName name="Data_NaamPersoonVastOntslag035">Data!$AJ$37</definedName>
    <definedName name="Data_NaamPersoonVastOntslag036">Data!$AJ$38</definedName>
    <definedName name="Data_NaamPersoonVastOntslag037">Data!$AJ$39</definedName>
    <definedName name="Data_NaamPersoonVastOntslag038">Data!$AJ$40</definedName>
    <definedName name="Data_NaamPersoonVastOntslag039">Data!$AJ$41</definedName>
    <definedName name="Data_NaamPersoonVastOntslag040">Data!$AJ$42</definedName>
    <definedName name="Data_NaamPersoonVastOntslag041">Data!$AJ$43</definedName>
    <definedName name="Data_NaamPersoonVastOntslag042">Data!$AJ$44</definedName>
    <definedName name="Data_NaamPersoonVastOntslag043">Data!$AJ$45</definedName>
    <definedName name="Data_NaamPersoonVastOntslag044">Data!$AJ$46</definedName>
    <definedName name="Data_NaamPersoonVastOntslag045">Data!$AJ$47</definedName>
    <definedName name="Data_NaamPersoonVastOntslag046">Data!$AJ$48</definedName>
    <definedName name="Data_NaamPersoonVastOntslag047">Data!$AJ$49</definedName>
    <definedName name="Data_NaamPersoonVastOntslag048">Data!$AJ$50</definedName>
    <definedName name="Data_NaamPersoonVastOntslag049">Data!$AJ$51</definedName>
    <definedName name="Data_NaamPersoonVastOntslag050">Data!$AJ$52</definedName>
    <definedName name="Data_NaamPersoonVastOntslag051">Data!$AJ$53</definedName>
    <definedName name="Data_NaamPersoonVastOntslag052">Data!$AJ$54</definedName>
    <definedName name="Data_NaamPersoonVastOntslag053">Data!$AJ$55</definedName>
    <definedName name="Data_NaamPersoonVastOntslag054">Data!$AJ$56</definedName>
    <definedName name="Data_NaamPersoonVastOntslag055">Data!$AJ$57</definedName>
    <definedName name="Data_NaamPersoonVastOntslag056">Data!$AJ$58</definedName>
    <definedName name="Data_NaamPersoonVastOntslag057">Data!$AJ$59</definedName>
    <definedName name="Data_NaamPersoonVastOntslag058">Data!$AJ$60</definedName>
    <definedName name="Data_NaamPersoonVastOntslag059">Data!$AJ$61</definedName>
    <definedName name="Data_NaamPersoonVastOntslag060">Data!$AJ$62</definedName>
    <definedName name="Data_NaamPersoonVastOntslag061">Data!$AJ$63</definedName>
    <definedName name="Data_NaamPersoonVastOntslag062">Data!$AJ$64</definedName>
    <definedName name="Data_NaamPersoonVastOntslag063">Data!$AJ$65</definedName>
    <definedName name="Data_NaamPersoonVastOntslag064">Data!$AJ$66</definedName>
    <definedName name="Data_NaamPersoonVastOntslag065">Data!$AJ$67</definedName>
    <definedName name="Data_NaamPersoonVastOntslag066">Data!$AJ$68</definedName>
    <definedName name="Data_NaamPersoonVastOntslag067">Data!$AJ$69</definedName>
    <definedName name="Data_NaamPersoonVastOntslag068">Data!$AJ$70</definedName>
    <definedName name="Data_NaamPersoonVastOntslag069">Data!$AJ$71</definedName>
    <definedName name="Data_NaamPersoonVastOntslag070">Data!$AJ$72</definedName>
    <definedName name="Data_NaamPersoonVastOntslag071">Data!$AJ$73</definedName>
    <definedName name="Data_NaamPersoonVastOntslag072">Data!$AJ$74</definedName>
    <definedName name="Data_NaamPersoonVastOntslag073">Data!$AJ$75</definedName>
    <definedName name="Data_NaamPersoonVastOntslag074">Data!$AJ$76</definedName>
    <definedName name="Data_NaamPersoonVastOntslag075">Data!$AJ$77</definedName>
    <definedName name="Data_NaamPersoonVastOntslag076">Data!$AJ$78</definedName>
    <definedName name="Data_NaamPersoonVastOntslag077">Data!$AJ$79</definedName>
    <definedName name="Data_NaamPersoonVastOntslag078">Data!$AJ$80</definedName>
    <definedName name="Data_NaamPersoonVastOntslag079">Data!$AJ$81</definedName>
    <definedName name="Data_NaamPersoonVastOntslag080">Data!$AJ$82</definedName>
    <definedName name="Data_NaamPersoonVastOntslag081">Data!$AJ$83</definedName>
    <definedName name="Data_NaamPersoonVastOntslag082">Data!$AJ$84</definedName>
    <definedName name="Data_NaamPersoonVastOntslag083">Data!$AJ$85</definedName>
    <definedName name="Data_NaamPersoonVastOntslag084">Data!$AJ$86</definedName>
    <definedName name="Data_NaamPersoonVastOntslag085">Data!$AJ$87</definedName>
    <definedName name="Data_NaamPersoonVastOntslag086">Data!$AJ$88</definedName>
    <definedName name="Data_NaamPersoonVastOntslag087">Data!$AJ$89</definedName>
    <definedName name="Data_NaamPersoonVastOntslag088">Data!$AJ$90</definedName>
    <definedName name="Data_NaamPersoonVastOntslag089">Data!$AJ$91</definedName>
    <definedName name="Data_NaamPersoonVastOntslag090">Data!$AJ$92</definedName>
    <definedName name="Data_NaamPersoonVastOntslag091">Data!$AJ$93</definedName>
    <definedName name="Data_NaamPersoonVastOntslag092">Data!$AJ$94</definedName>
    <definedName name="Data_NaamPersoonVastOntslag093">Data!$AJ$95</definedName>
    <definedName name="Data_NaamPersoonVastOntslag094">Data!$AJ$96</definedName>
    <definedName name="Data_NaamPersoonVastOntslag095">Data!$AJ$97</definedName>
    <definedName name="Data_NaamPersoonVastOntslag096">Data!$AJ$98</definedName>
    <definedName name="Data_NaamPersoonVastOntslag097">Data!$AJ$99</definedName>
    <definedName name="Data_NaamPersoonVastOntslag098">Data!$AJ$100</definedName>
    <definedName name="Data_NaamPersoonVastOntslag099">Data!$AJ$101</definedName>
    <definedName name="Data_NaamPersoonVastOntslag100">Data!$AJ$102</definedName>
    <definedName name="Data_NaamPersoonVastOntslag101">Data!$AJ$103</definedName>
    <definedName name="Data_NaamPersoonVastOntslag102">Data!$AJ$104</definedName>
    <definedName name="Data_NaamPersoonVastOntslag103">Data!$AJ$105</definedName>
    <definedName name="Data_NaamPersoonVastOntslag104">Data!$AJ$106</definedName>
    <definedName name="Data_NaamPersoonVastOntslag105">Data!$AJ$107</definedName>
    <definedName name="Data_NaamPersoonVastOntslag106">Data!$AJ$108</definedName>
    <definedName name="Data_NaamPersoonVastOntslag107">Data!$AJ$109</definedName>
    <definedName name="Data_NaamPersoonVastOntslag108">Data!$AJ$110</definedName>
    <definedName name="Data_NaamPersoonVastOntslag109">Data!$AJ$111</definedName>
    <definedName name="Data_NaamPersoonVastOntslag110">Data!$AJ$112</definedName>
    <definedName name="Data_NaamPersoonVastOntslag111">Data!$AJ$113</definedName>
    <definedName name="Data_NaamPersoonVastOntslag112">Data!$AJ$114</definedName>
    <definedName name="Data_NaamPersoonVastOntslag113">Data!$AJ$115</definedName>
    <definedName name="Data_NaamPersoonVastOntslag114">Data!$AJ$116</definedName>
    <definedName name="Data_NaamPersoonVastOntslag115">Data!$AJ$117</definedName>
    <definedName name="Data_NaamPersoonVastOntslag116">Data!$AJ$118</definedName>
    <definedName name="Data_NaamPersoonVastOntslag117">Data!$AJ$119</definedName>
    <definedName name="Data_NaamPersoonVastOntslag118">Data!$AJ$120</definedName>
    <definedName name="Data_NaamPersoonVastOntslag119">Data!$AJ$121</definedName>
    <definedName name="Data_NaamPersoonVastOntslag120">Data!$AJ$122</definedName>
    <definedName name="Data_NaamPersoonVastOntslag121">Data!$AJ$123</definedName>
    <definedName name="Data_NaamPersoonVastOntslag122">Data!$AJ$124</definedName>
    <definedName name="Data_NaamPersoonVastOntslag123">Data!$AJ$125</definedName>
    <definedName name="Data_NaamPersoonVastOntslag124">Data!$AJ$126</definedName>
    <definedName name="Data_NaamPersoonVastOntslag125">Data!$AJ$127</definedName>
    <definedName name="Data_NaamPersoonVastOntslag126">Data!$AJ$128</definedName>
    <definedName name="Data_NaamPersoonVastOntslag127">Data!$AJ$129</definedName>
    <definedName name="Data_NaamPersoonVastOntslag128">Data!$AJ$130</definedName>
    <definedName name="Data_NaamPersoonVastOntslag129">Data!$AJ$131</definedName>
    <definedName name="Data_NaamPersoonVastOntslag130">Data!$AJ$132</definedName>
    <definedName name="Data_NaamPersoonVastOntslag131">Data!$AJ$133</definedName>
    <definedName name="Data_NaamPersoonVastOntslag132">Data!$AJ$134</definedName>
    <definedName name="Data_NaamPersoonVastOntslag133">Data!$AJ$135</definedName>
    <definedName name="Data_NaamPersoonVastOntslag134">Data!$AJ$136</definedName>
    <definedName name="Data_NaamPersoonVastOntslag135">Data!$AJ$137</definedName>
    <definedName name="Data_NaamPersoonVastOntslag136">Data!$AJ$138</definedName>
    <definedName name="Data_NaamPersoonVastOntslag137">Data!$AJ$139</definedName>
    <definedName name="Data_NaamPersoonVastOntslag138">Data!$AJ$140</definedName>
    <definedName name="Data_NaamPersoonVastOntslag139">Data!$AJ$141</definedName>
    <definedName name="Data_NaamPersoonVastOntslag140">Data!$AJ$142</definedName>
    <definedName name="Data_NaamPersoonVastOntslag141">Data!$AJ$143</definedName>
    <definedName name="Data_NaamPersoonVastOntslag142">Data!$AJ$144</definedName>
    <definedName name="Data_NaamPersoonVastOntslag143">Data!$AJ$145</definedName>
    <definedName name="Data_NaamPersoonVastOntslag144">Data!$AJ$146</definedName>
    <definedName name="Data_NaamPersoonVastOntslag145">Data!$AJ$147</definedName>
    <definedName name="Data_NaamPersoonVastOntslag146">Data!$AJ$148</definedName>
    <definedName name="Data_NaamPersoonVastOntslag147">Data!$AJ$149</definedName>
    <definedName name="Data_NaamPersoonVastOntslag148">Data!$AJ$150</definedName>
    <definedName name="Data_NaamPersoonVastOntslag149">Data!$AJ$151</definedName>
    <definedName name="Data_NaamPersoonVastOntslag150">Data!$AJ$152</definedName>
    <definedName name="Data_NaamPersoonVastOntslag151">Data!$AJ$153</definedName>
    <definedName name="Data_NaamPersoonVastOntslag152">Data!$AJ$154</definedName>
    <definedName name="Data_NaamPersoonVastOntslag153">Data!$AJ$155</definedName>
    <definedName name="Data_NaamPersoonVastOntslag154">Data!$AJ$156</definedName>
    <definedName name="Data_NaamPersoonVastOntslag155">Data!$AJ$157</definedName>
    <definedName name="Data_NaamPersoonVastOntslag156">Data!$AJ$158</definedName>
    <definedName name="Data_NaamPersoonVastOntslag157">Data!$AJ$159</definedName>
    <definedName name="Data_NaamPersoonVastOntslag158">Data!$AJ$160</definedName>
    <definedName name="Data_NaamPersoonVastOntslag159">Data!$AJ$161</definedName>
    <definedName name="Data_NaamPersoonVastOntslag160">Data!$AJ$162</definedName>
    <definedName name="Data_NaamPersoonVastOntslag161">Data!$AJ$163</definedName>
    <definedName name="Data_NaamPersoonVastOntslag162">Data!$AJ$164</definedName>
    <definedName name="Data_NaamPersoonVastOntslag163">Data!$AJ$165</definedName>
    <definedName name="Data_NaamPersoonVastOntslag164">Data!$AJ$166</definedName>
    <definedName name="Data_NaamPersoonVastOntslag165">Data!$AJ$167</definedName>
    <definedName name="Data_NaamPersoonVastOntslag166">Data!$AJ$168</definedName>
    <definedName name="Data_NaamPersoonVastOntslag167">Data!$AJ$169</definedName>
    <definedName name="Data_NaamPersoonVastOntslag168">Data!$AJ$170</definedName>
    <definedName name="Data_NaamPersoonVastOntslag169">Data!$AJ$171</definedName>
    <definedName name="Data_NaamPersoonVastOntslag170">Data!$AJ$172</definedName>
    <definedName name="Data_NaamPersoonVastOntslag171">Data!$AJ$173</definedName>
    <definedName name="Data_NaamPersoonVastOntslag172">Data!$AJ$174</definedName>
    <definedName name="Data_NaamPersoonVastOntslag173">Data!$AJ$175</definedName>
    <definedName name="Data_NaamPersoonVastOntslag174">Data!$AJ$176</definedName>
    <definedName name="Data_NaamPersoonVastOntslag175">Data!$AJ$177</definedName>
    <definedName name="Data_NaamPersoonVastOntslag176">Data!$AJ$178</definedName>
    <definedName name="Data_NaamPersoonVastOntslag177">Data!$AJ$179</definedName>
    <definedName name="Data_NaamPersoonVastOntslag178">Data!$AJ$180</definedName>
    <definedName name="Data_NaamPersoonVastOntslag179">Data!$AJ$181</definedName>
    <definedName name="Data_NaamPersoonVastOntslag180">Data!$AJ$182</definedName>
    <definedName name="Data_NaamPersoonVastOntslag181">Data!$AJ$183</definedName>
    <definedName name="Data_NaamPersoonVastOntslag182">Data!$AJ$184</definedName>
    <definedName name="Data_NaamPersoonVastOntslag183">Data!$AJ$185</definedName>
    <definedName name="Data_NaamPersoonVastOntslag184">Data!$AJ$186</definedName>
    <definedName name="Data_NaamPersoonVastOntslag185">Data!$AJ$187</definedName>
    <definedName name="Data_NaamPersoonVastOntslag186">Data!$AJ$188</definedName>
    <definedName name="Data_NaamPersoonVastOntslag187">Data!$AJ$189</definedName>
    <definedName name="Data_NaamPersoonVastOntslag188">Data!$AJ$190</definedName>
    <definedName name="Data_NaamPersoonVastOntslag189">Data!$AJ$191</definedName>
    <definedName name="Data_NaamPersoonVastOntslag190">Data!$AJ$192</definedName>
    <definedName name="Data_NaamPersoonVastOntslag191">Data!$AJ$193</definedName>
    <definedName name="Data_NaamPersoonVastOntslag192">Data!$AJ$194</definedName>
    <definedName name="Data_NaamPersoonVastOntslag193">Data!$AJ$195</definedName>
    <definedName name="Data_NaamPersoonVastOntslag194">Data!$AJ$196</definedName>
    <definedName name="Data_NaamPersoonVastOntslag195">Data!$AJ$197</definedName>
    <definedName name="Data_NaamPersoonVastOntslag196">Data!$AJ$198</definedName>
    <definedName name="Data_NaamPersoonVastOntslag197">Data!$AJ$199</definedName>
    <definedName name="Data_NaamPersoonVastOntslag198">Data!$AJ$200</definedName>
    <definedName name="Data_NaamPersoonVastOntslag199">Data!$AJ$201</definedName>
    <definedName name="Data_NaamPersoonVastOntslag200">Data!$AJ$202</definedName>
    <definedName name="Data_NaamPersoonVastOntslag201">Data!$AJ$203</definedName>
    <definedName name="Data_NaamPersoonVastOntslag202">Data!$AJ$204</definedName>
    <definedName name="Data_NaamPersoonVastOntslag203">Data!$AJ$205</definedName>
    <definedName name="Data_NaamPersoonVastOntslag204">Data!$AJ$206</definedName>
    <definedName name="Data_NaamPersoonVastOntslag205">Data!$AJ$207</definedName>
    <definedName name="Data_NaamPersoonVastOntslag206">Data!$AJ$208</definedName>
    <definedName name="Data_NaamPersoonVastOntslag207">Data!$AJ$209</definedName>
    <definedName name="Data_NaamPersoonVastOntslag208">Data!$AJ$210</definedName>
    <definedName name="Data_NaamPersoonVastOntslag209">Data!$AJ$211</definedName>
    <definedName name="Data_NaamPersoonVastOntslag210">Data!$AJ$212</definedName>
    <definedName name="Data_NaamPersoonVastOntslag211">Data!$AJ$213</definedName>
    <definedName name="Data_NaamPersoonVastOntslag212">Data!$AJ$214</definedName>
    <definedName name="Data_NaamPersoonVastOntslag213">Data!$AJ$215</definedName>
    <definedName name="Data_NaamPersoonVastOntslag214">Data!$AJ$216</definedName>
    <definedName name="Data_NaamPersoonVastOntslag215">Data!$AJ$217</definedName>
    <definedName name="Data_NaamPersoonVastOntslag216">Data!$AJ$218</definedName>
    <definedName name="Data_NaamPersoonVastOntslag217">Data!$AJ$219</definedName>
    <definedName name="Data_NaamPersoonVastOntslag218">Data!$AJ$220</definedName>
    <definedName name="Data_NaamPersoonVastOntslag219">Data!$AJ$221</definedName>
    <definedName name="Data_NaamPersoonVastOntslag220">Data!$AJ$222</definedName>
    <definedName name="Data_NaamPersoonVastOntslag221">Data!$AJ$223</definedName>
    <definedName name="Data_NaamPersoonVastOntslag222">Data!$AJ$224</definedName>
    <definedName name="Data_NaamPersoonVastOntslag223">Data!$AJ$225</definedName>
    <definedName name="Data_NaamPersoonVastOntslag224">Data!$AJ$226</definedName>
    <definedName name="Data_NaamPersoonVastOntslag225">Data!$AJ$227</definedName>
    <definedName name="Data_NaamPersoonVastOntslag226">Data!$AJ$228</definedName>
    <definedName name="Data_NaamPersoonVastOntslag227">Data!$AJ$229</definedName>
    <definedName name="Data_NaamPersoonVastOntslag228">Data!$AJ$230</definedName>
    <definedName name="Data_NaamPersoonVastOntslag229">Data!$AJ$231</definedName>
    <definedName name="Data_NaamPersoonVastOntslag230">Data!$AJ$232</definedName>
    <definedName name="Data_NaamPersoonVastOntslag231">Data!$AJ$233</definedName>
    <definedName name="Data_NaamPersoonVastOntslag232">Data!$AJ$234</definedName>
    <definedName name="Data_NaamPersoonVastOntslag233">Data!$AJ$235</definedName>
    <definedName name="Data_NaamPersoonVastOntslag234">Data!$AJ$236</definedName>
    <definedName name="Data_NaamPersoonVastOntslag235">Data!$AJ$237</definedName>
    <definedName name="Data_NaamPersoonVastOntslag236">Data!$AJ$238</definedName>
    <definedName name="Data_NaamPersoonVastOntslag237">Data!$AJ$239</definedName>
    <definedName name="Data_NaamPersoonVastOntslag238">Data!$AJ$240</definedName>
    <definedName name="Data_NaamPersoonVastOntslag239">Data!$AJ$241</definedName>
    <definedName name="Data_NaamPersoonVastOntslag240">Data!$AJ$242</definedName>
    <definedName name="Data_NaamPersoonVastOntslag241">Data!$AJ$243</definedName>
    <definedName name="Data_NaamPersoonVastOntslag242">Data!$AJ$244</definedName>
    <definedName name="Data_NaamPersoonVastOntslag243">Data!$AJ$245</definedName>
    <definedName name="Data_NaamPersoonVastOntslag244">Data!$AJ$246</definedName>
    <definedName name="Data_NaamPersoonVastOntslag245">Data!$AJ$247</definedName>
    <definedName name="Data_NaamPersoonVastOntslag246">Data!$AJ$248</definedName>
    <definedName name="Data_NaamPersoonVastOntslag247">Data!$AJ$249</definedName>
    <definedName name="Data_NaamPersoonVastOntslag248">Data!$AJ$250</definedName>
    <definedName name="Data_NaamPersoonVastOntslag249">Data!$AJ$251</definedName>
    <definedName name="Data_NaamPersoonVastOntslag250">Data!$AJ$252</definedName>
    <definedName name="Data_NaamPersoonVastOntslag251">Data!$AJ$253</definedName>
    <definedName name="Data_NaamPersoonVastOntslag252">Data!$AJ$254</definedName>
    <definedName name="Data_NaamPersoonVastOntslag253">Data!$AJ$255</definedName>
    <definedName name="Data_NaamPersoonVastOntslag254">Data!$AJ$256</definedName>
    <definedName name="Data_NaamPersoonVastOntslag255">Data!$AJ$257</definedName>
    <definedName name="Data_NaamPersoonVastOntslag256">Data!$AJ$258</definedName>
    <definedName name="Data_NaamPersoonVastOntslag257">Data!$AJ$259</definedName>
    <definedName name="Data_NaamPersoonVastOntslag258">Data!$AJ$260</definedName>
    <definedName name="Data_NaamPersoonVastOntslag259">Data!$AJ$261</definedName>
    <definedName name="Data_NaamPersoonVastOntslag260">Data!$AJ$262</definedName>
    <definedName name="Data_NaamPersoonVastOntslag261">Data!$AJ$263</definedName>
    <definedName name="Data_NaamPersoonVastOntslag262">Data!$AJ$264</definedName>
    <definedName name="Data_NaamPersoonVastOntslag263">Data!$AJ$265</definedName>
    <definedName name="Data_NaamPersoonVastOntslag264">Data!$AJ$266</definedName>
    <definedName name="Data_NaamPersoonVastOntslag265">Data!$AJ$267</definedName>
    <definedName name="Data_NaamPersoonVastOntslag266">Data!$AJ$268</definedName>
    <definedName name="Data_NaamPersoonVastOntslag267">Data!$AJ$269</definedName>
    <definedName name="Data_NaamPersoonVastOntslag268">Data!$AJ$270</definedName>
    <definedName name="Data_NaamPersoonVastOntslag269">Data!$AJ$271</definedName>
    <definedName name="Data_NaamPersoonVastOntslag270">Data!$AJ$272</definedName>
    <definedName name="Data_NaamPersoonVastOntslag271">Data!$AJ$273</definedName>
    <definedName name="Data_NaamPersoonVastOntslag272">Data!$AJ$274</definedName>
    <definedName name="Data_NaamPersoonVastOntslag273">Data!$AJ$275</definedName>
    <definedName name="Data_NaamPersoonVastOntslag274">Data!$AJ$276</definedName>
    <definedName name="Data_NaamPersoonVastOntslag275">Data!$AJ$277</definedName>
    <definedName name="Data_NaamPersoonVastOntslag276">Data!$AJ$278</definedName>
    <definedName name="Data_NaamPersoonVastOntslag277">Data!$AJ$279</definedName>
    <definedName name="Data_NaamPersoonVastOntslag278">Data!$AJ$280</definedName>
    <definedName name="Data_NaamPersoonVastOntslag279">Data!$AJ$281</definedName>
    <definedName name="Data_NaamPersoonVastOntslag280">Data!$AJ$282</definedName>
    <definedName name="Data_NaamPersoonVastOntslag281">Data!$AJ$283</definedName>
    <definedName name="Data_NaamPersoonVastOntslag282">Data!$AJ$284</definedName>
    <definedName name="Data_NaamPersoonVastOntslag283">Data!$AJ$285</definedName>
    <definedName name="Data_NaamPersoonVastOntslag284">Data!$AJ$286</definedName>
    <definedName name="Data_NaamPersoonVastOntslag285">Data!$AJ$287</definedName>
    <definedName name="Data_NaamPersoonVastOntslag286">Data!$AJ$288</definedName>
    <definedName name="Data_NaamPersoonVastOntslag287">Data!$AJ$289</definedName>
    <definedName name="Data_NaamPersoonVastOntslag288">Data!$AJ$290</definedName>
    <definedName name="Data_NaamPersoonVastOntslag289">Data!$AJ$291</definedName>
    <definedName name="Data_NaamPersoonVastOntslag290">Data!$AJ$292</definedName>
    <definedName name="Data_NaamPersoonVastOntslag291">Data!$AJ$293</definedName>
    <definedName name="Data_NaamPersoonVastOntslag292">Data!$AJ$294</definedName>
    <definedName name="Data_NaamPersoonVastOntslag293">Data!$AJ$295</definedName>
    <definedName name="Data_NaamPersoonVastOntslag294">Data!$AJ$296</definedName>
    <definedName name="Data_NaamPersoonVastOntslag295">Data!$AJ$297</definedName>
    <definedName name="Data_NaamPersoonVastOntslag296">Data!$AJ$298</definedName>
    <definedName name="Data_NaamPersoonVastOntslag297">Data!$AJ$299</definedName>
    <definedName name="Data_NaamPersoonVastOntslag298">Data!$AJ$300</definedName>
    <definedName name="Data_NaamPersoonVastOntslag299">Data!$AJ$301</definedName>
    <definedName name="Data_NaamPersoonVastOntslag300">Data!$AJ$302</definedName>
    <definedName name="Data_NaamPersoonVastOntslag301">Data!$AJ$303</definedName>
    <definedName name="Data_NaamPersoonVastOntslag302">Data!$AJ$304</definedName>
    <definedName name="Data_NaamPersoonVastOntslag303">Data!$AJ$305</definedName>
    <definedName name="Data_NaamPersoonVastOntslag304">Data!$AJ$306</definedName>
    <definedName name="Data_NaamPersoonVastOntslag305">Data!$AJ$307</definedName>
    <definedName name="Data_NaamPersoonVastOntslag306">Data!$AJ$308</definedName>
    <definedName name="Data_NaamPersoonVastOntslag307">Data!$AJ$309</definedName>
    <definedName name="Data_NaamPersoonVastOntslag308">Data!$AJ$310</definedName>
    <definedName name="Data_NaamPersoonVastOntslag309">Data!$AJ$311</definedName>
    <definedName name="Data_NaamPersoonVastOntslag310">Data!$AJ$312</definedName>
    <definedName name="Data_NaamPersoonVastOntslag311">Data!$AJ$313</definedName>
    <definedName name="Data_NaamPersoonVastOntslag312">Data!$AJ$314</definedName>
    <definedName name="Data_NaamPersoonVastOntslag313">Data!$AJ$315</definedName>
    <definedName name="Data_NaamPersoonVastOntslag314">Data!$AJ$316</definedName>
    <definedName name="Data_NaamPersoonVastOntslag315">Data!$AJ$317</definedName>
    <definedName name="Data_NaamPersoonVastOntslag316">Data!$AJ$318</definedName>
    <definedName name="Data_NaamPersoonVastOntslag317">Data!$AJ$319</definedName>
    <definedName name="Data_NaamPersoonVastOntslag318">Data!$AJ$320</definedName>
    <definedName name="Data_NaamPersoonVastOntslag319">Data!$AJ$321</definedName>
    <definedName name="Data_NaamPersoonVastOntslag320">Data!$AJ$322</definedName>
    <definedName name="Data_NaamPersoonVastOntslag321">Data!$AJ$323</definedName>
    <definedName name="Data_NaamPersoonVastOntslag322">Data!$AJ$324</definedName>
    <definedName name="Data_NaamPersoonVastOntslag323">Data!$AJ$325</definedName>
    <definedName name="Data_NaamPersoonVastOntslag324">Data!$AJ$326</definedName>
    <definedName name="Data_NaamPersoonVastOntslag325">Data!$AJ$327</definedName>
    <definedName name="Data_NaamPersoonVastOntslag326">Data!$AJ$328</definedName>
    <definedName name="Data_NaamPersoonVastOntslag327">Data!$AJ$329</definedName>
    <definedName name="Data_NaamPersoonVastOntslag328">Data!$AJ$330</definedName>
    <definedName name="Data_NaamPersoonVastOntslag329">Data!$AJ$331</definedName>
    <definedName name="Data_NaamPersoonVastOntslag330">Data!$AJ$332</definedName>
    <definedName name="Data_NaamPersoonVastOntslag331">Data!$AJ$333</definedName>
    <definedName name="Data_NaamPersoonVastOntslag332">Data!$AJ$334</definedName>
    <definedName name="Data_NaamPersoonVastOntslag333">Data!$AJ$335</definedName>
    <definedName name="Data_NaamPersoonVastOntslag334">Data!$AJ$336</definedName>
    <definedName name="Data_NaamPersoonVastOntslag335">Data!$AJ$337</definedName>
    <definedName name="Data_NaamPersoonVastOntslag336">Data!$AJ$338</definedName>
    <definedName name="Data_NaamPersoonVastOntslag337">Data!$AJ$339</definedName>
    <definedName name="Data_NaamPersoonVastOntslag338">Data!$AJ$340</definedName>
    <definedName name="Data_NaamPersoonVastOntslag339">Data!$AJ$341</definedName>
    <definedName name="Data_NaamPersoonVastOntslag340">Data!$AJ$342</definedName>
    <definedName name="Data_NaamPersoonVastOntslag341">Data!$AJ$343</definedName>
    <definedName name="Data_NaamPersoonVastOntslag342">Data!$AJ$344</definedName>
    <definedName name="Data_NaamPersoonVastOntslag343">Data!$AJ$345</definedName>
    <definedName name="Data_NaamPersoonVastOntslag344">Data!$AJ$346</definedName>
    <definedName name="Data_NaamPersoonVastOntslag345">Data!$AJ$347</definedName>
    <definedName name="Data_NaamPersoonVastOntslag346">Data!$AJ$348</definedName>
    <definedName name="Data_NaamPersoonVastOntslag347">Data!$AJ$349</definedName>
    <definedName name="Data_NaamPersoonVastOntslag348">Data!$AJ$350</definedName>
    <definedName name="Data_NaamPersoonVastOntslag349">Data!$AJ$351</definedName>
    <definedName name="Data_NaamPersoonVastOntslag350">Data!$AJ$352</definedName>
    <definedName name="Data_NaamPersoonVastOntslag351">Data!$AJ$353</definedName>
    <definedName name="Data_NaamPersoonVastOntslag352">Data!$AJ$354</definedName>
    <definedName name="Data_NaamPersoonVastOntslag353">Data!$AJ$355</definedName>
    <definedName name="Data_NaamPersoonVastOntslag354">Data!$AJ$356</definedName>
    <definedName name="Data_NaamPersoonVastOntslag355">Data!$AJ$357</definedName>
    <definedName name="Data_NaamPersoonVastOntslag356">Data!$AJ$358</definedName>
    <definedName name="Data_NaamPersoonVastOntslag357">Data!$AJ$359</definedName>
    <definedName name="Data_NaamPersoonVastOntslag358">Data!$AJ$360</definedName>
    <definedName name="Data_NaamPersoonVastOntslag359">Data!$AJ$361</definedName>
    <definedName name="Data_NaamPersoonVastOntslag360">Data!$AJ$362</definedName>
    <definedName name="Data_NaamPersoonVastOntslag361">Data!$AJ$363</definedName>
    <definedName name="Data_NaamPersoonVastOntslag362">Data!$AJ$364</definedName>
    <definedName name="Data_NaamPersoonVastOntslag363">Data!$AJ$365</definedName>
    <definedName name="Data_NaamPersoonVastOntslag364">Data!$AJ$366</definedName>
    <definedName name="Data_NaamPersoonVastOntslag365">Data!$AJ$367</definedName>
    <definedName name="Data_NaamPersoonVastOntslag366">Data!$AJ$368</definedName>
    <definedName name="Data_NaamPersoonVastOntslag367">Data!$AJ$369</definedName>
    <definedName name="Data_NaamPersoonVastOntslag368">Data!$AJ$370</definedName>
    <definedName name="Data_NaamPersoonVastOntslag369">Data!$AJ$371</definedName>
    <definedName name="Data_NaamPersoonVastOntslag370">Data!$AJ$372</definedName>
    <definedName name="Data_NaamPersoonVastOntslag371">Data!$AJ$373</definedName>
    <definedName name="Data_NaamPersoonVastOntslag372">Data!$AJ$374</definedName>
    <definedName name="Data_NaamPersoonVastOntslag373">Data!$AJ$375</definedName>
    <definedName name="Data_NaamPersoonVastOntslag374">Data!$AJ$376</definedName>
    <definedName name="Data_NaamPersoonVastOntslag375">Data!$AJ$377</definedName>
    <definedName name="Data_NaamPersoonVastOntslag376">Data!$AJ$378</definedName>
    <definedName name="Data_NaamPersoonVastOntslag377">Data!$AJ$379</definedName>
    <definedName name="Data_NaamPersoonVastOntslag378">Data!$AJ$380</definedName>
    <definedName name="Data_NaamPersoonVastOntslag379">Data!$AJ$381</definedName>
    <definedName name="Data_NaamPersoonVastOntslag380">Data!$AJ$382</definedName>
    <definedName name="Data_NaamPersoonVastOntslag381">Data!$AJ$383</definedName>
    <definedName name="Data_NaamPersoonVastOntslag382">Data!$AJ$384</definedName>
    <definedName name="Data_NaamPersoonVastOntslag383">Data!$AJ$385</definedName>
    <definedName name="Data_NaamPersoonVastOntslag384">Data!$AJ$386</definedName>
    <definedName name="Data_NaamPersoonVastOntslag385">Data!$AJ$387</definedName>
    <definedName name="Data_NaamPersoonVastOntslag386">Data!$AJ$388</definedName>
    <definedName name="Data_NaamPersoonVastOntslag387">Data!$AJ$389</definedName>
    <definedName name="Data_NaamPersoonVastOntslag388">Data!$AJ$390</definedName>
    <definedName name="Data_NaamPersoonVastOntslag389">Data!$AJ$391</definedName>
    <definedName name="Data_NaamPersoonVastOntslag390">Data!$AJ$392</definedName>
    <definedName name="Data_NaamPersoonVastOntslag391">Data!$AJ$393</definedName>
    <definedName name="Data_NaamPersoonVastOntslag392">Data!$AJ$394</definedName>
    <definedName name="Data_NaamPersoonVastOntslag393">Data!$AJ$395</definedName>
    <definedName name="Data_NaamPersoonVastOntslag394">Data!$AJ$396</definedName>
    <definedName name="Data_NaamPersoonVastOntslag395">Data!$AJ$397</definedName>
    <definedName name="Data_NaamPersoonVastOntslag396">Data!$AJ$398</definedName>
    <definedName name="Data_NaamPersoonVastOntslag397">Data!$AJ$399</definedName>
    <definedName name="Data_NaamPersoonVastOntslag398">Data!$AJ$400</definedName>
    <definedName name="Data_NaamPersoonVastOntslag399">Data!$AJ$401</definedName>
    <definedName name="Data_NaamPersoonVastOntslag400">Data!$AJ$402</definedName>
    <definedName name="Data_NaamPersoonVastOntslag401">Data!$AJ$403</definedName>
    <definedName name="Data_NaamPersoonVastOntslag402">Data!$AJ$404</definedName>
    <definedName name="Data_NaamPersoonVastOntslag403">Data!$AJ$405</definedName>
    <definedName name="Data_NaamPersoonVastOntslag404">Data!$AJ$406</definedName>
    <definedName name="Data_NaamPersoonVastOntslag405">Data!$AJ$407</definedName>
    <definedName name="Data_NaamPersoonVastOntslag406">Data!$AJ$408</definedName>
    <definedName name="Data_NaamPersoonVastOntslag407">Data!$AJ$409</definedName>
    <definedName name="Data_NaamPersoonVastOntslag408">Data!$AJ$410</definedName>
    <definedName name="Data_NaamPersoonVastOntslag409">Data!$AJ$411</definedName>
    <definedName name="Data_NaamPersoonVastOntslag410">Data!$AJ$412</definedName>
    <definedName name="Data_NaamPersoonVastOntslag411">Data!$AJ$413</definedName>
    <definedName name="Data_NaamPersoonVastOntslag412">Data!$AJ$414</definedName>
    <definedName name="Data_NaamPersoonVastOntslag413">Data!$AJ$415</definedName>
    <definedName name="Data_NaamPersoonVastOntslag414">Data!$AJ$416</definedName>
    <definedName name="Data_NaamPersoonVastOntslag415">Data!$AJ$417</definedName>
    <definedName name="Data_NaamPersoonVastOntslag416">Data!$AJ$418</definedName>
    <definedName name="Data_NaamPersoonVastOntslag417">Data!$AJ$419</definedName>
    <definedName name="Data_NaamPersoonVastOntslag418">Data!$AJ$420</definedName>
    <definedName name="Data_NaamPersoonVastOntslag419">Data!$AJ$421</definedName>
    <definedName name="Data_NaamPersoonVastOntslag420">Data!$AJ$422</definedName>
    <definedName name="Data_NaamPersoonVastOntslag421">Data!$AJ$423</definedName>
    <definedName name="Data_NaamPersoonVastOntslag422">Data!$AJ$424</definedName>
    <definedName name="Data_NaamPersoonVastOntslag423">Data!$AJ$425</definedName>
    <definedName name="Data_NaamPersoonVastOntslag424">Data!$AJ$426</definedName>
    <definedName name="Data_NaamPersoonVastOntslag425">Data!$AJ$427</definedName>
    <definedName name="Data_NaamPersoonVastOntslag426">Data!$AJ$428</definedName>
    <definedName name="Data_NaamPersoonVastOntslag427">Data!$AJ$429</definedName>
    <definedName name="Data_NaamPersoonVastOntslag428">Data!$AJ$430</definedName>
    <definedName name="Data_NaamPersoonVastOntslag429">Data!$AJ$431</definedName>
    <definedName name="Data_NaamPersoonVastOntslag430">Data!$AJ$432</definedName>
    <definedName name="Data_NaamPersoonVastOntslag431">Data!$AJ$433</definedName>
    <definedName name="Data_NaamPersoonVastOntslag432">Data!$AJ$434</definedName>
    <definedName name="Data_NaamPersoonVastOntslag433">Data!$AJ$435</definedName>
    <definedName name="Data_NaamPersoonVastOntslag434">Data!$AJ$436</definedName>
    <definedName name="Data_NaamPersoonVastOntslag435">Data!$AJ$437</definedName>
    <definedName name="Data_NaamPersoonVastOntslag436">Data!$AJ$438</definedName>
    <definedName name="Data_NaamPersoonVastOntslag437">Data!$AJ$439</definedName>
    <definedName name="Data_NaamPersoonVastOntslag438">Data!$AJ$440</definedName>
    <definedName name="Data_NaamPersoonVastOntslag439">Data!$AJ$441</definedName>
    <definedName name="Data_NaamPersoonVastOntslag440">Data!$AJ$442</definedName>
    <definedName name="Data_NaamPersoonVastOntslag441">Data!$AJ$443</definedName>
    <definedName name="Data_NaamPersoonVastOntslag442">Data!$AJ$444</definedName>
    <definedName name="Data_NaamPersoonVastOntslag443">Data!$AJ$445</definedName>
    <definedName name="Data_NaamPersoonVastOntslag444">Data!$AJ$446</definedName>
    <definedName name="Data_NaamPersoonVastOntslag445">Data!$AJ$447</definedName>
    <definedName name="Data_NaamPersoonVastOntslag446">Data!$AJ$448</definedName>
    <definedName name="Data_NaamPersoonVastOntslag447">Data!$AJ$449</definedName>
    <definedName name="Data_NaamPersoonVastOntslag448">Data!$AJ$450</definedName>
    <definedName name="Data_NaamPersoonVastOntslag449">Data!$AJ$451</definedName>
    <definedName name="Data_NaamPersoonVastOntslag450">Data!$AJ$452</definedName>
    <definedName name="Data_NaamPersoonVastOntslag451">Data!$AJ$453</definedName>
    <definedName name="Data_NaamPersoonVastOntslag452">Data!$AJ$454</definedName>
    <definedName name="Data_NaamPersoonVastOntslag453">Data!$AJ$455</definedName>
    <definedName name="Data_NaamPersoonVastOntslag454">Data!$AJ$456</definedName>
    <definedName name="Data_NaamPersoonVastOntslag455">Data!$AJ$457</definedName>
    <definedName name="Data_NaamPersoonVastOntslag456">Data!$AJ$458</definedName>
    <definedName name="Data_NaamPersoonVastOntslag457">Data!$AJ$459</definedName>
    <definedName name="Data_NaamPersoonVastOntslag458">Data!$AJ$460</definedName>
    <definedName name="Data_NaamPersoonVastOntslag459">Data!$AJ$461</definedName>
    <definedName name="Data_NaamPersoonVastOntslag460">Data!$AJ$462</definedName>
    <definedName name="Data_NaamPersoonVastOntslag461">Data!$AJ$463</definedName>
    <definedName name="Data_NaamPersoonVastOntslag462">Data!$AJ$464</definedName>
    <definedName name="Data_NaamPersoonVastOntslag463">Data!$AJ$465</definedName>
    <definedName name="Data_NaamPersoonVastOntslag464">Data!$AJ$466</definedName>
    <definedName name="Data_NaamPersoonVastOntslag465">Data!$AJ$467</definedName>
    <definedName name="Data_NaamPersoonVastOntslag466">Data!$AJ$468</definedName>
    <definedName name="Data_NaamPersoonVastOntslag467">Data!$AJ$469</definedName>
    <definedName name="Data_NaamPersoonVastOntslag468">Data!$AJ$470</definedName>
    <definedName name="Data_NaamPersoonVastOntslag469">Data!$AJ$471</definedName>
    <definedName name="Data_NaamPersoonVastOntslag470">Data!$AJ$472</definedName>
    <definedName name="Data_NaamPersoonVastOntslag471">Data!$AJ$473</definedName>
    <definedName name="Data_NaamPersoonVastOntslag472">Data!$AJ$474</definedName>
    <definedName name="Data_NaamPersoonVastOntslag473">Data!$AJ$475</definedName>
    <definedName name="Data_NaamPersoonVastOntslag474">Data!$AJ$476</definedName>
    <definedName name="Data_NaamPersoonVastOntslag475">Data!$AJ$477</definedName>
    <definedName name="Data_NaamPersoonVastOntslag476">Data!$AJ$478</definedName>
    <definedName name="Data_NaamPersoonVastOntslag477">Data!$AJ$479</definedName>
    <definedName name="Data_NaamPersoonVastOntslag478">Data!$AJ$480</definedName>
    <definedName name="Data_NaamPersoonVastOntslag479">Data!$AJ$481</definedName>
    <definedName name="Data_NaamPersoonVastOntslag480">Data!$AJ$482</definedName>
    <definedName name="Data_NaamPersoonVastOntslag481">Data!$AJ$483</definedName>
    <definedName name="Data_NaamPersoonVastOntslag482">Data!$AJ$484</definedName>
    <definedName name="Data_NaamPersoonVastOntslag483">Data!$AJ$485</definedName>
    <definedName name="Data_NaamPersoonVastOntslag484">Data!$AJ$486</definedName>
    <definedName name="Data_NaamPersoonVastOntslag485">Data!$AJ$487</definedName>
    <definedName name="Data_NaamPersoonVastOntslag486">Data!$AJ$488</definedName>
    <definedName name="Data_NaamPersoonVastOntslag487">Data!$AJ$489</definedName>
    <definedName name="Data_NaamPersoonVastOntslag488">Data!$AJ$490</definedName>
    <definedName name="Data_NaamPersoonVastOntslag489">Data!$AJ$491</definedName>
    <definedName name="Data_NaamPersoonVastOntslag490">Data!$AJ$492</definedName>
    <definedName name="Data_NaamPersoonVastOntslag491">Data!$AJ$493</definedName>
    <definedName name="Data_NaamPersoonVastOntslag492">Data!$AJ$494</definedName>
    <definedName name="Data_NaamPersoonVastOntslag493">Data!$AJ$495</definedName>
    <definedName name="Data_NaamPersoonVastOntslag494">Data!$AJ$496</definedName>
    <definedName name="Data_NaamPersoonVastOntslag495">Data!$AJ$497</definedName>
    <definedName name="Data_NaamPersoonVastOntslag496">Data!$AJ$498</definedName>
    <definedName name="Data_NaamPersoonVastOntslag497">Data!$AJ$499</definedName>
    <definedName name="Data_NaamPersoonVastOntslag498">Data!$AJ$500</definedName>
    <definedName name="Data_NaamPersoonVastOntslag499">Data!$AJ$501</definedName>
    <definedName name="Data_NaamPersoonVastOntslag500">Data!$AJ$502</definedName>
    <definedName name="Data_NaamPersoonVastVrij001">Data!$Z$3</definedName>
    <definedName name="Data_NaamPersoonVastVrij002">Data!$Z$4</definedName>
    <definedName name="Data_NaamPersoonVastVrij003">Data!$Z$5</definedName>
    <definedName name="Data_NaamPersoonVastVrij004">Data!$Z$6</definedName>
    <definedName name="Data_NaamPersoonVastVrij005">Data!$Z$7</definedName>
    <definedName name="Data_NaamPersoonVastVrij006">Data!$Z$8</definedName>
    <definedName name="Data_NaamPersoonVastVrij007">Data!$Z$9</definedName>
    <definedName name="Data_NaamPersoonVastVrij008">Data!$Z$10</definedName>
    <definedName name="Data_NaamPersoonVastVrij009">Data!$Z$11</definedName>
    <definedName name="Data_NaamPersoonVastVrij010">Data!$Z$12</definedName>
    <definedName name="Data_NaamPersoonVastVrij011">Data!$Z$13</definedName>
    <definedName name="Data_NaamPersoonVastVrij012">Data!$Z$14</definedName>
    <definedName name="Data_NaamPersoonVastVrij013">Data!$Z$15</definedName>
    <definedName name="Data_NaamPersoonVastVrij014">Data!$Z$16</definedName>
    <definedName name="Data_NaamPersoonVastVrij015">Data!$Z$17</definedName>
    <definedName name="Data_NaamPersoonVastVrij016">Data!$Z$18</definedName>
    <definedName name="Data_NaamPersoonVastVrij017">Data!$Z$19</definedName>
    <definedName name="Data_NaamPersoonVastVrij018">Data!$Z$20</definedName>
    <definedName name="Data_NaamPersoonVastVrij019">Data!$Z$21</definedName>
    <definedName name="Data_NaamPersoonVastVrij020">Data!$Z$22</definedName>
    <definedName name="Data_NaamPersoonVastVrij021">Data!$Z$23</definedName>
    <definedName name="Data_NaamPersoonVastVrij022">Data!$Z$24</definedName>
    <definedName name="Data_NaamPersoonVastVrij023">Data!$Z$25</definedName>
    <definedName name="Data_NaamPersoonVastVrij024">Data!$Z$26</definedName>
    <definedName name="Data_NaamPersoonVastVrij025">Data!$Z$27</definedName>
    <definedName name="Data_NaamPersoonVastVrij026">Data!$Z$28</definedName>
    <definedName name="Data_NaamPersoonVastVrij027">Data!$Z$29</definedName>
    <definedName name="Data_NaamPersoonVastVrij028">Data!$Z$30</definedName>
    <definedName name="Data_NaamPersoonVastVrij029">Data!$Z$31</definedName>
    <definedName name="Data_NaamPersoonVastVrij030">Data!$Z$32</definedName>
    <definedName name="Data_NaamPersoonVastVrij031">Data!$Z$33</definedName>
    <definedName name="Data_NaamPersoonVastVrij032">Data!$Z$34</definedName>
    <definedName name="Data_NaamPersoonVastVrij033">Data!$Z$35</definedName>
    <definedName name="Data_NaamPersoonVastVrij034">Data!$Z$36</definedName>
    <definedName name="Data_NaamPersoonVastVrij035">Data!$Z$37</definedName>
    <definedName name="Data_NaamPersoonVastVrij036">Data!$Z$38</definedName>
    <definedName name="Data_NaamPersoonVastVrij037">Data!$Z$39</definedName>
    <definedName name="Data_NaamPersoonVastVrij038">Data!$Z$40</definedName>
    <definedName name="Data_NaamPersoonVastVrij039">Data!$Z$41</definedName>
    <definedName name="Data_NaamPersoonVastVrij040">Data!$Z$42</definedName>
    <definedName name="Data_NaamPersoonVastVrij041">Data!$Z$43</definedName>
    <definedName name="Data_NaamPersoonVastVrij042">Data!$Z$44</definedName>
    <definedName name="Data_NaamPersoonVastVrij043">Data!$Z$45</definedName>
    <definedName name="Data_NaamPersoonVastVrij044">Data!$Z$46</definedName>
    <definedName name="Data_NaamPersoonVastVrij045">Data!$Z$47</definedName>
    <definedName name="Data_NaamPersoonVastVrij046">Data!$Z$48</definedName>
    <definedName name="Data_NaamPersoonVastVrij047">Data!$Z$49</definedName>
    <definedName name="Data_NaamPersoonVastVrij048">Data!$Z$50</definedName>
    <definedName name="Data_NaamPersoonVastVrij049">Data!$Z$51</definedName>
    <definedName name="Data_NaamPersoonVastVrij050">Data!$Z$52</definedName>
    <definedName name="Data_NaamPersoonVastVrij051">Data!$Z$53</definedName>
    <definedName name="Data_NaamPersoonVastVrij052">Data!$Z$54</definedName>
    <definedName name="Data_NaamPersoonVastVrij053">Data!$Z$55</definedName>
    <definedName name="Data_NaamPersoonVastVrij054">Data!$Z$56</definedName>
    <definedName name="Data_NaamPersoonVastVrij055">Data!$Z$57</definedName>
    <definedName name="Data_NaamPersoonVastVrij056">Data!$Z$58</definedName>
    <definedName name="Data_NaamPersoonVastVrij057">Data!$Z$59</definedName>
    <definedName name="Data_NaamPersoonVastVrij058">Data!$Z$60</definedName>
    <definedName name="Data_NaamPersoonVastVrij059">Data!$Z$61</definedName>
    <definedName name="Data_NaamPersoonVastVrij060">Data!$Z$62</definedName>
    <definedName name="Data_NaamPersoonVastVrij061">Data!$Z$63</definedName>
    <definedName name="Data_NaamPersoonVastVrij062">Data!$Z$64</definedName>
    <definedName name="Data_NaamPersoonVastVrij063">Data!$Z$65</definedName>
    <definedName name="Data_NaamPersoonVastVrij064">Data!$Z$66</definedName>
    <definedName name="Data_NaamPersoonVastVrij065">Data!$Z$67</definedName>
    <definedName name="Data_NaamPersoonVastVrij066">Data!$Z$68</definedName>
    <definedName name="Data_NaamPersoonVastVrij067">Data!$Z$69</definedName>
    <definedName name="Data_NaamPersoonVastVrij068">Data!$Z$70</definedName>
    <definedName name="Data_NaamPersoonVastVrij069">Data!$Z$71</definedName>
    <definedName name="Data_NaamPersoonVastVrij070">Data!$Z$72</definedName>
    <definedName name="Data_NaamPersoonVastVrij071">Data!$Z$73</definedName>
    <definedName name="Data_NaamPersoonVastVrij072">Data!$Z$74</definedName>
    <definedName name="Data_NaamPersoonVastVrij073">Data!$Z$75</definedName>
    <definedName name="Data_NaamPersoonVastVrij074">Data!$Z$76</definedName>
    <definedName name="Data_NaamPersoonVastVrij075">Data!$Z$77</definedName>
    <definedName name="Data_NaamPersoonVastVrij076">Data!$Z$78</definedName>
    <definedName name="Data_NaamPersoonVastVrij077">Data!$Z$79</definedName>
    <definedName name="Data_NaamPersoonVastVrij078">Data!$Z$80</definedName>
    <definedName name="Data_NaamPersoonVastVrij079">Data!$Z$81</definedName>
    <definedName name="Data_NaamPersoonVastVrij080">Data!$Z$82</definedName>
    <definedName name="Data_NaamPersoonVastVrij081">Data!$Z$83</definedName>
    <definedName name="Data_NaamPersoonVastVrij082">Data!$Z$84</definedName>
    <definedName name="Data_NaamPersoonVastVrij083">Data!$Z$85</definedName>
    <definedName name="Data_NaamPersoonVastVrij084">Data!$Z$86</definedName>
    <definedName name="Data_NaamPersoonVastVrij085">Data!$Z$87</definedName>
    <definedName name="Data_NaamPersoonVastVrij086">Data!$Z$88</definedName>
    <definedName name="Data_NaamPersoonVastVrij087">Data!$Z$89</definedName>
    <definedName name="Data_NaamPersoonVastVrij088">Data!$Z$90</definedName>
    <definedName name="Data_NaamPersoonVastVrij089">Data!$Z$91</definedName>
    <definedName name="Data_NaamPersoonVastVrij090">Data!$Z$92</definedName>
    <definedName name="Data_NaamPersoonVastVrij091">Data!$Z$93</definedName>
    <definedName name="Data_NaamPersoonVastVrij092">Data!$Z$94</definedName>
    <definedName name="Data_NaamPersoonVastVrij093">Data!$Z$95</definedName>
    <definedName name="Data_NaamPersoonVastVrij094">Data!$Z$96</definedName>
    <definedName name="Data_NaamPersoonVastVrij095">Data!$Z$97</definedName>
    <definedName name="Data_NaamPersoonVastVrij096">Data!$Z$98</definedName>
    <definedName name="Data_NaamPersoonVastVrij097">Data!$Z$99</definedName>
    <definedName name="Data_NaamPersoonVastVrij098">Data!$Z$100</definedName>
    <definedName name="Data_NaamPersoonVastVrij099">Data!$Z$101</definedName>
    <definedName name="Data_NaamPersoonVastVrij100">Data!$Z$102</definedName>
    <definedName name="Data_NaamPersoonVastVrij101">Data!$Z$103</definedName>
    <definedName name="Data_NaamPersoonVastVrij102">Data!$Z$104</definedName>
    <definedName name="Data_NaamPersoonVastVrij103">Data!$Z$105</definedName>
    <definedName name="Data_NaamPersoonVastVrij104">Data!$Z$106</definedName>
    <definedName name="Data_NaamPersoonVastVrij105">Data!$Z$107</definedName>
    <definedName name="Data_NaamPersoonVastVrij106">Data!$Z$108</definedName>
    <definedName name="Data_NaamPersoonVastVrij107">Data!$Z$109</definedName>
    <definedName name="Data_NaamPersoonVastVrij108">Data!$Z$110</definedName>
    <definedName name="Data_NaamPersoonVastVrij109">Data!$Z$111</definedName>
    <definedName name="Data_NaamPersoonVastVrij110">Data!$Z$112</definedName>
    <definedName name="Data_NaamPersoonVastVrij111">Data!$Z$113</definedName>
    <definedName name="Data_NaamPersoonVastVrij112">Data!$Z$114</definedName>
    <definedName name="Data_NaamPersoonVastVrij113">Data!$Z$115</definedName>
    <definedName name="Data_NaamPersoonVastVrij114">Data!$Z$116</definedName>
    <definedName name="Data_NaamPersoonVastVrij115">Data!$Z$117</definedName>
    <definedName name="Data_NaamPersoonVastVrij116">Data!$Z$118</definedName>
    <definedName name="Data_NaamPersoonVastVrij117">Data!$Z$119</definedName>
    <definedName name="Data_NaamPersoonVastVrij118">Data!$Z$120</definedName>
    <definedName name="Data_NaamPersoonVastVrij119">Data!$Z$121</definedName>
    <definedName name="Data_NaamPersoonVastVrij120">Data!$Z$122</definedName>
    <definedName name="Data_NaamPersoonVastVrij121">Data!$Z$123</definedName>
    <definedName name="Data_NaamPersoonVastVrij122">Data!$Z$124</definedName>
    <definedName name="Data_NaamPersoonVastVrij123">Data!$Z$125</definedName>
    <definedName name="Data_NaamPersoonVastVrij124">Data!$Z$126</definedName>
    <definedName name="Data_NaamPersoonVastVrij125">Data!$Z$127</definedName>
    <definedName name="Data_NaamPersoonVastVrij126">Data!$Z$128</definedName>
    <definedName name="Data_NaamPersoonVastVrij127">Data!$Z$129</definedName>
    <definedName name="Data_NaamPersoonVastVrij128">Data!$Z$130</definedName>
    <definedName name="Data_NaamPersoonVastVrij129">Data!$Z$131</definedName>
    <definedName name="Data_NaamPersoonVastVrij130">Data!$Z$132</definedName>
    <definedName name="Data_NaamPersoonVastVrij131">Data!$Z$133</definedName>
    <definedName name="Data_NaamPersoonVastVrij132">Data!$Z$134</definedName>
    <definedName name="Data_NaamPersoonVastVrij133">Data!$Z$135</definedName>
    <definedName name="Data_NaamPersoonVastVrij134">Data!$Z$136</definedName>
    <definedName name="Data_NaamPersoonVastVrij135">Data!$Z$137</definedName>
    <definedName name="Data_NaamPersoonVastVrij136">Data!$Z$138</definedName>
    <definedName name="Data_NaamPersoonVastVrij137">Data!$Z$139</definedName>
    <definedName name="Data_NaamPersoonVastVrij138">Data!$Z$140</definedName>
    <definedName name="Data_NaamPersoonVastVrij139">Data!$Z$141</definedName>
    <definedName name="Data_NaamPersoonVastVrij140">Data!$Z$142</definedName>
    <definedName name="Data_NaamPersoonVastVrij141">Data!$Z$143</definedName>
    <definedName name="Data_NaamPersoonVastVrij142">Data!$Z$144</definedName>
    <definedName name="Data_NaamPersoonVastVrij143">Data!$Z$145</definedName>
    <definedName name="Data_NaamPersoonVastVrij144">Data!$Z$146</definedName>
    <definedName name="Data_NaamPersoonVastVrij145">Data!$Z$147</definedName>
    <definedName name="Data_NaamPersoonVastVrij146">Data!$Z$148</definedName>
    <definedName name="Data_NaamPersoonVastVrij147">Data!$Z$149</definedName>
    <definedName name="Data_NaamPersoonVastVrij148">Data!$Z$150</definedName>
    <definedName name="Data_NaamPersoonVastVrij149">Data!$Z$151</definedName>
    <definedName name="Data_NaamPersoonVastVrij150">Data!$Z$152</definedName>
    <definedName name="Data_NaamPersoonVastVrij151">Data!$Z$153</definedName>
    <definedName name="Data_NaamPersoonVastVrij152">Data!$Z$154</definedName>
    <definedName name="Data_NaamPersoonVastVrij153">Data!$Z$155</definedName>
    <definedName name="Data_NaamPersoonVastVrij154">Data!$Z$156</definedName>
    <definedName name="Data_NaamPersoonVastVrij155">Data!$Z$157</definedName>
    <definedName name="Data_NaamPersoonVastVrij156">Data!$Z$158</definedName>
    <definedName name="Data_NaamPersoonVastVrij157">Data!$Z$159</definedName>
    <definedName name="Data_NaamPersoonVastVrij158">Data!$Z$160</definedName>
    <definedName name="Data_NaamPersoonVastVrij159">Data!$Z$161</definedName>
    <definedName name="Data_NaamPersoonVastVrij160">Data!$Z$162</definedName>
    <definedName name="Data_NaamPersoonVastVrij161">Data!$Z$163</definedName>
    <definedName name="Data_NaamPersoonVastVrij162">Data!$Z$164</definedName>
    <definedName name="Data_NaamPersoonVastVrij163">Data!$Z$165</definedName>
    <definedName name="Data_NaamPersoonVastVrij164">Data!$Z$166</definedName>
    <definedName name="Data_NaamPersoonVastVrij165">Data!$Z$167</definedName>
    <definedName name="Data_NaamPersoonVastVrij166">Data!$Z$168</definedName>
    <definedName name="Data_NaamPersoonVastVrij167">Data!$Z$169</definedName>
    <definedName name="Data_NaamPersoonVastVrij168">Data!$Z$170</definedName>
    <definedName name="Data_NaamPersoonVastVrij169">Data!$Z$171</definedName>
    <definedName name="Data_NaamPersoonVastVrij170">Data!$Z$172</definedName>
    <definedName name="Data_NaamPersoonVastVrij171">Data!$Z$173</definedName>
    <definedName name="Data_NaamPersoonVastVrij172">Data!$Z$174</definedName>
    <definedName name="Data_NaamPersoonVastVrij173">Data!$Z$175</definedName>
    <definedName name="Data_NaamPersoonVastVrij174">Data!$Z$176</definedName>
    <definedName name="Data_NaamPersoonVastVrij175">Data!$Z$177</definedName>
    <definedName name="Data_NaamPersoonVastVrij176">Data!$Z$178</definedName>
    <definedName name="Data_NaamPersoonVastVrij177">Data!$Z$179</definedName>
    <definedName name="Data_NaamPersoonVastVrij178">Data!$Z$180</definedName>
    <definedName name="Data_NaamPersoonVastVrij179">Data!$Z$181</definedName>
    <definedName name="Data_NaamPersoonVastVrij180">Data!$Z$182</definedName>
    <definedName name="Data_NaamPersoonVastVrij181">Data!$Z$183</definedName>
    <definedName name="Data_NaamPersoonVastVrij182">Data!$Z$184</definedName>
    <definedName name="Data_NaamPersoonVastVrij183">Data!$Z$185</definedName>
    <definedName name="Data_NaamPersoonVastVrij184">Data!$Z$186</definedName>
    <definedName name="Data_NaamPersoonVastVrij185">Data!$Z$187</definedName>
    <definedName name="Data_NaamPersoonVastVrij186">Data!$Z$188</definedName>
    <definedName name="Data_NaamPersoonVastVrij187">Data!$Z$189</definedName>
    <definedName name="Data_NaamPersoonVastVrij188">Data!$Z$190</definedName>
    <definedName name="Data_NaamPersoonVastVrij189">Data!$Z$191</definedName>
    <definedName name="Data_NaamPersoonVastVrij190">Data!$Z$192</definedName>
    <definedName name="Data_NaamPersoonVastVrij191">Data!$Z$193</definedName>
    <definedName name="Data_NaamPersoonVastVrij192">Data!$Z$194</definedName>
    <definedName name="Data_NaamPersoonVastVrij193">Data!$Z$195</definedName>
    <definedName name="Data_NaamPersoonVastVrij194">Data!$Z$196</definedName>
    <definedName name="Data_NaamPersoonVastVrij195">Data!$Z$197</definedName>
    <definedName name="Data_NaamPersoonVastVrij196">Data!$Z$198</definedName>
    <definedName name="Data_NaamPersoonVastVrij197">Data!$Z$199</definedName>
    <definedName name="Data_NaamPersoonVastVrij198">Data!$Z$200</definedName>
    <definedName name="Data_NaamPersoonVastVrij199">Data!$Z$201</definedName>
    <definedName name="Data_NaamPersoonVastVrij200">Data!$Z$202</definedName>
    <definedName name="Data_NaamPersoonVastVrij201">Data!$Z$203</definedName>
    <definedName name="Data_NaamPersoonVastVrij202">Data!$Z$204</definedName>
    <definedName name="Data_NaamPersoonVastVrij203">Data!$Z$205</definedName>
    <definedName name="Data_NaamPersoonVastVrij204">Data!$Z$206</definedName>
    <definedName name="Data_NaamPersoonVastVrij205">Data!$Z$207</definedName>
    <definedName name="Data_NaamPersoonVastVrij206">Data!$Z$208</definedName>
    <definedName name="Data_NaamPersoonVastVrij207">Data!$Z$209</definedName>
    <definedName name="Data_NaamPersoonVastVrij208">Data!$Z$210</definedName>
    <definedName name="Data_NaamPersoonVastVrij209">Data!$Z$211</definedName>
    <definedName name="Data_NaamPersoonVastVrij210">Data!$Z$212</definedName>
    <definedName name="Data_NaamPersoonVastVrij211">Data!$Z$213</definedName>
    <definedName name="Data_NaamPersoonVastVrij212">Data!$Z$214</definedName>
    <definedName name="Data_NaamPersoonVastVrij213">Data!$Z$215</definedName>
    <definedName name="Data_NaamPersoonVastVrij214">Data!$Z$216</definedName>
    <definedName name="Data_NaamPersoonVastVrij215">Data!$Z$217</definedName>
    <definedName name="Data_NaamPersoonVastVrij216">Data!$Z$218</definedName>
    <definedName name="Data_NaamPersoonVastVrij217">Data!$Z$219</definedName>
    <definedName name="Data_NaamPersoonVastVrij218">Data!$Z$220</definedName>
    <definedName name="Data_NaamPersoonVastVrij219">Data!$Z$221</definedName>
    <definedName name="Data_NaamPersoonVastVrij220">Data!$Z$222</definedName>
    <definedName name="Data_NaamPersoonVastVrij221">Data!$Z$223</definedName>
    <definedName name="Data_NaamPersoonVastVrij222">Data!$Z$224</definedName>
    <definedName name="Data_NaamPersoonVastVrij223">Data!$Z$225</definedName>
    <definedName name="Data_NaamPersoonVastVrij224">Data!$Z$226</definedName>
    <definedName name="Data_NaamPersoonVastVrij225">Data!$Z$227</definedName>
    <definedName name="Data_NaamPersoonVastVrij226">Data!$Z$228</definedName>
    <definedName name="Data_NaamPersoonVastVrij227">Data!$Z$229</definedName>
    <definedName name="Data_NaamPersoonVastVrij228">Data!$Z$230</definedName>
    <definedName name="Data_NaamPersoonVastVrij229">Data!$Z$231</definedName>
    <definedName name="Data_NaamPersoonVastVrij230">Data!$Z$232</definedName>
    <definedName name="Data_NaamPersoonVastVrij231">Data!$Z$233</definedName>
    <definedName name="Data_NaamPersoonVastVrij232">Data!$Z$234</definedName>
    <definedName name="Data_NaamPersoonVastVrij233">Data!$Z$235</definedName>
    <definedName name="Data_NaamPersoonVastVrij234">Data!$Z$236</definedName>
    <definedName name="Data_NaamPersoonVastVrij235">Data!$Z$237</definedName>
    <definedName name="Data_NaamPersoonVastVrij236">Data!$Z$238</definedName>
    <definedName name="Data_NaamPersoonVastVrij237">Data!$Z$239</definedName>
    <definedName name="Data_NaamPersoonVastVrij238">Data!$Z$240</definedName>
    <definedName name="Data_NaamPersoonVastVrij239">Data!$Z$241</definedName>
    <definedName name="Data_NaamPersoonVastVrij240">Data!$Z$242</definedName>
    <definedName name="Data_NaamPersoonVastVrij241">Data!$Z$243</definedName>
    <definedName name="Data_NaamPersoonVastVrij242">Data!$Z$244</definedName>
    <definedName name="Data_NaamPersoonVastVrij243">Data!$Z$245</definedName>
    <definedName name="Data_NaamPersoonVastVrij244">Data!$Z$246</definedName>
    <definedName name="Data_NaamPersoonVastVrij245">Data!$Z$247</definedName>
    <definedName name="Data_NaamPersoonVastVrij246">Data!$Z$248</definedName>
    <definedName name="Data_NaamPersoonVastVrij247">Data!$Z$249</definedName>
    <definedName name="Data_NaamPersoonVastVrij248">Data!$Z$250</definedName>
    <definedName name="Data_NaamPersoonVastVrij249">Data!$Z$251</definedName>
    <definedName name="Data_NaamPersoonVastVrij250">Data!$Z$252</definedName>
    <definedName name="Data_NaamPersoonVastVrij251">Data!$Z$253</definedName>
    <definedName name="Data_NaamPersoonVastVrij252">Data!$Z$254</definedName>
    <definedName name="Data_NaamPersoonVastVrij253">Data!$Z$255</definedName>
    <definedName name="Data_NaamPersoonVastVrij254">Data!$Z$256</definedName>
    <definedName name="Data_NaamPersoonVastVrij255">Data!$Z$257</definedName>
    <definedName name="Data_NaamPersoonVastVrij256">Data!$Z$258</definedName>
    <definedName name="Data_NaamPersoonVastVrij257">Data!$Z$259</definedName>
    <definedName name="Data_NaamPersoonVastVrij258">Data!$Z$260</definedName>
    <definedName name="Data_NaamPersoonVastVrij259">Data!$Z$261</definedName>
    <definedName name="Data_NaamPersoonVastVrij260">Data!$Z$262</definedName>
    <definedName name="Data_NaamPersoonVastVrij261">Data!$Z$263</definedName>
    <definedName name="Data_NaamPersoonVastVrij262">Data!$Z$264</definedName>
    <definedName name="Data_NaamPersoonVastVrij263">Data!$Z$265</definedName>
    <definedName name="Data_NaamPersoonVastVrij264">Data!$Z$266</definedName>
    <definedName name="Data_NaamPersoonVastVrij265">Data!$Z$267</definedName>
    <definedName name="Data_NaamPersoonVastVrij266">Data!$Z$268</definedName>
    <definedName name="Data_NaamPersoonVastVrij267">Data!$Z$269</definedName>
    <definedName name="Data_NaamPersoonVastVrij268">Data!$Z$270</definedName>
    <definedName name="Data_NaamPersoonVastVrij269">Data!$Z$271</definedName>
    <definedName name="Data_NaamPersoonVastVrij270">Data!$Z$272</definedName>
    <definedName name="Data_NaamPersoonVastVrij271">Data!$Z$273</definedName>
    <definedName name="Data_NaamPersoonVastVrij272">Data!$Z$274</definedName>
    <definedName name="Data_NaamPersoonVastVrij273">Data!$Z$275</definedName>
    <definedName name="Data_NaamPersoonVastVrij274">Data!$Z$276</definedName>
    <definedName name="Data_NaamPersoonVastVrij275">Data!$Z$277</definedName>
    <definedName name="Data_NaamPersoonVastVrij276">Data!$Z$278</definedName>
    <definedName name="Data_NaamPersoonVastVrij277">Data!$Z$279</definedName>
    <definedName name="Data_NaamPersoonVastVrij278">Data!$Z$280</definedName>
    <definedName name="Data_NaamPersoonVastVrij279">Data!$Z$281</definedName>
    <definedName name="Data_NaamPersoonVastVrij280">Data!$Z$282</definedName>
    <definedName name="Data_NaamPersoonVastVrij281">Data!$Z$283</definedName>
    <definedName name="Data_NaamPersoonVastVrij282">Data!$Z$284</definedName>
    <definedName name="Data_NaamPersoonVastVrij283">Data!$Z$285</definedName>
    <definedName name="Data_NaamPersoonVastVrij284">Data!$Z$286</definedName>
    <definedName name="Data_NaamPersoonVastVrij285">Data!$Z$287</definedName>
    <definedName name="Data_NaamPersoonVastVrij286">Data!$Z$288</definedName>
    <definedName name="Data_NaamPersoonVastVrij287">Data!$Z$289</definedName>
    <definedName name="Data_NaamPersoonVastVrij288">Data!$Z$290</definedName>
    <definedName name="Data_NaamPersoonVastVrij289">Data!$Z$291</definedName>
    <definedName name="Data_NaamPersoonVastVrij290">Data!$Z$292</definedName>
    <definedName name="Data_NaamPersoonVastVrij291">Data!$Z$293</definedName>
    <definedName name="Data_NaamPersoonVastVrij292">Data!$Z$294</definedName>
    <definedName name="Data_NaamPersoonVastVrij293">Data!$Z$295</definedName>
    <definedName name="Data_NaamPersoonVastVrij294">Data!$Z$296</definedName>
    <definedName name="Data_NaamPersoonVastVrij295">Data!$Z$297</definedName>
    <definedName name="Data_NaamPersoonVastVrij296">Data!$Z$298</definedName>
    <definedName name="Data_NaamPersoonVastVrij297">Data!$Z$299</definedName>
    <definedName name="Data_NaamPersoonVastVrij298">Data!$Z$300</definedName>
    <definedName name="Data_NaamPersoonVastVrij299">Data!$Z$301</definedName>
    <definedName name="Data_NaamPersoonVastVrij300">Data!$Z$302</definedName>
    <definedName name="Data_NaamPersoonVastVrij301">Data!$Z$303</definedName>
    <definedName name="Data_NaamPersoonVastVrij302">Data!$Z$304</definedName>
    <definedName name="Data_NaamPersoonVastVrij303">Data!$Z$305</definedName>
    <definedName name="Data_NaamPersoonVastVrij304">Data!$Z$306</definedName>
    <definedName name="Data_NaamPersoonVastVrij305">Data!$Z$307</definedName>
    <definedName name="Data_NaamPersoonVastVrij306">Data!$Z$308</definedName>
    <definedName name="Data_NaamPersoonVastVrij307">Data!$Z$309</definedName>
    <definedName name="Data_NaamPersoonVastVrij308">Data!$Z$310</definedName>
    <definedName name="Data_NaamPersoonVastVrij309">Data!$Z$311</definedName>
    <definedName name="Data_NaamPersoonVastVrij310">Data!$Z$312</definedName>
    <definedName name="Data_NaamPersoonVastVrij311">Data!$Z$313</definedName>
    <definedName name="Data_NaamPersoonVastVrij312">Data!$Z$314</definedName>
    <definedName name="Data_NaamPersoonVastVrij313">Data!$Z$315</definedName>
    <definedName name="Data_NaamPersoonVastVrij314">Data!$Z$316</definedName>
    <definedName name="Data_NaamPersoonVastVrij315">Data!$Z$317</definedName>
    <definedName name="Data_NaamPersoonVastVrij316">Data!$Z$318</definedName>
    <definedName name="Data_NaamPersoonVastVrij317">Data!$Z$319</definedName>
    <definedName name="Data_NaamPersoonVastVrij318">Data!$Z$320</definedName>
    <definedName name="Data_NaamPersoonVastVrij319">Data!$Z$321</definedName>
    <definedName name="Data_NaamPersoonVastVrij320">Data!$Z$322</definedName>
    <definedName name="Data_NaamPersoonVastVrij321">Data!$Z$323</definedName>
    <definedName name="Data_NaamPersoonVastVrij322">Data!$Z$324</definedName>
    <definedName name="Data_NaamPersoonVastVrij323">Data!$Z$325</definedName>
    <definedName name="Data_NaamPersoonVastVrij324">Data!$Z$326</definedName>
    <definedName name="Data_NaamPersoonVastVrij325">Data!$Z$327</definedName>
    <definedName name="Data_NaamPersoonVastVrij326">Data!$Z$328</definedName>
    <definedName name="Data_NaamPersoonVastVrij327">Data!$Z$329</definedName>
    <definedName name="Data_NaamPersoonVastVrij328">Data!$Z$330</definedName>
    <definedName name="Data_NaamPersoonVastVrij329">Data!$Z$331</definedName>
    <definedName name="Data_NaamPersoonVastVrij330">Data!$Z$332</definedName>
    <definedName name="Data_NaamPersoonVastVrij331">Data!$Z$333</definedName>
    <definedName name="Data_NaamPersoonVastVrij332">Data!$Z$334</definedName>
    <definedName name="Data_NaamPersoonVastVrij333">Data!$Z$335</definedName>
    <definedName name="Data_NaamPersoonVastVrij334">Data!$Z$336</definedName>
    <definedName name="Data_NaamPersoonVastVrij335">Data!$Z$337</definedName>
    <definedName name="Data_NaamPersoonVastVrij336">Data!$Z$338</definedName>
    <definedName name="Data_NaamPersoonVastVrij337">Data!$Z$339</definedName>
    <definedName name="Data_NaamPersoonVastVrij338">Data!$Z$340</definedName>
    <definedName name="Data_NaamPersoonVastVrij339">Data!$Z$341</definedName>
    <definedName name="Data_NaamPersoonVastVrij340">Data!$Z$342</definedName>
    <definedName name="Data_NaamPersoonVastVrij341">Data!$Z$343</definedName>
    <definedName name="Data_NaamPersoonVastVrij342">Data!$Z$344</definedName>
    <definedName name="Data_NaamPersoonVastVrij343">Data!$Z$345</definedName>
    <definedName name="Data_NaamPersoonVastVrij344">Data!$Z$346</definedName>
    <definedName name="Data_NaamPersoonVastVrij345">Data!$Z$347</definedName>
    <definedName name="Data_NaamPersoonVastVrij346">Data!$Z$348</definedName>
    <definedName name="Data_NaamPersoonVastVrij347">Data!$Z$349</definedName>
    <definedName name="Data_NaamPersoonVastVrij348">Data!$Z$350</definedName>
    <definedName name="Data_NaamPersoonVastVrij349">Data!$Z$351</definedName>
    <definedName name="Data_NaamPersoonVastVrij350">Data!$Z$352</definedName>
    <definedName name="Data_NaamPersoonVastVrij351">Data!$Z$353</definedName>
    <definedName name="Data_NaamPersoonVastVrij352">Data!$Z$354</definedName>
    <definedName name="Data_NaamPersoonVastVrij353">Data!$Z$355</definedName>
    <definedName name="Data_NaamPersoonVastVrij354">Data!$Z$356</definedName>
    <definedName name="Data_NaamPersoonVastVrij355">Data!$Z$357</definedName>
    <definedName name="Data_NaamPersoonVastVrij356">Data!$Z$358</definedName>
    <definedName name="Data_NaamPersoonVastVrij357">Data!$Z$359</definedName>
    <definedName name="Data_NaamPersoonVastVrij358">Data!$Z$360</definedName>
    <definedName name="Data_NaamPersoonVastVrij359">Data!$Z$361</definedName>
    <definedName name="Data_NaamPersoonVastVrij360">Data!$Z$362</definedName>
    <definedName name="Data_NaamPersoonVastVrij361">Data!$Z$363</definedName>
    <definedName name="Data_NaamPersoonVastVrij362">Data!$Z$364</definedName>
    <definedName name="Data_NaamPersoonVastVrij363">Data!$Z$365</definedName>
    <definedName name="Data_NaamPersoonVastVrij364">Data!$Z$366</definedName>
    <definedName name="Data_NaamPersoonVastVrij365">Data!$Z$367</definedName>
    <definedName name="Data_NaamPersoonVastVrij366">Data!$Z$368</definedName>
    <definedName name="Data_NaamPersoonVastVrij367">Data!$Z$369</definedName>
    <definedName name="Data_NaamPersoonVastVrij368">Data!$Z$370</definedName>
    <definedName name="Data_NaamPersoonVastVrij369">Data!$Z$371</definedName>
    <definedName name="Data_NaamPersoonVastVrij370">Data!$Z$372</definedName>
    <definedName name="Data_NaamPersoonVastVrij371">Data!$Z$373</definedName>
    <definedName name="Data_NaamPersoonVastVrij372">Data!$Z$374</definedName>
    <definedName name="Data_NaamPersoonVastVrij373">Data!$Z$375</definedName>
    <definedName name="Data_NaamPersoonVastVrij374">Data!$Z$376</definedName>
    <definedName name="Data_NaamPersoonVastVrij375">Data!$Z$377</definedName>
    <definedName name="Data_NaamPersoonVastVrij376">Data!$Z$378</definedName>
    <definedName name="Data_NaamPersoonVastVrij377">Data!$Z$379</definedName>
    <definedName name="Data_NaamPersoonVastVrij378">Data!$Z$380</definedName>
    <definedName name="Data_NaamPersoonVastVrij379">Data!$Z$381</definedName>
    <definedName name="Data_NaamPersoonVastVrij380">Data!$Z$382</definedName>
    <definedName name="Data_NaamPersoonVastVrij381">Data!$Z$383</definedName>
    <definedName name="Data_NaamPersoonVastVrij382">Data!$Z$384</definedName>
    <definedName name="Data_NaamPersoonVastVrij383">Data!$Z$385</definedName>
    <definedName name="Data_NaamPersoonVastVrij384">Data!$Z$386</definedName>
    <definedName name="Data_NaamPersoonVastVrij385">Data!$Z$387</definedName>
    <definedName name="Data_NaamPersoonVastVrij386">Data!$Z$388</definedName>
    <definedName name="Data_NaamPersoonVastVrij387">Data!$Z$389</definedName>
    <definedName name="Data_NaamPersoonVastVrij388">Data!$Z$390</definedName>
    <definedName name="Data_NaamPersoonVastVrij389">Data!$Z$391</definedName>
    <definedName name="Data_NaamPersoonVastVrij390">Data!$Z$392</definedName>
    <definedName name="Data_NaamPersoonVastVrij391">Data!$Z$393</definedName>
    <definedName name="Data_NaamPersoonVastVrij392">Data!$Z$394</definedName>
    <definedName name="Data_NaamPersoonVastVrij393">Data!$Z$395</definedName>
    <definedName name="Data_NaamPersoonVastVrij394">Data!$Z$396</definedName>
    <definedName name="Data_NaamPersoonVastVrij395">Data!$Z$397</definedName>
    <definedName name="Data_NaamPersoonVastVrij396">Data!$Z$398</definedName>
    <definedName name="Data_NaamPersoonVastVrij397">Data!$Z$399</definedName>
    <definedName name="Data_NaamPersoonVastVrij398">Data!$Z$400</definedName>
    <definedName name="Data_NaamPersoonVastVrij399">Data!$Z$401</definedName>
    <definedName name="Data_NaamPersoonVastVrij400">Data!$Z$402</definedName>
    <definedName name="Data_NaamPersoonVastVrij401">Data!$Z$403</definedName>
    <definedName name="Data_NaamPersoonVastVrij402">Data!$Z$404</definedName>
    <definedName name="Data_NaamPersoonVastVrij403">Data!$Z$405</definedName>
    <definedName name="Data_NaamPersoonVastVrij404">Data!$Z$406</definedName>
    <definedName name="Data_NaamPersoonVastVrij405">Data!$Z$407</definedName>
    <definedName name="Data_NaamPersoonVastVrij406">Data!$Z$408</definedName>
    <definedName name="Data_NaamPersoonVastVrij407">Data!$Z$409</definedName>
    <definedName name="Data_NaamPersoonVastVrij408">Data!$Z$410</definedName>
    <definedName name="Data_NaamPersoonVastVrij409">Data!$Z$411</definedName>
    <definedName name="Data_NaamPersoonVastVrij410">Data!$Z$412</definedName>
    <definedName name="Data_NaamPersoonVastVrij411">Data!$Z$413</definedName>
    <definedName name="Data_NaamPersoonVastVrij412">Data!$Z$414</definedName>
    <definedName name="Data_NaamPersoonVastVrij413">Data!$Z$415</definedName>
    <definedName name="Data_NaamPersoonVastVrij414">Data!$Z$416</definedName>
    <definedName name="Data_NaamPersoonVastVrij415">Data!$Z$417</definedName>
    <definedName name="Data_NaamPersoonVastVrij416">Data!$Z$418</definedName>
    <definedName name="Data_NaamPersoonVastVrij417">Data!$Z$419</definedName>
    <definedName name="Data_NaamPersoonVastVrij418">Data!$Z$420</definedName>
    <definedName name="Data_NaamPersoonVastVrij419">Data!$Z$421</definedName>
    <definedName name="Data_NaamPersoonVastVrij420">Data!$Z$422</definedName>
    <definedName name="Data_NaamPersoonVastVrij421">Data!$Z$423</definedName>
    <definedName name="Data_NaamPersoonVastVrij422">Data!$Z$424</definedName>
    <definedName name="Data_NaamPersoonVastVrij423">Data!$Z$425</definedName>
    <definedName name="Data_NaamPersoonVastVrij424">Data!$Z$426</definedName>
    <definedName name="Data_NaamPersoonVastVrij425">Data!$Z$427</definedName>
    <definedName name="Data_NaamPersoonVastVrij426">Data!$Z$428</definedName>
    <definedName name="Data_NaamPersoonVastVrij427">Data!$Z$429</definedName>
    <definedName name="Data_NaamPersoonVastVrij428">Data!$Z$430</definedName>
    <definedName name="Data_NaamPersoonVastVrij429">Data!$Z$431</definedName>
    <definedName name="Data_NaamPersoonVastVrij430">Data!$Z$432</definedName>
    <definedName name="Data_NaamPersoonVastVrij431">Data!$Z$433</definedName>
    <definedName name="Data_NaamPersoonVastVrij432">Data!$Z$434</definedName>
    <definedName name="Data_NaamPersoonVastVrij433">Data!$Z$435</definedName>
    <definedName name="Data_NaamPersoonVastVrij434">Data!$Z$436</definedName>
    <definedName name="Data_NaamPersoonVastVrij435">Data!$Z$437</definedName>
    <definedName name="Data_NaamPersoonVastVrij436">Data!$Z$438</definedName>
    <definedName name="Data_NaamPersoonVastVrij437">Data!$Z$439</definedName>
    <definedName name="Data_NaamPersoonVastVrij438">Data!$Z$440</definedName>
    <definedName name="Data_NaamPersoonVastVrij439">Data!$Z$441</definedName>
    <definedName name="Data_NaamPersoonVastVrij440">Data!$Z$442</definedName>
    <definedName name="Data_NaamPersoonVastVrij441">Data!$Z$443</definedName>
    <definedName name="Data_NaamPersoonVastVrij442">Data!$Z$444</definedName>
    <definedName name="Data_NaamPersoonVastVrij443">Data!$Z$445</definedName>
    <definedName name="Data_NaamPersoonVastVrij444">Data!$Z$446</definedName>
    <definedName name="Data_NaamPersoonVastVrij445">Data!$Z$447</definedName>
    <definedName name="Data_NaamPersoonVastVrij446">Data!$Z$448</definedName>
    <definedName name="Data_NaamPersoonVastVrij447">Data!$Z$449</definedName>
    <definedName name="Data_NaamPersoonVastVrij448">Data!$Z$450</definedName>
    <definedName name="Data_NaamPersoonVastVrij449">Data!$Z$451</definedName>
    <definedName name="Data_NaamPersoonVastVrij450">Data!$Z$452</definedName>
    <definedName name="Data_NaamPersoonVastVrij451">Data!$Z$453</definedName>
    <definedName name="Data_NaamPersoonVastVrij452">Data!$Z$454</definedName>
    <definedName name="Data_NaamPersoonVastVrij453">Data!$Z$455</definedName>
    <definedName name="Data_NaamPersoonVastVrij454">Data!$Z$456</definedName>
    <definedName name="Data_NaamPersoonVastVrij455">Data!$Z$457</definedName>
    <definedName name="Data_NaamPersoonVastVrij456">Data!$Z$458</definedName>
    <definedName name="Data_NaamPersoonVastVrij457">Data!$Z$459</definedName>
    <definedName name="Data_NaamPersoonVastVrij458">Data!$Z$460</definedName>
    <definedName name="Data_NaamPersoonVastVrij459">Data!$Z$461</definedName>
    <definedName name="Data_NaamPersoonVastVrij460">Data!$Z$462</definedName>
    <definedName name="Data_NaamPersoonVastVrij461">Data!$Z$463</definedName>
    <definedName name="Data_NaamPersoonVastVrij462">Data!$Z$464</definedName>
    <definedName name="Data_NaamPersoonVastVrij463">Data!$Z$465</definedName>
    <definedName name="Data_NaamPersoonVastVrij464">Data!$Z$466</definedName>
    <definedName name="Data_NaamPersoonVastVrij465">Data!$Z$467</definedName>
    <definedName name="Data_NaamPersoonVastVrij466">Data!$Z$468</definedName>
    <definedName name="Data_NaamPersoonVastVrij467">Data!$Z$469</definedName>
    <definedName name="Data_NaamPersoonVastVrij468">Data!$Z$470</definedName>
    <definedName name="Data_NaamPersoonVastVrij469">Data!$Z$471</definedName>
    <definedName name="Data_NaamPersoonVastVrij470">Data!$Z$472</definedName>
    <definedName name="Data_NaamPersoonVastVrij471">Data!$Z$473</definedName>
    <definedName name="Data_NaamPersoonVastVrij472">Data!$Z$474</definedName>
    <definedName name="Data_NaamPersoonVastVrij473">Data!$Z$475</definedName>
    <definedName name="Data_NaamPersoonVastVrij474">Data!$Z$476</definedName>
    <definedName name="Data_NaamPersoonVastVrij475">Data!$Z$477</definedName>
    <definedName name="Data_NaamPersoonVastVrij476">Data!$Z$478</definedName>
    <definedName name="Data_NaamPersoonVastVrij477">Data!$Z$479</definedName>
    <definedName name="Data_NaamPersoonVastVrij478">Data!$Z$480</definedName>
    <definedName name="Data_NaamPersoonVastVrij479">Data!$Z$481</definedName>
    <definedName name="Data_NaamPersoonVastVrij480">Data!$Z$482</definedName>
    <definedName name="Data_NaamPersoonVastVrij481">Data!$Z$483</definedName>
    <definedName name="Data_NaamPersoonVastVrij482">Data!$Z$484</definedName>
    <definedName name="Data_NaamPersoonVastVrij483">Data!$Z$485</definedName>
    <definedName name="Data_NaamPersoonVastVrij484">Data!$Z$486</definedName>
    <definedName name="Data_NaamPersoonVastVrij485">Data!$Z$487</definedName>
    <definedName name="Data_NaamPersoonVastVrij486">Data!$Z$488</definedName>
    <definedName name="Data_NaamPersoonVastVrij487">Data!$Z$489</definedName>
    <definedName name="Data_NaamPersoonVastVrij488">Data!$Z$490</definedName>
    <definedName name="Data_NaamPersoonVastVrij489">Data!$Z$491</definedName>
    <definedName name="Data_NaamPersoonVastVrij490">Data!$Z$492</definedName>
    <definedName name="Data_NaamPersoonVastVrij491">Data!$Z$493</definedName>
    <definedName name="Data_NaamPersoonVastVrij492">Data!$Z$494</definedName>
    <definedName name="Data_NaamPersoonVastVrij493">Data!$Z$495</definedName>
    <definedName name="Data_NaamPersoonVastVrij494">Data!$Z$496</definedName>
    <definedName name="Data_NaamPersoonVastVrij495">Data!$Z$497</definedName>
    <definedName name="Data_NaamPersoonVastVrij496">Data!$Z$498</definedName>
    <definedName name="Data_NaamPersoonVastVrij497">Data!$Z$499</definedName>
    <definedName name="Data_NaamPersoonVastVrij498">Data!$Z$500</definedName>
    <definedName name="Data_NaamPersoonVastVrij499">Data!$Z$501</definedName>
    <definedName name="Data_NaamPersoonVastVrij500">Data!$Z$502</definedName>
    <definedName name="Data_PerformanceBoxPanelBRINNumber2011">Data!$E$30</definedName>
    <definedName name="Data_PerformanceBoxPanelBRINNumber2012">Data!$E$33</definedName>
    <definedName name="Data_PerformanceBoxPanelLearnerNumber2011">Data!$E$29</definedName>
    <definedName name="Data_PerformanceBoxPanelLearnerNumber2012">Data!$E$32</definedName>
    <definedName name="Data_PersonPanelSchaal">Data!$BE$6</definedName>
    <definedName name="Data_PersonPanelToelageDirecteur">Data!$BE$10</definedName>
    <definedName name="Data_PersonPanelTrede">Data!$BE$7</definedName>
    <definedName name="Data_PersonPanelUitloopschaal">Data!$BE$8</definedName>
    <definedName name="Data_PersonPanelWerktijdfactor">Data!$BE$9</definedName>
    <definedName name="Data_PersoonAanUitNatVerloop001">Data!$BB$3</definedName>
    <definedName name="Data_PersoonAanUitNatVerloop002">Data!$BB$4</definedName>
    <definedName name="Data_PersoonAanUitNatVerloop003">Data!$BB$5</definedName>
    <definedName name="Data_PersoonAanUitNatVerloop004">Data!$BB$6</definedName>
    <definedName name="Data_PersoonAanUitNatVerloop005">Data!$BB$7</definedName>
    <definedName name="Data_PersoonAanUitNatVerloop006">Data!$BB$8</definedName>
    <definedName name="Data_PersoonAanUitNatVerloop007">Data!$BB$9</definedName>
    <definedName name="Data_PersoonAanUitNatVerloop008">Data!$BB$10</definedName>
    <definedName name="Data_PersoonAanUitNatVerloop009">Data!$BB$11</definedName>
    <definedName name="Data_PersoonAanUitNatVerloop010">Data!$BB$12</definedName>
    <definedName name="Data_PersoonAanUitNatVerloop011">Data!$BB$13</definedName>
    <definedName name="Data_PersoonAanUitNatVerloop012">Data!$BB$14</definedName>
    <definedName name="Data_PersoonAanUitNatVerloop013">Data!$BB$15</definedName>
    <definedName name="Data_PersoonAanUitNatVerloop014">Data!$BB$16</definedName>
    <definedName name="Data_PersoonAanUitNatVerloop015">Data!$BB$17</definedName>
    <definedName name="Data_PersoonAanUitNatVerloop016">Data!$BB$18</definedName>
    <definedName name="Data_PersoonAanUitNatVerloop017">Data!$BB$19</definedName>
    <definedName name="Data_PersoonAanUitNatVerloop018">Data!$BB$20</definedName>
    <definedName name="Data_PersoonAanUitNatVerloop019">Data!$BB$21</definedName>
    <definedName name="Data_PersoonAanUitNatVerloop020">Data!$BB$22</definedName>
    <definedName name="Data_PersoonAanUitNatVerloop021">Data!$BB$23</definedName>
    <definedName name="Data_PersoonAanUitNatVerloop022">Data!$BB$24</definedName>
    <definedName name="Data_PersoonAanUitNatVerloop023">Data!$BB$25</definedName>
    <definedName name="Data_PersoonAanUitNatVerloop024">Data!$BB$26</definedName>
    <definedName name="Data_PersoonAanUitNatVerloop025">Data!$BB$27</definedName>
    <definedName name="Data_PersoonAanUitNatVerloop026">Data!$BB$28</definedName>
    <definedName name="Data_PersoonAanUitNatVerloop027">Data!$BB$29</definedName>
    <definedName name="Data_PersoonAanUitNatVerloop028">Data!$BB$30</definedName>
    <definedName name="Data_PersoonAanUitNatVerloop029">Data!$BB$31</definedName>
    <definedName name="Data_PersoonAanUitNatVerloop030">Data!$BB$32</definedName>
    <definedName name="Data_PersoonAanUitNatVerloop031">Data!$BB$33</definedName>
    <definedName name="Data_PersoonAanUitNatVerloop032">Data!$BB$34</definedName>
    <definedName name="Data_PersoonAanUitNatVerloop033">Data!$BB$35</definedName>
    <definedName name="Data_PersoonAanUitNatVerloop034">Data!$BB$36</definedName>
    <definedName name="Data_PersoonAanUitNatVerloop035">Data!$BB$37</definedName>
    <definedName name="Data_PersoonAanUitNatVerloop036">Data!$BB$38</definedName>
    <definedName name="Data_PersoonAanUitNatVerloop037">Data!$BB$39</definedName>
    <definedName name="Data_PersoonAanUitNatVerloop038">Data!$BB$40</definedName>
    <definedName name="Data_PersoonAanUitNatVerloop039">Data!$BB$41</definedName>
    <definedName name="Data_PersoonAanUitNatVerloop040">Data!$BB$42</definedName>
    <definedName name="Data_PersoonAanUitNatVerloop041">Data!$BB$43</definedName>
    <definedName name="Data_PersoonAanUitNatVerloop042">Data!$BB$44</definedName>
    <definedName name="Data_PersoonAanUitNatVerloop043">Data!$BB$45</definedName>
    <definedName name="Data_PersoonAanUitNatVerloop044">Data!$BB$46</definedName>
    <definedName name="Data_PersoonAanUitNatVerloop045">Data!$BB$47</definedName>
    <definedName name="Data_PersoonAanUitNatVerloop046">Data!$BB$48</definedName>
    <definedName name="Data_PersoonAanUitNatVerloop047">Data!$BB$49</definedName>
    <definedName name="Data_PersoonAanUitNatVerloop048">Data!$BB$50</definedName>
    <definedName name="Data_PersoonAanUitNatVerloop049">Data!$BB$51</definedName>
    <definedName name="Data_PersoonAanUitNatVerloop050">Data!$BB$52</definedName>
    <definedName name="Data_PersoonAanUitNatVerloop051">Data!$BB$53</definedName>
    <definedName name="Data_PersoonAanUitNatVerloop052">Data!$BB$54</definedName>
    <definedName name="Data_PersoonAanUitNatVerloop053">Data!$BB$55</definedName>
    <definedName name="Data_PersoonAanUitNatVerloop054">Data!$BB$56</definedName>
    <definedName name="Data_PersoonAanUitNatVerloop055">Data!$BB$57</definedName>
    <definedName name="Data_PersoonAanUitNatVerloop056">Data!$BB$58</definedName>
    <definedName name="Data_PersoonAanUitNatVerloop057">Data!$BB$59</definedName>
    <definedName name="Data_PersoonAanUitNatVerloop058">Data!$BB$60</definedName>
    <definedName name="Data_PersoonAanUitNatVerloop059">Data!$BB$61</definedName>
    <definedName name="Data_PersoonAanUitNatVerloop060">Data!$BB$62</definedName>
    <definedName name="Data_PersoonAanUitNatVerloop061">Data!$BB$63</definedName>
    <definedName name="Data_PersoonAanUitNatVerloop062">Data!$BB$64</definedName>
    <definedName name="Data_PersoonAanUitNatVerloop063">Data!$BB$65</definedName>
    <definedName name="Data_PersoonAanUitNatVerloop064">Data!$BB$66</definedName>
    <definedName name="Data_PersoonAanUitNatVerloop065">Data!$BB$67</definedName>
    <definedName name="Data_PersoonAanUitNatVerloop066">Data!$BB$68</definedName>
    <definedName name="Data_PersoonAanUitNatVerloop067">Data!$BB$69</definedName>
    <definedName name="Data_PersoonAanUitNatVerloop068">Data!$BB$70</definedName>
    <definedName name="Data_PersoonAanUitNatVerloop069">Data!$BB$71</definedName>
    <definedName name="Data_PersoonAanUitNatVerloop070">Data!$BB$72</definedName>
    <definedName name="Data_PersoonAanUitNatVerloop071">Data!$BB$73</definedName>
    <definedName name="Data_PersoonAanUitNatVerloop072">Data!$BB$74</definedName>
    <definedName name="Data_PersoonAanUitNatVerloop073">Data!$BB$75</definedName>
    <definedName name="Data_PersoonAanUitNatVerloop074">Data!$BB$76</definedName>
    <definedName name="Data_PersoonAanUitNatVerloop075">Data!$BB$77</definedName>
    <definedName name="Data_PersoonAanUitNatVerloop076">Data!$BB$78</definedName>
    <definedName name="Data_PersoonAanUitNatVerloop077">Data!$BB$79</definedName>
    <definedName name="Data_PersoonAanUitNatVerloop078">Data!$BB$80</definedName>
    <definedName name="Data_PersoonAanUitNatVerloop079">Data!$BB$81</definedName>
    <definedName name="Data_PersoonAanUitNatVerloop080">Data!$BB$82</definedName>
    <definedName name="Data_PersoonAanUitNatVerloop081">Data!$BB$83</definedName>
    <definedName name="Data_PersoonAanUitNatVerloop082">Data!$BB$84</definedName>
    <definedName name="Data_PersoonAanUitNatVerloop083">Data!$BB$85</definedName>
    <definedName name="Data_PersoonAanUitNatVerloop084">Data!$BB$86</definedName>
    <definedName name="Data_PersoonAanUitNatVerloop085">Data!$BB$87</definedName>
    <definedName name="Data_PersoonAanUitNatVerloop086">Data!$BB$88</definedName>
    <definedName name="Data_PersoonAanUitNatVerloop087">Data!$BB$89</definedName>
    <definedName name="Data_PersoonAanUitNatVerloop088">Data!$BB$90</definedName>
    <definedName name="Data_PersoonAanUitNatVerloop089">Data!$BB$91</definedName>
    <definedName name="Data_PersoonAanUitNatVerloop090">Data!$BB$92</definedName>
    <definedName name="Data_PersoonAanUitNatVerloop091">Data!$BB$93</definedName>
    <definedName name="Data_PersoonAanUitNatVerloop092">Data!$BB$94</definedName>
    <definedName name="Data_PersoonAanUitNatVerloop093">Data!$BB$95</definedName>
    <definedName name="Data_PersoonAanUitNatVerloop094">Data!$BB$96</definedName>
    <definedName name="Data_PersoonAanUitNatVerloop095">Data!$BB$97</definedName>
    <definedName name="Data_PersoonAanUitNatVerloop096">Data!$BB$98</definedName>
    <definedName name="Data_PersoonAanUitNatVerloop097">Data!$BB$99</definedName>
    <definedName name="Data_PersoonAanUitNatVerloop098">Data!$BB$100</definedName>
    <definedName name="Data_PersoonAanUitNatVerloop099">Data!$BB$101</definedName>
    <definedName name="Data_PersoonAanUitNatVerloop100">Data!$BB$102</definedName>
    <definedName name="Data_PersoonAanUitNatVerloop101">Data!$BB$103</definedName>
    <definedName name="Data_PersoonAanUitNatVerloop102">Data!$BB$104</definedName>
    <definedName name="Data_PersoonAanUitNatVerloop103">Data!$BB$105</definedName>
    <definedName name="Data_PersoonAanUitNatVerloop104">Data!$BB$106</definedName>
    <definedName name="Data_PersoonAanUitNatVerloop105">Data!$BB$107</definedName>
    <definedName name="Data_PersoonAanUitNatVerloop106">Data!$BB$108</definedName>
    <definedName name="Data_PersoonAanUitNatVerloop107">Data!$BB$109</definedName>
    <definedName name="Data_PersoonAanUitNatVerloop108">Data!$BB$110</definedName>
    <definedName name="Data_PersoonAanUitNatVerloop109">Data!$BB$111</definedName>
    <definedName name="Data_PersoonAanUitNatVerloop110">Data!$BB$112</definedName>
    <definedName name="Data_PersoonAanUitNatVerloop111">Data!$BB$113</definedName>
    <definedName name="Data_PersoonAanUitNatVerloop112">Data!$BB$114</definedName>
    <definedName name="Data_PersoonAanUitNatVerloop113">Data!$BB$115</definedName>
    <definedName name="Data_PersoonAanUitNatVerloop114">Data!$BB$116</definedName>
    <definedName name="Data_PersoonAanUitNatVerloop115">Data!$BB$117</definedName>
    <definedName name="Data_PersoonAanUitNatVerloop116">Data!$BB$118</definedName>
    <definedName name="Data_PersoonAanUitNatVerloop117">Data!$BB$119</definedName>
    <definedName name="Data_PersoonAanUitNatVerloop118">Data!$BB$120</definedName>
    <definedName name="Data_PersoonAanUitNatVerloop119">Data!$BB$121</definedName>
    <definedName name="Data_PersoonAanUitNatVerloop120">Data!$BB$122</definedName>
    <definedName name="Data_PersoonAanUitNatVerloop121">Data!$BB$123</definedName>
    <definedName name="Data_PersoonAanUitNatVerloop122">Data!$BB$124</definedName>
    <definedName name="Data_PersoonAanUitNatVerloop123">Data!$BB$125</definedName>
    <definedName name="Data_PersoonAanUitNatVerloop124">Data!$BB$126</definedName>
    <definedName name="Data_PersoonAanUitNatVerloop125">Data!$BB$127</definedName>
    <definedName name="Data_PersoonAanUitNatVerloop126">Data!$BB$128</definedName>
    <definedName name="Data_PersoonAanUitNatVerloop127">Data!$BB$129</definedName>
    <definedName name="Data_PersoonAanUitNatVerloop128">Data!$BB$130</definedName>
    <definedName name="Data_PersoonAanUitNatVerloop129">Data!$BB$131</definedName>
    <definedName name="Data_PersoonAanUitNatVerloop130">Data!$BB$132</definedName>
    <definedName name="Data_PersoonAanUitNatVerloop131">Data!$BB$133</definedName>
    <definedName name="Data_PersoonAanUitNatVerloop132">Data!$BB$134</definedName>
    <definedName name="Data_PersoonAanUitNatVerloop133">Data!$BB$135</definedName>
    <definedName name="Data_PersoonAanUitNatVerloop134">Data!$BB$136</definedName>
    <definedName name="Data_PersoonAanUitNatVerloop135">Data!$BB$137</definedName>
    <definedName name="Data_PersoonAanUitNatVerloop136">Data!$BB$138</definedName>
    <definedName name="Data_PersoonAanUitNatVerloop137">Data!$BB$139</definedName>
    <definedName name="Data_PersoonAanUitNatVerloop138">Data!$BB$140</definedName>
    <definedName name="Data_PersoonAanUitNatVerloop139">Data!$BB$141</definedName>
    <definedName name="Data_PersoonAanUitNatVerloop140">Data!$BB$142</definedName>
    <definedName name="Data_PersoonAanUitNatVerloop141">Data!$BB$143</definedName>
    <definedName name="Data_PersoonAanUitNatVerloop142">Data!$BB$144</definedName>
    <definedName name="Data_PersoonAanUitNatVerloop143">Data!$BB$145</definedName>
    <definedName name="Data_PersoonAanUitNatVerloop144">Data!$BB$146</definedName>
    <definedName name="Data_PersoonAanUitNatVerloop145">Data!$BB$147</definedName>
    <definedName name="Data_PersoonAanUitNatVerloop146">Data!$BB$148</definedName>
    <definedName name="Data_PersoonAanUitNatVerloop147">Data!$BB$149</definedName>
    <definedName name="Data_PersoonAanUitNatVerloop148">Data!$BB$150</definedName>
    <definedName name="Data_PersoonAanUitNatVerloop149">Data!$BB$151</definedName>
    <definedName name="Data_PersoonAanUitNatVerloop150">Data!$BB$152</definedName>
    <definedName name="Data_PersoonAanUitNatVerloop151">Data!$BB$153</definedName>
    <definedName name="Data_PersoonAanUitNatVerloop152">Data!$BB$154</definedName>
    <definedName name="Data_PersoonAanUitNatVerloop153">Data!$BB$155</definedName>
    <definedName name="Data_PersoonAanUitNatVerloop154">Data!$BB$156</definedName>
    <definedName name="Data_PersoonAanUitNatVerloop155">Data!$BB$157</definedName>
    <definedName name="Data_PersoonAanUitNatVerloop156">Data!$BB$158</definedName>
    <definedName name="Data_PersoonAanUitNatVerloop157">Data!$BB$159</definedName>
    <definedName name="Data_PersoonAanUitNatVerloop158">Data!$BB$160</definedName>
    <definedName name="Data_PersoonAanUitNatVerloop159">Data!$BB$161</definedName>
    <definedName name="Data_PersoonAanUitNatVerloop160">Data!$BB$162</definedName>
    <definedName name="Data_PersoonAanUitNatVerloop161">Data!$BB$163</definedName>
    <definedName name="Data_PersoonAanUitNatVerloop162">Data!$BB$164</definedName>
    <definedName name="Data_PersoonAanUitNatVerloop163">Data!$BB$165</definedName>
    <definedName name="Data_PersoonAanUitNatVerloop164">Data!$BB$166</definedName>
    <definedName name="Data_PersoonAanUitNatVerloop165">Data!$BB$167</definedName>
    <definedName name="Data_PersoonAanUitNatVerloop166">Data!$BB$168</definedName>
    <definedName name="Data_PersoonAanUitNatVerloop167">Data!$BB$169</definedName>
    <definedName name="Data_PersoonAanUitNatVerloop168">Data!$BB$170</definedName>
    <definedName name="Data_PersoonAanUitNatVerloop169">Data!$BB$171</definedName>
    <definedName name="Data_PersoonAanUitNatVerloop170">Data!$BB$172</definedName>
    <definedName name="Data_PersoonAanUitNatVerloop171">Data!$BB$173</definedName>
    <definedName name="Data_PersoonAanUitNatVerloop172">Data!$BB$174</definedName>
    <definedName name="Data_PersoonAanUitNatVerloop173">Data!$BB$175</definedName>
    <definedName name="Data_PersoonAanUitNatVerloop174">Data!$BB$176</definedName>
    <definedName name="Data_PersoonAanUitNatVerloop175">Data!$BB$177</definedName>
    <definedName name="Data_PersoonAanUitNatVerloop176">Data!$BB$178</definedName>
    <definedName name="Data_PersoonAanUitNatVerloop177">Data!$BB$179</definedName>
    <definedName name="Data_PersoonAanUitNatVerloop178">Data!$BB$180</definedName>
    <definedName name="Data_PersoonAanUitNatVerloop179">Data!$BB$181</definedName>
    <definedName name="Data_PersoonAanUitNatVerloop180">Data!$BB$182</definedName>
    <definedName name="Data_PersoonAanUitNatVerloop181">Data!$BB$183</definedName>
    <definedName name="Data_PersoonAanUitNatVerloop182">Data!$BB$184</definedName>
    <definedName name="Data_PersoonAanUitNatVerloop183">Data!$BB$185</definedName>
    <definedName name="Data_PersoonAanUitNatVerloop184">Data!$BB$186</definedName>
    <definedName name="Data_PersoonAanUitNatVerloop185">Data!$BB$187</definedName>
    <definedName name="Data_PersoonAanUitNatVerloop186">Data!$BB$188</definedName>
    <definedName name="Data_PersoonAanUitNatVerloop187">Data!$BB$189</definedName>
    <definedName name="Data_PersoonAanUitNatVerloop188">Data!$BB$190</definedName>
    <definedName name="Data_PersoonAanUitNatVerloop189">Data!$BB$191</definedName>
    <definedName name="Data_PersoonAanUitNatVerloop190">Data!$BB$192</definedName>
    <definedName name="Data_PersoonAanUitNatVerloop191">Data!$BB$193</definedName>
    <definedName name="Data_PersoonAanUitNatVerloop192">Data!$BB$194</definedName>
    <definedName name="Data_PersoonAanUitNatVerloop193">Data!$BB$195</definedName>
    <definedName name="Data_PersoonAanUitNatVerloop194">Data!$BB$196</definedName>
    <definedName name="Data_PersoonAanUitNatVerloop195">Data!$BB$197</definedName>
    <definedName name="Data_PersoonAanUitNatVerloop196">Data!$BB$198</definedName>
    <definedName name="Data_PersoonAanUitNatVerloop197">Data!$BB$199</definedName>
    <definedName name="Data_PersoonAanUitNatVerloop198">Data!$BB$200</definedName>
    <definedName name="Data_PersoonAanUitNatVerloop199">Data!$BB$201</definedName>
    <definedName name="Data_PersoonAanUitNatVerloop200">Data!$BB$202</definedName>
    <definedName name="Data_PersoonAanUitNatVerloop201">Data!$BB$203</definedName>
    <definedName name="Data_PersoonAanUitNatVerloop202">Data!$BB$204</definedName>
    <definedName name="Data_PersoonAanUitNatVerloop203">Data!$BB$205</definedName>
    <definedName name="Data_PersoonAanUitNatVerloop204">Data!$BB$206</definedName>
    <definedName name="Data_PersoonAanUitNatVerloop205">Data!$BB$207</definedName>
    <definedName name="Data_PersoonAanUitNatVerloop206">Data!$BB$208</definedName>
    <definedName name="Data_PersoonAanUitNatVerloop207">Data!$BB$209</definedName>
    <definedName name="Data_PersoonAanUitNatVerloop208">Data!$BB$210</definedName>
    <definedName name="Data_PersoonAanUitNatVerloop209">Data!$BB$211</definedName>
    <definedName name="Data_PersoonAanUitNatVerloop210">Data!$BB$212</definedName>
    <definedName name="Data_PersoonAanUitNatVerloop211">Data!$BB$213</definedName>
    <definedName name="Data_PersoonAanUitNatVerloop212">Data!$BB$214</definedName>
    <definedName name="Data_PersoonAanUitNatVerloop213">Data!$BB$215</definedName>
    <definedName name="Data_PersoonAanUitNatVerloop214">Data!$BB$216</definedName>
    <definedName name="Data_PersoonAanUitNatVerloop215">Data!$BB$217</definedName>
    <definedName name="Data_PersoonAanUitNatVerloop216">Data!$BB$218</definedName>
    <definedName name="Data_PersoonAanUitNatVerloop217">Data!$BB$219</definedName>
    <definedName name="Data_PersoonAanUitNatVerloop218">Data!$BB$220</definedName>
    <definedName name="Data_PersoonAanUitNatVerloop219">Data!$BB$221</definedName>
    <definedName name="Data_PersoonAanUitNatVerloop220">Data!$BB$222</definedName>
    <definedName name="Data_PersoonAanUitNatVerloop221">Data!$BB$223</definedName>
    <definedName name="Data_PersoonAanUitNatVerloop222">Data!$BB$224</definedName>
    <definedName name="Data_PersoonAanUitNatVerloop223">Data!$BB$225</definedName>
    <definedName name="Data_PersoonAanUitNatVerloop224">Data!$BB$226</definedName>
    <definedName name="Data_PersoonAanUitNatVerloop225">Data!$BB$227</definedName>
    <definedName name="Data_PersoonAanUitNatVerloop226">Data!$BB$228</definedName>
    <definedName name="Data_PersoonAanUitNatVerloop227">Data!$BB$229</definedName>
    <definedName name="Data_PersoonAanUitNatVerloop228">Data!$BB$230</definedName>
    <definedName name="Data_PersoonAanUitNatVerloop229">Data!$BB$231</definedName>
    <definedName name="Data_PersoonAanUitNatVerloop230">Data!$BB$232</definedName>
    <definedName name="Data_PersoonAanUitNatVerloop231">Data!$BB$233</definedName>
    <definedName name="Data_PersoonAanUitNatVerloop232">Data!$BB$234</definedName>
    <definedName name="Data_PersoonAanUitNatVerloop233">Data!$BB$235</definedName>
    <definedName name="Data_PersoonAanUitNatVerloop234">Data!$BB$236</definedName>
    <definedName name="Data_PersoonAanUitNatVerloop235">Data!$BB$237</definedName>
    <definedName name="Data_PersoonAanUitNatVerloop236">Data!$BB$238</definedName>
    <definedName name="Data_PersoonAanUitNatVerloop237">Data!$BB$239</definedName>
    <definedName name="Data_PersoonAanUitNatVerloop238">Data!$BB$240</definedName>
    <definedName name="Data_PersoonAanUitNatVerloop239">Data!$BB$241</definedName>
    <definedName name="Data_PersoonAanUitNatVerloop240">Data!$BB$242</definedName>
    <definedName name="Data_PersoonAanUitNatVerloop241">Data!$BB$243</definedName>
    <definedName name="Data_PersoonAanUitNatVerloop242">Data!$BB$244</definedName>
    <definedName name="Data_PersoonAanUitNatVerloop243">Data!$BB$245</definedName>
    <definedName name="Data_PersoonAanUitNatVerloop244">Data!$BB$246</definedName>
    <definedName name="Data_PersoonAanUitNatVerloop245">Data!$BB$247</definedName>
    <definedName name="Data_PersoonAanUitNatVerloop246">Data!$BB$248</definedName>
    <definedName name="Data_PersoonAanUitNatVerloop247">Data!$BB$249</definedName>
    <definedName name="Data_PersoonAanUitNatVerloop248">Data!$BB$250</definedName>
    <definedName name="Data_PersoonAanUitNatVerloop249">Data!$BB$251</definedName>
    <definedName name="Data_PersoonAanUitNatVerloop250">Data!$BB$252</definedName>
    <definedName name="Data_PersoonAanUitNatVerloop251">Data!$BB$253</definedName>
    <definedName name="Data_PersoonAanUitNatVerloop252">Data!$BB$254</definedName>
    <definedName name="Data_PersoonAanUitNatVerloop253">Data!$BB$255</definedName>
    <definedName name="Data_PersoonAanUitNatVerloop254">Data!$BB$256</definedName>
    <definedName name="Data_PersoonAanUitNatVerloop255">Data!$BB$257</definedName>
    <definedName name="Data_PersoonAanUitNatVerloop256">Data!$BB$258</definedName>
    <definedName name="Data_PersoonAanUitNatVerloop257">Data!$BB$259</definedName>
    <definedName name="Data_PersoonAanUitNatVerloop258">Data!$BB$260</definedName>
    <definedName name="Data_PersoonAanUitNatVerloop259">Data!$BB$261</definedName>
    <definedName name="Data_PersoonAanUitNatVerloop260">Data!$BB$262</definedName>
    <definedName name="Data_PersoonAanUitNatVerloop261">Data!$BB$263</definedName>
    <definedName name="Data_PersoonAanUitNatVerloop262">Data!$BB$264</definedName>
    <definedName name="Data_PersoonAanUitNatVerloop263">Data!$BB$265</definedName>
    <definedName name="Data_PersoonAanUitNatVerloop264">Data!$BB$266</definedName>
    <definedName name="Data_PersoonAanUitNatVerloop265">Data!$BB$267</definedName>
    <definedName name="Data_PersoonAanUitNatVerloop266">Data!$BB$268</definedName>
    <definedName name="Data_PersoonAanUitNatVerloop267">Data!$BB$269</definedName>
    <definedName name="Data_PersoonAanUitNatVerloop268">Data!$BB$270</definedName>
    <definedName name="Data_PersoonAanUitNatVerloop269">Data!$BB$271</definedName>
    <definedName name="Data_PersoonAanUitNatVerloop270">Data!$BB$272</definedName>
    <definedName name="Data_PersoonAanUitNatVerloop271">Data!$BB$273</definedName>
    <definedName name="Data_PersoonAanUitNatVerloop272">Data!$BB$274</definedName>
    <definedName name="Data_PersoonAanUitNatVerloop273">Data!$BB$275</definedName>
    <definedName name="Data_PersoonAanUitNatVerloop274">Data!$BB$276</definedName>
    <definedName name="Data_PersoonAanUitNatVerloop275">Data!$BB$277</definedName>
    <definedName name="Data_PersoonAanUitNatVerloop276">Data!$BB$278</definedName>
    <definedName name="Data_PersoonAanUitNatVerloop277">Data!$BB$279</definedName>
    <definedName name="Data_PersoonAanUitNatVerloop278">Data!$BB$280</definedName>
    <definedName name="Data_PersoonAanUitNatVerloop279">Data!$BB$281</definedName>
    <definedName name="Data_PersoonAanUitNatVerloop280">Data!$BB$282</definedName>
    <definedName name="Data_PersoonAanUitNatVerloop281">Data!$BB$283</definedName>
    <definedName name="Data_PersoonAanUitNatVerloop282">Data!$BB$284</definedName>
    <definedName name="Data_PersoonAanUitNatVerloop283">Data!$BB$285</definedName>
    <definedName name="Data_PersoonAanUitNatVerloop284">Data!$BB$286</definedName>
    <definedName name="Data_PersoonAanUitNatVerloop285">Data!$BB$287</definedName>
    <definedName name="Data_PersoonAanUitNatVerloop286">Data!$BB$288</definedName>
    <definedName name="Data_PersoonAanUitNatVerloop287">Data!$BB$289</definedName>
    <definedName name="Data_PersoonAanUitNatVerloop288">Data!$BB$290</definedName>
    <definedName name="Data_PersoonAanUitNatVerloop289">Data!$BB$291</definedName>
    <definedName name="Data_PersoonAanUitNatVerloop290">Data!$BB$292</definedName>
    <definedName name="Data_PersoonAanUitNatVerloop291">Data!$BB$293</definedName>
    <definedName name="Data_PersoonAanUitNatVerloop292">Data!$BB$294</definedName>
    <definedName name="Data_PersoonAanUitNatVerloop293">Data!$BB$295</definedName>
    <definedName name="Data_PersoonAanUitNatVerloop294">Data!$BB$296</definedName>
    <definedName name="Data_PersoonAanUitNatVerloop295">Data!$BB$297</definedName>
    <definedName name="Data_PersoonAanUitNatVerloop296">Data!$BB$298</definedName>
    <definedName name="Data_PersoonAanUitNatVerloop297">Data!$BB$299</definedName>
    <definedName name="Data_PersoonAanUitNatVerloop298">Data!$BB$300</definedName>
    <definedName name="Data_PersoonAanUitNatVerloop299">Data!$BB$301</definedName>
    <definedName name="Data_PersoonAanUitNatVerloop300">Data!$BB$302</definedName>
    <definedName name="Data_PersoonAanUitNatVerloop301">Data!$BB$303</definedName>
    <definedName name="Data_PersoonAanUitNatVerloop302">Data!$BB$304</definedName>
    <definedName name="Data_PersoonAanUitNatVerloop303">Data!$BB$305</definedName>
    <definedName name="Data_PersoonAanUitNatVerloop304">Data!$BB$306</definedName>
    <definedName name="Data_PersoonAanUitNatVerloop305">Data!$BB$307</definedName>
    <definedName name="Data_PersoonAanUitNatVerloop306">Data!$BB$308</definedName>
    <definedName name="Data_PersoonAanUitNatVerloop307">Data!$BB$309</definedName>
    <definedName name="Data_PersoonAanUitNatVerloop308">Data!$BB$310</definedName>
    <definedName name="Data_PersoonAanUitNatVerloop309">Data!$BB$311</definedName>
    <definedName name="Data_PersoonAanUitNatVerloop310">Data!$BB$312</definedName>
    <definedName name="Data_PersoonAanUitNatVerloop311">Data!$BB$313</definedName>
    <definedName name="Data_PersoonAanUitNatVerloop312">Data!$BB$314</definedName>
    <definedName name="Data_PersoonAanUitNatVerloop313">Data!$BB$315</definedName>
    <definedName name="Data_PersoonAanUitNatVerloop314">Data!$BB$316</definedName>
    <definedName name="Data_PersoonAanUitNatVerloop315">Data!$BB$317</definedName>
    <definedName name="Data_PersoonAanUitNatVerloop316">Data!$BB$318</definedName>
    <definedName name="Data_PersoonAanUitNatVerloop317">Data!$BB$319</definedName>
    <definedName name="Data_PersoonAanUitNatVerloop318">Data!$BB$320</definedName>
    <definedName name="Data_PersoonAanUitNatVerloop319">Data!$BB$321</definedName>
    <definedName name="Data_PersoonAanUitNatVerloop320">Data!$BB$322</definedName>
    <definedName name="Data_PersoonAanUitNatVerloop321">Data!$BB$323</definedName>
    <definedName name="Data_PersoonAanUitNatVerloop322">Data!$BB$324</definedName>
    <definedName name="Data_PersoonAanUitNatVerloop323">Data!$BB$325</definedName>
    <definedName name="Data_PersoonAanUitNatVerloop324">Data!$BB$326</definedName>
    <definedName name="Data_PersoonAanUitNatVerloop325">Data!$BB$327</definedName>
    <definedName name="Data_PersoonAanUitNatVerloop326">Data!$BB$328</definedName>
    <definedName name="Data_PersoonAanUitNatVerloop327">Data!$BB$329</definedName>
    <definedName name="Data_PersoonAanUitNatVerloop328">Data!$BB$330</definedName>
    <definedName name="Data_PersoonAanUitNatVerloop329">Data!$BB$331</definedName>
    <definedName name="Data_PersoonAanUitNatVerloop330">Data!$BB$332</definedName>
    <definedName name="Data_PersoonAanUitNatVerloop331">Data!$BB$333</definedName>
    <definedName name="Data_PersoonAanUitNatVerloop332">Data!$BB$334</definedName>
    <definedName name="Data_PersoonAanUitNatVerloop333">Data!$BB$335</definedName>
    <definedName name="Data_PersoonAanUitNatVerloop334">Data!$BB$336</definedName>
    <definedName name="Data_PersoonAanUitNatVerloop335">Data!$BB$337</definedName>
    <definedName name="Data_PersoonAanUitNatVerloop336">Data!$BB$338</definedName>
    <definedName name="Data_PersoonAanUitNatVerloop337">Data!$BB$339</definedName>
    <definedName name="Data_PersoonAanUitNatVerloop338">Data!$BB$340</definedName>
    <definedName name="Data_PersoonAanUitNatVerloop339">Data!$BB$341</definedName>
    <definedName name="Data_PersoonAanUitNatVerloop340">Data!$BB$342</definedName>
    <definedName name="Data_PersoonAanUitNatVerloop341">Data!$BB$343</definedName>
    <definedName name="Data_PersoonAanUitNatVerloop342">Data!$BB$344</definedName>
    <definedName name="Data_PersoonAanUitNatVerloop343">Data!$BB$345</definedName>
    <definedName name="Data_PersoonAanUitNatVerloop344">Data!$BB$346</definedName>
    <definedName name="Data_PersoonAanUitNatVerloop345">Data!$BB$347</definedName>
    <definedName name="Data_PersoonAanUitNatVerloop346">Data!$BB$348</definedName>
    <definedName name="Data_PersoonAanUitNatVerloop347">Data!$BB$349</definedName>
    <definedName name="Data_PersoonAanUitNatVerloop348">Data!$BB$350</definedName>
    <definedName name="Data_PersoonAanUitNatVerloop349">Data!$BB$351</definedName>
    <definedName name="Data_PersoonAanUitNatVerloop350">Data!$BB$352</definedName>
    <definedName name="Data_PersoonAanUitNatVerloop351">Data!$BB$353</definedName>
    <definedName name="Data_PersoonAanUitNatVerloop352">Data!$BB$354</definedName>
    <definedName name="Data_PersoonAanUitNatVerloop353">Data!$BB$355</definedName>
    <definedName name="Data_PersoonAanUitNatVerloop354">Data!$BB$356</definedName>
    <definedName name="Data_PersoonAanUitNatVerloop355">Data!$BB$357</definedName>
    <definedName name="Data_PersoonAanUitNatVerloop356">Data!$BB$358</definedName>
    <definedName name="Data_PersoonAanUitNatVerloop357">Data!$BB$359</definedName>
    <definedName name="Data_PersoonAanUitNatVerloop358">Data!$BB$360</definedName>
    <definedName name="Data_PersoonAanUitNatVerloop359">Data!$BB$361</definedName>
    <definedName name="Data_PersoonAanUitNatVerloop360">Data!$BB$362</definedName>
    <definedName name="Data_PersoonAanUitNatVerloop361">Data!$BB$363</definedName>
    <definedName name="Data_PersoonAanUitNatVerloop362">Data!$BB$364</definedName>
    <definedName name="Data_PersoonAanUitNatVerloop363">Data!$BB$365</definedName>
    <definedName name="Data_PersoonAanUitNatVerloop364">Data!$BB$366</definedName>
    <definedName name="Data_PersoonAanUitNatVerloop365">Data!$BB$367</definedName>
    <definedName name="Data_PersoonAanUitNatVerloop366">Data!$BB$368</definedName>
    <definedName name="Data_PersoonAanUitNatVerloop367">Data!$BB$369</definedName>
    <definedName name="Data_PersoonAanUitNatVerloop368">Data!$BB$370</definedName>
    <definedName name="Data_PersoonAanUitNatVerloop369">Data!$BB$371</definedName>
    <definedName name="Data_PersoonAanUitNatVerloop370">Data!$BB$372</definedName>
    <definedName name="Data_PersoonAanUitNatVerloop371">Data!$BB$373</definedName>
    <definedName name="Data_PersoonAanUitNatVerloop372">Data!$BB$374</definedName>
    <definedName name="Data_PersoonAanUitNatVerloop373">Data!$BB$375</definedName>
    <definedName name="Data_PersoonAanUitNatVerloop374">Data!$BB$376</definedName>
    <definedName name="Data_PersoonAanUitNatVerloop375">Data!$BB$377</definedName>
    <definedName name="Data_PersoonAanUitNatVerloop376">Data!$BB$378</definedName>
    <definedName name="Data_PersoonAanUitNatVerloop377">Data!$BB$379</definedName>
    <definedName name="Data_PersoonAanUitNatVerloop378">Data!$BB$380</definedName>
    <definedName name="Data_PersoonAanUitNatVerloop379">Data!$BB$381</definedName>
    <definedName name="Data_PersoonAanUitNatVerloop380">Data!$BB$382</definedName>
    <definedName name="Data_PersoonAanUitNatVerloop381">Data!$BB$383</definedName>
    <definedName name="Data_PersoonAanUitNatVerloop382">Data!$BB$384</definedName>
    <definedName name="Data_PersoonAanUitNatVerloop383">Data!$BB$385</definedName>
    <definedName name="Data_PersoonAanUitNatVerloop384">Data!$BB$386</definedName>
    <definedName name="Data_PersoonAanUitNatVerloop385">Data!$BB$387</definedName>
    <definedName name="Data_PersoonAanUitNatVerloop386">Data!$BB$388</definedName>
    <definedName name="Data_PersoonAanUitNatVerloop387">Data!$BB$389</definedName>
    <definedName name="Data_PersoonAanUitNatVerloop388">Data!$BB$390</definedName>
    <definedName name="Data_PersoonAanUitNatVerloop389">Data!$BB$391</definedName>
    <definedName name="Data_PersoonAanUitNatVerloop390">Data!$BB$392</definedName>
    <definedName name="Data_PersoonAanUitNatVerloop391">Data!$BB$393</definedName>
    <definedName name="Data_PersoonAanUitNatVerloop392">Data!$BB$394</definedName>
    <definedName name="Data_PersoonAanUitNatVerloop393">Data!$BB$395</definedName>
    <definedName name="Data_PersoonAanUitNatVerloop394">Data!$BB$396</definedName>
    <definedName name="Data_PersoonAanUitNatVerloop395">Data!$BB$397</definedName>
    <definedName name="Data_PersoonAanUitNatVerloop396">Data!$BB$398</definedName>
    <definedName name="Data_PersoonAanUitNatVerloop397">Data!$BB$399</definedName>
    <definedName name="Data_PersoonAanUitNatVerloop398">Data!$BB$400</definedName>
    <definedName name="Data_PersoonAanUitNatVerloop399">Data!$BB$401</definedName>
    <definedName name="Data_PersoonAanUitNatVerloop400">Data!$BB$402</definedName>
    <definedName name="Data_PersoonAanUitNatVerloop401">Data!$BB$403</definedName>
    <definedName name="Data_PersoonAanUitNatVerloop402">Data!$BB$404</definedName>
    <definedName name="Data_PersoonAanUitNatVerloop403">Data!$BB$405</definedName>
    <definedName name="Data_PersoonAanUitNatVerloop404">Data!$BB$406</definedName>
    <definedName name="Data_PersoonAanUitNatVerloop405">Data!$BB$407</definedName>
    <definedName name="Data_PersoonAanUitNatVerloop406">Data!$BB$408</definedName>
    <definedName name="Data_PersoonAanUitNatVerloop407">Data!$BB$409</definedName>
    <definedName name="Data_PersoonAanUitNatVerloop408">Data!$BB$410</definedName>
    <definedName name="Data_PersoonAanUitNatVerloop409">Data!$BB$411</definedName>
    <definedName name="Data_PersoonAanUitNatVerloop410">Data!$BB$412</definedName>
    <definedName name="Data_PersoonAanUitNatVerloop411">Data!$BB$413</definedName>
    <definedName name="Data_PersoonAanUitNatVerloop412">Data!$BB$414</definedName>
    <definedName name="Data_PersoonAanUitNatVerloop413">Data!$BB$415</definedName>
    <definedName name="Data_PersoonAanUitNatVerloop414">Data!$BB$416</definedName>
    <definedName name="Data_PersoonAanUitNatVerloop415">Data!$BB$417</definedName>
    <definedName name="Data_PersoonAanUitNatVerloop416">Data!$BB$418</definedName>
    <definedName name="Data_PersoonAanUitNatVerloop417">Data!$BB$419</definedName>
    <definedName name="Data_PersoonAanUitNatVerloop418">Data!$BB$420</definedName>
    <definedName name="Data_PersoonAanUitNatVerloop419">Data!$BB$421</definedName>
    <definedName name="Data_PersoonAanUitNatVerloop420">Data!$BB$422</definedName>
    <definedName name="Data_PersoonAanUitNatVerloop421">Data!$BB$423</definedName>
    <definedName name="Data_PersoonAanUitNatVerloop422">Data!$BB$424</definedName>
    <definedName name="Data_PersoonAanUitNatVerloop423">Data!$BB$425</definedName>
    <definedName name="Data_PersoonAanUitNatVerloop424">Data!$BB$426</definedName>
    <definedName name="Data_PersoonAanUitNatVerloop425">Data!$BB$427</definedName>
    <definedName name="Data_PersoonAanUitNatVerloop426">Data!$BB$428</definedName>
    <definedName name="Data_PersoonAanUitNatVerloop427">Data!$BB$429</definedName>
    <definedName name="Data_PersoonAanUitNatVerloop428">Data!$BB$430</definedName>
    <definedName name="Data_PersoonAanUitNatVerloop429">Data!$BB$431</definedName>
    <definedName name="Data_PersoonAanUitNatVerloop430">Data!$BB$432</definedName>
    <definedName name="Data_PersoonAanUitNatVerloop431">Data!$BB$433</definedName>
    <definedName name="Data_PersoonAanUitNatVerloop432">Data!$BB$434</definedName>
    <definedName name="Data_PersoonAanUitNatVerloop433">Data!$BB$435</definedName>
    <definedName name="Data_PersoonAanUitNatVerloop434">Data!$BB$436</definedName>
    <definedName name="Data_PersoonAanUitNatVerloop435">Data!$BB$437</definedName>
    <definedName name="Data_PersoonAanUitNatVerloop436">Data!$BB$438</definedName>
    <definedName name="Data_PersoonAanUitNatVerloop437">Data!$BB$439</definedName>
    <definedName name="Data_PersoonAanUitNatVerloop438">Data!$BB$440</definedName>
    <definedName name="Data_PersoonAanUitNatVerloop439">Data!$BB$441</definedName>
    <definedName name="Data_PersoonAanUitNatVerloop440">Data!$BB$442</definedName>
    <definedName name="Data_PersoonAanUitNatVerloop441">Data!$BB$443</definedName>
    <definedName name="Data_PersoonAanUitNatVerloop442">Data!$BB$444</definedName>
    <definedName name="Data_PersoonAanUitNatVerloop443">Data!$BB$445</definedName>
    <definedName name="Data_PersoonAanUitNatVerloop444">Data!$BB$446</definedName>
    <definedName name="Data_PersoonAanUitNatVerloop445">Data!$BB$447</definedName>
    <definedName name="Data_PersoonAanUitNatVerloop446">Data!$BB$448</definedName>
    <definedName name="Data_PersoonAanUitNatVerloop447">Data!$BB$449</definedName>
    <definedName name="Data_PersoonAanUitNatVerloop448">Data!$BB$450</definedName>
    <definedName name="Data_PersoonAanUitNatVerloop449">Data!$BB$451</definedName>
    <definedName name="Data_PersoonAanUitNatVerloop450">Data!$BB$452</definedName>
    <definedName name="Data_PersoonAanUitNatVerloop451">Data!$BB$453</definedName>
    <definedName name="Data_PersoonAanUitNatVerloop452">Data!$BB$454</definedName>
    <definedName name="Data_PersoonAanUitNatVerloop453">Data!$BB$455</definedName>
    <definedName name="Data_PersoonAanUitNatVerloop454">Data!$BB$456</definedName>
    <definedName name="Data_PersoonAanUitNatVerloop455">Data!$BB$457</definedName>
    <definedName name="Data_PersoonAanUitNatVerloop456">Data!$BB$458</definedName>
    <definedName name="Data_PersoonAanUitNatVerloop457">Data!$BB$459</definedName>
    <definedName name="Data_PersoonAanUitNatVerloop458">Data!$BB$460</definedName>
    <definedName name="Data_PersoonAanUitNatVerloop459">Data!$BB$461</definedName>
    <definedName name="Data_PersoonAanUitNatVerloop460">Data!$BB$462</definedName>
    <definedName name="Data_PersoonAanUitNatVerloop461">Data!$BB$463</definedName>
    <definedName name="Data_PersoonAanUitNatVerloop462">Data!$BB$464</definedName>
    <definedName name="Data_PersoonAanUitNatVerloop463">Data!$BB$465</definedName>
    <definedName name="Data_PersoonAanUitNatVerloop464">Data!$BB$466</definedName>
    <definedName name="Data_PersoonAanUitNatVerloop465">Data!$BB$467</definedName>
    <definedName name="Data_PersoonAanUitNatVerloop466">Data!$BB$468</definedName>
    <definedName name="Data_PersoonAanUitNatVerloop467">Data!$BB$469</definedName>
    <definedName name="Data_PersoonAanUitNatVerloop468">Data!$BB$470</definedName>
    <definedName name="Data_PersoonAanUitNatVerloop469">Data!$BB$471</definedName>
    <definedName name="Data_PersoonAanUitNatVerloop470">Data!$BB$472</definedName>
    <definedName name="Data_PersoonAanUitNatVerloop471">Data!$BB$473</definedName>
    <definedName name="Data_PersoonAanUitNatVerloop472">Data!$BB$474</definedName>
    <definedName name="Data_PersoonAanUitNatVerloop473">Data!$BB$475</definedName>
    <definedName name="Data_PersoonAanUitNatVerloop474">Data!$BB$476</definedName>
    <definedName name="Data_PersoonAanUitNatVerloop475">Data!$BB$477</definedName>
    <definedName name="Data_PersoonAanUitNatVerloop476">Data!$BB$478</definedName>
    <definedName name="Data_PersoonAanUitNatVerloop477">Data!$BB$479</definedName>
    <definedName name="Data_PersoonAanUitNatVerloop478">Data!$BB$480</definedName>
    <definedName name="Data_PersoonAanUitNatVerloop479">Data!$BB$481</definedName>
    <definedName name="Data_PersoonAanUitNatVerloop480">Data!$BB$482</definedName>
    <definedName name="Data_PersoonAanUitNatVerloop481">Data!$BB$483</definedName>
    <definedName name="Data_PersoonAanUitNatVerloop482">Data!$BB$484</definedName>
    <definedName name="Data_PersoonAanUitNatVerloop483">Data!$BB$485</definedName>
    <definedName name="Data_PersoonAanUitNatVerloop484">Data!$BB$486</definedName>
    <definedName name="Data_PersoonAanUitNatVerloop485">Data!$BB$487</definedName>
    <definedName name="Data_PersoonAanUitNatVerloop486">Data!$BB$488</definedName>
    <definedName name="Data_PersoonAanUitNatVerloop487">Data!$BB$489</definedName>
    <definedName name="Data_PersoonAanUitNatVerloop488">Data!$BB$490</definedName>
    <definedName name="Data_PersoonAanUitNatVerloop489">Data!$BB$491</definedName>
    <definedName name="Data_PersoonAanUitNatVerloop490">Data!$BB$492</definedName>
    <definedName name="Data_PersoonAanUitNatVerloop491">Data!$BB$493</definedName>
    <definedName name="Data_PersoonAanUitNatVerloop492">Data!$BB$494</definedName>
    <definedName name="Data_PersoonAanUitNatVerloop493">Data!$BB$495</definedName>
    <definedName name="Data_PersoonAanUitNatVerloop494">Data!$BB$496</definedName>
    <definedName name="Data_PersoonAanUitNatVerloop495">Data!$BB$497</definedName>
    <definedName name="Data_PersoonAanUitNatVerloop496">Data!$BB$498</definedName>
    <definedName name="Data_PersoonAanUitNatVerloop497">Data!$BB$499</definedName>
    <definedName name="Data_PersoonAanUitNatVerloop498">Data!$BB$500</definedName>
    <definedName name="Data_PersoonAanUitNatVerloop499">Data!$BB$501</definedName>
    <definedName name="Data_PersoonAanUitNatVerloop500">Data!$BB$502</definedName>
    <definedName name="Data_PersoonAanUitTijd001">Data!$X$3</definedName>
    <definedName name="Data_PersoonAanUitTijd002">Data!$X$4</definedName>
    <definedName name="Data_PersoonAanUitTijd003">Data!$X$5</definedName>
    <definedName name="Data_PersoonAanUitTijd004">Data!$X$6</definedName>
    <definedName name="Data_PersoonAanUitTijd005">Data!$X$7</definedName>
    <definedName name="Data_PersoonAanUitTijd006">Data!$X$8</definedName>
    <definedName name="Data_PersoonAanUitTijd007">Data!$X$9</definedName>
    <definedName name="Data_PersoonAanUitTijd008">Data!$X$10</definedName>
    <definedName name="Data_PersoonAanUitTijd009">Data!$X$11</definedName>
    <definedName name="Data_PersoonAanUitTijd010">Data!$X$12</definedName>
    <definedName name="Data_PersoonAanUitTijd011">Data!$X$13</definedName>
    <definedName name="Data_PersoonAanUitTijd012">Data!$X$14</definedName>
    <definedName name="Data_PersoonAanUitTijd013">Data!$X$15</definedName>
    <definedName name="Data_PersoonAanUitTijd014">Data!$X$16</definedName>
    <definedName name="Data_PersoonAanUitTijd015">Data!$X$17</definedName>
    <definedName name="Data_PersoonAanUitTijd016">Data!$X$18</definedName>
    <definedName name="Data_PersoonAanUitTijd017">Data!$X$19</definedName>
    <definedName name="Data_PersoonAanUitTijd018">Data!$X$20</definedName>
    <definedName name="Data_PersoonAanUitTijd019">Data!$X$21</definedName>
    <definedName name="Data_PersoonAanUitTijd020">Data!$X$22</definedName>
    <definedName name="Data_PersoonAanUitTijd021">Data!$X$23</definedName>
    <definedName name="Data_PersoonAanUitTijd022">Data!$X$24</definedName>
    <definedName name="Data_PersoonAanUitTijd023">Data!$X$25</definedName>
    <definedName name="Data_PersoonAanUitTijd024">Data!$X$26</definedName>
    <definedName name="Data_PersoonAanUitTijd025">Data!$X$27</definedName>
    <definedName name="Data_PersoonAanUitTijd026">Data!$X$28</definedName>
    <definedName name="Data_PersoonAanUitTijd027">Data!$X$29</definedName>
    <definedName name="Data_PersoonAanUitTijd028">Data!$X$30</definedName>
    <definedName name="Data_PersoonAanUitTijd029">Data!$X$31</definedName>
    <definedName name="Data_PersoonAanUitTijd030">Data!$X$32</definedName>
    <definedName name="Data_PersoonAanUitTijd031">Data!$X$33</definedName>
    <definedName name="Data_PersoonAanUitTijd032">Data!$X$34</definedName>
    <definedName name="Data_PersoonAanUitTijd033">Data!$X$35</definedName>
    <definedName name="Data_PersoonAanUitTijd034">Data!$X$36</definedName>
    <definedName name="Data_PersoonAanUitTijd035">Data!$X$37</definedName>
    <definedName name="Data_PersoonAanUitTijd036">Data!$X$38</definedName>
    <definedName name="Data_PersoonAanUitTijd037">Data!$X$39</definedName>
    <definedName name="Data_PersoonAanUitTijd038">Data!$X$40</definedName>
    <definedName name="Data_PersoonAanUitTijd039">Data!$X$41</definedName>
    <definedName name="Data_PersoonAanUitTijd040">Data!$X$42</definedName>
    <definedName name="Data_PersoonAanUitTijd041">Data!$X$43</definedName>
    <definedName name="Data_PersoonAanUitTijd042">Data!$X$44</definedName>
    <definedName name="Data_PersoonAanUitTijd043">Data!$X$45</definedName>
    <definedName name="Data_PersoonAanUitTijd044">Data!$X$46</definedName>
    <definedName name="Data_PersoonAanUitTijd045">Data!$X$47</definedName>
    <definedName name="Data_PersoonAanUitTijd046">Data!$X$48</definedName>
    <definedName name="Data_PersoonAanUitTijd047">Data!$X$49</definedName>
    <definedName name="Data_PersoonAanUitTijd048">Data!$X$50</definedName>
    <definedName name="Data_PersoonAanUitTijd049">Data!$X$51</definedName>
    <definedName name="Data_PersoonAanUitTijd050">Data!$X$52</definedName>
    <definedName name="Data_PersoonAanUitTijd051">Data!$X$53</definedName>
    <definedName name="Data_PersoonAanUitTijd052">Data!$X$54</definedName>
    <definedName name="Data_PersoonAanUitTijd053">Data!$X$55</definedName>
    <definedName name="Data_PersoonAanUitTijd054">Data!$X$56</definedName>
    <definedName name="Data_PersoonAanUitTijd055">Data!$X$57</definedName>
    <definedName name="Data_PersoonAanUitTijd056">Data!$X$58</definedName>
    <definedName name="Data_PersoonAanUitTijd057">Data!$X$59</definedName>
    <definedName name="Data_PersoonAanUitTijd058">Data!$X$60</definedName>
    <definedName name="Data_PersoonAanUitTijd059">Data!$X$61</definedName>
    <definedName name="Data_PersoonAanUitTijd060">Data!$X$62</definedName>
    <definedName name="Data_PersoonAanUitTijd061">Data!$X$63</definedName>
    <definedName name="Data_PersoonAanUitTijd062">Data!$X$64</definedName>
    <definedName name="Data_PersoonAanUitTijd063">Data!$X$65</definedName>
    <definedName name="Data_PersoonAanUitTijd064">Data!$X$66</definedName>
    <definedName name="Data_PersoonAanUitTijd065">Data!$X$67</definedName>
    <definedName name="Data_PersoonAanUitTijd066">Data!$X$68</definedName>
    <definedName name="Data_PersoonAanUitTijd067">Data!$X$69</definedName>
    <definedName name="Data_PersoonAanUitTijd068">Data!$X$70</definedName>
    <definedName name="Data_PersoonAanUitTijd069">Data!$X$71</definedName>
    <definedName name="Data_PersoonAanUitTijd070">Data!$X$72</definedName>
    <definedName name="Data_PersoonAanUitTijd071">Data!$X$73</definedName>
    <definedName name="Data_PersoonAanUitTijd072">Data!$X$74</definedName>
    <definedName name="Data_PersoonAanUitTijd073">Data!$X$75</definedName>
    <definedName name="Data_PersoonAanUitTijd074">Data!$X$76</definedName>
    <definedName name="Data_PersoonAanUitTijd075">Data!$X$77</definedName>
    <definedName name="Data_PersoonAanUitTijd076">Data!$X$78</definedName>
    <definedName name="Data_PersoonAanUitTijd077">Data!$X$79</definedName>
    <definedName name="Data_PersoonAanUitTijd078">Data!$X$80</definedName>
    <definedName name="Data_PersoonAanUitTijd079">Data!$X$81</definedName>
    <definedName name="Data_PersoonAanUitTijd080">Data!$X$82</definedName>
    <definedName name="Data_PersoonAanUitTijd081">Data!$X$83</definedName>
    <definedName name="Data_PersoonAanUitTijd082">Data!$X$84</definedName>
    <definedName name="Data_PersoonAanUitTijd083">Data!$X$85</definedName>
    <definedName name="Data_PersoonAanUitTijd084">Data!$X$86</definedName>
    <definedName name="Data_PersoonAanUitTijd085">Data!$X$87</definedName>
    <definedName name="Data_PersoonAanUitTijd086">Data!$X$88</definedName>
    <definedName name="Data_PersoonAanUitTijd087">Data!$X$89</definedName>
    <definedName name="Data_PersoonAanUitTijd088">Data!$X$90</definedName>
    <definedName name="Data_PersoonAanUitTijd089">Data!$X$91</definedName>
    <definedName name="Data_PersoonAanUitTijd090">Data!$X$92</definedName>
    <definedName name="Data_PersoonAanUitTijd091">Data!$X$93</definedName>
    <definedName name="Data_PersoonAanUitTijd092">Data!$X$94</definedName>
    <definedName name="Data_PersoonAanUitTijd093">Data!$X$95</definedName>
    <definedName name="Data_PersoonAanUitTijd094">Data!$X$96</definedName>
    <definedName name="Data_PersoonAanUitTijd095">Data!$X$97</definedName>
    <definedName name="Data_PersoonAanUitTijd096">Data!$X$98</definedName>
    <definedName name="Data_PersoonAanUitTijd097">Data!$X$99</definedName>
    <definedName name="Data_PersoonAanUitTijd098">Data!$X$100</definedName>
    <definedName name="Data_PersoonAanUitTijd099">Data!$X$101</definedName>
    <definedName name="Data_PersoonAanUitTijd100">Data!$X$102</definedName>
    <definedName name="Data_PersoonAanUitTijd101">Data!$X$103</definedName>
    <definedName name="Data_PersoonAanUitTijd102">Data!$X$104</definedName>
    <definedName name="Data_PersoonAanUitTijd103">Data!$X$105</definedName>
    <definedName name="Data_PersoonAanUitTijd104">Data!$X$106</definedName>
    <definedName name="Data_PersoonAanUitTijd105">Data!$X$107</definedName>
    <definedName name="Data_PersoonAanUitTijd106">Data!$X$108</definedName>
    <definedName name="Data_PersoonAanUitTijd107">Data!$X$109</definedName>
    <definedName name="Data_PersoonAanUitTijd108">Data!$X$110</definedName>
    <definedName name="Data_PersoonAanUitTijd109">Data!$X$111</definedName>
    <definedName name="Data_PersoonAanUitTijd110">Data!$X$112</definedName>
    <definedName name="Data_PersoonAanUitTijd111">Data!$X$113</definedName>
    <definedName name="Data_PersoonAanUitTijd112">Data!$X$114</definedName>
    <definedName name="Data_PersoonAanUitTijd113">Data!$X$115</definedName>
    <definedName name="Data_PersoonAanUitTijd114">Data!$X$116</definedName>
    <definedName name="Data_PersoonAanUitTijd115">Data!$X$117</definedName>
    <definedName name="Data_PersoonAanUitTijd116">Data!$X$118</definedName>
    <definedName name="Data_PersoonAanUitTijd117">Data!$X$119</definedName>
    <definedName name="Data_PersoonAanUitTijd118">Data!$X$120</definedName>
    <definedName name="Data_PersoonAanUitTijd119">Data!$X$121</definedName>
    <definedName name="Data_PersoonAanUitTijd120">Data!$X$122</definedName>
    <definedName name="Data_PersoonAanUitTijd121">Data!$X$123</definedName>
    <definedName name="Data_PersoonAanUitTijd122">Data!$X$124</definedName>
    <definedName name="Data_PersoonAanUitTijd123">Data!$X$125</definedName>
    <definedName name="Data_PersoonAanUitTijd124">Data!$X$126</definedName>
    <definedName name="Data_PersoonAanUitTijd125">Data!$X$127</definedName>
    <definedName name="Data_PersoonAanUitTijd126">Data!$X$128</definedName>
    <definedName name="Data_PersoonAanUitTijd127">Data!$X$129</definedName>
    <definedName name="Data_PersoonAanUitTijd128">Data!$X$130</definedName>
    <definedName name="Data_PersoonAanUitTijd129">Data!$X$131</definedName>
    <definedName name="Data_PersoonAanUitTijd130">Data!$X$132</definedName>
    <definedName name="Data_PersoonAanUitTijd131">Data!$X$133</definedName>
    <definedName name="Data_PersoonAanUitTijd132">Data!$X$134</definedName>
    <definedName name="Data_PersoonAanUitTijd133">Data!$X$135</definedName>
    <definedName name="Data_PersoonAanUitTijd134">Data!$X$136</definedName>
    <definedName name="Data_PersoonAanUitTijd135">Data!$X$137</definedName>
    <definedName name="Data_PersoonAanUitTijd136">Data!$X$138</definedName>
    <definedName name="Data_PersoonAanUitTijd137">Data!$X$139</definedName>
    <definedName name="Data_PersoonAanUitTijd138">Data!$X$140</definedName>
    <definedName name="Data_PersoonAanUitTijd139">Data!$X$141</definedName>
    <definedName name="Data_PersoonAanUitTijd140">Data!$X$142</definedName>
    <definedName name="Data_PersoonAanUitTijd141">Data!$X$143</definedName>
    <definedName name="Data_PersoonAanUitTijd142">Data!$X$144</definedName>
    <definedName name="Data_PersoonAanUitTijd143">Data!$X$145</definedName>
    <definedName name="Data_PersoonAanUitTijd144">Data!$X$146</definedName>
    <definedName name="Data_PersoonAanUitTijd145">Data!$X$147</definedName>
    <definedName name="Data_PersoonAanUitTijd146">Data!$X$148</definedName>
    <definedName name="Data_PersoonAanUitTijd147">Data!$X$149</definedName>
    <definedName name="Data_PersoonAanUitTijd148">Data!$X$150</definedName>
    <definedName name="Data_PersoonAanUitTijd149">Data!$X$151</definedName>
    <definedName name="Data_PersoonAanUitTijd150">Data!$X$152</definedName>
    <definedName name="Data_PersoonAanUitTijd151">Data!$X$153</definedName>
    <definedName name="Data_PersoonAanUitTijd152">Data!$X$154</definedName>
    <definedName name="Data_PersoonAanUitTijd153">Data!$X$155</definedName>
    <definedName name="Data_PersoonAanUitTijd154">Data!$X$156</definedName>
    <definedName name="Data_PersoonAanUitTijd155">Data!$X$157</definedName>
    <definedName name="Data_PersoonAanUitTijd156">Data!$X$158</definedName>
    <definedName name="Data_PersoonAanUitTijd157">Data!$X$159</definedName>
    <definedName name="Data_PersoonAanUitTijd158">Data!$X$160</definedName>
    <definedName name="Data_PersoonAanUitTijd159">Data!$X$161</definedName>
    <definedName name="Data_PersoonAanUitTijd160">Data!$X$162</definedName>
    <definedName name="Data_PersoonAanUitTijd161">Data!$X$163</definedName>
    <definedName name="Data_PersoonAanUitTijd162">Data!$X$164</definedName>
    <definedName name="Data_PersoonAanUitTijd163">Data!$X$165</definedName>
    <definedName name="Data_PersoonAanUitTijd164">Data!$X$166</definedName>
    <definedName name="Data_PersoonAanUitTijd165">Data!$X$167</definedName>
    <definedName name="Data_PersoonAanUitTijd166">Data!$X$168</definedName>
    <definedName name="Data_PersoonAanUitTijd167">Data!$X$169</definedName>
    <definedName name="Data_PersoonAanUitTijd168">Data!$X$170</definedName>
    <definedName name="Data_PersoonAanUitTijd169">Data!$X$171</definedName>
    <definedName name="Data_PersoonAanUitTijd170">Data!$X$172</definedName>
    <definedName name="Data_PersoonAanUitTijd171">Data!$X$173</definedName>
    <definedName name="Data_PersoonAanUitTijd172">Data!$X$174</definedName>
    <definedName name="Data_PersoonAanUitTijd173">Data!$X$175</definedName>
    <definedName name="Data_PersoonAanUitTijd174">Data!$X$176</definedName>
    <definedName name="Data_PersoonAanUitTijd175">Data!$X$177</definedName>
    <definedName name="Data_PersoonAanUitTijd176">Data!$X$178</definedName>
    <definedName name="Data_PersoonAanUitTijd177">Data!$X$179</definedName>
    <definedName name="Data_PersoonAanUitTijd178">Data!$X$180</definedName>
    <definedName name="Data_PersoonAanUitTijd179">Data!$X$181</definedName>
    <definedName name="Data_PersoonAanUitTijd180">Data!$X$182</definedName>
    <definedName name="Data_PersoonAanUitTijd181">Data!$X$183</definedName>
    <definedName name="Data_PersoonAanUitTijd182">Data!$X$184</definedName>
    <definedName name="Data_PersoonAanUitTijd183">Data!$X$185</definedName>
    <definedName name="Data_PersoonAanUitTijd184">Data!$X$186</definedName>
    <definedName name="Data_PersoonAanUitTijd185">Data!$X$187</definedName>
    <definedName name="Data_PersoonAanUitTijd186">Data!$X$188</definedName>
    <definedName name="Data_PersoonAanUitTijd187">Data!$X$189</definedName>
    <definedName name="Data_PersoonAanUitTijd188">Data!$X$190</definedName>
    <definedName name="Data_PersoonAanUitTijd189">Data!$X$191</definedName>
    <definedName name="Data_PersoonAanUitTijd190">Data!$X$192</definedName>
    <definedName name="Data_PersoonAanUitTijd191">Data!$X$193</definedName>
    <definedName name="Data_PersoonAanUitTijd192">Data!$X$194</definedName>
    <definedName name="Data_PersoonAanUitTijd193">Data!$X$195</definedName>
    <definedName name="Data_PersoonAanUitTijd194">Data!$X$196</definedName>
    <definedName name="Data_PersoonAanUitTijd195">Data!$X$197</definedName>
    <definedName name="Data_PersoonAanUitTijd196">Data!$X$198</definedName>
    <definedName name="Data_PersoonAanUitTijd197">Data!$X$199</definedName>
    <definedName name="Data_PersoonAanUitTijd198">Data!$X$200</definedName>
    <definedName name="Data_PersoonAanUitTijd199">Data!$X$201</definedName>
    <definedName name="Data_PersoonAanUitTijd200">Data!$X$202</definedName>
    <definedName name="Data_PersoonAanUitTijd201">Data!$X$203</definedName>
    <definedName name="Data_PersoonAanUitTijd202">Data!$X$204</definedName>
    <definedName name="Data_PersoonAanUitTijd203">Data!$X$205</definedName>
    <definedName name="Data_PersoonAanUitTijd204">Data!$X$206</definedName>
    <definedName name="Data_PersoonAanUitTijd205">Data!$X$207</definedName>
    <definedName name="Data_PersoonAanUitTijd206">Data!$X$208</definedName>
    <definedName name="Data_PersoonAanUitTijd207">Data!$X$209</definedName>
    <definedName name="Data_PersoonAanUitTijd208">Data!$X$210</definedName>
    <definedName name="Data_PersoonAanUitTijd209">Data!$X$211</definedName>
    <definedName name="Data_PersoonAanUitTijd210">Data!$X$212</definedName>
    <definedName name="Data_PersoonAanUitTijd211">Data!$X$213</definedName>
    <definedName name="Data_PersoonAanUitTijd212">Data!$X$214</definedName>
    <definedName name="Data_PersoonAanUitTijd213">Data!$X$215</definedName>
    <definedName name="Data_PersoonAanUitTijd214">Data!$X$216</definedName>
    <definedName name="Data_PersoonAanUitTijd215">Data!$X$217</definedName>
    <definedName name="Data_PersoonAanUitTijd216">Data!$X$218</definedName>
    <definedName name="Data_PersoonAanUitTijd217">Data!$X$219</definedName>
    <definedName name="Data_PersoonAanUitTijd218">Data!$X$220</definedName>
    <definedName name="Data_PersoonAanUitTijd219">Data!$X$221</definedName>
    <definedName name="Data_PersoonAanUitTijd220">Data!$X$222</definedName>
    <definedName name="Data_PersoonAanUitTijd221">Data!$X$223</definedName>
    <definedName name="Data_PersoonAanUitTijd222">Data!$X$224</definedName>
    <definedName name="Data_PersoonAanUitTijd223">Data!$X$225</definedName>
    <definedName name="Data_PersoonAanUitTijd224">Data!$X$226</definedName>
    <definedName name="Data_PersoonAanUitTijd225">Data!$X$227</definedName>
    <definedName name="Data_PersoonAanUitTijd226">Data!$X$228</definedName>
    <definedName name="Data_PersoonAanUitTijd227">Data!$X$229</definedName>
    <definedName name="Data_PersoonAanUitTijd228">Data!$X$230</definedName>
    <definedName name="Data_PersoonAanUitTijd229">Data!$X$231</definedName>
    <definedName name="Data_PersoonAanUitTijd230">Data!$X$232</definedName>
    <definedName name="Data_PersoonAanUitTijd231">Data!$X$233</definedName>
    <definedName name="Data_PersoonAanUitTijd232">Data!$X$234</definedName>
    <definedName name="Data_PersoonAanUitTijd233">Data!$X$235</definedName>
    <definedName name="Data_PersoonAanUitTijd234">Data!$X$236</definedName>
    <definedName name="Data_PersoonAanUitTijd235">Data!$X$237</definedName>
    <definedName name="Data_PersoonAanUitTijd236">Data!$X$238</definedName>
    <definedName name="Data_PersoonAanUitTijd237">Data!$X$239</definedName>
    <definedName name="Data_PersoonAanUitTijd238">Data!$X$240</definedName>
    <definedName name="Data_PersoonAanUitTijd239">Data!$X$241</definedName>
    <definedName name="Data_PersoonAanUitTijd240">Data!$X$242</definedName>
    <definedName name="Data_PersoonAanUitTijd241">Data!$X$243</definedName>
    <definedName name="Data_PersoonAanUitTijd242">Data!$X$244</definedName>
    <definedName name="Data_PersoonAanUitTijd243">Data!$X$245</definedName>
    <definedName name="Data_PersoonAanUitTijd244">Data!$X$246</definedName>
    <definedName name="Data_PersoonAanUitTijd245">Data!$X$247</definedName>
    <definedName name="Data_PersoonAanUitTijd246">Data!$X$248</definedName>
    <definedName name="Data_PersoonAanUitTijd247">Data!$X$249</definedName>
    <definedName name="Data_PersoonAanUitTijd248">Data!$X$250</definedName>
    <definedName name="Data_PersoonAanUitTijd249">Data!$X$251</definedName>
    <definedName name="Data_PersoonAanUitTijd250">Data!$X$252</definedName>
    <definedName name="Data_PersoonAanUitTijd251">Data!$X$253</definedName>
    <definedName name="Data_PersoonAanUitTijd252">Data!$X$254</definedName>
    <definedName name="Data_PersoonAanUitTijd253">Data!$X$255</definedName>
    <definedName name="Data_PersoonAanUitTijd254">Data!$X$256</definedName>
    <definedName name="Data_PersoonAanUitTijd255">Data!$X$257</definedName>
    <definedName name="Data_PersoonAanUitTijd256">Data!$X$258</definedName>
    <definedName name="Data_PersoonAanUitTijd257">Data!$X$259</definedName>
    <definedName name="Data_PersoonAanUitTijd258">Data!$X$260</definedName>
    <definedName name="Data_PersoonAanUitTijd259">Data!$X$261</definedName>
    <definedName name="Data_PersoonAanUitTijd260">Data!$X$262</definedName>
    <definedName name="Data_PersoonAanUitTijd261">Data!$X$263</definedName>
    <definedName name="Data_PersoonAanUitTijd262">Data!$X$264</definedName>
    <definedName name="Data_PersoonAanUitTijd263">Data!$X$265</definedName>
    <definedName name="Data_PersoonAanUitTijd264">Data!$X$266</definedName>
    <definedName name="Data_PersoonAanUitTijd265">Data!$X$267</definedName>
    <definedName name="Data_PersoonAanUitTijd266">Data!$X$268</definedName>
    <definedName name="Data_PersoonAanUitTijd267">Data!$X$269</definedName>
    <definedName name="Data_PersoonAanUitTijd268">Data!$X$270</definedName>
    <definedName name="Data_PersoonAanUitTijd269">Data!$X$271</definedName>
    <definedName name="Data_PersoonAanUitTijd270">Data!$X$272</definedName>
    <definedName name="Data_PersoonAanUitTijd271">Data!$X$273</definedName>
    <definedName name="Data_PersoonAanUitTijd272">Data!$X$274</definedName>
    <definedName name="Data_PersoonAanUitTijd273">Data!$X$275</definedName>
    <definedName name="Data_PersoonAanUitTijd274">Data!$X$276</definedName>
    <definedName name="Data_PersoonAanUitTijd275">Data!$X$277</definedName>
    <definedName name="Data_PersoonAanUitTijd276">Data!$X$278</definedName>
    <definedName name="Data_PersoonAanUitTijd277">Data!$X$279</definedName>
    <definedName name="Data_PersoonAanUitTijd278">Data!$X$280</definedName>
    <definedName name="Data_PersoonAanUitTijd279">Data!$X$281</definedName>
    <definedName name="Data_PersoonAanUitTijd280">Data!$X$282</definedName>
    <definedName name="Data_PersoonAanUitTijd281">Data!$X$283</definedName>
    <definedName name="Data_PersoonAanUitTijd282">Data!$X$284</definedName>
    <definedName name="Data_PersoonAanUitTijd283">Data!$X$285</definedName>
    <definedName name="Data_PersoonAanUitTijd284">Data!$X$286</definedName>
    <definedName name="Data_PersoonAanUitTijd285">Data!$X$287</definedName>
    <definedName name="Data_PersoonAanUitTijd286">Data!$X$288</definedName>
    <definedName name="Data_PersoonAanUitTijd287">Data!$X$289</definedName>
    <definedName name="Data_PersoonAanUitTijd288">Data!$X$290</definedName>
    <definedName name="Data_PersoonAanUitTijd289">Data!$X$291</definedName>
    <definedName name="Data_PersoonAanUitTijd290">Data!$X$292</definedName>
    <definedName name="Data_PersoonAanUitTijd291">Data!$X$293</definedName>
    <definedName name="Data_PersoonAanUitTijd292">Data!$X$294</definedName>
    <definedName name="Data_PersoonAanUitTijd293">Data!$X$295</definedName>
    <definedName name="Data_PersoonAanUitTijd294">Data!$X$296</definedName>
    <definedName name="Data_PersoonAanUitTijd295">Data!$X$297</definedName>
    <definedName name="Data_PersoonAanUitTijd296">Data!$X$298</definedName>
    <definedName name="Data_PersoonAanUitTijd297">Data!$X$299</definedName>
    <definedName name="Data_PersoonAanUitTijd298">Data!$X$300</definedName>
    <definedName name="Data_PersoonAanUitTijd299">Data!$X$301</definedName>
    <definedName name="Data_PersoonAanUitTijd300">Data!$X$302</definedName>
    <definedName name="Data_PersoonAanUitTijd301">Data!$X$303</definedName>
    <definedName name="Data_PersoonAanUitTijd302">Data!$X$304</definedName>
    <definedName name="Data_PersoonAanUitTijd303">Data!$X$305</definedName>
    <definedName name="Data_PersoonAanUitTijd304">Data!$X$306</definedName>
    <definedName name="Data_PersoonAanUitTijd305">Data!$X$307</definedName>
    <definedName name="Data_PersoonAanUitTijd306">Data!$X$308</definedName>
    <definedName name="Data_PersoonAanUitTijd307">Data!$X$309</definedName>
    <definedName name="Data_PersoonAanUitTijd308">Data!$X$310</definedName>
    <definedName name="Data_PersoonAanUitTijd309">Data!$X$311</definedName>
    <definedName name="Data_PersoonAanUitTijd310">Data!$X$312</definedName>
    <definedName name="Data_PersoonAanUitTijd311">Data!$X$313</definedName>
    <definedName name="Data_PersoonAanUitTijd312">Data!$X$314</definedName>
    <definedName name="Data_PersoonAanUitTijd313">Data!$X$315</definedName>
    <definedName name="Data_PersoonAanUitTijd314">Data!$X$316</definedName>
    <definedName name="Data_PersoonAanUitTijd315">Data!$X$317</definedName>
    <definedName name="Data_PersoonAanUitTijd316">Data!$X$318</definedName>
    <definedName name="Data_PersoonAanUitTijd317">Data!$X$319</definedName>
    <definedName name="Data_PersoonAanUitTijd318">Data!$X$320</definedName>
    <definedName name="Data_PersoonAanUitTijd319">Data!$X$321</definedName>
    <definedName name="Data_PersoonAanUitTijd320">Data!$X$322</definedName>
    <definedName name="Data_PersoonAanUitTijd321">Data!$X$323</definedName>
    <definedName name="Data_PersoonAanUitTijd322">Data!$X$324</definedName>
    <definedName name="Data_PersoonAanUitTijd323">Data!$X$325</definedName>
    <definedName name="Data_PersoonAanUitTijd324">Data!$X$326</definedName>
    <definedName name="Data_PersoonAanUitTijd325">Data!$X$327</definedName>
    <definedName name="Data_PersoonAanUitTijd326">Data!$X$328</definedName>
    <definedName name="Data_PersoonAanUitTijd327">Data!$X$329</definedName>
    <definedName name="Data_PersoonAanUitTijd328">Data!$X$330</definedName>
    <definedName name="Data_PersoonAanUitTijd329">Data!$X$331</definedName>
    <definedName name="Data_PersoonAanUitTijd330">Data!$X$332</definedName>
    <definedName name="Data_PersoonAanUitTijd331">Data!$X$333</definedName>
    <definedName name="Data_PersoonAanUitTijd332">Data!$X$334</definedName>
    <definedName name="Data_PersoonAanUitTijd333">Data!$X$335</definedName>
    <definedName name="Data_PersoonAanUitTijd334">Data!$X$336</definedName>
    <definedName name="Data_PersoonAanUitTijd335">Data!$X$337</definedName>
    <definedName name="Data_PersoonAanUitTijd336">Data!$X$338</definedName>
    <definedName name="Data_PersoonAanUitTijd337">Data!$X$339</definedName>
    <definedName name="Data_PersoonAanUitTijd338">Data!$X$340</definedName>
    <definedName name="Data_PersoonAanUitTijd339">Data!$X$341</definedName>
    <definedName name="Data_PersoonAanUitTijd340">Data!$X$342</definedName>
    <definedName name="Data_PersoonAanUitTijd341">Data!$X$343</definedName>
    <definedName name="Data_PersoonAanUitTijd342">Data!$X$344</definedName>
    <definedName name="Data_PersoonAanUitTijd343">Data!$X$345</definedName>
    <definedName name="Data_PersoonAanUitTijd344">Data!$X$346</definedName>
    <definedName name="Data_PersoonAanUitTijd345">Data!$X$347</definedName>
    <definedName name="Data_PersoonAanUitTijd346">Data!$X$348</definedName>
    <definedName name="Data_PersoonAanUitTijd347">Data!$X$349</definedName>
    <definedName name="Data_PersoonAanUitTijd348">Data!$X$350</definedName>
    <definedName name="Data_PersoonAanUitTijd349">Data!$X$351</definedName>
    <definedName name="Data_PersoonAanUitTijd350">Data!$X$352</definedName>
    <definedName name="Data_PersoonAanUitTijd351">Data!$X$353</definedName>
    <definedName name="Data_PersoonAanUitTijd352">Data!$X$354</definedName>
    <definedName name="Data_PersoonAanUitTijd353">Data!$X$355</definedName>
    <definedName name="Data_PersoonAanUitTijd354">Data!$X$356</definedName>
    <definedName name="Data_PersoonAanUitTijd355">Data!$X$357</definedName>
    <definedName name="Data_PersoonAanUitTijd356">Data!$X$358</definedName>
    <definedName name="Data_PersoonAanUitTijd357">Data!$X$359</definedName>
    <definedName name="Data_PersoonAanUitTijd358">Data!$X$360</definedName>
    <definedName name="Data_PersoonAanUitTijd359">Data!$X$361</definedName>
    <definedName name="Data_PersoonAanUitTijd360">Data!$X$362</definedName>
    <definedName name="Data_PersoonAanUitTijd361">Data!$X$363</definedName>
    <definedName name="Data_PersoonAanUitTijd362">Data!$X$364</definedName>
    <definedName name="Data_PersoonAanUitTijd363">Data!$X$365</definedName>
    <definedName name="Data_PersoonAanUitTijd364">Data!$X$366</definedName>
    <definedName name="Data_PersoonAanUitTijd365">Data!$X$367</definedName>
    <definedName name="Data_PersoonAanUitTijd366">Data!$X$368</definedName>
    <definedName name="Data_PersoonAanUitTijd367">Data!$X$369</definedName>
    <definedName name="Data_PersoonAanUitTijd368">Data!$X$370</definedName>
    <definedName name="Data_PersoonAanUitTijd369">Data!$X$371</definedName>
    <definedName name="Data_PersoonAanUitTijd370">Data!$X$372</definedName>
    <definedName name="Data_PersoonAanUitTijd371">Data!$X$373</definedName>
    <definedName name="Data_PersoonAanUitTijd372">Data!$X$374</definedName>
    <definedName name="Data_PersoonAanUitTijd373">Data!$X$375</definedName>
    <definedName name="Data_PersoonAanUitTijd374">Data!$X$376</definedName>
    <definedName name="Data_PersoonAanUitTijd375">Data!$X$377</definedName>
    <definedName name="Data_PersoonAanUitTijd376">Data!$X$378</definedName>
    <definedName name="Data_PersoonAanUitTijd377">Data!$X$379</definedName>
    <definedName name="Data_PersoonAanUitTijd378">Data!$X$380</definedName>
    <definedName name="Data_PersoonAanUitTijd379">Data!$X$381</definedName>
    <definedName name="Data_PersoonAanUitTijd380">Data!$X$382</definedName>
    <definedName name="Data_PersoonAanUitTijd381">Data!$X$383</definedName>
    <definedName name="Data_PersoonAanUitTijd382">Data!$X$384</definedName>
    <definedName name="Data_PersoonAanUitTijd383">Data!$X$385</definedName>
    <definedName name="Data_PersoonAanUitTijd384">Data!$X$386</definedName>
    <definedName name="Data_PersoonAanUitTijd385">Data!$X$387</definedName>
    <definedName name="Data_PersoonAanUitTijd386">Data!$X$388</definedName>
    <definedName name="Data_PersoonAanUitTijd387">Data!$X$389</definedName>
    <definedName name="Data_PersoonAanUitTijd388">Data!$X$390</definedName>
    <definedName name="Data_PersoonAanUitTijd389">Data!$X$391</definedName>
    <definedName name="Data_PersoonAanUitTijd390">Data!$X$392</definedName>
    <definedName name="Data_PersoonAanUitTijd391">Data!$X$393</definedName>
    <definedName name="Data_PersoonAanUitTijd392">Data!$X$394</definedName>
    <definedName name="Data_PersoonAanUitTijd393">Data!$X$395</definedName>
    <definedName name="Data_PersoonAanUitTijd394">Data!$X$396</definedName>
    <definedName name="Data_PersoonAanUitTijd395">Data!$X$397</definedName>
    <definedName name="Data_PersoonAanUitTijd396">Data!$X$398</definedName>
    <definedName name="Data_PersoonAanUitTijd397">Data!$X$399</definedName>
    <definedName name="Data_PersoonAanUitTijd398">Data!$X$400</definedName>
    <definedName name="Data_PersoonAanUitTijd399">Data!$X$401</definedName>
    <definedName name="Data_PersoonAanUitTijd400">Data!$X$402</definedName>
    <definedName name="Data_PersoonAanUitTijd401">Data!$X$403</definedName>
    <definedName name="Data_PersoonAanUitTijd402">Data!$X$404</definedName>
    <definedName name="Data_PersoonAanUitTijd403">Data!$X$405</definedName>
    <definedName name="Data_PersoonAanUitTijd404">Data!$X$406</definedName>
    <definedName name="Data_PersoonAanUitTijd405">Data!$X$407</definedName>
    <definedName name="Data_PersoonAanUitTijd406">Data!$X$408</definedName>
    <definedName name="Data_PersoonAanUitTijd407">Data!$X$409</definedName>
    <definedName name="Data_PersoonAanUitTijd408">Data!$X$410</definedName>
    <definedName name="Data_PersoonAanUitTijd409">Data!$X$411</definedName>
    <definedName name="Data_PersoonAanUitTijd410">Data!$X$412</definedName>
    <definedName name="Data_PersoonAanUitTijd411">Data!$X$413</definedName>
    <definedName name="Data_PersoonAanUitTijd412">Data!$X$414</definedName>
    <definedName name="Data_PersoonAanUitTijd413">Data!$X$415</definedName>
    <definedName name="Data_PersoonAanUitTijd414">Data!$X$416</definedName>
    <definedName name="Data_PersoonAanUitTijd415">Data!$X$417</definedName>
    <definedName name="Data_PersoonAanUitTijd416">Data!$X$418</definedName>
    <definedName name="Data_PersoonAanUitTijd417">Data!$X$419</definedName>
    <definedName name="Data_PersoonAanUitTijd418">Data!$X$420</definedName>
    <definedName name="Data_PersoonAanUitTijd419">Data!$X$421</definedName>
    <definedName name="Data_PersoonAanUitTijd420">Data!$X$422</definedName>
    <definedName name="Data_PersoonAanUitTijd421">Data!$X$423</definedName>
    <definedName name="Data_PersoonAanUitTijd422">Data!$X$424</definedName>
    <definedName name="Data_PersoonAanUitTijd423">Data!$X$425</definedName>
    <definedName name="Data_PersoonAanUitTijd424">Data!$X$426</definedName>
    <definedName name="Data_PersoonAanUitTijd425">Data!$X$427</definedName>
    <definedName name="Data_PersoonAanUitTijd426">Data!$X$428</definedName>
    <definedName name="Data_PersoonAanUitTijd427">Data!$X$429</definedName>
    <definedName name="Data_PersoonAanUitTijd428">Data!$X$430</definedName>
    <definedName name="Data_PersoonAanUitTijd429">Data!$X$431</definedName>
    <definedName name="Data_PersoonAanUitTijd430">Data!$X$432</definedName>
    <definedName name="Data_PersoonAanUitTijd431">Data!$X$433</definedName>
    <definedName name="Data_PersoonAanUitTijd432">Data!$X$434</definedName>
    <definedName name="Data_PersoonAanUitTijd433">Data!$X$435</definedName>
    <definedName name="Data_PersoonAanUitTijd434">Data!$X$436</definedName>
    <definedName name="Data_PersoonAanUitTijd435">Data!$X$437</definedName>
    <definedName name="Data_PersoonAanUitTijd436">Data!$X$438</definedName>
    <definedName name="Data_PersoonAanUitTijd437">Data!$X$439</definedName>
    <definedName name="Data_PersoonAanUitTijd438">Data!$X$440</definedName>
    <definedName name="Data_PersoonAanUitTijd439">Data!$X$441</definedName>
    <definedName name="Data_PersoonAanUitTijd440">Data!$X$442</definedName>
    <definedName name="Data_PersoonAanUitTijd441">Data!$X$443</definedName>
    <definedName name="Data_PersoonAanUitTijd442">Data!$X$444</definedName>
    <definedName name="Data_PersoonAanUitTijd443">Data!$X$445</definedName>
    <definedName name="Data_PersoonAanUitTijd444">Data!$X$446</definedName>
    <definedName name="Data_PersoonAanUitTijd445">Data!$X$447</definedName>
    <definedName name="Data_PersoonAanUitTijd446">Data!$X$448</definedName>
    <definedName name="Data_PersoonAanUitTijd447">Data!$X$449</definedName>
    <definedName name="Data_PersoonAanUitTijd448">Data!$X$450</definedName>
    <definedName name="Data_PersoonAanUitTijd449">Data!$X$451</definedName>
    <definedName name="Data_PersoonAanUitTijd450">Data!$X$452</definedName>
    <definedName name="Data_PersoonAanUitTijd451">Data!$X$453</definedName>
    <definedName name="Data_PersoonAanUitTijd452">Data!$X$454</definedName>
    <definedName name="Data_PersoonAanUitTijd453">Data!$X$455</definedName>
    <definedName name="Data_PersoonAanUitTijd454">Data!$X$456</definedName>
    <definedName name="Data_PersoonAanUitTijd455">Data!$X$457</definedName>
    <definedName name="Data_PersoonAanUitTijd456">Data!$X$458</definedName>
    <definedName name="Data_PersoonAanUitTijd457">Data!$X$459</definedName>
    <definedName name="Data_PersoonAanUitTijd458">Data!$X$460</definedName>
    <definedName name="Data_PersoonAanUitTijd459">Data!$X$461</definedName>
    <definedName name="Data_PersoonAanUitTijd460">Data!$X$462</definedName>
    <definedName name="Data_PersoonAanUitTijd461">Data!$X$463</definedName>
    <definedName name="Data_PersoonAanUitTijd462">Data!$X$464</definedName>
    <definedName name="Data_PersoonAanUitTijd463">Data!$X$465</definedName>
    <definedName name="Data_PersoonAanUitTijd464">Data!$X$466</definedName>
    <definedName name="Data_PersoonAanUitTijd465">Data!$X$467</definedName>
    <definedName name="Data_PersoonAanUitTijd466">Data!$X$468</definedName>
    <definedName name="Data_PersoonAanUitTijd467">Data!$X$469</definedName>
    <definedName name="Data_PersoonAanUitTijd468">Data!$X$470</definedName>
    <definedName name="Data_PersoonAanUitTijd469">Data!$X$471</definedName>
    <definedName name="Data_PersoonAanUitTijd470">Data!$X$472</definedName>
    <definedName name="Data_PersoonAanUitTijd471">Data!$X$473</definedName>
    <definedName name="Data_PersoonAanUitTijd472">Data!$X$474</definedName>
    <definedName name="Data_PersoonAanUitTijd473">Data!$X$475</definedName>
    <definedName name="Data_PersoonAanUitTijd474">Data!$X$476</definedName>
    <definedName name="Data_PersoonAanUitTijd475">Data!$X$477</definedName>
    <definedName name="Data_PersoonAanUitTijd476">Data!$X$478</definedName>
    <definedName name="Data_PersoonAanUitTijd477">Data!$X$479</definedName>
    <definedName name="Data_PersoonAanUitTijd478">Data!$X$480</definedName>
    <definedName name="Data_PersoonAanUitTijd479">Data!$X$481</definedName>
    <definedName name="Data_PersoonAanUitTijd480">Data!$X$482</definedName>
    <definedName name="Data_PersoonAanUitTijd481">Data!$X$483</definedName>
    <definedName name="Data_PersoonAanUitTijd482">Data!$X$484</definedName>
    <definedName name="Data_PersoonAanUitTijd483">Data!$X$485</definedName>
    <definedName name="Data_PersoonAanUitTijd484">Data!$X$486</definedName>
    <definedName name="Data_PersoonAanUitTijd485">Data!$X$487</definedName>
    <definedName name="Data_PersoonAanUitTijd486">Data!$X$488</definedName>
    <definedName name="Data_PersoonAanUitTijd487">Data!$X$489</definedName>
    <definedName name="Data_PersoonAanUitTijd488">Data!$X$490</definedName>
    <definedName name="Data_PersoonAanUitTijd489">Data!$X$491</definedName>
    <definedName name="Data_PersoonAanUitTijd490">Data!$X$492</definedName>
    <definedName name="Data_PersoonAanUitTijd491">Data!$X$493</definedName>
    <definedName name="Data_PersoonAanUitTijd492">Data!$X$494</definedName>
    <definedName name="Data_PersoonAanUitTijd493">Data!$X$495</definedName>
    <definedName name="Data_PersoonAanUitTijd494">Data!$X$496</definedName>
    <definedName name="Data_PersoonAanUitTijd495">Data!$X$497</definedName>
    <definedName name="Data_PersoonAanUitTijd496">Data!$X$498</definedName>
    <definedName name="Data_PersoonAanUitTijd497">Data!$X$499</definedName>
    <definedName name="Data_PersoonAanUitTijd498">Data!$X$500</definedName>
    <definedName name="Data_PersoonAanUitTijd499">Data!$X$501</definedName>
    <definedName name="Data_PersoonAanUitTijd500">Data!$X$502</definedName>
    <definedName name="Data_PersoonAanUitVastOntslag001">Data!$AR$3</definedName>
    <definedName name="Data_PersoonAanUitVastOntslag002">Data!$AR$4</definedName>
    <definedName name="Data_PersoonAanUitVastOntslag003">Data!$AR$5</definedName>
    <definedName name="Data_PersoonAanUitVastOntslag004">Data!$AR$6</definedName>
    <definedName name="Data_PersoonAanUitVastOntslag005">Data!$AR$7</definedName>
    <definedName name="Data_PersoonAanUitVastOntslag006">Data!$AR$8</definedName>
    <definedName name="Data_PersoonAanUitVastOntslag007">Data!$AR$9</definedName>
    <definedName name="Data_PersoonAanUitVastOntslag008">Data!$AR$10</definedName>
    <definedName name="Data_PersoonAanUitVastOntslag009">Data!$AR$11</definedName>
    <definedName name="Data_PersoonAanUitVastOntslag010">Data!$AR$12</definedName>
    <definedName name="Data_PersoonAanUitVastOntslag011">Data!$AR$13</definedName>
    <definedName name="Data_PersoonAanUitVastOntslag012">Data!$AR$14</definedName>
    <definedName name="Data_PersoonAanUitVastOntslag013">Data!$AR$15</definedName>
    <definedName name="Data_PersoonAanUitVastOntslag014">Data!$AR$16</definedName>
    <definedName name="Data_PersoonAanUitVastOntslag015">Data!$AR$17</definedName>
    <definedName name="Data_PersoonAanUitVastOntslag016">Data!$AR$18</definedName>
    <definedName name="Data_PersoonAanUitVastOntslag017">Data!$AR$19</definedName>
    <definedName name="Data_PersoonAanUitVastOntslag018">Data!$AR$20</definedName>
    <definedName name="Data_PersoonAanUitVastOntslag019">Data!$AR$21</definedName>
    <definedName name="Data_PersoonAanUitVastOntslag020">Data!$AR$22</definedName>
    <definedName name="Data_PersoonAanUitVastOntslag021">Data!$AR$23</definedName>
    <definedName name="Data_PersoonAanUitVastOntslag022">Data!$AR$24</definedName>
    <definedName name="Data_PersoonAanUitVastOntslag023">Data!$AR$25</definedName>
    <definedName name="Data_PersoonAanUitVastOntslag024">Data!$AR$26</definedName>
    <definedName name="Data_PersoonAanUitVastOntslag025">Data!$AR$27</definedName>
    <definedName name="Data_PersoonAanUitVastOntslag026">Data!$AR$28</definedName>
    <definedName name="Data_PersoonAanUitVastOntslag027">Data!$AR$29</definedName>
    <definedName name="Data_PersoonAanUitVastOntslag028">Data!$AR$30</definedName>
    <definedName name="Data_PersoonAanUitVastOntslag029">Data!$AR$31</definedName>
    <definedName name="Data_PersoonAanUitVastOntslag030">Data!$AR$32</definedName>
    <definedName name="Data_PersoonAanUitVastOntslag031">Data!$AR$33</definedName>
    <definedName name="Data_PersoonAanUitVastOntslag032">Data!$AR$34</definedName>
    <definedName name="Data_PersoonAanUitVastOntslag033">Data!$AR$35</definedName>
    <definedName name="Data_PersoonAanUitVastOntslag034">Data!$AR$36</definedName>
    <definedName name="Data_PersoonAanUitVastOntslag035">Data!$AR$37</definedName>
    <definedName name="Data_PersoonAanUitVastOntslag036">Data!$AR$38</definedName>
    <definedName name="Data_PersoonAanUitVastOntslag037">Data!$AR$39</definedName>
    <definedName name="Data_PersoonAanUitVastOntslag038">Data!$AR$40</definedName>
    <definedName name="Data_PersoonAanUitVastOntslag039">Data!$AR$41</definedName>
    <definedName name="Data_PersoonAanUitVastOntslag040">Data!$AR$42</definedName>
    <definedName name="Data_PersoonAanUitVastOntslag041">Data!$AR$43</definedName>
    <definedName name="Data_PersoonAanUitVastOntslag042">Data!$AR$44</definedName>
    <definedName name="Data_PersoonAanUitVastOntslag043">Data!$AR$45</definedName>
    <definedName name="Data_PersoonAanUitVastOntslag044">Data!$AR$46</definedName>
    <definedName name="Data_PersoonAanUitVastOntslag045">Data!$AR$47</definedName>
    <definedName name="Data_PersoonAanUitVastOntslag046">Data!$AR$48</definedName>
    <definedName name="Data_PersoonAanUitVastOntslag047">Data!$AR$49</definedName>
    <definedName name="Data_PersoonAanUitVastOntslag048">Data!$AR$50</definedName>
    <definedName name="Data_PersoonAanUitVastOntslag049">Data!$AR$51</definedName>
    <definedName name="Data_PersoonAanUitVastOntslag050">Data!$AR$52</definedName>
    <definedName name="Data_PersoonAanUitVastOntslag051">Data!$AR$53</definedName>
    <definedName name="Data_PersoonAanUitVastOntslag052">Data!$AR$54</definedName>
    <definedName name="Data_PersoonAanUitVastOntslag053">Data!$AR$55</definedName>
    <definedName name="Data_PersoonAanUitVastOntslag054">Data!$AR$56</definedName>
    <definedName name="Data_PersoonAanUitVastOntslag055">Data!$AR$57</definedName>
    <definedName name="Data_PersoonAanUitVastOntslag056">Data!$AR$58</definedName>
    <definedName name="Data_PersoonAanUitVastOntslag057">Data!$AR$59</definedName>
    <definedName name="Data_PersoonAanUitVastOntslag058">Data!$AR$60</definedName>
    <definedName name="Data_PersoonAanUitVastOntslag059">Data!$AR$61</definedName>
    <definedName name="Data_PersoonAanUitVastOntslag060">Data!$AR$62</definedName>
    <definedName name="Data_PersoonAanUitVastOntslag061">Data!$AR$63</definedName>
    <definedName name="Data_PersoonAanUitVastOntslag062">Data!$AR$64</definedName>
    <definedName name="Data_PersoonAanUitVastOntslag063">Data!$AR$65</definedName>
    <definedName name="Data_PersoonAanUitVastOntslag064">Data!$AR$66</definedName>
    <definedName name="Data_PersoonAanUitVastOntslag065">Data!$AR$67</definedName>
    <definedName name="Data_PersoonAanUitVastOntslag066">Data!$AR$68</definedName>
    <definedName name="Data_PersoonAanUitVastOntslag067">Data!$AR$69</definedName>
    <definedName name="Data_PersoonAanUitVastOntslag068">Data!$AR$70</definedName>
    <definedName name="Data_PersoonAanUitVastOntslag069">Data!$AR$71</definedName>
    <definedName name="Data_PersoonAanUitVastOntslag070">Data!$AR$72</definedName>
    <definedName name="Data_PersoonAanUitVastOntslag071">Data!$AR$73</definedName>
    <definedName name="Data_PersoonAanUitVastOntslag072">Data!$AR$74</definedName>
    <definedName name="Data_PersoonAanUitVastOntslag073">Data!$AR$75</definedName>
    <definedName name="Data_PersoonAanUitVastOntslag074">Data!$AR$76</definedName>
    <definedName name="Data_PersoonAanUitVastOntslag075">Data!$AR$77</definedName>
    <definedName name="Data_PersoonAanUitVastOntslag076">Data!$AR$78</definedName>
    <definedName name="Data_PersoonAanUitVastOntslag077">Data!$AR$79</definedName>
    <definedName name="Data_PersoonAanUitVastOntslag078">Data!$AR$80</definedName>
    <definedName name="Data_PersoonAanUitVastOntslag079">Data!$AR$81</definedName>
    <definedName name="Data_PersoonAanUitVastOntslag080">Data!$AR$82</definedName>
    <definedName name="Data_PersoonAanUitVastOntslag081">Data!$AR$83</definedName>
    <definedName name="Data_PersoonAanUitVastOntslag082">Data!$AR$84</definedName>
    <definedName name="Data_PersoonAanUitVastOntslag083">Data!$AR$85</definedName>
    <definedName name="Data_PersoonAanUitVastOntslag084">Data!$AR$86</definedName>
    <definedName name="Data_PersoonAanUitVastOntslag085">Data!$AR$87</definedName>
    <definedName name="Data_PersoonAanUitVastOntslag086">Data!$AR$88</definedName>
    <definedName name="Data_PersoonAanUitVastOntslag087">Data!$AR$89</definedName>
    <definedName name="Data_PersoonAanUitVastOntslag088">Data!$AR$90</definedName>
    <definedName name="Data_PersoonAanUitVastOntslag089">Data!$AR$91</definedName>
    <definedName name="Data_PersoonAanUitVastOntslag090">Data!$AR$92</definedName>
    <definedName name="Data_PersoonAanUitVastOntslag091">Data!$AR$93</definedName>
    <definedName name="Data_PersoonAanUitVastOntslag092">Data!$AR$94</definedName>
    <definedName name="Data_PersoonAanUitVastOntslag093">Data!$AR$95</definedName>
    <definedName name="Data_PersoonAanUitVastOntslag094">Data!$AR$96</definedName>
    <definedName name="Data_PersoonAanUitVastOntslag095">Data!$AR$97</definedName>
    <definedName name="Data_PersoonAanUitVastOntslag096">Data!$AR$98</definedName>
    <definedName name="Data_PersoonAanUitVastOntslag097">Data!$AR$99</definedName>
    <definedName name="Data_PersoonAanUitVastOntslag098">Data!$AR$100</definedName>
    <definedName name="Data_PersoonAanUitVastOntslag099">Data!$AR$101</definedName>
    <definedName name="Data_PersoonAanUitVastOntslag100">Data!$AR$102</definedName>
    <definedName name="Data_PersoonAanUitVastOntslag101">Data!$AR$103</definedName>
    <definedName name="Data_PersoonAanUitVastOntslag102">Data!$AR$104</definedName>
    <definedName name="Data_PersoonAanUitVastOntslag103">Data!$AR$105</definedName>
    <definedName name="Data_PersoonAanUitVastOntslag104">Data!$AR$106</definedName>
    <definedName name="Data_PersoonAanUitVastOntslag105">Data!$AR$107</definedName>
    <definedName name="Data_PersoonAanUitVastOntslag106">Data!$AR$108</definedName>
    <definedName name="Data_PersoonAanUitVastOntslag107">Data!$AR$109</definedName>
    <definedName name="Data_PersoonAanUitVastOntslag108">Data!$AR$110</definedName>
    <definedName name="Data_PersoonAanUitVastOntslag109">Data!$AR$111</definedName>
    <definedName name="Data_PersoonAanUitVastOntslag110">Data!$AR$112</definedName>
    <definedName name="Data_PersoonAanUitVastOntslag111">Data!$AR$113</definedName>
    <definedName name="Data_PersoonAanUitVastOntslag112">Data!$AR$114</definedName>
    <definedName name="Data_PersoonAanUitVastOntslag113">Data!$AR$115</definedName>
    <definedName name="Data_PersoonAanUitVastOntslag114">Data!$AR$116</definedName>
    <definedName name="Data_PersoonAanUitVastOntslag115">Data!$AR$117</definedName>
    <definedName name="Data_PersoonAanUitVastOntslag116">Data!$AR$118</definedName>
    <definedName name="Data_PersoonAanUitVastOntslag117">Data!$AR$119</definedName>
    <definedName name="Data_PersoonAanUitVastOntslag118">Data!$AR$120</definedName>
    <definedName name="Data_PersoonAanUitVastOntslag119">Data!$AR$121</definedName>
    <definedName name="Data_PersoonAanUitVastOntslag120">Data!$AR$122</definedName>
    <definedName name="Data_PersoonAanUitVastOntslag121">Data!$AR$123</definedName>
    <definedName name="Data_PersoonAanUitVastOntslag122">Data!$AR$124</definedName>
    <definedName name="Data_PersoonAanUitVastOntslag123">Data!$AR$125</definedName>
    <definedName name="Data_PersoonAanUitVastOntslag124">Data!$AR$126</definedName>
    <definedName name="Data_PersoonAanUitVastOntslag125">Data!$AR$127</definedName>
    <definedName name="Data_PersoonAanUitVastOntslag126">Data!$AR$128</definedName>
    <definedName name="Data_PersoonAanUitVastOntslag127">Data!$AR$129</definedName>
    <definedName name="Data_PersoonAanUitVastOntslag128">Data!$AR$130</definedName>
    <definedName name="Data_PersoonAanUitVastOntslag129">Data!$AR$131</definedName>
    <definedName name="Data_PersoonAanUitVastOntslag130">Data!$AR$132</definedName>
    <definedName name="Data_PersoonAanUitVastOntslag131">Data!$AR$133</definedName>
    <definedName name="Data_PersoonAanUitVastOntslag132">Data!$AR$134</definedName>
    <definedName name="Data_PersoonAanUitVastOntslag133">Data!$AR$135</definedName>
    <definedName name="Data_PersoonAanUitVastOntslag134">Data!$AR$136</definedName>
    <definedName name="Data_PersoonAanUitVastOntslag135">Data!$AR$137</definedName>
    <definedName name="Data_PersoonAanUitVastOntslag136">Data!$AR$138</definedName>
    <definedName name="Data_PersoonAanUitVastOntslag137">Data!$AR$139</definedName>
    <definedName name="Data_PersoonAanUitVastOntslag138">Data!$AR$140</definedName>
    <definedName name="Data_PersoonAanUitVastOntslag139">Data!$AR$141</definedName>
    <definedName name="Data_PersoonAanUitVastOntslag140">Data!$AR$142</definedName>
    <definedName name="Data_PersoonAanUitVastOntslag141">Data!$AR$143</definedName>
    <definedName name="Data_PersoonAanUitVastOntslag142">Data!$AR$144</definedName>
    <definedName name="Data_PersoonAanUitVastOntslag143">Data!$AR$145</definedName>
    <definedName name="Data_PersoonAanUitVastOntslag144">Data!$AR$146</definedName>
    <definedName name="Data_PersoonAanUitVastOntslag145">Data!$AR$147</definedName>
    <definedName name="Data_PersoonAanUitVastOntslag146">Data!$AR$148</definedName>
    <definedName name="Data_PersoonAanUitVastOntslag147">Data!$AR$149</definedName>
    <definedName name="Data_PersoonAanUitVastOntslag148">Data!$AR$150</definedName>
    <definedName name="Data_PersoonAanUitVastOntslag149">Data!$AR$151</definedName>
    <definedName name="Data_PersoonAanUitVastOntslag150">Data!$AR$152</definedName>
    <definedName name="Data_PersoonAanUitVastOntslag151">Data!$AR$153</definedName>
    <definedName name="Data_PersoonAanUitVastOntslag152">Data!$AR$154</definedName>
    <definedName name="Data_PersoonAanUitVastOntslag153">Data!$AR$155</definedName>
    <definedName name="Data_PersoonAanUitVastOntslag154">Data!$AR$156</definedName>
    <definedName name="Data_PersoonAanUitVastOntslag155">Data!$AR$157</definedName>
    <definedName name="Data_PersoonAanUitVastOntslag156">Data!$AR$158</definedName>
    <definedName name="Data_PersoonAanUitVastOntslag157">Data!$AR$159</definedName>
    <definedName name="Data_PersoonAanUitVastOntslag158">Data!$AR$160</definedName>
    <definedName name="Data_PersoonAanUitVastOntslag159">Data!$AR$161</definedName>
    <definedName name="Data_PersoonAanUitVastOntslag160">Data!$AR$162</definedName>
    <definedName name="Data_PersoonAanUitVastOntslag161">Data!$AR$163</definedName>
    <definedName name="Data_PersoonAanUitVastOntslag162">Data!$AR$164</definedName>
    <definedName name="Data_PersoonAanUitVastOntslag163">Data!$AR$165</definedName>
    <definedName name="Data_PersoonAanUitVastOntslag164">Data!$AR$166</definedName>
    <definedName name="Data_PersoonAanUitVastOntslag165">Data!$AR$167</definedName>
    <definedName name="Data_PersoonAanUitVastOntslag166">Data!$AR$168</definedName>
    <definedName name="Data_PersoonAanUitVastOntslag167">Data!$AR$169</definedName>
    <definedName name="Data_PersoonAanUitVastOntslag168">Data!$AR$170</definedName>
    <definedName name="Data_PersoonAanUitVastOntslag169">Data!$AR$171</definedName>
    <definedName name="Data_PersoonAanUitVastOntslag170">Data!$AR$172</definedName>
    <definedName name="Data_PersoonAanUitVastOntslag171">Data!$AR$173</definedName>
    <definedName name="Data_PersoonAanUitVastOntslag172">Data!$AR$174</definedName>
    <definedName name="Data_PersoonAanUitVastOntslag173">Data!$AR$175</definedName>
    <definedName name="Data_PersoonAanUitVastOntslag174">Data!$AR$176</definedName>
    <definedName name="Data_PersoonAanUitVastOntslag175">Data!$AR$177</definedName>
    <definedName name="Data_PersoonAanUitVastOntslag176">Data!$AR$178</definedName>
    <definedName name="Data_PersoonAanUitVastOntslag177">Data!$AR$179</definedName>
    <definedName name="Data_PersoonAanUitVastOntslag178">Data!$AR$180</definedName>
    <definedName name="Data_PersoonAanUitVastOntslag179">Data!$AR$181</definedName>
    <definedName name="Data_PersoonAanUitVastOntslag180">Data!$AR$182</definedName>
    <definedName name="Data_PersoonAanUitVastOntslag181">Data!$AR$183</definedName>
    <definedName name="Data_PersoonAanUitVastOntslag182">Data!$AR$184</definedName>
    <definedName name="Data_PersoonAanUitVastOntslag183">Data!$AR$185</definedName>
    <definedName name="Data_PersoonAanUitVastOntslag184">Data!$AR$186</definedName>
    <definedName name="Data_PersoonAanUitVastOntslag185">Data!$AR$187</definedName>
    <definedName name="Data_PersoonAanUitVastOntslag186">Data!$AR$188</definedName>
    <definedName name="Data_PersoonAanUitVastOntslag187">Data!$AR$189</definedName>
    <definedName name="Data_PersoonAanUitVastOntslag188">Data!$AR$190</definedName>
    <definedName name="Data_PersoonAanUitVastOntslag189">Data!$AR$191</definedName>
    <definedName name="Data_PersoonAanUitVastOntslag190">Data!$AR$192</definedName>
    <definedName name="Data_PersoonAanUitVastOntslag191">Data!$AR$193</definedName>
    <definedName name="Data_PersoonAanUitVastOntslag192">Data!$AR$194</definedName>
    <definedName name="Data_PersoonAanUitVastOntslag193">Data!$AR$195</definedName>
    <definedName name="Data_PersoonAanUitVastOntslag194">Data!$AR$196</definedName>
    <definedName name="Data_PersoonAanUitVastOntslag195">Data!$AR$197</definedName>
    <definedName name="Data_PersoonAanUitVastOntslag196">Data!$AR$198</definedName>
    <definedName name="Data_PersoonAanUitVastOntslag197">Data!$AR$199</definedName>
    <definedName name="Data_PersoonAanUitVastOntslag198">Data!$AR$200</definedName>
    <definedName name="Data_PersoonAanUitVastOntslag199">Data!$AR$201</definedName>
    <definedName name="Data_PersoonAanUitVastOntslag200">Data!$AR$202</definedName>
    <definedName name="Data_PersoonAanUitVastOntslag201">Data!$AR$203</definedName>
    <definedName name="Data_PersoonAanUitVastOntslag202">Data!$AR$204</definedName>
    <definedName name="Data_PersoonAanUitVastOntslag203">Data!$AR$205</definedName>
    <definedName name="Data_PersoonAanUitVastOntslag204">Data!$AR$206</definedName>
    <definedName name="Data_PersoonAanUitVastOntslag205">Data!$AR$207</definedName>
    <definedName name="Data_PersoonAanUitVastOntslag206">Data!$AR$208</definedName>
    <definedName name="Data_PersoonAanUitVastOntslag207">Data!$AR$209</definedName>
    <definedName name="Data_PersoonAanUitVastOntslag208">Data!$AR$210</definedName>
    <definedName name="Data_PersoonAanUitVastOntslag209">Data!$AR$211</definedName>
    <definedName name="Data_PersoonAanUitVastOntslag210">Data!$AR$212</definedName>
    <definedName name="Data_PersoonAanUitVastOntslag211">Data!$AR$213</definedName>
    <definedName name="Data_PersoonAanUitVastOntslag212">Data!$AR$214</definedName>
    <definedName name="Data_PersoonAanUitVastOntslag213">Data!$AR$215</definedName>
    <definedName name="Data_PersoonAanUitVastOntslag214">Data!$AR$216</definedName>
    <definedName name="Data_PersoonAanUitVastOntslag215">Data!$AR$217</definedName>
    <definedName name="Data_PersoonAanUitVastOntslag216">Data!$AR$218</definedName>
    <definedName name="Data_PersoonAanUitVastOntslag217">Data!$AR$219</definedName>
    <definedName name="Data_PersoonAanUitVastOntslag218">Data!$AR$220</definedName>
    <definedName name="Data_PersoonAanUitVastOntslag219">Data!$AR$221</definedName>
    <definedName name="Data_PersoonAanUitVastOntslag220">Data!$AR$222</definedName>
    <definedName name="Data_PersoonAanUitVastOntslag221">Data!$AR$223</definedName>
    <definedName name="Data_PersoonAanUitVastOntslag222">Data!$AR$224</definedName>
    <definedName name="Data_PersoonAanUitVastOntslag223">Data!$AR$225</definedName>
    <definedName name="Data_PersoonAanUitVastOntslag224">Data!$AR$226</definedName>
    <definedName name="Data_PersoonAanUitVastOntslag225">Data!$AR$227</definedName>
    <definedName name="Data_PersoonAanUitVastOntslag226">Data!$AR$228</definedName>
    <definedName name="Data_PersoonAanUitVastOntslag227">Data!$AR$229</definedName>
    <definedName name="Data_PersoonAanUitVastOntslag228">Data!$AR$230</definedName>
    <definedName name="Data_PersoonAanUitVastOntslag229">Data!$AR$231</definedName>
    <definedName name="Data_PersoonAanUitVastOntslag230">Data!$AR$232</definedName>
    <definedName name="Data_PersoonAanUitVastOntslag231">Data!$AR$233</definedName>
    <definedName name="Data_PersoonAanUitVastOntslag232">Data!$AR$234</definedName>
    <definedName name="Data_PersoonAanUitVastOntslag233">Data!$AR$235</definedName>
    <definedName name="Data_PersoonAanUitVastOntslag234">Data!$AR$236</definedName>
    <definedName name="Data_PersoonAanUitVastOntslag235">Data!$AR$237</definedName>
    <definedName name="Data_PersoonAanUitVastOntslag236">Data!$AR$238</definedName>
    <definedName name="Data_PersoonAanUitVastOntslag237">Data!$AR$239</definedName>
    <definedName name="Data_PersoonAanUitVastOntslag238">Data!$AR$240</definedName>
    <definedName name="Data_PersoonAanUitVastOntslag239">Data!$AR$241</definedName>
    <definedName name="Data_PersoonAanUitVastOntslag240">Data!$AR$242</definedName>
    <definedName name="Data_PersoonAanUitVastOntslag241">Data!$AR$243</definedName>
    <definedName name="Data_PersoonAanUitVastOntslag242">Data!$AR$244</definedName>
    <definedName name="Data_PersoonAanUitVastOntslag243">Data!$AR$245</definedName>
    <definedName name="Data_PersoonAanUitVastOntslag244">Data!$AR$246</definedName>
    <definedName name="Data_PersoonAanUitVastOntslag245">Data!$AR$247</definedName>
    <definedName name="Data_PersoonAanUitVastOntslag246">Data!$AR$248</definedName>
    <definedName name="Data_PersoonAanUitVastOntslag247">Data!$AR$249</definedName>
    <definedName name="Data_PersoonAanUitVastOntslag248">Data!$AR$250</definedName>
    <definedName name="Data_PersoonAanUitVastOntslag249">Data!$AR$251</definedName>
    <definedName name="Data_PersoonAanUitVastOntslag250">Data!$AR$252</definedName>
    <definedName name="Data_PersoonAanUitVastOntslag251">Data!$AR$253</definedName>
    <definedName name="Data_PersoonAanUitVastOntslag252">Data!$AR$254</definedName>
    <definedName name="Data_PersoonAanUitVastOntslag253">Data!$AR$255</definedName>
    <definedName name="Data_PersoonAanUitVastOntslag254">Data!$AR$256</definedName>
    <definedName name="Data_PersoonAanUitVastOntslag255">Data!$AR$257</definedName>
    <definedName name="Data_PersoonAanUitVastOntslag256">Data!$AR$258</definedName>
    <definedName name="Data_PersoonAanUitVastOntslag257">Data!$AR$259</definedName>
    <definedName name="Data_PersoonAanUitVastOntslag258">Data!$AR$260</definedName>
    <definedName name="Data_PersoonAanUitVastOntslag259">Data!$AR$261</definedName>
    <definedName name="Data_PersoonAanUitVastOntslag260">Data!$AR$262</definedName>
    <definedName name="Data_PersoonAanUitVastOntslag261">Data!$AR$263</definedName>
    <definedName name="Data_PersoonAanUitVastOntslag262">Data!$AR$264</definedName>
    <definedName name="Data_PersoonAanUitVastOntslag263">Data!$AR$265</definedName>
    <definedName name="Data_PersoonAanUitVastOntslag264">Data!$AR$266</definedName>
    <definedName name="Data_PersoonAanUitVastOntslag265">Data!$AR$267</definedName>
    <definedName name="Data_PersoonAanUitVastOntslag266">Data!$AR$268</definedName>
    <definedName name="Data_PersoonAanUitVastOntslag267">Data!$AR$269</definedName>
    <definedName name="Data_PersoonAanUitVastOntslag268">Data!$AR$270</definedName>
    <definedName name="Data_PersoonAanUitVastOntslag269">Data!$AR$271</definedName>
    <definedName name="Data_PersoonAanUitVastOntslag270">Data!$AR$272</definedName>
    <definedName name="Data_PersoonAanUitVastOntslag271">Data!$AR$273</definedName>
    <definedName name="Data_PersoonAanUitVastOntslag272">Data!$AR$274</definedName>
    <definedName name="Data_PersoonAanUitVastOntslag273">Data!$AR$275</definedName>
    <definedName name="Data_PersoonAanUitVastOntslag274">Data!$AR$276</definedName>
    <definedName name="Data_PersoonAanUitVastOntslag275">Data!$AR$277</definedName>
    <definedName name="Data_PersoonAanUitVastOntslag276">Data!$AR$278</definedName>
    <definedName name="Data_PersoonAanUitVastOntslag277">Data!$AR$279</definedName>
    <definedName name="Data_PersoonAanUitVastOntslag278">Data!$AR$280</definedName>
    <definedName name="Data_PersoonAanUitVastOntslag279">Data!$AR$281</definedName>
    <definedName name="Data_PersoonAanUitVastOntslag280">Data!$AR$282</definedName>
    <definedName name="Data_PersoonAanUitVastOntslag281">Data!$AR$283</definedName>
    <definedName name="Data_PersoonAanUitVastOntslag282">Data!$AR$284</definedName>
    <definedName name="Data_PersoonAanUitVastOntslag283">Data!$AR$285</definedName>
    <definedName name="Data_PersoonAanUitVastOntslag284">Data!$AR$286</definedName>
    <definedName name="Data_PersoonAanUitVastOntslag285">Data!$AR$287</definedName>
    <definedName name="Data_PersoonAanUitVastOntslag286">Data!$AR$288</definedName>
    <definedName name="Data_PersoonAanUitVastOntslag287">Data!$AR$289</definedName>
    <definedName name="Data_PersoonAanUitVastOntslag288">Data!$AR$290</definedName>
    <definedName name="Data_PersoonAanUitVastOntslag289">Data!$AR$291</definedName>
    <definedName name="Data_PersoonAanUitVastOntslag290">Data!$AR$292</definedName>
    <definedName name="Data_PersoonAanUitVastOntslag291">Data!$AR$293</definedName>
    <definedName name="Data_PersoonAanUitVastOntslag292">Data!$AR$294</definedName>
    <definedName name="Data_PersoonAanUitVastOntslag293">Data!$AR$295</definedName>
    <definedName name="Data_PersoonAanUitVastOntslag294">Data!$AR$296</definedName>
    <definedName name="Data_PersoonAanUitVastOntslag295">Data!$AR$297</definedName>
    <definedName name="Data_PersoonAanUitVastOntslag296">Data!$AR$298</definedName>
    <definedName name="Data_PersoonAanUitVastOntslag297">Data!$AR$299</definedName>
    <definedName name="Data_PersoonAanUitVastOntslag298">Data!$AR$300</definedName>
    <definedName name="Data_PersoonAanUitVastOntslag299">Data!$AR$301</definedName>
    <definedName name="Data_PersoonAanUitVastOntslag300">Data!$AR$302</definedName>
    <definedName name="Data_PersoonAanUitVastOntslag301">Data!$AR$303</definedName>
    <definedName name="Data_PersoonAanUitVastOntslag302">Data!$AR$304</definedName>
    <definedName name="Data_PersoonAanUitVastOntslag303">Data!$AR$305</definedName>
    <definedName name="Data_PersoonAanUitVastOntslag304">Data!$AR$306</definedName>
    <definedName name="Data_PersoonAanUitVastOntslag305">Data!$AR$307</definedName>
    <definedName name="Data_PersoonAanUitVastOntslag306">Data!$AR$308</definedName>
    <definedName name="Data_PersoonAanUitVastOntslag307">Data!$AR$309</definedName>
    <definedName name="Data_PersoonAanUitVastOntslag308">Data!$AR$310</definedName>
    <definedName name="Data_PersoonAanUitVastOntslag309">Data!$AR$311</definedName>
    <definedName name="Data_PersoonAanUitVastOntslag310">Data!$AR$312</definedName>
    <definedName name="Data_PersoonAanUitVastOntslag311">Data!$AR$313</definedName>
    <definedName name="Data_PersoonAanUitVastOntslag312">Data!$AR$314</definedName>
    <definedName name="Data_PersoonAanUitVastOntslag313">Data!$AR$315</definedName>
    <definedName name="Data_PersoonAanUitVastOntslag314">Data!$AR$316</definedName>
    <definedName name="Data_PersoonAanUitVastOntslag315">Data!$AR$317</definedName>
    <definedName name="Data_PersoonAanUitVastOntslag316">Data!$AR$318</definedName>
    <definedName name="Data_PersoonAanUitVastOntslag317">Data!$AR$319</definedName>
    <definedName name="Data_PersoonAanUitVastOntslag318">Data!$AR$320</definedName>
    <definedName name="Data_PersoonAanUitVastOntslag319">Data!$AR$321</definedName>
    <definedName name="Data_PersoonAanUitVastOntslag320">Data!$AR$322</definedName>
    <definedName name="Data_PersoonAanUitVastOntslag321">Data!$AR$323</definedName>
    <definedName name="Data_PersoonAanUitVastOntslag322">Data!$AR$324</definedName>
    <definedName name="Data_PersoonAanUitVastOntslag323">Data!$AR$325</definedName>
    <definedName name="Data_PersoonAanUitVastOntslag324">Data!$AR$326</definedName>
    <definedName name="Data_PersoonAanUitVastOntslag325">Data!$AR$327</definedName>
    <definedName name="Data_PersoonAanUitVastOntslag326">Data!$AR$328</definedName>
    <definedName name="Data_PersoonAanUitVastOntslag327">Data!$AR$329</definedName>
    <definedName name="Data_PersoonAanUitVastOntslag328">Data!$AR$330</definedName>
    <definedName name="Data_PersoonAanUitVastOntslag329">Data!$AR$331</definedName>
    <definedName name="Data_PersoonAanUitVastOntslag330">Data!$AR$332</definedName>
    <definedName name="Data_PersoonAanUitVastOntslag331">Data!$AR$333</definedName>
    <definedName name="Data_PersoonAanUitVastOntslag332">Data!$AR$334</definedName>
    <definedName name="Data_PersoonAanUitVastOntslag333">Data!$AR$335</definedName>
    <definedName name="Data_PersoonAanUitVastOntslag334">Data!$AR$336</definedName>
    <definedName name="Data_PersoonAanUitVastOntslag335">Data!$AR$337</definedName>
    <definedName name="Data_PersoonAanUitVastOntslag336">Data!$AR$338</definedName>
    <definedName name="Data_PersoonAanUitVastOntslag337">Data!$AR$339</definedName>
    <definedName name="Data_PersoonAanUitVastOntslag338">Data!$AR$340</definedName>
    <definedName name="Data_PersoonAanUitVastOntslag339">Data!$AR$341</definedName>
    <definedName name="Data_PersoonAanUitVastOntslag340">Data!$AR$342</definedName>
    <definedName name="Data_PersoonAanUitVastOntslag341">Data!$AR$343</definedName>
    <definedName name="Data_PersoonAanUitVastOntslag342">Data!$AR$344</definedName>
    <definedName name="Data_PersoonAanUitVastOntslag343">Data!$AR$345</definedName>
    <definedName name="Data_PersoonAanUitVastOntslag344">Data!$AR$346</definedName>
    <definedName name="Data_PersoonAanUitVastOntslag345">Data!$AR$347</definedName>
    <definedName name="Data_PersoonAanUitVastOntslag346">Data!$AR$348</definedName>
    <definedName name="Data_PersoonAanUitVastOntslag347">Data!$AR$349</definedName>
    <definedName name="Data_PersoonAanUitVastOntslag348">Data!$AR$350</definedName>
    <definedName name="Data_PersoonAanUitVastOntslag349">Data!$AR$351</definedName>
    <definedName name="Data_PersoonAanUitVastOntslag350">Data!$AR$352</definedName>
    <definedName name="Data_PersoonAanUitVastOntslag351">Data!$AR$353</definedName>
    <definedName name="Data_PersoonAanUitVastOntslag352">Data!$AR$354</definedName>
    <definedName name="Data_PersoonAanUitVastOntslag353">Data!$AR$355</definedName>
    <definedName name="Data_PersoonAanUitVastOntslag354">Data!$AR$356</definedName>
    <definedName name="Data_PersoonAanUitVastOntslag355">Data!$AR$357</definedName>
    <definedName name="Data_PersoonAanUitVastOntslag356">Data!$AR$358</definedName>
    <definedName name="Data_PersoonAanUitVastOntslag357">Data!$AR$359</definedName>
    <definedName name="Data_PersoonAanUitVastOntslag358">Data!$AR$360</definedName>
    <definedName name="Data_PersoonAanUitVastOntslag359">Data!$AR$361</definedName>
    <definedName name="Data_PersoonAanUitVastOntslag360">Data!$AR$362</definedName>
    <definedName name="Data_PersoonAanUitVastOntslag361">Data!$AR$363</definedName>
    <definedName name="Data_PersoonAanUitVastOntslag362">Data!$AR$364</definedName>
    <definedName name="Data_PersoonAanUitVastOntslag363">Data!$AR$365</definedName>
    <definedName name="Data_PersoonAanUitVastOntslag364">Data!$AR$366</definedName>
    <definedName name="Data_PersoonAanUitVastOntslag365">Data!$AR$367</definedName>
    <definedName name="Data_PersoonAanUitVastOntslag366">Data!$AR$368</definedName>
    <definedName name="Data_PersoonAanUitVastOntslag367">Data!$AR$369</definedName>
    <definedName name="Data_PersoonAanUitVastOntslag368">Data!$AR$370</definedName>
    <definedName name="Data_PersoonAanUitVastOntslag369">Data!$AR$371</definedName>
    <definedName name="Data_PersoonAanUitVastOntslag370">Data!$AR$372</definedName>
    <definedName name="Data_PersoonAanUitVastOntslag371">Data!$AR$373</definedName>
    <definedName name="Data_PersoonAanUitVastOntslag372">Data!$AR$374</definedName>
    <definedName name="Data_PersoonAanUitVastOntslag373">Data!$AR$375</definedName>
    <definedName name="Data_PersoonAanUitVastOntslag374">Data!$AR$376</definedName>
    <definedName name="Data_PersoonAanUitVastOntslag375">Data!$AR$377</definedName>
    <definedName name="Data_PersoonAanUitVastOntslag376">Data!$AR$378</definedName>
    <definedName name="Data_PersoonAanUitVastOntslag377">Data!$AR$379</definedName>
    <definedName name="Data_PersoonAanUitVastOntslag378">Data!$AR$380</definedName>
    <definedName name="Data_PersoonAanUitVastOntslag379">Data!$AR$381</definedName>
    <definedName name="Data_PersoonAanUitVastOntslag380">Data!$AR$382</definedName>
    <definedName name="Data_PersoonAanUitVastOntslag381">Data!$AR$383</definedName>
    <definedName name="Data_PersoonAanUitVastOntslag382">Data!$AR$384</definedName>
    <definedName name="Data_PersoonAanUitVastOntslag383">Data!$AR$385</definedName>
    <definedName name="Data_PersoonAanUitVastOntslag384">Data!$AR$386</definedName>
    <definedName name="Data_PersoonAanUitVastOntslag385">Data!$AR$387</definedName>
    <definedName name="Data_PersoonAanUitVastOntslag386">Data!$AR$388</definedName>
    <definedName name="Data_PersoonAanUitVastOntslag387">Data!$AR$389</definedName>
    <definedName name="Data_PersoonAanUitVastOntslag388">Data!$AR$390</definedName>
    <definedName name="Data_PersoonAanUitVastOntslag389">Data!$AR$391</definedName>
    <definedName name="Data_PersoonAanUitVastOntslag390">Data!$AR$392</definedName>
    <definedName name="Data_PersoonAanUitVastOntslag391">Data!$AR$393</definedName>
    <definedName name="Data_PersoonAanUitVastOntslag392">Data!$AR$394</definedName>
    <definedName name="Data_PersoonAanUitVastOntslag393">Data!$AR$395</definedName>
    <definedName name="Data_PersoonAanUitVastOntslag394">Data!$AR$396</definedName>
    <definedName name="Data_PersoonAanUitVastOntslag395">Data!$AR$397</definedName>
    <definedName name="Data_PersoonAanUitVastOntslag396">Data!$AR$398</definedName>
    <definedName name="Data_PersoonAanUitVastOntslag397">Data!$AR$399</definedName>
    <definedName name="Data_PersoonAanUitVastOntslag398">Data!$AR$400</definedName>
    <definedName name="Data_PersoonAanUitVastOntslag399">Data!$AR$401</definedName>
    <definedName name="Data_PersoonAanUitVastOntslag400">Data!$AR$402</definedName>
    <definedName name="Data_PersoonAanUitVastOntslag401">Data!$AR$403</definedName>
    <definedName name="Data_PersoonAanUitVastOntslag402">Data!$AR$404</definedName>
    <definedName name="Data_PersoonAanUitVastOntslag403">Data!$AR$405</definedName>
    <definedName name="Data_PersoonAanUitVastOntslag404">Data!$AR$406</definedName>
    <definedName name="Data_PersoonAanUitVastOntslag405">Data!$AR$407</definedName>
    <definedName name="Data_PersoonAanUitVastOntslag406">Data!$AR$408</definedName>
    <definedName name="Data_PersoonAanUitVastOntslag407">Data!$AR$409</definedName>
    <definedName name="Data_PersoonAanUitVastOntslag408">Data!$AR$410</definedName>
    <definedName name="Data_PersoonAanUitVastOntslag409">Data!$AR$411</definedName>
    <definedName name="Data_PersoonAanUitVastOntslag410">Data!$AR$412</definedName>
    <definedName name="Data_PersoonAanUitVastOntslag411">Data!$AR$413</definedName>
    <definedName name="Data_PersoonAanUitVastOntslag412">Data!$AR$414</definedName>
    <definedName name="Data_PersoonAanUitVastOntslag413">Data!$AR$415</definedName>
    <definedName name="Data_PersoonAanUitVastOntslag414">Data!$AR$416</definedName>
    <definedName name="Data_PersoonAanUitVastOntslag415">Data!$AR$417</definedName>
    <definedName name="Data_PersoonAanUitVastOntslag416">Data!$AR$418</definedName>
    <definedName name="Data_PersoonAanUitVastOntslag417">Data!$AR$419</definedName>
    <definedName name="Data_PersoonAanUitVastOntslag418">Data!$AR$420</definedName>
    <definedName name="Data_PersoonAanUitVastOntslag419">Data!$AR$421</definedName>
    <definedName name="Data_PersoonAanUitVastOntslag420">Data!$AR$422</definedName>
    <definedName name="Data_PersoonAanUitVastOntslag421">Data!$AR$423</definedName>
    <definedName name="Data_PersoonAanUitVastOntslag422">Data!$AR$424</definedName>
    <definedName name="Data_PersoonAanUitVastOntslag423">Data!$AR$425</definedName>
    <definedName name="Data_PersoonAanUitVastOntslag424">Data!$AR$426</definedName>
    <definedName name="Data_PersoonAanUitVastOntslag425">Data!$AR$427</definedName>
    <definedName name="Data_PersoonAanUitVastOntslag426">Data!$AR$428</definedName>
    <definedName name="Data_PersoonAanUitVastOntslag427">Data!$AR$429</definedName>
    <definedName name="Data_PersoonAanUitVastOntslag428">Data!$AR$430</definedName>
    <definedName name="Data_PersoonAanUitVastOntslag429">Data!$AR$431</definedName>
    <definedName name="Data_PersoonAanUitVastOntslag430">Data!$AR$432</definedName>
    <definedName name="Data_PersoonAanUitVastOntslag431">Data!$AR$433</definedName>
    <definedName name="Data_PersoonAanUitVastOntslag432">Data!$AR$434</definedName>
    <definedName name="Data_PersoonAanUitVastOntslag433">Data!$AR$435</definedName>
    <definedName name="Data_PersoonAanUitVastOntslag434">Data!$AR$436</definedName>
    <definedName name="Data_PersoonAanUitVastOntslag435">Data!$AR$437</definedName>
    <definedName name="Data_PersoonAanUitVastOntslag436">Data!$AR$438</definedName>
    <definedName name="Data_PersoonAanUitVastOntslag437">Data!$AR$439</definedName>
    <definedName name="Data_PersoonAanUitVastOntslag438">Data!$AR$440</definedName>
    <definedName name="Data_PersoonAanUitVastOntslag439">Data!$AR$441</definedName>
    <definedName name="Data_PersoonAanUitVastOntslag440">Data!$AR$442</definedName>
    <definedName name="Data_PersoonAanUitVastOntslag441">Data!$AR$443</definedName>
    <definedName name="Data_PersoonAanUitVastOntslag442">Data!$AR$444</definedName>
    <definedName name="Data_PersoonAanUitVastOntslag443">Data!$AR$445</definedName>
    <definedName name="Data_PersoonAanUitVastOntslag444">Data!$AR$446</definedName>
    <definedName name="Data_PersoonAanUitVastOntslag445">Data!$AR$447</definedName>
    <definedName name="Data_PersoonAanUitVastOntslag446">Data!$AR$448</definedName>
    <definedName name="Data_PersoonAanUitVastOntslag447">Data!$AR$449</definedName>
    <definedName name="Data_PersoonAanUitVastOntslag448">Data!$AR$450</definedName>
    <definedName name="Data_PersoonAanUitVastOntslag449">Data!$AR$451</definedName>
    <definedName name="Data_PersoonAanUitVastOntslag450">Data!$AR$452</definedName>
    <definedName name="Data_PersoonAanUitVastOntslag451">Data!$AR$453</definedName>
    <definedName name="Data_PersoonAanUitVastOntslag452">Data!$AR$454</definedName>
    <definedName name="Data_PersoonAanUitVastOntslag453">Data!$AR$455</definedName>
    <definedName name="Data_PersoonAanUitVastOntslag454">Data!$AR$456</definedName>
    <definedName name="Data_PersoonAanUitVastOntslag455">Data!$AR$457</definedName>
    <definedName name="Data_PersoonAanUitVastOntslag456">Data!$AR$458</definedName>
    <definedName name="Data_PersoonAanUitVastOntslag457">Data!$AR$459</definedName>
    <definedName name="Data_PersoonAanUitVastOntslag458">Data!$AR$460</definedName>
    <definedName name="Data_PersoonAanUitVastOntslag459">Data!$AR$461</definedName>
    <definedName name="Data_PersoonAanUitVastOntslag460">Data!$AR$462</definedName>
    <definedName name="Data_PersoonAanUitVastOntslag461">Data!$AR$463</definedName>
    <definedName name="Data_PersoonAanUitVastOntslag462">Data!$AR$464</definedName>
    <definedName name="Data_PersoonAanUitVastOntslag463">Data!$AR$465</definedName>
    <definedName name="Data_PersoonAanUitVastOntslag464">Data!$AR$466</definedName>
    <definedName name="Data_PersoonAanUitVastOntslag465">Data!$AR$467</definedName>
    <definedName name="Data_PersoonAanUitVastOntslag466">Data!$AR$468</definedName>
    <definedName name="Data_PersoonAanUitVastOntslag467">Data!$AR$469</definedName>
    <definedName name="Data_PersoonAanUitVastOntslag468">Data!$AR$470</definedName>
    <definedName name="Data_PersoonAanUitVastOntslag469">Data!$AR$471</definedName>
    <definedName name="Data_PersoonAanUitVastOntslag470">Data!$AR$472</definedName>
    <definedName name="Data_PersoonAanUitVastOntslag471">Data!$AR$473</definedName>
    <definedName name="Data_PersoonAanUitVastOntslag472">Data!$AR$474</definedName>
    <definedName name="Data_PersoonAanUitVastOntslag473">Data!$AR$475</definedName>
    <definedName name="Data_PersoonAanUitVastOntslag474">Data!$AR$476</definedName>
    <definedName name="Data_PersoonAanUitVastOntslag475">Data!$AR$477</definedName>
    <definedName name="Data_PersoonAanUitVastOntslag476">Data!$AR$478</definedName>
    <definedName name="Data_PersoonAanUitVastOntslag477">Data!$AR$479</definedName>
    <definedName name="Data_PersoonAanUitVastOntslag478">Data!$AR$480</definedName>
    <definedName name="Data_PersoonAanUitVastOntslag479">Data!$AR$481</definedName>
    <definedName name="Data_PersoonAanUitVastOntslag480">Data!$AR$482</definedName>
    <definedName name="Data_PersoonAanUitVastOntslag481">Data!$AR$483</definedName>
    <definedName name="Data_PersoonAanUitVastOntslag482">Data!$AR$484</definedName>
    <definedName name="Data_PersoonAanUitVastOntslag483">Data!$AR$485</definedName>
    <definedName name="Data_PersoonAanUitVastOntslag484">Data!$AR$486</definedName>
    <definedName name="Data_PersoonAanUitVastOntslag485">Data!$AR$487</definedName>
    <definedName name="Data_PersoonAanUitVastOntslag486">Data!$AR$488</definedName>
    <definedName name="Data_PersoonAanUitVastOntslag487">Data!$AR$489</definedName>
    <definedName name="Data_PersoonAanUitVastOntslag488">Data!$AR$490</definedName>
    <definedName name="Data_PersoonAanUitVastOntslag489">Data!$AR$491</definedName>
    <definedName name="Data_PersoonAanUitVastOntslag490">Data!$AR$492</definedName>
    <definedName name="Data_PersoonAanUitVastOntslag491">Data!$AR$493</definedName>
    <definedName name="Data_PersoonAanUitVastOntslag492">Data!$AR$494</definedName>
    <definedName name="Data_PersoonAanUitVastOntslag493">Data!$AR$495</definedName>
    <definedName name="Data_PersoonAanUitVastOntslag494">Data!$AR$496</definedName>
    <definedName name="Data_PersoonAanUitVastOntslag495">Data!$AR$497</definedName>
    <definedName name="Data_PersoonAanUitVastOntslag496">Data!$AR$498</definedName>
    <definedName name="Data_PersoonAanUitVastOntslag497">Data!$AR$499</definedName>
    <definedName name="Data_PersoonAanUitVastOntslag498">Data!$AR$500</definedName>
    <definedName name="Data_PersoonAanUitVastOntslag499">Data!$AR$501</definedName>
    <definedName name="Data_PersoonAanUitVastOntslag500">Data!$AR$502</definedName>
    <definedName name="Data_PersoonAanUitVastVrij001">Data!$AH$3</definedName>
    <definedName name="Data_PersoonAanUitVastVrij002">Data!$AH$4</definedName>
    <definedName name="Data_PersoonAanUitVastVrij003">Data!$AH$5</definedName>
    <definedName name="Data_PersoonAanUitVastVrij004">Data!$AH$6</definedName>
    <definedName name="Data_PersoonAanUitVastVrij005">Data!$AH$7</definedName>
    <definedName name="Data_PersoonAanUitVastVrij006">Data!$AH$8</definedName>
    <definedName name="Data_PersoonAanUitVastVrij007">Data!$AH$9</definedName>
    <definedName name="Data_PersoonAanUitVastVrij008">Data!$AH$10</definedName>
    <definedName name="Data_PersoonAanUitVastVrij009">Data!$AH$11</definedName>
    <definedName name="Data_PersoonAanUitVastVrij010">Data!$AH$12</definedName>
    <definedName name="Data_PersoonAanUitVastVrij011">Data!$AH$13</definedName>
    <definedName name="Data_PersoonAanUitVastVrij012">Data!$AH$14</definedName>
    <definedName name="Data_PersoonAanUitVastVrij013">Data!$AH$15</definedName>
    <definedName name="Data_PersoonAanUitVastVrij014">Data!$AH$16</definedName>
    <definedName name="Data_PersoonAanUitVastVrij015">Data!$AH$17</definedName>
    <definedName name="Data_PersoonAanUitVastVrij016">Data!$AH$18</definedName>
    <definedName name="Data_PersoonAanUitVastVrij017">Data!$AH$19</definedName>
    <definedName name="Data_PersoonAanUitVastVrij018">Data!$AH$20</definedName>
    <definedName name="Data_PersoonAanUitVastVrij019">Data!$AH$21</definedName>
    <definedName name="Data_PersoonAanUitVastVrij020">Data!$AH$22</definedName>
    <definedName name="Data_PersoonAanUitVastVrij021">Data!$AH$23</definedName>
    <definedName name="Data_PersoonAanUitVastVrij022">Data!$AH$24</definedName>
    <definedName name="Data_PersoonAanUitVastVrij023">Data!$AH$25</definedName>
    <definedName name="Data_PersoonAanUitVastVrij024">Data!$AH$26</definedName>
    <definedName name="Data_PersoonAanUitVastVrij025">Data!$AH$27</definedName>
    <definedName name="Data_PersoonAanUitVastVrij026">Data!$AH$28</definedName>
    <definedName name="Data_PersoonAanUitVastVrij027">Data!$AH$29</definedName>
    <definedName name="Data_PersoonAanUitVastVrij028">Data!$AH$30</definedName>
    <definedName name="Data_PersoonAanUitVastVrij029">Data!$AH$31</definedName>
    <definedName name="Data_PersoonAanUitVastVrij030">Data!$AH$32</definedName>
    <definedName name="Data_PersoonAanUitVastVrij031">Data!$AH$33</definedName>
    <definedName name="Data_PersoonAanUitVastVrij032">Data!$AH$34</definedName>
    <definedName name="Data_PersoonAanUitVastVrij033">Data!$AH$35</definedName>
    <definedName name="Data_PersoonAanUitVastVrij034">Data!$AH$36</definedName>
    <definedName name="Data_PersoonAanUitVastVrij035">Data!$AH$37</definedName>
    <definedName name="Data_PersoonAanUitVastVrij036">Data!$AH$38</definedName>
    <definedName name="Data_PersoonAanUitVastVrij037">Data!$AH$39</definedName>
    <definedName name="Data_PersoonAanUitVastVrij038">Data!$AH$40</definedName>
    <definedName name="Data_PersoonAanUitVastVrij039">Data!$AH$41</definedName>
    <definedName name="Data_PersoonAanUitVastVrij040">Data!$AH$42</definedName>
    <definedName name="Data_PersoonAanUitVastVrij041">Data!$AH$43</definedName>
    <definedName name="Data_PersoonAanUitVastVrij042">Data!$AH$44</definedName>
    <definedName name="Data_PersoonAanUitVastVrij043">Data!$AH$45</definedName>
    <definedName name="Data_PersoonAanUitVastVrij044">Data!$AH$46</definedName>
    <definedName name="Data_PersoonAanUitVastVrij045">Data!$AH$47</definedName>
    <definedName name="Data_PersoonAanUitVastVrij046">Data!$AH$48</definedName>
    <definedName name="Data_PersoonAanUitVastVrij047">Data!$AH$49</definedName>
    <definedName name="Data_PersoonAanUitVastVrij048">Data!$AH$50</definedName>
    <definedName name="Data_PersoonAanUitVastVrij049">Data!$AH$51</definedName>
    <definedName name="Data_PersoonAanUitVastVrij050">Data!$AH$52</definedName>
    <definedName name="Data_PersoonAanUitVastVrij051">Data!$AH$53</definedName>
    <definedName name="Data_PersoonAanUitVastVrij052">Data!$AH$54</definedName>
    <definedName name="Data_PersoonAanUitVastVrij053">Data!$AH$55</definedName>
    <definedName name="Data_PersoonAanUitVastVrij054">Data!$AH$56</definedName>
    <definedName name="Data_PersoonAanUitVastVrij055">Data!$AH$57</definedName>
    <definedName name="Data_PersoonAanUitVastVrij056">Data!$AH$58</definedName>
    <definedName name="Data_PersoonAanUitVastVrij057">Data!$AH$59</definedName>
    <definedName name="Data_PersoonAanUitVastVrij058">Data!$AH$60</definedName>
    <definedName name="Data_PersoonAanUitVastVrij059">Data!$AH$61</definedName>
    <definedName name="Data_PersoonAanUitVastVrij060">Data!$AH$62</definedName>
    <definedName name="Data_PersoonAanUitVastVrij061">Data!$AH$63</definedName>
    <definedName name="Data_PersoonAanUitVastVrij062">Data!$AH$64</definedName>
    <definedName name="Data_PersoonAanUitVastVrij063">Data!$AH$65</definedName>
    <definedName name="Data_PersoonAanUitVastVrij064">Data!$AH$66</definedName>
    <definedName name="Data_PersoonAanUitVastVrij065">Data!$AH$67</definedName>
    <definedName name="Data_PersoonAanUitVastVrij066">Data!$AH$68</definedName>
    <definedName name="Data_PersoonAanUitVastVrij067">Data!$AH$69</definedName>
    <definedName name="Data_PersoonAanUitVastVrij068">Data!$AH$70</definedName>
    <definedName name="Data_PersoonAanUitVastVrij069">Data!$AH$71</definedName>
    <definedName name="Data_PersoonAanUitVastVrij070">Data!$AH$72</definedName>
    <definedName name="Data_PersoonAanUitVastVrij071">Data!$AH$73</definedName>
    <definedName name="Data_PersoonAanUitVastVrij072">Data!$AH$74</definedName>
    <definedName name="Data_PersoonAanUitVastVrij073">Data!$AH$75</definedName>
    <definedName name="Data_PersoonAanUitVastVrij074">Data!$AH$76</definedName>
    <definedName name="Data_PersoonAanUitVastVrij075">Data!$AH$77</definedName>
    <definedName name="Data_PersoonAanUitVastVrij076">Data!$AH$78</definedName>
    <definedName name="Data_PersoonAanUitVastVrij077">Data!$AH$79</definedName>
    <definedName name="Data_PersoonAanUitVastVrij078">Data!$AH$80</definedName>
    <definedName name="Data_PersoonAanUitVastVrij079">Data!$AH$81</definedName>
    <definedName name="Data_PersoonAanUitVastVrij080">Data!$AH$82</definedName>
    <definedName name="Data_PersoonAanUitVastVrij081">Data!$AH$83</definedName>
    <definedName name="Data_PersoonAanUitVastVrij082">Data!$AH$84</definedName>
    <definedName name="Data_PersoonAanUitVastVrij083">Data!$AH$85</definedName>
    <definedName name="Data_PersoonAanUitVastVrij084">Data!$AH$86</definedName>
    <definedName name="Data_PersoonAanUitVastVrij085">Data!$AH$87</definedName>
    <definedName name="Data_PersoonAanUitVastVrij086">Data!$AH$88</definedName>
    <definedName name="Data_PersoonAanUitVastVrij087">Data!$AH$89</definedName>
    <definedName name="Data_PersoonAanUitVastVrij088">Data!$AH$90</definedName>
    <definedName name="Data_PersoonAanUitVastVrij089">Data!$AH$91</definedName>
    <definedName name="Data_PersoonAanUitVastVrij090">Data!$AH$92</definedName>
    <definedName name="Data_PersoonAanUitVastVrij091">Data!$AH$93</definedName>
    <definedName name="Data_PersoonAanUitVastVrij092">Data!$AH$94</definedName>
    <definedName name="Data_PersoonAanUitVastVrij093">Data!$AH$95</definedName>
    <definedName name="Data_PersoonAanUitVastVrij094">Data!$AH$96</definedName>
    <definedName name="Data_PersoonAanUitVastVrij095">Data!$AH$97</definedName>
    <definedName name="Data_PersoonAanUitVastVrij096">Data!$AH$98</definedName>
    <definedName name="Data_PersoonAanUitVastVrij097">Data!$AH$99</definedName>
    <definedName name="Data_PersoonAanUitVastVrij098">Data!$AH$100</definedName>
    <definedName name="Data_PersoonAanUitVastVrij099">Data!$AH$101</definedName>
    <definedName name="Data_PersoonAanUitVastVrij100">Data!$AH$102</definedName>
    <definedName name="Data_PersoonAanUitVastVrij101">Data!$AH$103</definedName>
    <definedName name="Data_PersoonAanUitVastVrij102">Data!$AH$104</definedName>
    <definedName name="Data_PersoonAanUitVastVrij103">Data!$AH$105</definedName>
    <definedName name="Data_PersoonAanUitVastVrij104">Data!$AH$106</definedName>
    <definedName name="Data_PersoonAanUitVastVrij105">Data!$AH$107</definedName>
    <definedName name="Data_PersoonAanUitVastVrij106">Data!$AH$108</definedName>
    <definedName name="Data_PersoonAanUitVastVrij107">Data!$AH$109</definedName>
    <definedName name="Data_PersoonAanUitVastVrij108">Data!$AH$110</definedName>
    <definedName name="Data_PersoonAanUitVastVrij109">Data!$AH$111</definedName>
    <definedName name="Data_PersoonAanUitVastVrij110">Data!$AH$112</definedName>
    <definedName name="Data_PersoonAanUitVastVrij111">Data!$AH$113</definedName>
    <definedName name="Data_PersoonAanUitVastVrij112">Data!$AH$114</definedName>
    <definedName name="Data_PersoonAanUitVastVrij113">Data!$AH$115</definedName>
    <definedName name="Data_PersoonAanUitVastVrij114">Data!$AH$116</definedName>
    <definedName name="Data_PersoonAanUitVastVrij115">Data!$AH$117</definedName>
    <definedName name="Data_PersoonAanUitVastVrij116">Data!$AH$118</definedName>
    <definedName name="Data_PersoonAanUitVastVrij117">Data!$AH$119</definedName>
    <definedName name="Data_PersoonAanUitVastVrij118">Data!$AH$120</definedName>
    <definedName name="Data_PersoonAanUitVastVrij119">Data!$AH$121</definedName>
    <definedName name="Data_PersoonAanUitVastVrij120">Data!$AH$122</definedName>
    <definedName name="Data_PersoonAanUitVastVrij121">Data!$AH$123</definedName>
    <definedName name="Data_PersoonAanUitVastVrij122">Data!$AH$124</definedName>
    <definedName name="Data_PersoonAanUitVastVrij123">Data!$AH$125</definedName>
    <definedName name="Data_PersoonAanUitVastVrij124">Data!$AH$126</definedName>
    <definedName name="Data_PersoonAanUitVastVrij125">Data!$AH$127</definedName>
    <definedName name="Data_PersoonAanUitVastVrij126">Data!$AH$128</definedName>
    <definedName name="Data_PersoonAanUitVastVrij127">Data!$AH$129</definedName>
    <definedName name="Data_PersoonAanUitVastVrij128">Data!$AH$130</definedName>
    <definedName name="Data_PersoonAanUitVastVrij129">Data!$AH$131</definedName>
    <definedName name="Data_PersoonAanUitVastVrij130">Data!$AH$132</definedName>
    <definedName name="Data_PersoonAanUitVastVrij131">Data!$AH$133</definedName>
    <definedName name="Data_PersoonAanUitVastVrij132">Data!$AH$134</definedName>
    <definedName name="Data_PersoonAanUitVastVrij133">Data!$AH$135</definedName>
    <definedName name="Data_PersoonAanUitVastVrij134">Data!$AH$136</definedName>
    <definedName name="Data_PersoonAanUitVastVrij135">Data!$AH$137</definedName>
    <definedName name="Data_PersoonAanUitVastVrij136">Data!$AH$138</definedName>
    <definedName name="Data_PersoonAanUitVastVrij137">Data!$AH$139</definedName>
    <definedName name="Data_PersoonAanUitVastVrij138">Data!$AH$140</definedName>
    <definedName name="Data_PersoonAanUitVastVrij139">Data!$AH$141</definedName>
    <definedName name="Data_PersoonAanUitVastVrij140">Data!$AH$142</definedName>
    <definedName name="Data_PersoonAanUitVastVrij141">Data!$AH$143</definedName>
    <definedName name="Data_PersoonAanUitVastVrij142">Data!$AH$144</definedName>
    <definedName name="Data_PersoonAanUitVastVrij143">Data!$AH$145</definedName>
    <definedName name="Data_PersoonAanUitVastVrij144">Data!$AH$146</definedName>
    <definedName name="Data_PersoonAanUitVastVrij145">Data!$AH$147</definedName>
    <definedName name="Data_PersoonAanUitVastVrij146">Data!$AH$148</definedName>
    <definedName name="Data_PersoonAanUitVastVrij147">Data!$AH$149</definedName>
    <definedName name="Data_PersoonAanUitVastVrij148">Data!$AH$150</definedName>
    <definedName name="Data_PersoonAanUitVastVrij149">Data!$AH$151</definedName>
    <definedName name="Data_PersoonAanUitVastVrij150">Data!$AH$152</definedName>
    <definedName name="Data_PersoonAanUitVastVrij151">Data!$AH$153</definedName>
    <definedName name="Data_PersoonAanUitVastVrij152">Data!$AH$154</definedName>
    <definedName name="Data_PersoonAanUitVastVrij153">Data!$AH$155</definedName>
    <definedName name="Data_PersoonAanUitVastVrij154">Data!$AH$156</definedName>
    <definedName name="Data_PersoonAanUitVastVrij155">Data!$AH$157</definedName>
    <definedName name="Data_PersoonAanUitVastVrij156">Data!$AH$158</definedName>
    <definedName name="Data_PersoonAanUitVastVrij157">Data!$AH$159</definedName>
    <definedName name="Data_PersoonAanUitVastVrij158">Data!$AH$160</definedName>
    <definedName name="Data_PersoonAanUitVastVrij159">Data!$AH$161</definedName>
    <definedName name="Data_PersoonAanUitVastVrij160">Data!$AH$162</definedName>
    <definedName name="Data_PersoonAanUitVastVrij161">Data!$AH$163</definedName>
    <definedName name="Data_PersoonAanUitVastVrij162">Data!$AH$164</definedName>
    <definedName name="Data_PersoonAanUitVastVrij163">Data!$AH$165</definedName>
    <definedName name="Data_PersoonAanUitVastVrij164">Data!$AH$166</definedName>
    <definedName name="Data_PersoonAanUitVastVrij165">Data!$AH$167</definedName>
    <definedName name="Data_PersoonAanUitVastVrij166">Data!$AH$168</definedName>
    <definedName name="Data_PersoonAanUitVastVrij167">Data!$AH$169</definedName>
    <definedName name="Data_PersoonAanUitVastVrij168">Data!$AH$170</definedName>
    <definedName name="Data_PersoonAanUitVastVrij169">Data!$AH$171</definedName>
    <definedName name="Data_PersoonAanUitVastVrij170">Data!$AH$172</definedName>
    <definedName name="Data_PersoonAanUitVastVrij171">Data!$AH$173</definedName>
    <definedName name="Data_PersoonAanUitVastVrij172">Data!$AH$174</definedName>
    <definedName name="Data_PersoonAanUitVastVrij173">Data!$AH$175</definedName>
    <definedName name="Data_PersoonAanUitVastVrij174">Data!$AH$176</definedName>
    <definedName name="Data_PersoonAanUitVastVrij175">Data!$AH$177</definedName>
    <definedName name="Data_PersoonAanUitVastVrij176">Data!$AH$178</definedName>
    <definedName name="Data_PersoonAanUitVastVrij177">Data!$AH$179</definedName>
    <definedName name="Data_PersoonAanUitVastVrij178">Data!$AH$180</definedName>
    <definedName name="Data_PersoonAanUitVastVrij179">Data!$AH$181</definedName>
    <definedName name="Data_PersoonAanUitVastVrij180">Data!$AH$182</definedName>
    <definedName name="Data_PersoonAanUitVastVrij181">Data!$AH$183</definedName>
    <definedName name="Data_PersoonAanUitVastVrij182">Data!$AH$184</definedName>
    <definedName name="Data_PersoonAanUitVastVrij183">Data!$AH$185</definedName>
    <definedName name="Data_PersoonAanUitVastVrij184">Data!$AH$186</definedName>
    <definedName name="Data_PersoonAanUitVastVrij185">Data!$AH$187</definedName>
    <definedName name="Data_PersoonAanUitVastVrij186">Data!$AH$188</definedName>
    <definedName name="Data_PersoonAanUitVastVrij187">Data!$AH$189</definedName>
    <definedName name="Data_PersoonAanUitVastVrij188">Data!$AH$190</definedName>
    <definedName name="Data_PersoonAanUitVastVrij189">Data!$AH$191</definedName>
    <definedName name="Data_PersoonAanUitVastVrij190">Data!$AH$192</definedName>
    <definedName name="Data_PersoonAanUitVastVrij191">Data!$AH$193</definedName>
    <definedName name="Data_PersoonAanUitVastVrij192">Data!$AH$194</definedName>
    <definedName name="Data_PersoonAanUitVastVrij193">Data!$AH$195</definedName>
    <definedName name="Data_PersoonAanUitVastVrij194">Data!$AH$196</definedName>
    <definedName name="Data_PersoonAanUitVastVrij195">Data!$AH$197</definedName>
    <definedName name="Data_PersoonAanUitVastVrij196">Data!$AH$198</definedName>
    <definedName name="Data_PersoonAanUitVastVrij197">Data!$AH$199</definedName>
    <definedName name="Data_PersoonAanUitVastVrij198">Data!$AH$200</definedName>
    <definedName name="Data_PersoonAanUitVastVrij199">Data!$AH$201</definedName>
    <definedName name="Data_PersoonAanUitVastVrij200">Data!$AH$202</definedName>
    <definedName name="Data_PersoonAanUitVastVrij201">Data!$AH$203</definedName>
    <definedName name="Data_PersoonAanUitVastVrij202">Data!$AH$204</definedName>
    <definedName name="Data_PersoonAanUitVastVrij203">Data!$AH$205</definedName>
    <definedName name="Data_PersoonAanUitVastVrij204">Data!$AH$206</definedName>
    <definedName name="Data_PersoonAanUitVastVrij205">Data!$AH$207</definedName>
    <definedName name="Data_PersoonAanUitVastVrij206">Data!$AH$208</definedName>
    <definedName name="Data_PersoonAanUitVastVrij207">Data!$AH$209</definedName>
    <definedName name="Data_PersoonAanUitVastVrij208">Data!$AH$210</definedName>
    <definedName name="Data_PersoonAanUitVastVrij209">Data!$AH$211</definedName>
    <definedName name="Data_PersoonAanUitVastVrij210">Data!$AH$212</definedName>
    <definedName name="Data_PersoonAanUitVastVrij211">Data!$AH$213</definedName>
    <definedName name="Data_PersoonAanUitVastVrij212">Data!$AH$214</definedName>
    <definedName name="Data_PersoonAanUitVastVrij213">Data!$AH$215</definedName>
    <definedName name="Data_PersoonAanUitVastVrij214">Data!$AH$216</definedName>
    <definedName name="Data_PersoonAanUitVastVrij215">Data!$AH$217</definedName>
    <definedName name="Data_PersoonAanUitVastVrij216">Data!$AH$218</definedName>
    <definedName name="Data_PersoonAanUitVastVrij217">Data!$AH$219</definedName>
    <definedName name="Data_PersoonAanUitVastVrij218">Data!$AH$220</definedName>
    <definedName name="Data_PersoonAanUitVastVrij219">Data!$AH$221</definedName>
    <definedName name="Data_PersoonAanUitVastVrij220">Data!$AH$222</definedName>
    <definedName name="Data_PersoonAanUitVastVrij221">Data!$AH$223</definedName>
    <definedName name="Data_PersoonAanUitVastVrij222">Data!$AH$224</definedName>
    <definedName name="Data_PersoonAanUitVastVrij223">Data!$AH$225</definedName>
    <definedName name="Data_PersoonAanUitVastVrij224">Data!$AH$226</definedName>
    <definedName name="Data_PersoonAanUitVastVrij225">Data!$AH$227</definedName>
    <definedName name="Data_PersoonAanUitVastVrij226">Data!$AH$228</definedName>
    <definedName name="Data_PersoonAanUitVastVrij227">Data!$AH$229</definedName>
    <definedName name="Data_PersoonAanUitVastVrij228">Data!$AH$230</definedName>
    <definedName name="Data_PersoonAanUitVastVrij229">Data!$AH$231</definedName>
    <definedName name="Data_PersoonAanUitVastVrij230">Data!$AH$232</definedName>
    <definedName name="Data_PersoonAanUitVastVrij231">Data!$AH$233</definedName>
    <definedName name="Data_PersoonAanUitVastVrij232">Data!$AH$234</definedName>
    <definedName name="Data_PersoonAanUitVastVrij233">Data!$AH$235</definedName>
    <definedName name="Data_PersoonAanUitVastVrij234">Data!$AH$236</definedName>
    <definedName name="Data_PersoonAanUitVastVrij235">Data!$AH$237</definedName>
    <definedName name="Data_PersoonAanUitVastVrij236">Data!$AH$238</definedName>
    <definedName name="Data_PersoonAanUitVastVrij237">Data!$AH$239</definedName>
    <definedName name="Data_PersoonAanUitVastVrij238">Data!$AH$240</definedName>
    <definedName name="Data_PersoonAanUitVastVrij239">Data!$AH$241</definedName>
    <definedName name="Data_PersoonAanUitVastVrij240">Data!$AH$242</definedName>
    <definedName name="Data_PersoonAanUitVastVrij241">Data!$AH$243</definedName>
    <definedName name="Data_PersoonAanUitVastVrij242">Data!$AH$244</definedName>
    <definedName name="Data_PersoonAanUitVastVrij243">Data!$AH$245</definedName>
    <definedName name="Data_PersoonAanUitVastVrij244">Data!$AH$246</definedName>
    <definedName name="Data_PersoonAanUitVastVrij245">Data!$AH$247</definedName>
    <definedName name="Data_PersoonAanUitVastVrij246">Data!$AH$248</definedName>
    <definedName name="Data_PersoonAanUitVastVrij247">Data!$AH$249</definedName>
    <definedName name="Data_PersoonAanUitVastVrij248">Data!$AH$250</definedName>
    <definedName name="Data_PersoonAanUitVastVrij249">Data!$AH$251</definedName>
    <definedName name="Data_PersoonAanUitVastVrij250">Data!$AH$252</definedName>
    <definedName name="Data_PersoonAanUitVastVrij251">Data!$AH$253</definedName>
    <definedName name="Data_PersoonAanUitVastVrij252">Data!$AH$254</definedName>
    <definedName name="Data_PersoonAanUitVastVrij253">Data!$AH$255</definedName>
    <definedName name="Data_PersoonAanUitVastVrij254">Data!$AH$256</definedName>
    <definedName name="Data_PersoonAanUitVastVrij255">Data!$AH$257</definedName>
    <definedName name="Data_PersoonAanUitVastVrij256">Data!$AH$258</definedName>
    <definedName name="Data_PersoonAanUitVastVrij257">Data!$AH$259</definedName>
    <definedName name="Data_PersoonAanUitVastVrij258">Data!$AH$260</definedName>
    <definedName name="Data_PersoonAanUitVastVrij259">Data!$AH$261</definedName>
    <definedName name="Data_PersoonAanUitVastVrij260">Data!$AH$262</definedName>
    <definedName name="Data_PersoonAanUitVastVrij261">Data!$AH$263</definedName>
    <definedName name="Data_PersoonAanUitVastVrij262">Data!$AH$264</definedName>
    <definedName name="Data_PersoonAanUitVastVrij263">Data!$AH$265</definedName>
    <definedName name="Data_PersoonAanUitVastVrij264">Data!$AH$266</definedName>
    <definedName name="Data_PersoonAanUitVastVrij265">Data!$AH$267</definedName>
    <definedName name="Data_PersoonAanUitVastVrij266">Data!$AH$268</definedName>
    <definedName name="Data_PersoonAanUitVastVrij267">Data!$AH$269</definedName>
    <definedName name="Data_PersoonAanUitVastVrij268">Data!$AH$270</definedName>
    <definedName name="Data_PersoonAanUitVastVrij269">Data!$AH$271</definedName>
    <definedName name="Data_PersoonAanUitVastVrij270">Data!$AH$272</definedName>
    <definedName name="Data_PersoonAanUitVastVrij271">Data!$AH$273</definedName>
    <definedName name="Data_PersoonAanUitVastVrij272">Data!$AH$274</definedName>
    <definedName name="Data_PersoonAanUitVastVrij273">Data!$AH$275</definedName>
    <definedName name="Data_PersoonAanUitVastVrij274">Data!$AH$276</definedName>
    <definedName name="Data_PersoonAanUitVastVrij275">Data!$AH$277</definedName>
    <definedName name="Data_PersoonAanUitVastVrij276">Data!$AH$278</definedName>
    <definedName name="Data_PersoonAanUitVastVrij277">Data!$AH$279</definedName>
    <definedName name="Data_PersoonAanUitVastVrij278">Data!$AH$280</definedName>
    <definedName name="Data_PersoonAanUitVastVrij279">Data!$AH$281</definedName>
    <definedName name="Data_PersoonAanUitVastVrij280">Data!$AH$282</definedName>
    <definedName name="Data_PersoonAanUitVastVrij281">Data!$AH$283</definedName>
    <definedName name="Data_PersoonAanUitVastVrij282">Data!$AH$284</definedName>
    <definedName name="Data_PersoonAanUitVastVrij283">Data!$AH$285</definedName>
    <definedName name="Data_PersoonAanUitVastVrij284">Data!$AH$286</definedName>
    <definedName name="Data_PersoonAanUitVastVrij285">Data!$AH$287</definedName>
    <definedName name="Data_PersoonAanUitVastVrij286">Data!$AH$288</definedName>
    <definedName name="Data_PersoonAanUitVastVrij287">Data!$AH$289</definedName>
    <definedName name="Data_PersoonAanUitVastVrij288">Data!$AH$290</definedName>
    <definedName name="Data_PersoonAanUitVastVrij289">Data!$AH$291</definedName>
    <definedName name="Data_PersoonAanUitVastVrij290">Data!$AH$292</definedName>
    <definedName name="Data_PersoonAanUitVastVrij291">Data!$AH$293</definedName>
    <definedName name="Data_PersoonAanUitVastVrij292">Data!$AH$294</definedName>
    <definedName name="Data_PersoonAanUitVastVrij293">Data!$AH$295</definedName>
    <definedName name="Data_PersoonAanUitVastVrij294">Data!$AH$296</definedName>
    <definedName name="Data_PersoonAanUitVastVrij295">Data!$AH$297</definedName>
    <definedName name="Data_PersoonAanUitVastVrij296">Data!$AH$298</definedName>
    <definedName name="Data_PersoonAanUitVastVrij297">Data!$AH$299</definedName>
    <definedName name="Data_PersoonAanUitVastVrij298">Data!$AH$300</definedName>
    <definedName name="Data_PersoonAanUitVastVrij299">Data!$AH$301</definedName>
    <definedName name="Data_PersoonAanUitVastVrij300">Data!$AH$302</definedName>
    <definedName name="Data_PersoonAanUitVastVrij301">Data!$AH$303</definedName>
    <definedName name="Data_PersoonAanUitVastVrij302">Data!$AH$304</definedName>
    <definedName name="Data_PersoonAanUitVastVrij303">Data!$AH$305</definedName>
    <definedName name="Data_PersoonAanUitVastVrij304">Data!$AH$306</definedName>
    <definedName name="Data_PersoonAanUitVastVrij305">Data!$AH$307</definedName>
    <definedName name="Data_PersoonAanUitVastVrij306">Data!$AH$308</definedName>
    <definedName name="Data_PersoonAanUitVastVrij307">Data!$AH$309</definedName>
    <definedName name="Data_PersoonAanUitVastVrij308">Data!$AH$310</definedName>
    <definedName name="Data_PersoonAanUitVastVrij309">Data!$AH$311</definedName>
    <definedName name="Data_PersoonAanUitVastVrij310">Data!$AH$312</definedName>
    <definedName name="Data_PersoonAanUitVastVrij311">Data!$AH$313</definedName>
    <definedName name="Data_PersoonAanUitVastVrij312">Data!$AH$314</definedName>
    <definedName name="Data_PersoonAanUitVastVrij313">Data!$AH$315</definedName>
    <definedName name="Data_PersoonAanUitVastVrij314">Data!$AH$316</definedName>
    <definedName name="Data_PersoonAanUitVastVrij315">Data!$AH$317</definedName>
    <definedName name="Data_PersoonAanUitVastVrij316">Data!$AH$318</definedName>
    <definedName name="Data_PersoonAanUitVastVrij317">Data!$AH$319</definedName>
    <definedName name="Data_PersoonAanUitVastVrij318">Data!$AH$320</definedName>
    <definedName name="Data_PersoonAanUitVastVrij319">Data!$AH$321</definedName>
    <definedName name="Data_PersoonAanUitVastVrij320">Data!$AH$322</definedName>
    <definedName name="Data_PersoonAanUitVastVrij321">Data!$AH$323</definedName>
    <definedName name="Data_PersoonAanUitVastVrij322">Data!$AH$324</definedName>
    <definedName name="Data_PersoonAanUitVastVrij323">Data!$AH$325</definedName>
    <definedName name="Data_PersoonAanUitVastVrij324">Data!$AH$326</definedName>
    <definedName name="Data_PersoonAanUitVastVrij325">Data!$AH$327</definedName>
    <definedName name="Data_PersoonAanUitVastVrij326">Data!$AH$328</definedName>
    <definedName name="Data_PersoonAanUitVastVrij327">Data!$AH$329</definedName>
    <definedName name="Data_PersoonAanUitVastVrij328">Data!$AH$330</definedName>
    <definedName name="Data_PersoonAanUitVastVrij329">Data!$AH$331</definedName>
    <definedName name="Data_PersoonAanUitVastVrij330">Data!$AH$332</definedName>
    <definedName name="Data_PersoonAanUitVastVrij331">Data!$AH$333</definedName>
    <definedName name="Data_PersoonAanUitVastVrij332">Data!$AH$334</definedName>
    <definedName name="Data_PersoonAanUitVastVrij333">Data!$AH$335</definedName>
    <definedName name="Data_PersoonAanUitVastVrij334">Data!$AH$336</definedName>
    <definedName name="Data_PersoonAanUitVastVrij335">Data!$AH$337</definedName>
    <definedName name="Data_PersoonAanUitVastVrij336">Data!$AH$338</definedName>
    <definedName name="Data_PersoonAanUitVastVrij337">Data!$AH$339</definedName>
    <definedName name="Data_PersoonAanUitVastVrij338">Data!$AH$340</definedName>
    <definedName name="Data_PersoonAanUitVastVrij339">Data!$AH$341</definedName>
    <definedName name="Data_PersoonAanUitVastVrij340">Data!$AH$342</definedName>
    <definedName name="Data_PersoonAanUitVastVrij341">Data!$AH$343</definedName>
    <definedName name="Data_PersoonAanUitVastVrij342">Data!$AH$344</definedName>
    <definedName name="Data_PersoonAanUitVastVrij343">Data!$AH$345</definedName>
    <definedName name="Data_PersoonAanUitVastVrij344">Data!$AH$346</definedName>
    <definedName name="Data_PersoonAanUitVastVrij345">Data!$AH$347</definedName>
    <definedName name="Data_PersoonAanUitVastVrij346">Data!$AH$348</definedName>
    <definedName name="Data_PersoonAanUitVastVrij347">Data!$AH$349</definedName>
    <definedName name="Data_PersoonAanUitVastVrij348">Data!$AH$350</definedName>
    <definedName name="Data_PersoonAanUitVastVrij349">Data!$AH$351</definedName>
    <definedName name="Data_PersoonAanUitVastVrij350">Data!$AH$352</definedName>
    <definedName name="Data_PersoonAanUitVastVrij351">Data!$AH$353</definedName>
    <definedName name="Data_PersoonAanUitVastVrij352">Data!$AH$354</definedName>
    <definedName name="Data_PersoonAanUitVastVrij353">Data!$AH$355</definedName>
    <definedName name="Data_PersoonAanUitVastVrij354">Data!$AH$356</definedName>
    <definedName name="Data_PersoonAanUitVastVrij355">Data!$AH$357</definedName>
    <definedName name="Data_PersoonAanUitVastVrij356">Data!$AH$358</definedName>
    <definedName name="Data_PersoonAanUitVastVrij357">Data!$AH$359</definedName>
    <definedName name="Data_PersoonAanUitVastVrij358">Data!$AH$360</definedName>
    <definedName name="Data_PersoonAanUitVastVrij359">Data!$AH$361</definedName>
    <definedName name="Data_PersoonAanUitVastVrij360">Data!$AH$362</definedName>
    <definedName name="Data_PersoonAanUitVastVrij361">Data!$AH$363</definedName>
    <definedName name="Data_PersoonAanUitVastVrij362">Data!$AH$364</definedName>
    <definedName name="Data_PersoonAanUitVastVrij363">Data!$AH$365</definedName>
    <definedName name="Data_PersoonAanUitVastVrij364">Data!$AH$366</definedName>
    <definedName name="Data_PersoonAanUitVastVrij365">Data!$AH$367</definedName>
    <definedName name="Data_PersoonAanUitVastVrij366">Data!$AH$368</definedName>
    <definedName name="Data_PersoonAanUitVastVrij367">Data!$AH$369</definedName>
    <definedName name="Data_PersoonAanUitVastVrij368">Data!$AH$370</definedName>
    <definedName name="Data_PersoonAanUitVastVrij369">Data!$AH$371</definedName>
    <definedName name="Data_PersoonAanUitVastVrij370">Data!$AH$372</definedName>
    <definedName name="Data_PersoonAanUitVastVrij371">Data!$AH$373</definedName>
    <definedName name="Data_PersoonAanUitVastVrij372">Data!$AH$374</definedName>
    <definedName name="Data_PersoonAanUitVastVrij373">Data!$AH$375</definedName>
    <definedName name="Data_PersoonAanUitVastVrij374">Data!$AH$376</definedName>
    <definedName name="Data_PersoonAanUitVastVrij375">Data!$AH$377</definedName>
    <definedName name="Data_PersoonAanUitVastVrij376">Data!$AH$378</definedName>
    <definedName name="Data_PersoonAanUitVastVrij377">Data!$AH$379</definedName>
    <definedName name="Data_PersoonAanUitVastVrij378">Data!$AH$380</definedName>
    <definedName name="Data_PersoonAanUitVastVrij379">Data!$AH$381</definedName>
    <definedName name="Data_PersoonAanUitVastVrij380">Data!$AH$382</definedName>
    <definedName name="Data_PersoonAanUitVastVrij381">Data!$AH$383</definedName>
    <definedName name="Data_PersoonAanUitVastVrij382">Data!$AH$384</definedName>
    <definedName name="Data_PersoonAanUitVastVrij383">Data!$AH$385</definedName>
    <definedName name="Data_PersoonAanUitVastVrij384">Data!$AH$386</definedName>
    <definedName name="Data_PersoonAanUitVastVrij385">Data!$AH$387</definedName>
    <definedName name="Data_PersoonAanUitVastVrij386">Data!$AH$388</definedName>
    <definedName name="Data_PersoonAanUitVastVrij387">Data!$AH$389</definedName>
    <definedName name="Data_PersoonAanUitVastVrij388">Data!$AH$390</definedName>
    <definedName name="Data_PersoonAanUitVastVrij389">Data!$AH$391</definedName>
    <definedName name="Data_PersoonAanUitVastVrij390">Data!$AH$392</definedName>
    <definedName name="Data_PersoonAanUitVastVrij391">Data!$AH$393</definedName>
    <definedName name="Data_PersoonAanUitVastVrij392">Data!$AH$394</definedName>
    <definedName name="Data_PersoonAanUitVastVrij393">Data!$AH$395</definedName>
    <definedName name="Data_PersoonAanUitVastVrij394">Data!$AH$396</definedName>
    <definedName name="Data_PersoonAanUitVastVrij395">Data!$AH$397</definedName>
    <definedName name="Data_PersoonAanUitVastVrij396">Data!$AH$398</definedName>
    <definedName name="Data_PersoonAanUitVastVrij397">Data!$AH$399</definedName>
    <definedName name="Data_PersoonAanUitVastVrij398">Data!$AH$400</definedName>
    <definedName name="Data_PersoonAanUitVastVrij399">Data!$AH$401</definedName>
    <definedName name="Data_PersoonAanUitVastVrij400">Data!$AH$402</definedName>
    <definedName name="Data_PersoonAanUitVastVrij401">Data!$AH$403</definedName>
    <definedName name="Data_PersoonAanUitVastVrij402">Data!$AH$404</definedName>
    <definedName name="Data_PersoonAanUitVastVrij403">Data!$AH$405</definedName>
    <definedName name="Data_PersoonAanUitVastVrij404">Data!$AH$406</definedName>
    <definedName name="Data_PersoonAanUitVastVrij405">Data!$AH$407</definedName>
    <definedName name="Data_PersoonAanUitVastVrij406">Data!$AH$408</definedName>
    <definedName name="Data_PersoonAanUitVastVrij407">Data!$AH$409</definedName>
    <definedName name="Data_PersoonAanUitVastVrij408">Data!$AH$410</definedName>
    <definedName name="Data_PersoonAanUitVastVrij409">Data!$AH$411</definedName>
    <definedName name="Data_PersoonAanUitVastVrij410">Data!$AH$412</definedName>
    <definedName name="Data_PersoonAanUitVastVrij411">Data!$AH$413</definedName>
    <definedName name="Data_PersoonAanUitVastVrij412">Data!$AH$414</definedName>
    <definedName name="Data_PersoonAanUitVastVrij413">Data!$AH$415</definedName>
    <definedName name="Data_PersoonAanUitVastVrij414">Data!$AH$416</definedName>
    <definedName name="Data_PersoonAanUitVastVrij415">Data!$AH$417</definedName>
    <definedName name="Data_PersoonAanUitVastVrij416">Data!$AH$418</definedName>
    <definedName name="Data_PersoonAanUitVastVrij417">Data!$AH$419</definedName>
    <definedName name="Data_PersoonAanUitVastVrij418">Data!$AH$420</definedName>
    <definedName name="Data_PersoonAanUitVastVrij419">Data!$AH$421</definedName>
    <definedName name="Data_PersoonAanUitVastVrij420">Data!$AH$422</definedName>
    <definedName name="Data_PersoonAanUitVastVrij421">Data!$AH$423</definedName>
    <definedName name="Data_PersoonAanUitVastVrij422">Data!$AH$424</definedName>
    <definedName name="Data_PersoonAanUitVastVrij423">Data!$AH$425</definedName>
    <definedName name="Data_PersoonAanUitVastVrij424">Data!$AH$426</definedName>
    <definedName name="Data_PersoonAanUitVastVrij425">Data!$AH$427</definedName>
    <definedName name="Data_PersoonAanUitVastVrij426">Data!$AH$428</definedName>
    <definedName name="Data_PersoonAanUitVastVrij427">Data!$AH$429</definedName>
    <definedName name="Data_PersoonAanUitVastVrij428">Data!$AH$430</definedName>
    <definedName name="Data_PersoonAanUitVastVrij429">Data!$AH$431</definedName>
    <definedName name="Data_PersoonAanUitVastVrij430">Data!$AH$432</definedName>
    <definedName name="Data_PersoonAanUitVastVrij431">Data!$AH$433</definedName>
    <definedName name="Data_PersoonAanUitVastVrij432">Data!$AH$434</definedName>
    <definedName name="Data_PersoonAanUitVastVrij433">Data!$AH$435</definedName>
    <definedName name="Data_PersoonAanUitVastVrij434">Data!$AH$436</definedName>
    <definedName name="Data_PersoonAanUitVastVrij435">Data!$AH$437</definedName>
    <definedName name="Data_PersoonAanUitVastVrij436">Data!$AH$438</definedName>
    <definedName name="Data_PersoonAanUitVastVrij437">Data!$AH$439</definedName>
    <definedName name="Data_PersoonAanUitVastVrij438">Data!$AH$440</definedName>
    <definedName name="Data_PersoonAanUitVastVrij439">Data!$AH$441</definedName>
    <definedName name="Data_PersoonAanUitVastVrij440">Data!$AH$442</definedName>
    <definedName name="Data_PersoonAanUitVastVrij441">Data!$AH$443</definedName>
    <definedName name="Data_PersoonAanUitVastVrij442">Data!$AH$444</definedName>
    <definedName name="Data_PersoonAanUitVastVrij443">Data!$AH$445</definedName>
    <definedName name="Data_PersoonAanUitVastVrij444">Data!$AH$446</definedName>
    <definedName name="Data_PersoonAanUitVastVrij445">Data!$AH$447</definedName>
    <definedName name="Data_PersoonAanUitVastVrij446">Data!$AH$448</definedName>
    <definedName name="Data_PersoonAanUitVastVrij447">Data!$AH$449</definedName>
    <definedName name="Data_PersoonAanUitVastVrij448">Data!$AH$450</definedName>
    <definedName name="Data_PersoonAanUitVastVrij449">Data!$AH$451</definedName>
    <definedName name="Data_PersoonAanUitVastVrij450">Data!$AH$452</definedName>
    <definedName name="Data_PersoonAanUitVastVrij451">Data!$AH$453</definedName>
    <definedName name="Data_PersoonAanUitVastVrij452">Data!$AH$454</definedName>
    <definedName name="Data_PersoonAanUitVastVrij453">Data!$AH$455</definedName>
    <definedName name="Data_PersoonAanUitVastVrij454">Data!$AH$456</definedName>
    <definedName name="Data_PersoonAanUitVastVrij455">Data!$AH$457</definedName>
    <definedName name="Data_PersoonAanUitVastVrij456">Data!$AH$458</definedName>
    <definedName name="Data_PersoonAanUitVastVrij457">Data!$AH$459</definedName>
    <definedName name="Data_PersoonAanUitVastVrij458">Data!$AH$460</definedName>
    <definedName name="Data_PersoonAanUitVastVrij459">Data!$AH$461</definedName>
    <definedName name="Data_PersoonAanUitVastVrij460">Data!$AH$462</definedName>
    <definedName name="Data_PersoonAanUitVastVrij461">Data!$AH$463</definedName>
    <definedName name="Data_PersoonAanUitVastVrij462">Data!$AH$464</definedName>
    <definedName name="Data_PersoonAanUitVastVrij463">Data!$AH$465</definedName>
    <definedName name="Data_PersoonAanUitVastVrij464">Data!$AH$466</definedName>
    <definedName name="Data_PersoonAanUitVastVrij465">Data!$AH$467</definedName>
    <definedName name="Data_PersoonAanUitVastVrij466">Data!$AH$468</definedName>
    <definedName name="Data_PersoonAanUitVastVrij467">Data!$AH$469</definedName>
    <definedName name="Data_PersoonAanUitVastVrij468">Data!$AH$470</definedName>
    <definedName name="Data_PersoonAanUitVastVrij469">Data!$AH$471</definedName>
    <definedName name="Data_PersoonAanUitVastVrij470">Data!$AH$472</definedName>
    <definedName name="Data_PersoonAanUitVastVrij471">Data!$AH$473</definedName>
    <definedName name="Data_PersoonAanUitVastVrij472">Data!$AH$474</definedName>
    <definedName name="Data_PersoonAanUitVastVrij473">Data!$AH$475</definedName>
    <definedName name="Data_PersoonAanUitVastVrij474">Data!$AH$476</definedName>
    <definedName name="Data_PersoonAanUitVastVrij475">Data!$AH$477</definedName>
    <definedName name="Data_PersoonAanUitVastVrij476">Data!$AH$478</definedName>
    <definedName name="Data_PersoonAanUitVastVrij477">Data!$AH$479</definedName>
    <definedName name="Data_PersoonAanUitVastVrij478">Data!$AH$480</definedName>
    <definedName name="Data_PersoonAanUitVastVrij479">Data!$AH$481</definedName>
    <definedName name="Data_PersoonAanUitVastVrij480">Data!$AH$482</definedName>
    <definedName name="Data_PersoonAanUitVastVrij481">Data!$AH$483</definedName>
    <definedName name="Data_PersoonAanUitVastVrij482">Data!$AH$484</definedName>
    <definedName name="Data_PersoonAanUitVastVrij483">Data!$AH$485</definedName>
    <definedName name="Data_PersoonAanUitVastVrij484">Data!$AH$486</definedName>
    <definedName name="Data_PersoonAanUitVastVrij485">Data!$AH$487</definedName>
    <definedName name="Data_PersoonAanUitVastVrij486">Data!$AH$488</definedName>
    <definedName name="Data_PersoonAanUitVastVrij487">Data!$AH$489</definedName>
    <definedName name="Data_PersoonAanUitVastVrij488">Data!$AH$490</definedName>
    <definedName name="Data_PersoonAanUitVastVrij489">Data!$AH$491</definedName>
    <definedName name="Data_PersoonAanUitVastVrij490">Data!$AH$492</definedName>
    <definedName name="Data_PersoonAanUitVastVrij491">Data!$AH$493</definedName>
    <definedName name="Data_PersoonAanUitVastVrij492">Data!$AH$494</definedName>
    <definedName name="Data_PersoonAanUitVastVrij493">Data!$AH$495</definedName>
    <definedName name="Data_PersoonAanUitVastVrij494">Data!$AH$496</definedName>
    <definedName name="Data_PersoonAanUitVastVrij495">Data!$AH$497</definedName>
    <definedName name="Data_PersoonAanUitVastVrij496">Data!$AH$498</definedName>
    <definedName name="Data_PersoonAanUitVastVrij497">Data!$AH$499</definedName>
    <definedName name="Data_PersoonAanUitVastVrij498">Data!$AH$500</definedName>
    <definedName name="Data_PersoonAanUitVastVrij499">Data!$AH$501</definedName>
    <definedName name="Data_PersoonAanUitVastVrij500">Data!$AH$502</definedName>
    <definedName name="Data_RijksBekost23">Data!$D$38</definedName>
    <definedName name="Data_RijksBekost24">Data!$D$39</definedName>
    <definedName name="Data_SchaalNatVerloop001">Data!$AW$3</definedName>
    <definedName name="Data_SchaalNatVerloop002">Data!$AW$4</definedName>
    <definedName name="Data_SchaalNatVerloop003">Data!$AW$5</definedName>
    <definedName name="Data_SchaalNatVerloop004">Data!$AW$6</definedName>
    <definedName name="Data_SchaalNatVerloop005">Data!$AW$7</definedName>
    <definedName name="Data_SchaalNatVerloop006">Data!$AW$8</definedName>
    <definedName name="Data_SchaalNatVerloop007">Data!$AW$9</definedName>
    <definedName name="Data_SchaalNatVerloop008">Data!$AW$10</definedName>
    <definedName name="Data_SchaalNatVerloop009">Data!$AW$11</definedName>
    <definedName name="Data_SchaalNatVerloop010">Data!$AW$12</definedName>
    <definedName name="Data_SchaalNatVerloop011">Data!$AW$13</definedName>
    <definedName name="Data_SchaalNatVerloop012">Data!$AW$14</definedName>
    <definedName name="Data_SchaalNatVerloop013">Data!$AW$15</definedName>
    <definedName name="Data_SchaalNatVerloop014">Data!$AW$16</definedName>
    <definedName name="Data_SchaalNatVerloop015">Data!$AW$17</definedName>
    <definedName name="Data_SchaalNatVerloop016">Data!$AW$18</definedName>
    <definedName name="Data_SchaalNatVerloop017">Data!$AW$19</definedName>
    <definedName name="Data_SchaalNatVerloop018">Data!$AW$20</definedName>
    <definedName name="Data_SchaalNatVerloop019">Data!$AW$21</definedName>
    <definedName name="Data_SchaalNatVerloop020">Data!$AW$22</definedName>
    <definedName name="Data_SchaalNatVerloop021">Data!$AW$23</definedName>
    <definedName name="Data_SchaalNatVerloop022">Data!$AW$24</definedName>
    <definedName name="Data_SchaalNatVerloop023">Data!$AW$25</definedName>
    <definedName name="Data_SchaalNatVerloop024">Data!$AW$26</definedName>
    <definedName name="Data_SchaalNatVerloop025">Data!$AW$27</definedName>
    <definedName name="Data_SchaalNatVerloop026">Data!$AW$28</definedName>
    <definedName name="Data_SchaalNatVerloop027">Data!$AW$29</definedName>
    <definedName name="Data_SchaalNatVerloop028">Data!$AW$30</definedName>
    <definedName name="Data_SchaalNatVerloop029">Data!$AW$31</definedName>
    <definedName name="Data_SchaalNatVerloop030">Data!$AW$32</definedName>
    <definedName name="Data_SchaalNatVerloop031">Data!$AW$33</definedName>
    <definedName name="Data_SchaalNatVerloop032">Data!$AW$34</definedName>
    <definedName name="Data_SchaalNatVerloop033">Data!$AW$35</definedName>
    <definedName name="Data_SchaalNatVerloop034">Data!$AW$36</definedName>
    <definedName name="Data_SchaalNatVerloop035">Data!$AW$37</definedName>
    <definedName name="Data_SchaalNatVerloop036">Data!$AW$38</definedName>
    <definedName name="Data_SchaalNatVerloop037">Data!$AW$39</definedName>
    <definedName name="Data_SchaalNatVerloop038">Data!$AW$40</definedName>
    <definedName name="Data_SchaalNatVerloop039">Data!$AW$41</definedName>
    <definedName name="Data_SchaalNatVerloop040">Data!$AW$42</definedName>
    <definedName name="Data_SchaalNatVerloop041">Data!$AW$43</definedName>
    <definedName name="Data_SchaalNatVerloop042">Data!$AW$44</definedName>
    <definedName name="Data_SchaalNatVerloop043">Data!$AW$45</definedName>
    <definedName name="Data_SchaalNatVerloop044">Data!$AW$46</definedName>
    <definedName name="Data_SchaalNatVerloop045">Data!$AW$47</definedName>
    <definedName name="Data_SchaalNatVerloop046">Data!$AW$48</definedName>
    <definedName name="Data_SchaalNatVerloop047">Data!$AW$49</definedName>
    <definedName name="Data_SchaalNatVerloop048">Data!$AW$50</definedName>
    <definedName name="Data_SchaalNatVerloop049">Data!$AW$51</definedName>
    <definedName name="Data_SchaalNatVerloop050">Data!$AW$52</definedName>
    <definedName name="Data_SchaalNatVerloop051">Data!$AW$53</definedName>
    <definedName name="Data_SchaalNatVerloop052">Data!$AW$54</definedName>
    <definedName name="Data_SchaalNatVerloop053">Data!$AW$55</definedName>
    <definedName name="Data_SchaalNatVerloop054">Data!$AW$56</definedName>
    <definedName name="Data_SchaalNatVerloop055">Data!$AW$57</definedName>
    <definedName name="Data_SchaalNatVerloop056">Data!$AW$58</definedName>
    <definedName name="Data_SchaalNatVerloop057">Data!$AW$59</definedName>
    <definedName name="Data_SchaalNatVerloop058">Data!$AW$60</definedName>
    <definedName name="Data_SchaalNatVerloop059">Data!$AW$61</definedName>
    <definedName name="Data_SchaalNatVerloop060">Data!$AW$62</definedName>
    <definedName name="Data_SchaalNatVerloop061">Data!$AW$63</definedName>
    <definedName name="Data_SchaalNatVerloop062">Data!$AW$64</definedName>
    <definedName name="Data_SchaalNatVerloop063">Data!$AW$65</definedName>
    <definedName name="Data_SchaalNatVerloop064">Data!$AW$66</definedName>
    <definedName name="Data_SchaalNatVerloop065">Data!$AW$67</definedName>
    <definedName name="Data_SchaalNatVerloop066">Data!$AW$68</definedName>
    <definedName name="Data_SchaalNatVerloop067">Data!$AW$69</definedName>
    <definedName name="Data_SchaalNatVerloop068">Data!$AW$70</definedName>
    <definedName name="Data_SchaalNatVerloop069">Data!$AW$71</definedName>
    <definedName name="Data_SchaalNatVerloop070">Data!$AW$72</definedName>
    <definedName name="Data_SchaalNatVerloop071">Data!$AW$73</definedName>
    <definedName name="Data_SchaalNatVerloop072">Data!$AW$74</definedName>
    <definedName name="Data_SchaalNatVerloop073">Data!$AW$75</definedName>
    <definedName name="Data_SchaalNatVerloop074">Data!$AW$76</definedName>
    <definedName name="Data_SchaalNatVerloop075">Data!$AW$77</definedName>
    <definedName name="Data_SchaalNatVerloop076">Data!$AW$78</definedName>
    <definedName name="Data_SchaalNatVerloop077">Data!$AW$79</definedName>
    <definedName name="Data_SchaalNatVerloop078">Data!$AW$80</definedName>
    <definedName name="Data_SchaalNatVerloop079">Data!$AW$81</definedName>
    <definedName name="Data_SchaalNatVerloop080">Data!$AW$82</definedName>
    <definedName name="Data_SchaalNatVerloop081">Data!$AW$83</definedName>
    <definedName name="Data_SchaalNatVerloop082">Data!$AW$84</definedName>
    <definedName name="Data_SchaalNatVerloop083">Data!$AW$85</definedName>
    <definedName name="Data_SchaalNatVerloop084">Data!$AW$86</definedName>
    <definedName name="Data_SchaalNatVerloop085">Data!$AW$87</definedName>
    <definedName name="Data_SchaalNatVerloop086">Data!$AW$88</definedName>
    <definedName name="Data_SchaalNatVerloop087">Data!$AW$89</definedName>
    <definedName name="Data_SchaalNatVerloop088">Data!$AW$90</definedName>
    <definedName name="Data_SchaalNatVerloop089">Data!$AW$91</definedName>
    <definedName name="Data_SchaalNatVerloop090">Data!$AW$92</definedName>
    <definedName name="Data_SchaalNatVerloop091">Data!$AW$93</definedName>
    <definedName name="Data_SchaalNatVerloop092">Data!$AW$94</definedName>
    <definedName name="Data_SchaalNatVerloop093">Data!$AW$95</definedName>
    <definedName name="Data_SchaalNatVerloop094">Data!$AW$96</definedName>
    <definedName name="Data_SchaalNatVerloop095">Data!$AW$97</definedName>
    <definedName name="Data_SchaalNatVerloop096">Data!$AW$98</definedName>
    <definedName name="Data_SchaalNatVerloop097">Data!$AW$99</definedName>
    <definedName name="Data_SchaalNatVerloop098">Data!$AW$100</definedName>
    <definedName name="Data_SchaalNatVerloop099">Data!$AW$101</definedName>
    <definedName name="Data_SchaalNatVerloop100">Data!$AW$102</definedName>
    <definedName name="Data_SchaalNatVerloop101">Data!$AW$103</definedName>
    <definedName name="Data_SchaalNatVerloop102">Data!$AW$104</definedName>
    <definedName name="Data_SchaalNatVerloop103">Data!$AW$105</definedName>
    <definedName name="Data_SchaalNatVerloop104">Data!$AW$106</definedName>
    <definedName name="Data_SchaalNatVerloop105">Data!$AW$107</definedName>
    <definedName name="Data_SchaalNatVerloop106">Data!$AW$108</definedName>
    <definedName name="Data_SchaalNatVerloop107">Data!$AW$109</definedName>
    <definedName name="Data_SchaalNatVerloop108">Data!$AW$110</definedName>
    <definedName name="Data_SchaalNatVerloop109">Data!$AW$111</definedName>
    <definedName name="Data_SchaalNatVerloop110">Data!$AW$112</definedName>
    <definedName name="Data_SchaalNatVerloop111">Data!$AW$113</definedName>
    <definedName name="Data_SchaalNatVerloop112">Data!$AW$114</definedName>
    <definedName name="Data_SchaalNatVerloop113">Data!$AW$115</definedName>
    <definedName name="Data_SchaalNatVerloop114">Data!$AW$116</definedName>
    <definedName name="Data_SchaalNatVerloop115">Data!$AW$117</definedName>
    <definedName name="Data_SchaalNatVerloop116">Data!$AW$118</definedName>
    <definedName name="Data_SchaalNatVerloop117">Data!$AW$119</definedName>
    <definedName name="Data_SchaalNatVerloop118">Data!$AW$120</definedName>
    <definedName name="Data_SchaalNatVerloop119">Data!$AW$121</definedName>
    <definedName name="Data_SchaalNatVerloop120">Data!$AW$122</definedName>
    <definedName name="Data_SchaalNatVerloop121">Data!$AW$123</definedName>
    <definedName name="Data_SchaalNatVerloop122">Data!$AW$124</definedName>
    <definedName name="Data_SchaalNatVerloop123">Data!$AW$125</definedName>
    <definedName name="Data_SchaalNatVerloop124">Data!$AW$126</definedName>
    <definedName name="Data_SchaalNatVerloop125">Data!$AW$127</definedName>
    <definedName name="Data_SchaalNatVerloop126">Data!$AW$128</definedName>
    <definedName name="Data_SchaalNatVerloop127">Data!$AW$129</definedName>
    <definedName name="Data_SchaalNatVerloop128">Data!$AW$130</definedName>
    <definedName name="Data_SchaalNatVerloop129">Data!$AW$131</definedName>
    <definedName name="Data_SchaalNatVerloop130">Data!$AW$132</definedName>
    <definedName name="Data_SchaalNatVerloop131">Data!$AW$133</definedName>
    <definedName name="Data_SchaalNatVerloop132">Data!$AW$134</definedName>
    <definedName name="Data_SchaalNatVerloop133">Data!$AW$135</definedName>
    <definedName name="Data_SchaalNatVerloop134">Data!$AW$136</definedName>
    <definedName name="Data_SchaalNatVerloop135">Data!$AW$137</definedName>
    <definedName name="Data_SchaalNatVerloop136">Data!$AW$138</definedName>
    <definedName name="Data_SchaalNatVerloop137">Data!$AW$139</definedName>
    <definedName name="Data_SchaalNatVerloop138">Data!$AW$140</definedName>
    <definedName name="Data_SchaalNatVerloop139">Data!$AW$141</definedName>
    <definedName name="Data_SchaalNatVerloop140">Data!$AW$142</definedName>
    <definedName name="Data_SchaalNatVerloop141">Data!$AW$143</definedName>
    <definedName name="Data_SchaalNatVerloop142">Data!$AW$144</definedName>
    <definedName name="Data_SchaalNatVerloop143">Data!$AW$145</definedName>
    <definedName name="Data_SchaalNatVerloop144">Data!$AW$146</definedName>
    <definedName name="Data_SchaalNatVerloop145">Data!$AW$147</definedName>
    <definedName name="Data_SchaalNatVerloop146">Data!$AW$148</definedName>
    <definedName name="Data_SchaalNatVerloop147">Data!$AW$149</definedName>
    <definedName name="Data_SchaalNatVerloop148">Data!$AW$150</definedName>
    <definedName name="Data_SchaalNatVerloop149">Data!$AW$151</definedName>
    <definedName name="Data_SchaalNatVerloop150">Data!$AW$152</definedName>
    <definedName name="Data_SchaalNatVerloop151">Data!$AW$153</definedName>
    <definedName name="Data_SchaalNatVerloop152">Data!$AW$154</definedName>
    <definedName name="Data_SchaalNatVerloop153">Data!$AW$155</definedName>
    <definedName name="Data_SchaalNatVerloop154">Data!$AW$156</definedName>
    <definedName name="Data_SchaalNatVerloop155">Data!$AW$157</definedName>
    <definedName name="Data_SchaalNatVerloop156">Data!$AW$158</definedName>
    <definedName name="Data_SchaalNatVerloop157">Data!$AW$159</definedName>
    <definedName name="Data_SchaalNatVerloop158">Data!$AW$160</definedName>
    <definedName name="Data_SchaalNatVerloop159">Data!$AW$161</definedName>
    <definedName name="Data_SchaalNatVerloop160">Data!$AW$162</definedName>
    <definedName name="Data_SchaalNatVerloop161">Data!$AW$163</definedName>
    <definedName name="Data_SchaalNatVerloop162">Data!$AW$164</definedName>
    <definedName name="Data_SchaalNatVerloop163">Data!$AW$165</definedName>
    <definedName name="Data_SchaalNatVerloop164">Data!$AW$166</definedName>
    <definedName name="Data_SchaalNatVerloop165">Data!$AW$167</definedName>
    <definedName name="Data_SchaalNatVerloop166">Data!$AW$168</definedName>
    <definedName name="Data_SchaalNatVerloop167">Data!$AW$169</definedName>
    <definedName name="Data_SchaalNatVerloop168">Data!$AW$170</definedName>
    <definedName name="Data_SchaalNatVerloop169">Data!$AW$171</definedName>
    <definedName name="Data_SchaalNatVerloop170">Data!$AW$172</definedName>
    <definedName name="Data_SchaalNatVerloop171">Data!$AW$173</definedName>
    <definedName name="Data_SchaalNatVerloop172">Data!$AW$174</definedName>
    <definedName name="Data_SchaalNatVerloop173">Data!$AW$175</definedName>
    <definedName name="Data_SchaalNatVerloop174">Data!$AW$176</definedName>
    <definedName name="Data_SchaalNatVerloop175">Data!$AW$177</definedName>
    <definedName name="Data_SchaalNatVerloop176">Data!$AW$178</definedName>
    <definedName name="Data_SchaalNatVerloop177">Data!$AW$179</definedName>
    <definedName name="Data_SchaalNatVerloop178">Data!$AW$180</definedName>
    <definedName name="Data_SchaalNatVerloop179">Data!$AW$181</definedName>
    <definedName name="Data_SchaalNatVerloop180">Data!$AW$182</definedName>
    <definedName name="Data_SchaalNatVerloop181">Data!$AW$183</definedName>
    <definedName name="Data_SchaalNatVerloop182">Data!$AW$184</definedName>
    <definedName name="Data_SchaalNatVerloop183">Data!$AW$185</definedName>
    <definedName name="Data_SchaalNatVerloop184">Data!$AW$186</definedName>
    <definedName name="Data_SchaalNatVerloop185">Data!$AW$187</definedName>
    <definedName name="Data_SchaalNatVerloop186">Data!$AW$188</definedName>
    <definedName name="Data_SchaalNatVerloop187">Data!$AW$189</definedName>
    <definedName name="Data_SchaalNatVerloop188">Data!$AW$190</definedName>
    <definedName name="Data_SchaalNatVerloop189">Data!$AW$191</definedName>
    <definedName name="Data_SchaalNatVerloop190">Data!$AW$192</definedName>
    <definedName name="Data_SchaalNatVerloop191">Data!$AW$193</definedName>
    <definedName name="Data_SchaalNatVerloop192">Data!$AW$194</definedName>
    <definedName name="Data_SchaalNatVerloop193">Data!$AW$195</definedName>
    <definedName name="Data_SchaalNatVerloop194">Data!$AW$196</definedName>
    <definedName name="Data_SchaalNatVerloop195">Data!$AW$197</definedName>
    <definedName name="Data_SchaalNatVerloop196">Data!$AW$198</definedName>
    <definedName name="Data_SchaalNatVerloop197">Data!$AW$199</definedName>
    <definedName name="Data_SchaalNatVerloop198">Data!$AW$200</definedName>
    <definedName name="Data_SchaalNatVerloop199">Data!$AW$201</definedName>
    <definedName name="Data_SchaalNatVerloop200">Data!$AW$202</definedName>
    <definedName name="Data_SchaalNatVerloop201">Data!$AW$203</definedName>
    <definedName name="Data_SchaalNatVerloop202">Data!$AW$204</definedName>
    <definedName name="Data_SchaalNatVerloop203">Data!$AW$205</definedName>
    <definedName name="Data_SchaalNatVerloop204">Data!$AW$206</definedName>
    <definedName name="Data_SchaalNatVerloop205">Data!$AW$207</definedName>
    <definedName name="Data_SchaalNatVerloop206">Data!$AW$208</definedName>
    <definedName name="Data_SchaalNatVerloop207">Data!$AW$209</definedName>
    <definedName name="Data_SchaalNatVerloop208">Data!$AW$210</definedName>
    <definedName name="Data_SchaalNatVerloop209">Data!$AW$211</definedName>
    <definedName name="Data_SchaalNatVerloop210">Data!$AW$212</definedName>
    <definedName name="Data_SchaalNatVerloop211">Data!$AW$213</definedName>
    <definedName name="Data_SchaalNatVerloop212">Data!$AW$214</definedName>
    <definedName name="Data_SchaalNatVerloop213">Data!$AW$215</definedName>
    <definedName name="Data_SchaalNatVerloop214">Data!$AW$216</definedName>
    <definedName name="Data_SchaalNatVerloop215">Data!$AW$217</definedName>
    <definedName name="Data_SchaalNatVerloop216">Data!$AW$218</definedName>
    <definedName name="Data_SchaalNatVerloop217">Data!$AW$219</definedName>
    <definedName name="Data_SchaalNatVerloop218">Data!$AW$220</definedName>
    <definedName name="Data_SchaalNatVerloop219">Data!$AW$221</definedName>
    <definedName name="Data_SchaalNatVerloop220">Data!$AW$222</definedName>
    <definedName name="Data_SchaalNatVerloop221">Data!$AW$223</definedName>
    <definedName name="Data_SchaalNatVerloop222">Data!$AW$224</definedName>
    <definedName name="Data_SchaalNatVerloop223">Data!$AW$225</definedName>
    <definedName name="Data_SchaalNatVerloop224">Data!$AW$226</definedName>
    <definedName name="Data_SchaalNatVerloop225">Data!$AW$227</definedName>
    <definedName name="Data_SchaalNatVerloop226">Data!$AW$228</definedName>
    <definedName name="Data_SchaalNatVerloop227">Data!$AW$229</definedName>
    <definedName name="Data_SchaalNatVerloop228">Data!$AW$230</definedName>
    <definedName name="Data_SchaalNatVerloop229">Data!$AW$231</definedName>
    <definedName name="Data_SchaalNatVerloop230">Data!$AW$232</definedName>
    <definedName name="Data_SchaalNatVerloop231">Data!$AW$233</definedName>
    <definedName name="Data_SchaalNatVerloop232">Data!$AW$234</definedName>
    <definedName name="Data_SchaalNatVerloop233">Data!$AW$235</definedName>
    <definedName name="Data_SchaalNatVerloop234">Data!$AW$236</definedName>
    <definedName name="Data_SchaalNatVerloop235">Data!$AW$237</definedName>
    <definedName name="Data_SchaalNatVerloop236">Data!$AW$238</definedName>
    <definedName name="Data_SchaalNatVerloop237">Data!$AW$239</definedName>
    <definedName name="Data_SchaalNatVerloop238">Data!$AW$240</definedName>
    <definedName name="Data_SchaalNatVerloop239">Data!$AW$241</definedName>
    <definedName name="Data_SchaalNatVerloop240">Data!$AW$242</definedName>
    <definedName name="Data_SchaalNatVerloop241">Data!$AW$243</definedName>
    <definedName name="Data_SchaalNatVerloop242">Data!$AW$244</definedName>
    <definedName name="Data_SchaalNatVerloop243">Data!$AW$245</definedName>
    <definedName name="Data_SchaalNatVerloop244">Data!$AW$246</definedName>
    <definedName name="Data_SchaalNatVerloop245">Data!$AW$247</definedName>
    <definedName name="Data_SchaalNatVerloop246">Data!$AW$248</definedName>
    <definedName name="Data_SchaalNatVerloop247">Data!$AW$249</definedName>
    <definedName name="Data_SchaalNatVerloop248">Data!$AW$250</definedName>
    <definedName name="Data_SchaalNatVerloop249">Data!$AW$251</definedName>
    <definedName name="Data_SchaalNatVerloop250">Data!$AW$252</definedName>
    <definedName name="Data_SchaalNatVerloop251">Data!$AW$253</definedName>
    <definedName name="Data_SchaalNatVerloop252">Data!$AW$254</definedName>
    <definedName name="Data_SchaalNatVerloop253">Data!$AW$255</definedName>
    <definedName name="Data_SchaalNatVerloop254">Data!$AW$256</definedName>
    <definedName name="Data_SchaalNatVerloop255">Data!$AW$257</definedName>
    <definedName name="Data_SchaalNatVerloop256">Data!$AW$258</definedName>
    <definedName name="Data_SchaalNatVerloop257">Data!$AW$259</definedName>
    <definedName name="Data_SchaalNatVerloop258">Data!$AW$260</definedName>
    <definedName name="Data_SchaalNatVerloop259">Data!$AW$261</definedName>
    <definedName name="Data_SchaalNatVerloop260">Data!$AW$262</definedName>
    <definedName name="Data_SchaalNatVerloop261">Data!$AW$263</definedName>
    <definedName name="Data_SchaalNatVerloop262">Data!$AW$264</definedName>
    <definedName name="Data_SchaalNatVerloop263">Data!$AW$265</definedName>
    <definedName name="Data_SchaalNatVerloop264">Data!$AW$266</definedName>
    <definedName name="Data_SchaalNatVerloop265">Data!$AW$267</definedName>
    <definedName name="Data_SchaalNatVerloop266">Data!$AW$268</definedName>
    <definedName name="Data_SchaalNatVerloop267">Data!$AW$269</definedName>
    <definedName name="Data_SchaalNatVerloop268">Data!$AW$270</definedName>
    <definedName name="Data_SchaalNatVerloop269">Data!$AW$271</definedName>
    <definedName name="Data_SchaalNatVerloop270">Data!$AW$272</definedName>
    <definedName name="Data_SchaalNatVerloop271">Data!$AW$273</definedName>
    <definedName name="Data_SchaalNatVerloop272">Data!$AW$274</definedName>
    <definedName name="Data_SchaalNatVerloop273">Data!$AW$275</definedName>
    <definedName name="Data_SchaalNatVerloop274">Data!$AW$276</definedName>
    <definedName name="Data_SchaalNatVerloop275">Data!$AW$277</definedName>
    <definedName name="Data_SchaalNatVerloop276">Data!$AW$278</definedName>
    <definedName name="Data_SchaalNatVerloop277">Data!$AW$279</definedName>
    <definedName name="Data_SchaalNatVerloop278">Data!$AW$280</definedName>
    <definedName name="Data_SchaalNatVerloop279">Data!$AW$281</definedName>
    <definedName name="Data_SchaalNatVerloop280">Data!$AW$282</definedName>
    <definedName name="Data_SchaalNatVerloop281">Data!$AW$283</definedName>
    <definedName name="Data_SchaalNatVerloop282">Data!$AW$284</definedName>
    <definedName name="Data_SchaalNatVerloop283">Data!$AW$285</definedName>
    <definedName name="Data_SchaalNatVerloop284">Data!$AW$286</definedName>
    <definedName name="Data_SchaalNatVerloop285">Data!$AW$287</definedName>
    <definedName name="Data_SchaalNatVerloop286">Data!$AW$288</definedName>
    <definedName name="Data_SchaalNatVerloop287">Data!$AW$289</definedName>
    <definedName name="Data_SchaalNatVerloop288">Data!$AW$290</definedName>
    <definedName name="Data_SchaalNatVerloop289">Data!$AW$291</definedName>
    <definedName name="Data_SchaalNatVerloop290">Data!$AW$292</definedName>
    <definedName name="Data_SchaalNatVerloop291">Data!$AW$293</definedName>
    <definedName name="Data_SchaalNatVerloop292">Data!$AW$294</definedName>
    <definedName name="Data_SchaalNatVerloop293">Data!$AW$295</definedName>
    <definedName name="Data_SchaalNatVerloop294">Data!$AW$296</definedName>
    <definedName name="Data_SchaalNatVerloop295">Data!$AW$297</definedName>
    <definedName name="Data_SchaalNatVerloop296">Data!$AW$298</definedName>
    <definedName name="Data_SchaalNatVerloop297">Data!$AW$299</definedName>
    <definedName name="Data_SchaalNatVerloop298">Data!$AW$300</definedName>
    <definedName name="Data_SchaalNatVerloop299">Data!$AW$301</definedName>
    <definedName name="Data_SchaalNatVerloop300">Data!$AW$302</definedName>
    <definedName name="Data_SchaalNatVerloop301">Data!$AW$303</definedName>
    <definedName name="Data_SchaalNatVerloop302">Data!$AW$304</definedName>
    <definedName name="Data_SchaalNatVerloop303">Data!$AW$305</definedName>
    <definedName name="Data_SchaalNatVerloop304">Data!$AW$306</definedName>
    <definedName name="Data_SchaalNatVerloop305">Data!$AW$307</definedName>
    <definedName name="Data_SchaalNatVerloop306">Data!$AW$308</definedName>
    <definedName name="Data_SchaalNatVerloop307">Data!$AW$309</definedName>
    <definedName name="Data_SchaalNatVerloop308">Data!$AW$310</definedName>
    <definedName name="Data_SchaalNatVerloop309">Data!$AW$311</definedName>
    <definedName name="Data_SchaalNatVerloop310">Data!$AW$312</definedName>
    <definedName name="Data_SchaalNatVerloop311">Data!$AW$313</definedName>
    <definedName name="Data_SchaalNatVerloop312">Data!$AW$314</definedName>
    <definedName name="Data_SchaalNatVerloop313">Data!$AW$315</definedName>
    <definedName name="Data_SchaalNatVerloop314">Data!$AW$316</definedName>
    <definedName name="Data_SchaalNatVerloop315">Data!$AW$317</definedName>
    <definedName name="Data_SchaalNatVerloop316">Data!$AW$318</definedName>
    <definedName name="Data_SchaalNatVerloop317">Data!$AW$319</definedName>
    <definedName name="Data_SchaalNatVerloop318">Data!$AW$320</definedName>
    <definedName name="Data_SchaalNatVerloop319">Data!$AW$321</definedName>
    <definedName name="Data_SchaalNatVerloop320">Data!$AW$322</definedName>
    <definedName name="Data_SchaalNatVerloop321">Data!$AW$323</definedName>
    <definedName name="Data_SchaalNatVerloop322">Data!$AW$324</definedName>
    <definedName name="Data_SchaalNatVerloop323">Data!$AW$325</definedName>
    <definedName name="Data_SchaalNatVerloop324">Data!$AW$326</definedName>
    <definedName name="Data_SchaalNatVerloop325">Data!$AW$327</definedName>
    <definedName name="Data_SchaalNatVerloop326">Data!$AW$328</definedName>
    <definedName name="Data_SchaalNatVerloop327">Data!$AW$329</definedName>
    <definedName name="Data_SchaalNatVerloop328">Data!$AW$330</definedName>
    <definedName name="Data_SchaalNatVerloop329">Data!$AW$331</definedName>
    <definedName name="Data_SchaalNatVerloop330">Data!$AW$332</definedName>
    <definedName name="Data_SchaalNatVerloop331">Data!$AW$333</definedName>
    <definedName name="Data_SchaalNatVerloop332">Data!$AW$334</definedName>
    <definedName name="Data_SchaalNatVerloop333">Data!$AW$335</definedName>
    <definedName name="Data_SchaalNatVerloop334">Data!$AW$336</definedName>
    <definedName name="Data_SchaalNatVerloop335">Data!$AW$337</definedName>
    <definedName name="Data_SchaalNatVerloop336">Data!$AW$338</definedName>
    <definedName name="Data_SchaalNatVerloop337">Data!$AW$339</definedName>
    <definedName name="Data_SchaalNatVerloop338">Data!$AW$340</definedName>
    <definedName name="Data_SchaalNatVerloop339">Data!$AW$341</definedName>
    <definedName name="Data_SchaalNatVerloop340">Data!$AW$342</definedName>
    <definedName name="Data_SchaalNatVerloop341">Data!$AW$343</definedName>
    <definedName name="Data_SchaalNatVerloop342">Data!$AW$344</definedName>
    <definedName name="Data_SchaalNatVerloop343">Data!$AW$345</definedName>
    <definedName name="Data_SchaalNatVerloop344">Data!$AW$346</definedName>
    <definedName name="Data_SchaalNatVerloop345">Data!$AW$347</definedName>
    <definedName name="Data_SchaalNatVerloop346">Data!$AW$348</definedName>
    <definedName name="Data_SchaalNatVerloop347">Data!$AW$349</definedName>
    <definedName name="Data_SchaalNatVerloop348">Data!$AW$350</definedName>
    <definedName name="Data_SchaalNatVerloop349">Data!$AW$351</definedName>
    <definedName name="Data_SchaalNatVerloop350">Data!$AW$352</definedName>
    <definedName name="Data_SchaalNatVerloop351">Data!$AW$353</definedName>
    <definedName name="Data_SchaalNatVerloop352">Data!$AW$354</definedName>
    <definedName name="Data_SchaalNatVerloop353">Data!$AW$355</definedName>
    <definedName name="Data_SchaalNatVerloop354">Data!$AW$356</definedName>
    <definedName name="Data_SchaalNatVerloop355">Data!$AW$357</definedName>
    <definedName name="Data_SchaalNatVerloop356">Data!$AW$358</definedName>
    <definedName name="Data_SchaalNatVerloop357">Data!$AW$359</definedName>
    <definedName name="Data_SchaalNatVerloop358">Data!$AW$360</definedName>
    <definedName name="Data_SchaalNatVerloop359">Data!$AW$361</definedName>
    <definedName name="Data_SchaalNatVerloop360">Data!$AW$362</definedName>
    <definedName name="Data_SchaalNatVerloop361">Data!$AW$363</definedName>
    <definedName name="Data_SchaalNatVerloop362">Data!$AW$364</definedName>
    <definedName name="Data_SchaalNatVerloop363">Data!$AW$365</definedName>
    <definedName name="Data_SchaalNatVerloop364">Data!$AW$366</definedName>
    <definedName name="Data_SchaalNatVerloop365">Data!$AW$367</definedName>
    <definedName name="Data_SchaalNatVerloop366">Data!$AW$368</definedName>
    <definedName name="Data_SchaalNatVerloop367">Data!$AW$369</definedName>
    <definedName name="Data_SchaalNatVerloop368">Data!$AW$370</definedName>
    <definedName name="Data_SchaalNatVerloop369">Data!$AW$371</definedName>
    <definedName name="Data_SchaalNatVerloop370">Data!$AW$372</definedName>
    <definedName name="Data_SchaalNatVerloop371">Data!$AW$373</definedName>
    <definedName name="Data_SchaalNatVerloop372">Data!$AW$374</definedName>
    <definedName name="Data_SchaalNatVerloop373">Data!$AW$375</definedName>
    <definedName name="Data_SchaalNatVerloop374">Data!$AW$376</definedName>
    <definedName name="Data_SchaalNatVerloop375">Data!$AW$377</definedName>
    <definedName name="Data_SchaalNatVerloop376">Data!$AW$378</definedName>
    <definedName name="Data_SchaalNatVerloop377">Data!$AW$379</definedName>
    <definedName name="Data_SchaalNatVerloop378">Data!$AW$380</definedName>
    <definedName name="Data_SchaalNatVerloop379">Data!$AW$381</definedName>
    <definedName name="Data_SchaalNatVerloop380">Data!$AW$382</definedName>
    <definedName name="Data_SchaalNatVerloop381">Data!$AW$383</definedName>
    <definedName name="Data_SchaalNatVerloop382">Data!$AW$384</definedName>
    <definedName name="Data_SchaalNatVerloop383">Data!$AW$385</definedName>
    <definedName name="Data_SchaalNatVerloop384">Data!$AW$386</definedName>
    <definedName name="Data_SchaalNatVerloop385">Data!$AW$387</definedName>
    <definedName name="Data_SchaalNatVerloop386">Data!$AW$388</definedName>
    <definedName name="Data_SchaalNatVerloop387">Data!$AW$389</definedName>
    <definedName name="Data_SchaalNatVerloop388">Data!$AW$390</definedName>
    <definedName name="Data_SchaalNatVerloop389">Data!$AW$391</definedName>
    <definedName name="Data_SchaalNatVerloop390">Data!$AW$392</definedName>
    <definedName name="Data_SchaalNatVerloop391">Data!$AW$393</definedName>
    <definedName name="Data_SchaalNatVerloop392">Data!$AW$394</definedName>
    <definedName name="Data_SchaalNatVerloop393">Data!$AW$395</definedName>
    <definedName name="Data_SchaalNatVerloop394">Data!$AW$396</definedName>
    <definedName name="Data_SchaalNatVerloop395">Data!$AW$397</definedName>
    <definedName name="Data_SchaalNatVerloop396">Data!$AW$398</definedName>
    <definedName name="Data_SchaalNatVerloop397">Data!$AW$399</definedName>
    <definedName name="Data_SchaalNatVerloop398">Data!$AW$400</definedName>
    <definedName name="Data_SchaalNatVerloop399">Data!$AW$401</definedName>
    <definedName name="Data_SchaalNatVerloop400">Data!$AW$402</definedName>
    <definedName name="Data_SchaalNatVerloop401">Data!$AW$403</definedName>
    <definedName name="Data_SchaalNatVerloop402">Data!$AW$404</definedName>
    <definedName name="Data_SchaalNatVerloop403">Data!$AW$405</definedName>
    <definedName name="Data_SchaalNatVerloop404">Data!$AW$406</definedName>
    <definedName name="Data_SchaalNatVerloop405">Data!$AW$407</definedName>
    <definedName name="Data_SchaalNatVerloop406">Data!$AW$408</definedName>
    <definedName name="Data_SchaalNatVerloop407">Data!$AW$409</definedName>
    <definedName name="Data_SchaalNatVerloop408">Data!$AW$410</definedName>
    <definedName name="Data_SchaalNatVerloop409">Data!$AW$411</definedName>
    <definedName name="Data_SchaalNatVerloop410">Data!$AW$412</definedName>
    <definedName name="Data_SchaalNatVerloop411">Data!$AW$413</definedName>
    <definedName name="Data_SchaalNatVerloop412">Data!$AW$414</definedName>
    <definedName name="Data_SchaalNatVerloop413">Data!$AW$415</definedName>
    <definedName name="Data_SchaalNatVerloop414">Data!$AW$416</definedName>
    <definedName name="Data_SchaalNatVerloop415">Data!$AW$417</definedName>
    <definedName name="Data_SchaalNatVerloop416">Data!$AW$418</definedName>
    <definedName name="Data_SchaalNatVerloop417">Data!$AW$419</definedName>
    <definedName name="Data_SchaalNatVerloop418">Data!$AW$420</definedName>
    <definedName name="Data_SchaalNatVerloop419">Data!$AW$421</definedName>
    <definedName name="Data_SchaalNatVerloop420">Data!$AW$422</definedName>
    <definedName name="Data_SchaalNatVerloop421">Data!$AW$423</definedName>
    <definedName name="Data_SchaalNatVerloop422">Data!$AW$424</definedName>
    <definedName name="Data_SchaalNatVerloop423">Data!$AW$425</definedName>
    <definedName name="Data_SchaalNatVerloop424">Data!$AW$426</definedName>
    <definedName name="Data_SchaalNatVerloop425">Data!$AW$427</definedName>
    <definedName name="Data_SchaalNatVerloop426">Data!$AW$428</definedName>
    <definedName name="Data_SchaalNatVerloop427">Data!$AW$429</definedName>
    <definedName name="Data_SchaalNatVerloop428">Data!$AW$430</definedName>
    <definedName name="Data_SchaalNatVerloop429">Data!$AW$431</definedName>
    <definedName name="Data_SchaalNatVerloop430">Data!$AW$432</definedName>
    <definedName name="Data_SchaalNatVerloop431">Data!$AW$433</definedName>
    <definedName name="Data_SchaalNatVerloop432">Data!$AW$434</definedName>
    <definedName name="Data_SchaalNatVerloop433">Data!$AW$435</definedName>
    <definedName name="Data_SchaalNatVerloop434">Data!$AW$436</definedName>
    <definedName name="Data_SchaalNatVerloop435">Data!$AW$437</definedName>
    <definedName name="Data_SchaalNatVerloop436">Data!$AW$438</definedName>
    <definedName name="Data_SchaalNatVerloop437">Data!$AW$439</definedName>
    <definedName name="Data_SchaalNatVerloop438">Data!$AW$440</definedName>
    <definedName name="Data_SchaalNatVerloop439">Data!$AW$441</definedName>
    <definedName name="Data_SchaalNatVerloop440">Data!$AW$442</definedName>
    <definedName name="Data_SchaalNatVerloop441">Data!$AW$443</definedName>
    <definedName name="Data_SchaalNatVerloop442">Data!$AW$444</definedName>
    <definedName name="Data_SchaalNatVerloop443">Data!$AW$445</definedName>
    <definedName name="Data_SchaalNatVerloop444">Data!$AW$446</definedName>
    <definedName name="Data_SchaalNatVerloop445">Data!$AW$447</definedName>
    <definedName name="Data_SchaalNatVerloop446">Data!$AW$448</definedName>
    <definedName name="Data_SchaalNatVerloop447">Data!$AW$449</definedName>
    <definedName name="Data_SchaalNatVerloop448">Data!$AW$450</definedName>
    <definedName name="Data_SchaalNatVerloop449">Data!$AW$451</definedName>
    <definedName name="Data_SchaalNatVerloop450">Data!$AW$452</definedName>
    <definedName name="Data_SchaalNatVerloop451">Data!$AW$453</definedName>
    <definedName name="Data_SchaalNatVerloop452">Data!$AW$454</definedName>
    <definedName name="Data_SchaalNatVerloop453">Data!$AW$455</definedName>
    <definedName name="Data_SchaalNatVerloop454">Data!$AW$456</definedName>
    <definedName name="Data_SchaalNatVerloop455">Data!$AW$457</definedName>
    <definedName name="Data_SchaalNatVerloop456">Data!$AW$458</definedName>
    <definedName name="Data_SchaalNatVerloop457">Data!$AW$459</definedName>
    <definedName name="Data_SchaalNatVerloop458">Data!$AW$460</definedName>
    <definedName name="Data_SchaalNatVerloop459">Data!$AW$461</definedName>
    <definedName name="Data_SchaalNatVerloop460">Data!$AW$462</definedName>
    <definedName name="Data_SchaalNatVerloop461">Data!$AW$463</definedName>
    <definedName name="Data_SchaalNatVerloop462">Data!$AW$464</definedName>
    <definedName name="Data_SchaalNatVerloop463">Data!$AW$465</definedName>
    <definedName name="Data_SchaalNatVerloop464">Data!$AW$466</definedName>
    <definedName name="Data_SchaalNatVerloop465">Data!$AW$467</definedName>
    <definedName name="Data_SchaalNatVerloop466">Data!$AW$468</definedName>
    <definedName name="Data_SchaalNatVerloop467">Data!$AW$469</definedName>
    <definedName name="Data_SchaalNatVerloop468">Data!$AW$470</definedName>
    <definedName name="Data_SchaalNatVerloop469">Data!$AW$471</definedName>
    <definedName name="Data_SchaalNatVerloop470">Data!$AW$472</definedName>
    <definedName name="Data_SchaalNatVerloop471">Data!$AW$473</definedName>
    <definedName name="Data_SchaalNatVerloop472">Data!$AW$474</definedName>
    <definedName name="Data_SchaalNatVerloop473">Data!$AW$475</definedName>
    <definedName name="Data_SchaalNatVerloop474">Data!$AW$476</definedName>
    <definedName name="Data_SchaalNatVerloop475">Data!$AW$477</definedName>
    <definedName name="Data_SchaalNatVerloop476">Data!$AW$478</definedName>
    <definedName name="Data_SchaalNatVerloop477">Data!$AW$479</definedName>
    <definedName name="Data_SchaalNatVerloop478">Data!$AW$480</definedName>
    <definedName name="Data_SchaalNatVerloop479">Data!$AW$481</definedName>
    <definedName name="Data_SchaalNatVerloop480">Data!$AW$482</definedName>
    <definedName name="Data_SchaalNatVerloop481">Data!$AW$483</definedName>
    <definedName name="Data_SchaalNatVerloop482">Data!$AW$484</definedName>
    <definedName name="Data_SchaalNatVerloop483">Data!$AW$485</definedName>
    <definedName name="Data_SchaalNatVerloop484">Data!$AW$486</definedName>
    <definedName name="Data_SchaalNatVerloop485">Data!$AW$487</definedName>
    <definedName name="Data_SchaalNatVerloop486">Data!$AW$488</definedName>
    <definedName name="Data_SchaalNatVerloop487">Data!$AW$489</definedName>
    <definedName name="Data_SchaalNatVerloop488">Data!$AW$490</definedName>
    <definedName name="Data_SchaalNatVerloop489">Data!$AW$491</definedName>
    <definedName name="Data_SchaalNatVerloop490">Data!$AW$492</definedName>
    <definedName name="Data_SchaalNatVerloop491">Data!$AW$493</definedName>
    <definedName name="Data_SchaalNatVerloop492">Data!$AW$494</definedName>
    <definedName name="Data_SchaalNatVerloop493">Data!$AW$495</definedName>
    <definedName name="Data_SchaalNatVerloop494">Data!$AW$496</definedName>
    <definedName name="Data_SchaalNatVerloop495">Data!$AW$497</definedName>
    <definedName name="Data_SchaalNatVerloop496">Data!$AW$498</definedName>
    <definedName name="Data_SchaalNatVerloop497">Data!$AW$499</definedName>
    <definedName name="Data_SchaalNatVerloop498">Data!$AW$500</definedName>
    <definedName name="Data_SchaalNatVerloop499">Data!$AW$501</definedName>
    <definedName name="Data_SchaalNatVerloop500">Data!$AW$502</definedName>
    <definedName name="Data_SchaalTijd001">Data!$S$3</definedName>
    <definedName name="Data_SchaalTijd002">Data!$S$4</definedName>
    <definedName name="Data_SchaalTijd003">Data!$S$5</definedName>
    <definedName name="Data_SchaalTijd004">Data!$S$6</definedName>
    <definedName name="Data_SchaalTijd005">Data!$S$7</definedName>
    <definedName name="Data_SchaalTijd006">Data!$S$8</definedName>
    <definedName name="Data_SchaalTijd007">Data!$S$9</definedName>
    <definedName name="Data_SchaalTijd008">Data!$S$10</definedName>
    <definedName name="Data_SchaalTijd009">Data!$S$11</definedName>
    <definedName name="Data_SchaalTijd010">Data!$S$12</definedName>
    <definedName name="Data_SchaalTijd011">Data!$S$13</definedName>
    <definedName name="Data_SchaalTijd012">Data!$S$14</definedName>
    <definedName name="Data_SchaalTijd013">Data!$S$15</definedName>
    <definedName name="Data_SchaalTijd014">Data!$S$16</definedName>
    <definedName name="Data_SchaalTijd015">Data!$S$17</definedName>
    <definedName name="Data_SchaalTijd016">Data!$S$18</definedName>
    <definedName name="Data_SchaalTijd017">Data!$S$19</definedName>
    <definedName name="Data_SchaalTijd018">Data!$S$20</definedName>
    <definedName name="Data_SchaalTijd019">Data!$S$21</definedName>
    <definedName name="Data_SchaalTijd020">Data!$S$22</definedName>
    <definedName name="Data_SchaalTijd021">Data!$S$23</definedName>
    <definedName name="Data_SchaalTijd022">Data!$S$24</definedName>
    <definedName name="Data_SchaalTijd023">Data!$S$25</definedName>
    <definedName name="Data_SchaalTijd024">Data!$S$26</definedName>
    <definedName name="Data_SchaalTijd025">Data!$S$27</definedName>
    <definedName name="Data_SchaalTijd026">Data!$S$28</definedName>
    <definedName name="Data_SchaalTijd027">Data!$S$29</definedName>
    <definedName name="Data_SchaalTijd028">Data!$S$30</definedName>
    <definedName name="Data_SchaalTijd029">Data!$S$31</definedName>
    <definedName name="Data_SchaalTijd030">Data!$S$32</definedName>
    <definedName name="Data_SchaalTijd031">Data!$S$33</definedName>
    <definedName name="Data_SchaalTijd032">Data!$S$34</definedName>
    <definedName name="Data_SchaalTijd033">Data!$S$35</definedName>
    <definedName name="Data_SchaalTijd034">Data!$S$36</definedName>
    <definedName name="Data_SchaalTijd035">Data!$S$37</definedName>
    <definedName name="Data_SchaalTijd036">Data!$S$38</definedName>
    <definedName name="Data_SchaalTijd037">Data!$S$39</definedName>
    <definedName name="Data_SchaalTijd038">Data!$S$40</definedName>
    <definedName name="Data_SchaalTijd039">Data!$S$41</definedName>
    <definedName name="Data_SchaalTijd040">Data!$S$42</definedName>
    <definedName name="Data_SchaalTijd041">Data!$S$43</definedName>
    <definedName name="Data_SchaalTijd042">Data!$S$44</definedName>
    <definedName name="Data_SchaalTijd043">Data!$S$45</definedName>
    <definedName name="Data_SchaalTijd044">Data!$S$46</definedName>
    <definedName name="Data_SchaalTijd045">Data!$S$47</definedName>
    <definedName name="Data_SchaalTijd046">Data!$S$48</definedName>
    <definedName name="Data_SchaalTijd047">Data!$S$49</definedName>
    <definedName name="Data_SchaalTijd048">Data!$S$50</definedName>
    <definedName name="Data_SchaalTijd049">Data!$S$51</definedName>
    <definedName name="Data_SchaalTijd050">Data!$S$52</definedName>
    <definedName name="Data_SchaalTijd051">Data!$S$53</definedName>
    <definedName name="Data_SchaalTijd052">Data!$S$54</definedName>
    <definedName name="Data_SchaalTijd053">Data!$S$55</definedName>
    <definedName name="Data_SchaalTijd054">Data!$S$56</definedName>
    <definedName name="Data_SchaalTijd055">Data!$S$57</definedName>
    <definedName name="Data_SchaalTijd056">Data!$S$58</definedName>
    <definedName name="Data_SchaalTijd057">Data!$S$59</definedName>
    <definedName name="Data_SchaalTijd058">Data!$S$60</definedName>
    <definedName name="Data_SchaalTijd059">Data!$S$61</definedName>
    <definedName name="Data_SchaalTijd060">Data!$S$62</definedName>
    <definedName name="Data_SchaalTijd061">Data!$S$63</definedName>
    <definedName name="Data_SchaalTijd062">Data!$S$64</definedName>
    <definedName name="Data_SchaalTijd063">Data!$S$65</definedName>
    <definedName name="Data_SchaalTijd064">Data!$S$66</definedName>
    <definedName name="Data_SchaalTijd065">Data!$S$67</definedName>
    <definedName name="Data_SchaalTijd066">Data!$S$68</definedName>
    <definedName name="Data_SchaalTijd067">Data!$S$69</definedName>
    <definedName name="Data_SchaalTijd068">Data!$S$70</definedName>
    <definedName name="Data_SchaalTijd069">Data!$S$71</definedName>
    <definedName name="Data_SchaalTijd070">Data!$S$72</definedName>
    <definedName name="Data_SchaalTijd071">Data!$S$73</definedName>
    <definedName name="Data_SchaalTijd072">Data!$S$74</definedName>
    <definedName name="Data_SchaalTijd073">Data!$S$75</definedName>
    <definedName name="Data_SchaalTijd074">Data!$S$76</definedName>
    <definedName name="Data_SchaalTijd075">Data!$S$77</definedName>
    <definedName name="Data_SchaalTijd076">Data!$S$78</definedName>
    <definedName name="Data_SchaalTijd077">Data!$S$79</definedName>
    <definedName name="Data_SchaalTijd078">Data!$S$80</definedName>
    <definedName name="Data_SchaalTijd079">Data!$S$81</definedName>
    <definedName name="Data_SchaalTijd080">Data!$S$82</definedName>
    <definedName name="Data_SchaalTijd081">Data!$S$83</definedName>
    <definedName name="Data_SchaalTijd082">Data!$S$84</definedName>
    <definedName name="Data_SchaalTijd083">Data!$S$85</definedName>
    <definedName name="Data_SchaalTijd084">Data!$S$86</definedName>
    <definedName name="Data_SchaalTijd085">Data!$S$87</definedName>
    <definedName name="Data_SchaalTijd086">Data!$S$88</definedName>
    <definedName name="Data_SchaalTijd087">Data!$S$89</definedName>
    <definedName name="Data_SchaalTijd088">Data!$S$90</definedName>
    <definedName name="Data_SchaalTijd089">Data!$S$91</definedName>
    <definedName name="Data_SchaalTijd090">Data!$S$92</definedName>
    <definedName name="Data_SchaalTijd091">Data!$S$93</definedName>
    <definedName name="Data_SchaalTijd092">Data!$S$94</definedName>
    <definedName name="Data_SchaalTijd093">Data!$S$95</definedName>
    <definedName name="Data_SchaalTijd094">Data!$S$96</definedName>
    <definedName name="Data_SchaalTijd095">Data!$S$97</definedName>
    <definedName name="Data_SchaalTijd096">Data!$S$98</definedName>
    <definedName name="Data_SchaalTijd097">Data!$S$99</definedName>
    <definedName name="Data_SchaalTijd098">Data!$S$100</definedName>
    <definedName name="Data_SchaalTijd099">Data!$S$101</definedName>
    <definedName name="Data_SchaalTijd100">Data!$S$102</definedName>
    <definedName name="Data_SchaalTijd101">Data!$S$103</definedName>
    <definedName name="Data_SchaalTijd102">Data!$S$104</definedName>
    <definedName name="Data_SchaalTijd103">Data!$S$105</definedName>
    <definedName name="Data_SchaalTijd104">Data!$S$106</definedName>
    <definedName name="Data_SchaalTijd105">Data!$S$107</definedName>
    <definedName name="Data_SchaalTijd106">Data!$S$108</definedName>
    <definedName name="Data_SchaalTijd107">Data!$S$109</definedName>
    <definedName name="Data_SchaalTijd108">Data!$S$110</definedName>
    <definedName name="Data_SchaalTijd109">Data!$S$111</definedName>
    <definedName name="Data_SchaalTijd110">Data!$S$112</definedName>
    <definedName name="Data_SchaalTijd111">Data!$S$113</definedName>
    <definedName name="Data_SchaalTijd112">Data!$S$114</definedName>
    <definedName name="Data_SchaalTijd113">Data!$S$115</definedName>
    <definedName name="Data_SchaalTijd114">Data!$S$116</definedName>
    <definedName name="Data_SchaalTijd115">Data!$S$117</definedName>
    <definedName name="Data_SchaalTijd116">Data!$S$118</definedName>
    <definedName name="Data_SchaalTijd117">Data!$S$119</definedName>
    <definedName name="Data_SchaalTijd118">Data!$S$120</definedName>
    <definedName name="Data_SchaalTijd119">Data!$S$121</definedName>
    <definedName name="Data_SchaalTijd120">Data!$S$122</definedName>
    <definedName name="Data_SchaalTijd121">Data!$S$123</definedName>
    <definedName name="Data_SchaalTijd122">Data!$S$124</definedName>
    <definedName name="Data_SchaalTijd123">Data!$S$125</definedName>
    <definedName name="Data_SchaalTijd124">Data!$S$126</definedName>
    <definedName name="Data_SchaalTijd125">Data!$S$127</definedName>
    <definedName name="Data_SchaalTijd126">Data!$S$128</definedName>
    <definedName name="Data_SchaalTijd127">Data!$S$129</definedName>
    <definedName name="Data_SchaalTijd128">Data!$S$130</definedName>
    <definedName name="Data_SchaalTijd129">Data!$S$131</definedName>
    <definedName name="Data_SchaalTijd130">Data!$S$132</definedName>
    <definedName name="Data_SchaalTijd131">Data!$S$133</definedName>
    <definedName name="Data_SchaalTijd132">Data!$S$134</definedName>
    <definedName name="Data_SchaalTijd133">Data!$S$135</definedName>
    <definedName name="Data_SchaalTijd134">Data!$S$136</definedName>
    <definedName name="Data_SchaalTijd135">Data!$S$137</definedName>
    <definedName name="Data_SchaalTijd136">Data!$S$138</definedName>
    <definedName name="Data_SchaalTijd137">Data!$S$139</definedName>
    <definedName name="Data_SchaalTijd138">Data!$S$140</definedName>
    <definedName name="Data_SchaalTijd139">Data!$S$141</definedName>
    <definedName name="Data_SchaalTijd140">Data!$S$142</definedName>
    <definedName name="Data_SchaalTijd141">Data!$S$143</definedName>
    <definedName name="Data_SchaalTijd142">Data!$S$144</definedName>
    <definedName name="Data_SchaalTijd143">Data!$S$145</definedName>
    <definedName name="Data_SchaalTijd144">Data!$S$146</definedName>
    <definedName name="Data_SchaalTijd145">Data!$S$147</definedName>
    <definedName name="Data_SchaalTijd146">Data!$S$148</definedName>
    <definedName name="Data_SchaalTijd147">Data!$S$149</definedName>
    <definedName name="Data_SchaalTijd148">Data!$S$150</definedName>
    <definedName name="Data_SchaalTijd149">Data!$S$151</definedName>
    <definedName name="Data_SchaalTijd150">Data!$S$152</definedName>
    <definedName name="Data_SchaalTijd151">Data!$S$153</definedName>
    <definedName name="Data_SchaalTijd152">Data!$S$154</definedName>
    <definedName name="Data_SchaalTijd153">Data!$S$155</definedName>
    <definedName name="Data_SchaalTijd154">Data!$S$156</definedName>
    <definedName name="Data_SchaalTijd155">Data!$S$157</definedName>
    <definedName name="Data_SchaalTijd156">Data!$S$158</definedName>
    <definedName name="Data_SchaalTijd157">Data!$S$159</definedName>
    <definedName name="Data_SchaalTijd158">Data!$S$160</definedName>
    <definedName name="Data_SchaalTijd159">Data!$S$161</definedName>
    <definedName name="Data_SchaalTijd160">Data!$S$162</definedName>
    <definedName name="Data_SchaalTijd161">Data!$S$163</definedName>
    <definedName name="Data_SchaalTijd162">Data!$S$164</definedName>
    <definedName name="Data_SchaalTijd163">Data!$S$165</definedName>
    <definedName name="Data_SchaalTijd164">Data!$S$166</definedName>
    <definedName name="Data_SchaalTijd165">Data!$S$167</definedName>
    <definedName name="Data_SchaalTijd166">Data!$S$168</definedName>
    <definedName name="Data_SchaalTijd167">Data!$S$169</definedName>
    <definedName name="Data_SchaalTijd168">Data!$S$170</definedName>
    <definedName name="Data_SchaalTijd169">Data!$S$171</definedName>
    <definedName name="Data_SchaalTijd170">Data!$S$172</definedName>
    <definedName name="Data_SchaalTijd171">Data!$S$173</definedName>
    <definedName name="Data_SchaalTijd172">Data!$S$174</definedName>
    <definedName name="Data_SchaalTijd173">Data!$S$175</definedName>
    <definedName name="Data_SchaalTijd174">Data!$S$176</definedName>
    <definedName name="Data_SchaalTijd175">Data!$S$177</definedName>
    <definedName name="Data_SchaalTijd176">Data!$S$178</definedName>
    <definedName name="Data_SchaalTijd177">Data!$S$179</definedName>
    <definedName name="Data_SchaalTijd178">Data!$S$180</definedName>
    <definedName name="Data_SchaalTijd179">Data!$S$181</definedName>
    <definedName name="Data_SchaalTijd180">Data!$S$182</definedName>
    <definedName name="Data_SchaalTijd181">Data!$S$183</definedName>
    <definedName name="Data_SchaalTijd182">Data!$S$184</definedName>
    <definedName name="Data_SchaalTijd183">Data!$S$185</definedName>
    <definedName name="Data_SchaalTijd184">Data!$S$186</definedName>
    <definedName name="Data_SchaalTijd185">Data!$S$187</definedName>
    <definedName name="Data_SchaalTijd186">Data!$S$188</definedName>
    <definedName name="Data_SchaalTijd187">Data!$S$189</definedName>
    <definedName name="Data_SchaalTijd188">Data!$S$190</definedName>
    <definedName name="Data_SchaalTijd189">Data!$S$191</definedName>
    <definedName name="Data_SchaalTijd190">Data!$S$192</definedName>
    <definedName name="Data_SchaalTijd191">Data!$S$193</definedName>
    <definedName name="Data_SchaalTijd192">Data!$S$194</definedName>
    <definedName name="Data_SchaalTijd193">Data!$S$195</definedName>
    <definedName name="Data_SchaalTijd194">Data!$S$196</definedName>
    <definedName name="Data_SchaalTijd195">Data!$S$197</definedName>
    <definedName name="Data_SchaalTijd196">Data!$S$198</definedName>
    <definedName name="Data_SchaalTijd197">Data!$S$199</definedName>
    <definedName name="Data_SchaalTijd198">Data!$S$200</definedName>
    <definedName name="Data_SchaalTijd199">Data!$S$201</definedName>
    <definedName name="Data_SchaalTijd200">Data!$S$202</definedName>
    <definedName name="Data_SchaalTijd201">Data!$S$203</definedName>
    <definedName name="Data_SchaalTijd202">Data!$S$204</definedName>
    <definedName name="Data_SchaalTijd203">Data!$S$205</definedName>
    <definedName name="Data_SchaalTijd204">Data!$S$206</definedName>
    <definedName name="Data_SchaalTijd205">Data!$S$207</definedName>
    <definedName name="Data_SchaalTijd206">Data!$S$208</definedName>
    <definedName name="Data_SchaalTijd207">Data!$S$209</definedName>
    <definedName name="Data_SchaalTijd208">Data!$S$210</definedName>
    <definedName name="Data_SchaalTijd209">Data!$S$211</definedName>
    <definedName name="Data_SchaalTijd210">Data!$S$212</definedName>
    <definedName name="Data_SchaalTijd211">Data!$S$213</definedName>
    <definedName name="Data_SchaalTijd212">Data!$S$214</definedName>
    <definedName name="Data_SchaalTijd213">Data!$S$215</definedName>
    <definedName name="Data_SchaalTijd214">Data!$S$216</definedName>
    <definedName name="Data_SchaalTijd215">Data!$S$217</definedName>
    <definedName name="Data_SchaalTijd216">Data!$S$218</definedName>
    <definedName name="Data_SchaalTijd217">Data!$S$219</definedName>
    <definedName name="Data_SchaalTijd218">Data!$S$220</definedName>
    <definedName name="Data_SchaalTijd219">Data!$S$221</definedName>
    <definedName name="Data_SchaalTijd220">Data!$S$222</definedName>
    <definedName name="Data_SchaalTijd221">Data!$S$223</definedName>
    <definedName name="Data_SchaalTijd222">Data!$S$224</definedName>
    <definedName name="Data_SchaalTijd223">Data!$S$225</definedName>
    <definedName name="Data_SchaalTijd224">Data!$S$226</definedName>
    <definedName name="Data_SchaalTijd225">Data!$S$227</definedName>
    <definedName name="Data_SchaalTijd226">Data!$S$228</definedName>
    <definedName name="Data_SchaalTijd227">Data!$S$229</definedName>
    <definedName name="Data_SchaalTijd228">Data!$S$230</definedName>
    <definedName name="Data_SchaalTijd229">Data!$S$231</definedName>
    <definedName name="Data_SchaalTijd230">Data!$S$232</definedName>
    <definedName name="Data_SchaalTijd231">Data!$S$233</definedName>
    <definedName name="Data_SchaalTijd232">Data!$S$234</definedName>
    <definedName name="Data_SchaalTijd233">Data!$S$235</definedName>
    <definedName name="Data_SchaalTijd234">Data!$S$236</definedName>
    <definedName name="Data_SchaalTijd235">Data!$S$237</definedName>
    <definedName name="Data_SchaalTijd236">Data!$S$238</definedName>
    <definedName name="Data_SchaalTijd237">Data!$S$239</definedName>
    <definedName name="Data_SchaalTijd238">Data!$S$240</definedName>
    <definedName name="Data_SchaalTijd239">Data!$S$241</definedName>
    <definedName name="Data_SchaalTijd240">Data!$S$242</definedName>
    <definedName name="Data_SchaalTijd241">Data!$S$243</definedName>
    <definedName name="Data_SchaalTijd242">Data!$S$244</definedName>
    <definedName name="Data_SchaalTijd243">Data!$S$245</definedName>
    <definedName name="Data_SchaalTijd244">Data!$S$246</definedName>
    <definedName name="Data_SchaalTijd245">Data!$S$247</definedName>
    <definedName name="Data_SchaalTijd246">Data!$S$248</definedName>
    <definedName name="Data_SchaalTijd247">Data!$S$249</definedName>
    <definedName name="Data_SchaalTijd248">Data!$S$250</definedName>
    <definedName name="Data_SchaalTijd249">Data!$S$251</definedName>
    <definedName name="Data_SchaalTijd250">Data!$S$252</definedName>
    <definedName name="Data_SchaalTijd251">Data!$S$253</definedName>
    <definedName name="Data_SchaalTijd252">Data!$S$254</definedName>
    <definedName name="Data_SchaalTijd253">Data!$S$255</definedName>
    <definedName name="Data_SchaalTijd254">Data!$S$256</definedName>
    <definedName name="Data_SchaalTijd255">Data!$S$257</definedName>
    <definedName name="Data_SchaalTijd256">Data!$S$258</definedName>
    <definedName name="Data_SchaalTijd257">Data!$S$259</definedName>
    <definedName name="Data_SchaalTijd258">Data!$S$260</definedName>
    <definedName name="Data_SchaalTijd259">Data!$S$261</definedName>
    <definedName name="Data_SchaalTijd260">Data!$S$262</definedName>
    <definedName name="Data_SchaalTijd261">Data!$S$263</definedName>
    <definedName name="Data_SchaalTijd262">Data!$S$264</definedName>
    <definedName name="Data_SchaalTijd263">Data!$S$265</definedName>
    <definedName name="Data_SchaalTijd264">Data!$S$266</definedName>
    <definedName name="Data_SchaalTijd265">Data!$S$267</definedName>
    <definedName name="Data_SchaalTijd266">Data!$S$268</definedName>
    <definedName name="Data_SchaalTijd267">Data!$S$269</definedName>
    <definedName name="Data_SchaalTijd268">Data!$S$270</definedName>
    <definedName name="Data_SchaalTijd269">Data!$S$271</definedName>
    <definedName name="Data_SchaalTijd270">Data!$S$272</definedName>
    <definedName name="Data_SchaalTijd271">Data!$S$273</definedName>
    <definedName name="Data_SchaalTijd272">Data!$S$274</definedName>
    <definedName name="Data_SchaalTijd273">Data!$S$275</definedName>
    <definedName name="Data_SchaalTijd274">Data!$S$276</definedName>
    <definedName name="Data_SchaalTijd275">Data!$S$277</definedName>
    <definedName name="Data_SchaalTijd276">Data!$S$278</definedName>
    <definedName name="Data_SchaalTijd277">Data!$S$279</definedName>
    <definedName name="Data_SchaalTijd278">Data!$S$280</definedName>
    <definedName name="Data_SchaalTijd279">Data!$S$281</definedName>
    <definedName name="Data_SchaalTijd280">Data!$S$282</definedName>
    <definedName name="Data_SchaalTijd281">Data!$S$283</definedName>
    <definedName name="Data_SchaalTijd282">Data!$S$284</definedName>
    <definedName name="Data_SchaalTijd283">Data!$S$285</definedName>
    <definedName name="Data_SchaalTijd284">Data!$S$286</definedName>
    <definedName name="Data_SchaalTijd285">Data!$S$287</definedName>
    <definedName name="Data_SchaalTijd286">Data!$S$288</definedName>
    <definedName name="Data_SchaalTijd287">Data!$S$289</definedName>
    <definedName name="Data_SchaalTijd288">Data!$S$290</definedName>
    <definedName name="Data_SchaalTijd289">Data!$S$291</definedName>
    <definedName name="Data_SchaalTijd290">Data!$S$292</definedName>
    <definedName name="Data_SchaalTijd291">Data!$S$293</definedName>
    <definedName name="Data_SchaalTijd292">Data!$S$294</definedName>
    <definedName name="Data_SchaalTijd293">Data!$S$295</definedName>
    <definedName name="Data_SchaalTijd294">Data!$S$296</definedName>
    <definedName name="Data_SchaalTijd295">Data!$S$297</definedName>
    <definedName name="Data_SchaalTijd296">Data!$S$298</definedName>
    <definedName name="Data_SchaalTijd297">Data!$S$299</definedName>
    <definedName name="Data_SchaalTijd298">Data!$S$300</definedName>
    <definedName name="Data_SchaalTijd299">Data!$S$301</definedName>
    <definedName name="Data_SchaalTijd300">Data!$S$302</definedName>
    <definedName name="Data_SchaalTijd301">Data!$S$303</definedName>
    <definedName name="Data_SchaalTijd302">Data!$S$304</definedName>
    <definedName name="Data_SchaalTijd303">Data!$S$305</definedName>
    <definedName name="Data_SchaalTijd304">Data!$S$306</definedName>
    <definedName name="Data_SchaalTijd305">Data!$S$307</definedName>
    <definedName name="Data_SchaalTijd306">Data!$S$308</definedName>
    <definedName name="Data_SchaalTijd307">Data!$S$309</definedName>
    <definedName name="Data_SchaalTijd308">Data!$S$310</definedName>
    <definedName name="Data_SchaalTijd309">Data!$S$311</definedName>
    <definedName name="Data_SchaalTijd310">Data!$S$312</definedName>
    <definedName name="Data_SchaalTijd311">Data!$S$313</definedName>
    <definedName name="Data_SchaalTijd312">Data!$S$314</definedName>
    <definedName name="Data_SchaalTijd313">Data!$S$315</definedName>
    <definedName name="Data_SchaalTijd314">Data!$S$316</definedName>
    <definedName name="Data_SchaalTijd315">Data!$S$317</definedName>
    <definedName name="Data_SchaalTijd316">Data!$S$318</definedName>
    <definedName name="Data_SchaalTijd317">Data!$S$319</definedName>
    <definedName name="Data_SchaalTijd318">Data!$S$320</definedName>
    <definedName name="Data_SchaalTijd319">Data!$S$321</definedName>
    <definedName name="Data_SchaalTijd320">Data!$S$322</definedName>
    <definedName name="Data_SchaalTijd321">Data!$S$323</definedName>
    <definedName name="Data_SchaalTijd322">Data!$S$324</definedName>
    <definedName name="Data_SchaalTijd323">Data!$S$325</definedName>
    <definedName name="Data_SchaalTijd324">Data!$S$326</definedName>
    <definedName name="Data_SchaalTijd325">Data!$S$327</definedName>
    <definedName name="Data_SchaalTijd326">Data!$S$328</definedName>
    <definedName name="Data_SchaalTijd327">Data!$S$329</definedName>
    <definedName name="Data_SchaalTijd328">Data!$S$330</definedName>
    <definedName name="Data_SchaalTijd329">Data!$S$331</definedName>
    <definedName name="Data_SchaalTijd330">Data!$S$332</definedName>
    <definedName name="Data_SchaalTijd331">Data!$S$333</definedName>
    <definedName name="Data_SchaalTijd332">Data!$S$334</definedName>
    <definedName name="Data_SchaalTijd333">Data!$S$335</definedName>
    <definedName name="Data_SchaalTijd334">Data!$S$336</definedName>
    <definedName name="Data_SchaalTijd335">Data!$S$337</definedName>
    <definedName name="Data_SchaalTijd336">Data!$S$338</definedName>
    <definedName name="Data_SchaalTijd337">Data!$S$339</definedName>
    <definedName name="Data_SchaalTijd338">Data!$S$340</definedName>
    <definedName name="Data_SchaalTijd339">Data!$S$341</definedName>
    <definedName name="Data_SchaalTijd340">Data!$S$342</definedName>
    <definedName name="Data_SchaalTijd341">Data!$S$343</definedName>
    <definedName name="Data_SchaalTijd342">Data!$S$344</definedName>
    <definedName name="Data_SchaalTijd343">Data!$S$345</definedName>
    <definedName name="Data_SchaalTijd344">Data!$S$346</definedName>
    <definedName name="Data_SchaalTijd345">Data!$S$347</definedName>
    <definedName name="Data_SchaalTijd346">Data!$S$348</definedName>
    <definedName name="Data_SchaalTijd347">Data!$S$349</definedName>
    <definedName name="Data_SchaalTijd348">Data!$S$350</definedName>
    <definedName name="Data_SchaalTijd349">Data!$S$351</definedName>
    <definedName name="Data_SchaalTijd350">Data!$S$352</definedName>
    <definedName name="Data_SchaalTijd351">Data!$S$353</definedName>
    <definedName name="Data_SchaalTijd352">Data!$S$354</definedName>
    <definedName name="Data_SchaalTijd353">Data!$S$355</definedName>
    <definedName name="Data_SchaalTijd354">Data!$S$356</definedName>
    <definedName name="Data_SchaalTijd355">Data!$S$357</definedName>
    <definedName name="Data_SchaalTijd356">Data!$S$358</definedName>
    <definedName name="Data_SchaalTijd357">Data!$S$359</definedName>
    <definedName name="Data_SchaalTijd358">Data!$S$360</definedName>
    <definedName name="Data_SchaalTijd359">Data!$S$361</definedName>
    <definedName name="Data_SchaalTijd360">Data!$S$362</definedName>
    <definedName name="Data_SchaalTijd361">Data!$S$363</definedName>
    <definedName name="Data_SchaalTijd362">Data!$S$364</definedName>
    <definedName name="Data_SchaalTijd363">Data!$S$365</definedName>
    <definedName name="Data_SchaalTijd364">Data!$S$366</definedName>
    <definedName name="Data_SchaalTijd365">Data!$S$367</definedName>
    <definedName name="Data_SchaalTijd366">Data!$S$368</definedName>
    <definedName name="Data_SchaalTijd367">Data!$S$369</definedName>
    <definedName name="Data_SchaalTijd368">Data!$S$370</definedName>
    <definedName name="Data_SchaalTijd369">Data!$S$371</definedName>
    <definedName name="Data_SchaalTijd370">Data!$S$372</definedName>
    <definedName name="Data_SchaalTijd371">Data!$S$373</definedName>
    <definedName name="Data_SchaalTijd372">Data!$S$374</definedName>
    <definedName name="Data_SchaalTijd373">Data!$S$375</definedName>
    <definedName name="Data_SchaalTijd374">Data!$S$376</definedName>
    <definedName name="Data_SchaalTijd375">Data!$S$377</definedName>
    <definedName name="Data_SchaalTijd376">Data!$S$378</definedName>
    <definedName name="Data_SchaalTijd377">Data!$S$379</definedName>
    <definedName name="Data_SchaalTijd378">Data!$S$380</definedName>
    <definedName name="Data_SchaalTijd379">Data!$S$381</definedName>
    <definedName name="Data_SchaalTijd380">Data!$S$382</definedName>
    <definedName name="Data_SchaalTijd381">Data!$S$383</definedName>
    <definedName name="Data_SchaalTijd382">Data!$S$384</definedName>
    <definedName name="Data_SchaalTijd383">Data!$S$385</definedName>
    <definedName name="Data_SchaalTijd384">Data!$S$386</definedName>
    <definedName name="Data_SchaalTijd385">Data!$S$387</definedName>
    <definedName name="Data_SchaalTijd386">Data!$S$388</definedName>
    <definedName name="Data_SchaalTijd387">Data!$S$389</definedName>
    <definedName name="Data_SchaalTijd388">Data!$S$390</definedName>
    <definedName name="Data_SchaalTijd389">Data!$S$391</definedName>
    <definedName name="Data_SchaalTijd390">Data!$S$392</definedName>
    <definedName name="Data_SchaalTijd391">Data!$S$393</definedName>
    <definedName name="Data_SchaalTijd392">Data!$S$394</definedName>
    <definedName name="Data_SchaalTijd393">Data!$S$395</definedName>
    <definedName name="Data_SchaalTijd394">Data!$S$396</definedName>
    <definedName name="Data_SchaalTijd395">Data!$S$397</definedName>
    <definedName name="Data_SchaalTijd396">Data!$S$398</definedName>
    <definedName name="Data_SchaalTijd397">Data!$S$399</definedName>
    <definedName name="Data_SchaalTijd398">Data!$S$400</definedName>
    <definedName name="Data_SchaalTijd399">Data!$S$401</definedName>
    <definedName name="Data_SchaalTijd400">Data!$S$402</definedName>
    <definedName name="Data_SchaalTijd401">Data!$S$403</definedName>
    <definedName name="Data_SchaalTijd402">Data!$S$404</definedName>
    <definedName name="Data_SchaalTijd403">Data!$S$405</definedName>
    <definedName name="Data_SchaalTijd404">Data!$S$406</definedName>
    <definedName name="Data_SchaalTijd405">Data!$S$407</definedName>
    <definedName name="Data_SchaalTijd406">Data!$S$408</definedName>
    <definedName name="Data_SchaalTijd407">Data!$S$409</definedName>
    <definedName name="Data_SchaalTijd408">Data!$S$410</definedName>
    <definedName name="Data_SchaalTijd409">Data!$S$411</definedName>
    <definedName name="Data_SchaalTijd410">Data!$S$412</definedName>
    <definedName name="Data_SchaalTijd411">Data!$S$413</definedName>
    <definedName name="Data_SchaalTijd412">Data!$S$414</definedName>
    <definedName name="Data_SchaalTijd413">Data!$S$415</definedName>
    <definedName name="Data_SchaalTijd414">Data!$S$416</definedName>
    <definedName name="Data_SchaalTijd415">Data!$S$417</definedName>
    <definedName name="Data_SchaalTijd416">Data!$S$418</definedName>
    <definedName name="Data_SchaalTijd417">Data!$S$419</definedName>
    <definedName name="Data_SchaalTijd418">Data!$S$420</definedName>
    <definedName name="Data_SchaalTijd419">Data!$S$421</definedName>
    <definedName name="Data_SchaalTijd420">Data!$S$422</definedName>
    <definedName name="Data_SchaalTijd421">Data!$S$423</definedName>
    <definedName name="Data_SchaalTijd422">Data!$S$424</definedName>
    <definedName name="Data_SchaalTijd423">Data!$S$425</definedName>
    <definedName name="Data_SchaalTijd424">Data!$S$426</definedName>
    <definedName name="Data_SchaalTijd425">Data!$S$427</definedName>
    <definedName name="Data_SchaalTijd426">Data!$S$428</definedName>
    <definedName name="Data_SchaalTijd427">Data!$S$429</definedName>
    <definedName name="Data_SchaalTijd428">Data!$S$430</definedName>
    <definedName name="Data_SchaalTijd429">Data!$S$431</definedName>
    <definedName name="Data_SchaalTijd430">Data!$S$432</definedName>
    <definedName name="Data_SchaalTijd431">Data!$S$433</definedName>
    <definedName name="Data_SchaalTijd432">Data!$S$434</definedName>
    <definedName name="Data_SchaalTijd433">Data!$S$435</definedName>
    <definedName name="Data_SchaalTijd434">Data!$S$436</definedName>
    <definedName name="Data_SchaalTijd435">Data!$S$437</definedName>
    <definedName name="Data_SchaalTijd436">Data!$S$438</definedName>
    <definedName name="Data_SchaalTijd437">Data!$S$439</definedName>
    <definedName name="Data_SchaalTijd438">Data!$S$440</definedName>
    <definedName name="Data_SchaalTijd439">Data!$S$441</definedName>
    <definedName name="Data_SchaalTijd440">Data!$S$442</definedName>
    <definedName name="Data_SchaalTijd441">Data!$S$443</definedName>
    <definedName name="Data_SchaalTijd442">Data!$S$444</definedName>
    <definedName name="Data_SchaalTijd443">Data!$S$445</definedName>
    <definedName name="Data_SchaalTijd444">Data!$S$446</definedName>
    <definedName name="Data_SchaalTijd445">Data!$S$447</definedName>
    <definedName name="Data_SchaalTijd446">Data!$S$448</definedName>
    <definedName name="Data_SchaalTijd447">Data!$S$449</definedName>
    <definedName name="Data_SchaalTijd448">Data!$S$450</definedName>
    <definedName name="Data_SchaalTijd449">Data!$S$451</definedName>
    <definedName name="Data_SchaalTijd450">Data!$S$452</definedName>
    <definedName name="Data_SchaalTijd451">Data!$S$453</definedName>
    <definedName name="Data_SchaalTijd452">Data!$S$454</definedName>
    <definedName name="Data_SchaalTijd453">Data!$S$455</definedName>
    <definedName name="Data_SchaalTijd454">Data!$S$456</definedName>
    <definedName name="Data_SchaalTijd455">Data!$S$457</definedName>
    <definedName name="Data_SchaalTijd456">Data!$S$458</definedName>
    <definedName name="Data_SchaalTijd457">Data!$S$459</definedName>
    <definedName name="Data_SchaalTijd458">Data!$S$460</definedName>
    <definedName name="Data_SchaalTijd459">Data!$S$461</definedName>
    <definedName name="Data_SchaalTijd460">Data!$S$462</definedName>
    <definedName name="Data_SchaalTijd461">Data!$S$463</definedName>
    <definedName name="Data_SchaalTijd462">Data!$S$464</definedName>
    <definedName name="Data_SchaalTijd463">Data!$S$465</definedName>
    <definedName name="Data_SchaalTijd464">Data!$S$466</definedName>
    <definedName name="Data_SchaalTijd465">Data!$S$467</definedName>
    <definedName name="Data_SchaalTijd466">Data!$S$468</definedName>
    <definedName name="Data_SchaalTijd467">Data!$S$469</definedName>
    <definedName name="Data_SchaalTijd468">Data!$S$470</definedName>
    <definedName name="Data_SchaalTijd469">Data!$S$471</definedName>
    <definedName name="Data_SchaalTijd470">Data!$S$472</definedName>
    <definedName name="Data_SchaalTijd471">Data!$S$473</definedName>
    <definedName name="Data_SchaalTijd472">Data!$S$474</definedName>
    <definedName name="Data_SchaalTijd473">Data!$S$475</definedName>
    <definedName name="Data_SchaalTijd474">Data!$S$476</definedName>
    <definedName name="Data_SchaalTijd475">Data!$S$477</definedName>
    <definedName name="Data_SchaalTijd476">Data!$S$478</definedName>
    <definedName name="Data_SchaalTijd477">Data!$S$479</definedName>
    <definedName name="Data_SchaalTijd478">Data!$S$480</definedName>
    <definedName name="Data_SchaalTijd479">Data!$S$481</definedName>
    <definedName name="Data_SchaalTijd480">Data!$S$482</definedName>
    <definedName name="Data_SchaalTijd481">Data!$S$483</definedName>
    <definedName name="Data_SchaalTijd482">Data!$S$484</definedName>
    <definedName name="Data_SchaalTijd483">Data!$S$485</definedName>
    <definedName name="Data_SchaalTijd484">Data!$S$486</definedName>
    <definedName name="Data_SchaalTijd485">Data!$S$487</definedName>
    <definedName name="Data_SchaalTijd486">Data!$S$488</definedName>
    <definedName name="Data_SchaalTijd487">Data!$S$489</definedName>
    <definedName name="Data_SchaalTijd488">Data!$S$490</definedName>
    <definedName name="Data_SchaalTijd489">Data!$S$491</definedName>
    <definedName name="Data_SchaalTijd490">Data!$S$492</definedName>
    <definedName name="Data_SchaalTijd491">Data!$S$493</definedName>
    <definedName name="Data_SchaalTijd492">Data!$S$494</definedName>
    <definedName name="Data_SchaalTijd493">Data!$S$495</definedName>
    <definedName name="Data_SchaalTijd494">Data!$S$496</definedName>
    <definedName name="Data_SchaalTijd495">Data!$S$497</definedName>
    <definedName name="Data_SchaalTijd496">Data!$S$498</definedName>
    <definedName name="Data_SchaalTijd497">Data!$S$499</definedName>
    <definedName name="Data_SchaalTijd498">Data!$S$500</definedName>
    <definedName name="Data_SchaalTijd499">Data!$S$501</definedName>
    <definedName name="Data_SchaalTijd500">Data!$S$502</definedName>
    <definedName name="Data_SchaalVastOntslag001">Data!$AM$3</definedName>
    <definedName name="Data_SchaalVastOntslag002">Data!$AM$4</definedName>
    <definedName name="Data_SchaalVastOntslag003">Data!$AM$5</definedName>
    <definedName name="Data_SchaalVastOntslag004">Data!$AM$6</definedName>
    <definedName name="Data_SchaalVastOntslag005">Data!$AM$7</definedName>
    <definedName name="Data_SchaalVastOntslag006">Data!$AM$8</definedName>
    <definedName name="Data_SchaalVastOntslag007">Data!$AM$9</definedName>
    <definedName name="Data_SchaalVastOntslag008">Data!$AM$10</definedName>
    <definedName name="Data_SchaalVastOntslag009">Data!$AM$11</definedName>
    <definedName name="Data_SchaalVastOntslag010">Data!$AM$12</definedName>
    <definedName name="Data_SchaalVastOntslag011">Data!$AM$13</definedName>
    <definedName name="Data_SchaalVastOntslag012">Data!$AM$14</definedName>
    <definedName name="Data_SchaalVastOntslag013">Data!$AM$15</definedName>
    <definedName name="Data_SchaalVastOntslag014">Data!$AM$16</definedName>
    <definedName name="Data_SchaalVastOntslag015">Data!$AM$17</definedName>
    <definedName name="Data_SchaalVastOntslag016">Data!$AM$18</definedName>
    <definedName name="Data_SchaalVastOntslag017">Data!$AM$19</definedName>
    <definedName name="Data_SchaalVastOntslag018">Data!$AM$20</definedName>
    <definedName name="Data_SchaalVastOntslag019">Data!$AM$21</definedName>
    <definedName name="Data_SchaalVastOntslag020">Data!$AM$22</definedName>
    <definedName name="Data_SchaalVastOntslag021">Data!$AM$23</definedName>
    <definedName name="Data_SchaalVastOntslag022">Data!$AM$24</definedName>
    <definedName name="Data_SchaalVastOntslag023">Data!$AM$25</definedName>
    <definedName name="Data_SchaalVastOntslag024">Data!$AM$26</definedName>
    <definedName name="Data_SchaalVastOntslag025">Data!$AM$27</definedName>
    <definedName name="Data_SchaalVastOntslag026">Data!$AM$28</definedName>
    <definedName name="Data_SchaalVastOntslag027">Data!$AM$29</definedName>
    <definedName name="Data_SchaalVastOntslag028">Data!$AM$30</definedName>
    <definedName name="Data_SchaalVastOntslag029">Data!$AM$31</definedName>
    <definedName name="Data_SchaalVastOntslag030">Data!$AM$32</definedName>
    <definedName name="Data_SchaalVastOntslag031">Data!$AM$33</definedName>
    <definedName name="Data_SchaalVastOntslag032">Data!$AM$34</definedName>
    <definedName name="Data_SchaalVastOntslag033">Data!$AM$35</definedName>
    <definedName name="Data_SchaalVastOntslag034">Data!$AM$36</definedName>
    <definedName name="Data_SchaalVastOntslag035">Data!$AM$37</definedName>
    <definedName name="Data_SchaalVastOntslag036">Data!$AM$38</definedName>
    <definedName name="Data_SchaalVastOntslag037">Data!$AM$39</definedName>
    <definedName name="Data_SchaalVastOntslag038">Data!$AM$40</definedName>
    <definedName name="Data_SchaalVastOntslag039">Data!$AM$41</definedName>
    <definedName name="Data_SchaalVastOntslag040">Data!$AM$42</definedName>
    <definedName name="Data_SchaalVastOntslag041">Data!$AM$43</definedName>
    <definedName name="Data_SchaalVastOntslag042">Data!$AM$44</definedName>
    <definedName name="Data_SchaalVastOntslag043">Data!$AM$45</definedName>
    <definedName name="Data_SchaalVastOntslag044">Data!$AM$46</definedName>
    <definedName name="Data_SchaalVastOntslag045">Data!$AM$47</definedName>
    <definedName name="Data_SchaalVastOntslag046">Data!$AM$48</definedName>
    <definedName name="Data_SchaalVastOntslag047">Data!$AM$49</definedName>
    <definedName name="Data_SchaalVastOntslag048">Data!$AM$50</definedName>
    <definedName name="Data_SchaalVastOntslag049">Data!$AM$51</definedName>
    <definedName name="Data_SchaalVastOntslag050">Data!$AM$52</definedName>
    <definedName name="Data_SchaalVastOntslag051">Data!$AM$53</definedName>
    <definedName name="Data_SchaalVastOntslag052">Data!$AM$54</definedName>
    <definedName name="Data_SchaalVastOntslag053">Data!$AM$55</definedName>
    <definedName name="Data_SchaalVastOntslag054">Data!$AM$56</definedName>
    <definedName name="Data_SchaalVastOntslag055">Data!$AM$57</definedName>
    <definedName name="Data_SchaalVastOntslag056">Data!$AM$58</definedName>
    <definedName name="Data_SchaalVastOntslag057">Data!$AM$59</definedName>
    <definedName name="Data_SchaalVastOntslag058">Data!$AM$60</definedName>
    <definedName name="Data_SchaalVastOntslag059">Data!$AM$61</definedName>
    <definedName name="Data_SchaalVastOntslag060">Data!$AM$62</definedName>
    <definedName name="Data_SchaalVastOntslag061">Data!$AM$63</definedName>
    <definedName name="Data_SchaalVastOntslag062">Data!$AM$64</definedName>
    <definedName name="Data_SchaalVastOntslag063">Data!$AM$65</definedName>
    <definedName name="Data_SchaalVastOntslag064">Data!$AM$66</definedName>
    <definedName name="Data_SchaalVastOntslag065">Data!$AM$67</definedName>
    <definedName name="Data_SchaalVastOntslag066">Data!$AM$68</definedName>
    <definedName name="Data_SchaalVastOntslag067">Data!$AM$69</definedName>
    <definedName name="Data_SchaalVastOntslag068">Data!$AM$70</definedName>
    <definedName name="Data_SchaalVastOntslag069">Data!$AM$71</definedName>
    <definedName name="Data_SchaalVastOntslag070">Data!$AM$72</definedName>
    <definedName name="Data_SchaalVastOntslag071">Data!$AM$73</definedName>
    <definedName name="Data_SchaalVastOntslag072">Data!$AM$74</definedName>
    <definedName name="Data_SchaalVastOntslag073">Data!$AM$75</definedName>
    <definedName name="Data_SchaalVastOntslag074">Data!$AM$76</definedName>
    <definedName name="Data_SchaalVastOntslag075">Data!$AM$77</definedName>
    <definedName name="Data_SchaalVastOntslag076">Data!$AM$78</definedName>
    <definedName name="Data_SchaalVastOntslag077">Data!$AM$79</definedName>
    <definedName name="Data_SchaalVastOntslag078">Data!$AM$80</definedName>
    <definedName name="Data_SchaalVastOntslag079">Data!$AM$81</definedName>
    <definedName name="Data_SchaalVastOntslag080">Data!$AM$82</definedName>
    <definedName name="Data_SchaalVastOntslag081">Data!$AM$83</definedName>
    <definedName name="Data_SchaalVastOntslag082">Data!$AM$84</definedName>
    <definedName name="Data_SchaalVastOntslag083">Data!$AM$85</definedName>
    <definedName name="Data_SchaalVastOntslag084">Data!$AM$86</definedName>
    <definedName name="Data_SchaalVastOntslag085">Data!$AM$87</definedName>
    <definedName name="Data_SchaalVastOntslag086">Data!$AM$88</definedName>
    <definedName name="Data_SchaalVastOntslag087">Data!$AM$89</definedName>
    <definedName name="Data_SchaalVastOntslag088">Data!$AM$90</definedName>
    <definedName name="Data_SchaalVastOntslag089">Data!$AM$91</definedName>
    <definedName name="Data_SchaalVastOntslag090">Data!$AM$92</definedName>
    <definedName name="Data_SchaalVastOntslag091">Data!$AM$93</definedName>
    <definedName name="Data_SchaalVastOntslag092">Data!$AM$94</definedName>
    <definedName name="Data_SchaalVastOntslag093">Data!$AM$95</definedName>
    <definedName name="Data_SchaalVastOntslag094">Data!$AM$96</definedName>
    <definedName name="Data_SchaalVastOntslag095">Data!$AM$97</definedName>
    <definedName name="Data_SchaalVastOntslag096">Data!$AM$98</definedName>
    <definedName name="Data_SchaalVastOntslag097">Data!$AM$99</definedName>
    <definedName name="Data_SchaalVastOntslag098">Data!$AM$100</definedName>
    <definedName name="Data_SchaalVastOntslag099">Data!$AM$101</definedName>
    <definedName name="Data_SchaalVastOntslag100">Data!$AM$102</definedName>
    <definedName name="Data_SchaalVastOntslag101">Data!$AM$103</definedName>
    <definedName name="Data_SchaalVastOntslag102">Data!$AM$104</definedName>
    <definedName name="Data_SchaalVastOntslag103">Data!$AM$105</definedName>
    <definedName name="Data_SchaalVastOntslag104">Data!$AM$106</definedName>
    <definedName name="Data_SchaalVastOntslag105">Data!$AM$107</definedName>
    <definedName name="Data_SchaalVastOntslag106">Data!$AM$108</definedName>
    <definedName name="Data_SchaalVastOntslag107">Data!$AM$109</definedName>
    <definedName name="Data_SchaalVastOntslag108">Data!$AM$110</definedName>
    <definedName name="Data_SchaalVastOntslag109">Data!$AM$111</definedName>
    <definedName name="Data_SchaalVastOntslag110">Data!$AM$112</definedName>
    <definedName name="Data_SchaalVastOntslag111">Data!$AM$113</definedName>
    <definedName name="Data_SchaalVastOntslag112">Data!$AM$114</definedName>
    <definedName name="Data_SchaalVastOntslag113">Data!$AM$115</definedName>
    <definedName name="Data_SchaalVastOntslag114">Data!$AM$116</definedName>
    <definedName name="Data_SchaalVastOntslag115">Data!$AM$117</definedName>
    <definedName name="Data_SchaalVastOntslag116">Data!$AM$118</definedName>
    <definedName name="Data_SchaalVastOntslag117">Data!$AM$119</definedName>
    <definedName name="Data_SchaalVastOntslag118">Data!$AM$120</definedName>
    <definedName name="Data_SchaalVastOntslag119">Data!$AM$121</definedName>
    <definedName name="Data_SchaalVastOntslag120">Data!$AM$122</definedName>
    <definedName name="Data_SchaalVastOntslag121">Data!$AM$123</definedName>
    <definedName name="Data_SchaalVastOntslag122">Data!$AM$124</definedName>
    <definedName name="Data_SchaalVastOntslag123">Data!$AM$125</definedName>
    <definedName name="Data_SchaalVastOntslag124">Data!$AM$126</definedName>
    <definedName name="Data_SchaalVastOntslag125">Data!$AM$127</definedName>
    <definedName name="Data_SchaalVastOntslag126">Data!$AM$128</definedName>
    <definedName name="Data_SchaalVastOntslag127">Data!$AM$129</definedName>
    <definedName name="Data_SchaalVastOntslag128">Data!$AM$130</definedName>
    <definedName name="Data_SchaalVastOntslag129">Data!$AM$131</definedName>
    <definedName name="Data_SchaalVastOntslag130">Data!$AM$132</definedName>
    <definedName name="Data_SchaalVastOntslag131">Data!$AM$133</definedName>
    <definedName name="Data_SchaalVastOntslag132">Data!$AM$134</definedName>
    <definedName name="Data_SchaalVastOntslag133">Data!$AM$135</definedName>
    <definedName name="Data_SchaalVastOntslag134">Data!$AM$136</definedName>
    <definedName name="Data_SchaalVastOntslag135">Data!$AM$137</definedName>
    <definedName name="Data_SchaalVastOntslag136">Data!$AM$138</definedName>
    <definedName name="Data_SchaalVastOntslag137">Data!$AM$139</definedName>
    <definedName name="Data_SchaalVastOntslag138">Data!$AM$140</definedName>
    <definedName name="Data_SchaalVastOntslag139">Data!$AM$141</definedName>
    <definedName name="Data_SchaalVastOntslag140">Data!$AM$142</definedName>
    <definedName name="Data_SchaalVastOntslag141">Data!$AM$143</definedName>
    <definedName name="Data_SchaalVastOntslag142">Data!$AM$144</definedName>
    <definedName name="Data_SchaalVastOntslag143">Data!$AM$145</definedName>
    <definedName name="Data_SchaalVastOntslag144">Data!$AM$146</definedName>
    <definedName name="Data_SchaalVastOntslag145">Data!$AM$147</definedName>
    <definedName name="Data_SchaalVastOntslag146">Data!$AM$148</definedName>
    <definedName name="Data_SchaalVastOntslag147">Data!$AM$149</definedName>
    <definedName name="Data_SchaalVastOntslag148">Data!$AM$150</definedName>
    <definedName name="Data_SchaalVastOntslag149">Data!$AM$151</definedName>
    <definedName name="Data_SchaalVastOntslag150">Data!$AM$152</definedName>
    <definedName name="Data_SchaalVastOntslag151">Data!$AM$153</definedName>
    <definedName name="Data_SchaalVastOntslag152">Data!$AM$154</definedName>
    <definedName name="Data_SchaalVastOntslag153">Data!$AM$155</definedName>
    <definedName name="Data_SchaalVastOntslag154">Data!$AM$156</definedName>
    <definedName name="Data_SchaalVastOntslag155">Data!$AM$157</definedName>
    <definedName name="Data_SchaalVastOntslag156">Data!$AM$158</definedName>
    <definedName name="Data_SchaalVastOntslag157">Data!$AM$159</definedName>
    <definedName name="Data_SchaalVastOntslag158">Data!$AM$160</definedName>
    <definedName name="Data_SchaalVastOntslag159">Data!$AM$161</definedName>
    <definedName name="Data_SchaalVastOntslag160">Data!$AM$162</definedName>
    <definedName name="Data_SchaalVastOntslag161">Data!$AM$163</definedName>
    <definedName name="Data_SchaalVastOntslag162">Data!$AM$164</definedName>
    <definedName name="Data_SchaalVastOntslag163">Data!$AM$165</definedName>
    <definedName name="Data_SchaalVastOntslag164">Data!$AM$166</definedName>
    <definedName name="Data_SchaalVastOntslag165">Data!$AM$167</definedName>
    <definedName name="Data_SchaalVastOntslag166">Data!$AM$168</definedName>
    <definedName name="Data_SchaalVastOntslag167">Data!$AM$169</definedName>
    <definedName name="Data_SchaalVastOntslag168">Data!$AM$170</definedName>
    <definedName name="Data_SchaalVastOntslag169">Data!$AM$171</definedName>
    <definedName name="Data_SchaalVastOntslag170">Data!$AM$172</definedName>
    <definedName name="Data_SchaalVastOntslag171">Data!$AM$173</definedName>
    <definedName name="Data_SchaalVastOntslag172">Data!$AM$174</definedName>
    <definedName name="Data_SchaalVastOntslag173">Data!$AM$175</definedName>
    <definedName name="Data_SchaalVastOntslag174">Data!$AM$176</definedName>
    <definedName name="Data_SchaalVastOntslag175">Data!$AM$177</definedName>
    <definedName name="Data_SchaalVastOntslag176">Data!$AM$178</definedName>
    <definedName name="Data_SchaalVastOntslag177">Data!$AM$179</definedName>
    <definedName name="Data_SchaalVastOntslag178">Data!$AM$180</definedName>
    <definedName name="Data_SchaalVastOntslag179">Data!$AM$181</definedName>
    <definedName name="Data_SchaalVastOntslag180">Data!$AM$182</definedName>
    <definedName name="Data_SchaalVastOntslag181">Data!$AM$183</definedName>
    <definedName name="Data_SchaalVastOntslag182">Data!$AM$184</definedName>
    <definedName name="Data_SchaalVastOntslag183">Data!$AM$185</definedName>
    <definedName name="Data_SchaalVastOntslag184">Data!$AM$186</definedName>
    <definedName name="Data_SchaalVastOntslag185">Data!$AM$187</definedName>
    <definedName name="Data_SchaalVastOntslag186">Data!$AM$188</definedName>
    <definedName name="Data_SchaalVastOntslag187">Data!$AM$189</definedName>
    <definedName name="Data_SchaalVastOntslag188">Data!$AM$190</definedName>
    <definedName name="Data_SchaalVastOntslag189">Data!$AM$191</definedName>
    <definedName name="Data_SchaalVastOntslag190">Data!$AM$192</definedName>
    <definedName name="Data_SchaalVastOntslag191">Data!$AM$193</definedName>
    <definedName name="Data_SchaalVastOntslag192">Data!$AM$194</definedName>
    <definedName name="Data_SchaalVastOntslag193">Data!$AM$195</definedName>
    <definedName name="Data_SchaalVastOntslag194">Data!$AM$196</definedName>
    <definedName name="Data_SchaalVastOntslag195">Data!$AM$197</definedName>
    <definedName name="Data_SchaalVastOntslag196">Data!$AM$198</definedName>
    <definedName name="Data_SchaalVastOntslag197">Data!$AM$199</definedName>
    <definedName name="Data_SchaalVastOntslag198">Data!$AM$200</definedName>
    <definedName name="Data_SchaalVastOntslag199">Data!$AM$201</definedName>
    <definedName name="Data_SchaalVastOntslag200">Data!$AM$202</definedName>
    <definedName name="Data_SchaalVastOntslag201">Data!$AM$203</definedName>
    <definedName name="Data_SchaalVastOntslag202">Data!$AM$204</definedName>
    <definedName name="Data_SchaalVastOntslag203">Data!$AM$205</definedName>
    <definedName name="Data_SchaalVastOntslag204">Data!$AM$206</definedName>
    <definedName name="Data_SchaalVastOntslag205">Data!$AM$207</definedName>
    <definedName name="Data_SchaalVastOntslag206">Data!$AM$208</definedName>
    <definedName name="Data_SchaalVastOntslag207">Data!$AM$209</definedName>
    <definedName name="Data_SchaalVastOntslag208">Data!$AM$210</definedName>
    <definedName name="Data_SchaalVastOntslag209">Data!$AM$211</definedName>
    <definedName name="Data_SchaalVastOntslag210">Data!$AM$212</definedName>
    <definedName name="Data_SchaalVastOntslag211">Data!$AM$213</definedName>
    <definedName name="Data_SchaalVastOntslag212">Data!$AM$214</definedName>
    <definedName name="Data_SchaalVastOntslag213">Data!$AM$215</definedName>
    <definedName name="Data_SchaalVastOntslag214">Data!$AM$216</definedName>
    <definedName name="Data_SchaalVastOntslag215">Data!$AM$217</definedName>
    <definedName name="Data_SchaalVastOntslag216">Data!$AM$218</definedName>
    <definedName name="Data_SchaalVastOntslag217">Data!$AM$219</definedName>
    <definedName name="Data_SchaalVastOntslag218">Data!$AM$220</definedName>
    <definedName name="Data_SchaalVastOntslag219">Data!$AM$221</definedName>
    <definedName name="Data_SchaalVastOntslag220">Data!$AM$222</definedName>
    <definedName name="Data_SchaalVastOntslag221">Data!$AM$223</definedName>
    <definedName name="Data_SchaalVastOntslag222">Data!$AM$224</definedName>
    <definedName name="Data_SchaalVastOntslag223">Data!$AM$225</definedName>
    <definedName name="Data_SchaalVastOntslag224">Data!$AM$226</definedName>
    <definedName name="Data_SchaalVastOntslag225">Data!$AM$227</definedName>
    <definedName name="Data_SchaalVastOntslag226">Data!$AM$228</definedName>
    <definedName name="Data_SchaalVastOntslag227">Data!$AM$229</definedName>
    <definedName name="Data_SchaalVastOntslag228">Data!$AM$230</definedName>
    <definedName name="Data_SchaalVastOntslag229">Data!$AM$231</definedName>
    <definedName name="Data_SchaalVastOntslag230">Data!$AM$232</definedName>
    <definedName name="Data_SchaalVastOntslag231">Data!$AM$233</definedName>
    <definedName name="Data_SchaalVastOntslag232">Data!$AM$234</definedName>
    <definedName name="Data_SchaalVastOntslag233">Data!$AM$235</definedName>
    <definedName name="Data_SchaalVastOntslag234">Data!$AM$236</definedName>
    <definedName name="Data_SchaalVastOntslag235">Data!$AM$237</definedName>
    <definedName name="Data_SchaalVastOntslag236">Data!$AM$238</definedName>
    <definedName name="Data_SchaalVastOntslag237">Data!$AM$239</definedName>
    <definedName name="Data_SchaalVastOntslag238">Data!$AM$240</definedName>
    <definedName name="Data_SchaalVastOntslag239">Data!$AM$241</definedName>
    <definedName name="Data_SchaalVastOntslag240">Data!$AM$242</definedName>
    <definedName name="Data_SchaalVastOntslag241">Data!$AM$243</definedName>
    <definedName name="Data_SchaalVastOntslag242">Data!$AM$244</definedName>
    <definedName name="Data_SchaalVastOntslag243">Data!$AM$245</definedName>
    <definedName name="Data_SchaalVastOntslag244">Data!$AM$246</definedName>
    <definedName name="Data_SchaalVastOntslag245">Data!$AM$247</definedName>
    <definedName name="Data_SchaalVastOntslag246">Data!$AM$248</definedName>
    <definedName name="Data_SchaalVastOntslag247">Data!$AM$249</definedName>
    <definedName name="Data_SchaalVastOntslag248">Data!$AM$250</definedName>
    <definedName name="Data_SchaalVastOntslag249">Data!$AM$251</definedName>
    <definedName name="Data_SchaalVastOntslag250">Data!$AM$252</definedName>
    <definedName name="Data_SchaalVastOntslag251">Data!$AM$253</definedName>
    <definedName name="Data_SchaalVastOntslag252">Data!$AM$254</definedName>
    <definedName name="Data_SchaalVastOntslag253">Data!$AM$255</definedName>
    <definedName name="Data_SchaalVastOntslag254">Data!$AM$256</definedName>
    <definedName name="Data_SchaalVastOntslag255">Data!$AM$257</definedName>
    <definedName name="Data_SchaalVastOntslag256">Data!$AM$258</definedName>
    <definedName name="Data_SchaalVastOntslag257">Data!$AM$259</definedName>
    <definedName name="Data_SchaalVastOntslag258">Data!$AM$260</definedName>
    <definedName name="Data_SchaalVastOntslag259">Data!$AM$261</definedName>
    <definedName name="Data_SchaalVastOntslag260">Data!$AM$262</definedName>
    <definedName name="Data_SchaalVastOntslag261">Data!$AM$263</definedName>
    <definedName name="Data_SchaalVastOntslag262">Data!$AM$264</definedName>
    <definedName name="Data_SchaalVastOntslag263">Data!$AM$265</definedName>
    <definedName name="Data_SchaalVastOntslag264">Data!$AM$266</definedName>
    <definedName name="Data_SchaalVastOntslag265">Data!$AM$267</definedName>
    <definedName name="Data_SchaalVastOntslag266">Data!$AM$268</definedName>
    <definedName name="Data_SchaalVastOntslag267">Data!$AM$269</definedName>
    <definedName name="Data_SchaalVastOntslag268">Data!$AM$270</definedName>
    <definedName name="Data_SchaalVastOntslag269">Data!$AM$271</definedName>
    <definedName name="Data_SchaalVastOntslag270">Data!$AM$272</definedName>
    <definedName name="Data_SchaalVastOntslag271">Data!$AM$273</definedName>
    <definedName name="Data_SchaalVastOntslag272">Data!$AM$274</definedName>
    <definedName name="Data_SchaalVastOntslag273">Data!$AM$275</definedName>
    <definedName name="Data_SchaalVastOntslag274">Data!$AM$276</definedName>
    <definedName name="Data_SchaalVastOntslag275">Data!$AM$277</definedName>
    <definedName name="Data_SchaalVastOntslag276">Data!$AM$278</definedName>
    <definedName name="Data_SchaalVastOntslag277">Data!$AM$279</definedName>
    <definedName name="Data_SchaalVastOntslag278">Data!$AM$280</definedName>
    <definedName name="Data_SchaalVastOntslag279">Data!$AM$281</definedName>
    <definedName name="Data_SchaalVastOntslag280">Data!$AM$282</definedName>
    <definedName name="Data_SchaalVastOntslag281">Data!$AM$283</definedName>
    <definedName name="Data_SchaalVastOntslag282">Data!$AM$284</definedName>
    <definedName name="Data_SchaalVastOntslag283">Data!$AM$285</definedName>
    <definedName name="Data_SchaalVastOntslag284">Data!$AM$286</definedName>
    <definedName name="Data_SchaalVastOntslag285">Data!$AM$287</definedName>
    <definedName name="Data_SchaalVastOntslag286">Data!$AM$288</definedName>
    <definedName name="Data_SchaalVastOntslag287">Data!$AM$289</definedName>
    <definedName name="Data_SchaalVastOntslag288">Data!$AM$290</definedName>
    <definedName name="Data_SchaalVastOntslag289">Data!$AM$291</definedName>
    <definedName name="Data_SchaalVastOntslag290">Data!$AM$292</definedName>
    <definedName name="Data_SchaalVastOntslag291">Data!$AM$293</definedName>
    <definedName name="Data_SchaalVastOntslag292">Data!$AM$294</definedName>
    <definedName name="Data_SchaalVastOntslag293">Data!$AM$295</definedName>
    <definedName name="Data_SchaalVastOntslag294">Data!$AM$296</definedName>
    <definedName name="Data_SchaalVastOntslag295">Data!$AM$297</definedName>
    <definedName name="Data_SchaalVastOntslag296">Data!$AM$298</definedName>
    <definedName name="Data_SchaalVastOntslag297">Data!$AM$299</definedName>
    <definedName name="Data_SchaalVastOntslag298">Data!$AM$300</definedName>
    <definedName name="Data_SchaalVastOntslag299">Data!$AM$301</definedName>
    <definedName name="Data_SchaalVastOntslag300">Data!$AM$302</definedName>
    <definedName name="Data_SchaalVastOntslag301">Data!$AM$303</definedName>
    <definedName name="Data_SchaalVastOntslag302">Data!$AM$304</definedName>
    <definedName name="Data_SchaalVastOntslag303">Data!$AM$305</definedName>
    <definedName name="Data_SchaalVastOntslag304">Data!$AM$306</definedName>
    <definedName name="Data_SchaalVastOntslag305">Data!$AM$307</definedName>
    <definedName name="Data_SchaalVastOntslag306">Data!$AM$308</definedName>
    <definedName name="Data_SchaalVastOntslag307">Data!$AM$309</definedName>
    <definedName name="Data_SchaalVastOntslag308">Data!$AM$310</definedName>
    <definedName name="Data_SchaalVastOntslag309">Data!$AM$311</definedName>
    <definedName name="Data_SchaalVastOntslag310">Data!$AM$312</definedName>
    <definedName name="Data_SchaalVastOntslag311">Data!$AM$313</definedName>
    <definedName name="Data_SchaalVastOntslag312">Data!$AM$314</definedName>
    <definedName name="Data_SchaalVastOntslag313">Data!$AM$315</definedName>
    <definedName name="Data_SchaalVastOntslag314">Data!$AM$316</definedName>
    <definedName name="Data_SchaalVastOntslag315">Data!$AM$317</definedName>
    <definedName name="Data_SchaalVastOntslag316">Data!$AM$318</definedName>
    <definedName name="Data_SchaalVastOntslag317">Data!$AM$319</definedName>
    <definedName name="Data_SchaalVastOntslag318">Data!$AM$320</definedName>
    <definedName name="Data_SchaalVastOntslag319">Data!$AM$321</definedName>
    <definedName name="Data_SchaalVastOntslag320">Data!$AM$322</definedName>
    <definedName name="Data_SchaalVastOntslag321">Data!$AM$323</definedName>
    <definedName name="Data_SchaalVastOntslag322">Data!$AM$324</definedName>
    <definedName name="Data_SchaalVastOntslag323">Data!$AM$325</definedName>
    <definedName name="Data_SchaalVastOntslag324">Data!$AM$326</definedName>
    <definedName name="Data_SchaalVastOntslag325">Data!$AM$327</definedName>
    <definedName name="Data_SchaalVastOntslag326">Data!$AM$328</definedName>
    <definedName name="Data_SchaalVastOntslag327">Data!$AM$329</definedName>
    <definedName name="Data_SchaalVastOntslag328">Data!$AM$330</definedName>
    <definedName name="Data_SchaalVastOntslag329">Data!$AM$331</definedName>
    <definedName name="Data_SchaalVastOntslag330">Data!$AM$332</definedName>
    <definedName name="Data_SchaalVastOntslag331">Data!$AM$333</definedName>
    <definedName name="Data_SchaalVastOntslag332">Data!$AM$334</definedName>
    <definedName name="Data_SchaalVastOntslag333">Data!$AM$335</definedName>
    <definedName name="Data_SchaalVastOntslag334">Data!$AM$336</definedName>
    <definedName name="Data_SchaalVastOntslag335">Data!$AM$337</definedName>
    <definedName name="Data_SchaalVastOntslag336">Data!$AM$338</definedName>
    <definedName name="Data_SchaalVastOntslag337">Data!$AM$339</definedName>
    <definedName name="Data_SchaalVastOntslag338">Data!$AM$340</definedName>
    <definedName name="Data_SchaalVastOntslag339">Data!$AM$341</definedName>
    <definedName name="Data_SchaalVastOntslag340">Data!$AM$342</definedName>
    <definedName name="Data_SchaalVastOntslag341">Data!$AM$343</definedName>
    <definedName name="Data_SchaalVastOntslag342">Data!$AM$344</definedName>
    <definedName name="Data_SchaalVastOntslag343">Data!$AM$345</definedName>
    <definedName name="Data_SchaalVastOntslag344">Data!$AM$346</definedName>
    <definedName name="Data_SchaalVastOntslag345">Data!$AM$347</definedName>
    <definedName name="Data_SchaalVastOntslag346">Data!$AM$348</definedName>
    <definedName name="Data_SchaalVastOntslag347">Data!$AM$349</definedName>
    <definedName name="Data_SchaalVastOntslag348">Data!$AM$350</definedName>
    <definedName name="Data_SchaalVastOntslag349">Data!$AM$351</definedName>
    <definedName name="Data_SchaalVastOntslag350">Data!$AM$352</definedName>
    <definedName name="Data_SchaalVastOntslag351">Data!$AM$353</definedName>
    <definedName name="Data_SchaalVastOntslag352">Data!$AM$354</definedName>
    <definedName name="Data_SchaalVastOntslag353">Data!$AM$355</definedName>
    <definedName name="Data_SchaalVastOntslag354">Data!$AM$356</definedName>
    <definedName name="Data_SchaalVastOntslag355">Data!$AM$357</definedName>
    <definedName name="Data_SchaalVastOntslag356">Data!$AM$358</definedName>
    <definedName name="Data_SchaalVastOntslag357">Data!$AM$359</definedName>
    <definedName name="Data_SchaalVastOntslag358">Data!$AM$360</definedName>
    <definedName name="Data_SchaalVastOntslag359">Data!$AM$361</definedName>
    <definedName name="Data_SchaalVastOntslag360">Data!$AM$362</definedName>
    <definedName name="Data_SchaalVastOntslag361">Data!$AM$363</definedName>
    <definedName name="Data_SchaalVastOntslag362">Data!$AM$364</definedName>
    <definedName name="Data_SchaalVastOntslag363">Data!$AM$365</definedName>
    <definedName name="Data_SchaalVastOntslag364">Data!$AM$366</definedName>
    <definedName name="Data_SchaalVastOntslag365">Data!$AM$367</definedName>
    <definedName name="Data_SchaalVastOntslag366">Data!$AM$368</definedName>
    <definedName name="Data_SchaalVastOntslag367">Data!$AM$369</definedName>
    <definedName name="Data_SchaalVastOntslag368">Data!$AM$370</definedName>
    <definedName name="Data_SchaalVastOntslag369">Data!$AM$371</definedName>
    <definedName name="Data_SchaalVastOntslag370">Data!$AM$372</definedName>
    <definedName name="Data_SchaalVastOntslag371">Data!$AM$373</definedName>
    <definedName name="Data_SchaalVastOntslag372">Data!$AM$374</definedName>
    <definedName name="Data_SchaalVastOntslag373">Data!$AM$375</definedName>
    <definedName name="Data_SchaalVastOntslag374">Data!$AM$376</definedName>
    <definedName name="Data_SchaalVastOntslag375">Data!$AM$377</definedName>
    <definedName name="Data_SchaalVastOntslag376">Data!$AM$378</definedName>
    <definedName name="Data_SchaalVastOntslag377">Data!$AM$379</definedName>
    <definedName name="Data_SchaalVastOntslag378">Data!$AM$380</definedName>
    <definedName name="Data_SchaalVastOntslag379">Data!$AM$381</definedName>
    <definedName name="Data_SchaalVastOntslag380">Data!$AM$382</definedName>
    <definedName name="Data_SchaalVastOntslag381">Data!$AM$383</definedName>
    <definedName name="Data_SchaalVastOntslag382">Data!$AM$384</definedName>
    <definedName name="Data_SchaalVastOntslag383">Data!$AM$385</definedName>
    <definedName name="Data_SchaalVastOntslag384">Data!$AM$386</definedName>
    <definedName name="Data_SchaalVastOntslag385">Data!$AM$387</definedName>
    <definedName name="Data_SchaalVastOntslag386">Data!$AM$388</definedName>
    <definedName name="Data_SchaalVastOntslag387">Data!$AM$389</definedName>
    <definedName name="Data_SchaalVastOntslag388">Data!$AM$390</definedName>
    <definedName name="Data_SchaalVastOntslag389">Data!$AM$391</definedName>
    <definedName name="Data_SchaalVastOntslag390">Data!$AM$392</definedName>
    <definedName name="Data_SchaalVastOntslag391">Data!$AM$393</definedName>
    <definedName name="Data_SchaalVastOntslag392">Data!$AM$394</definedName>
    <definedName name="Data_SchaalVastOntslag393">Data!$AM$395</definedName>
    <definedName name="Data_SchaalVastOntslag394">Data!$AM$396</definedName>
    <definedName name="Data_SchaalVastOntslag395">Data!$AM$397</definedName>
    <definedName name="Data_SchaalVastOntslag396">Data!$AM$398</definedName>
    <definedName name="Data_SchaalVastOntslag397">Data!$AM$399</definedName>
    <definedName name="Data_SchaalVastOntslag398">Data!$AM$400</definedName>
    <definedName name="Data_SchaalVastOntslag399">Data!$AM$401</definedName>
    <definedName name="Data_SchaalVastOntslag400">Data!$AM$402</definedName>
    <definedName name="Data_SchaalVastOntslag401">Data!$AM$403</definedName>
    <definedName name="Data_SchaalVastOntslag402">Data!$AM$404</definedName>
    <definedName name="Data_SchaalVastOntslag403">Data!$AM$405</definedName>
    <definedName name="Data_SchaalVastOntslag404">Data!$AM$406</definedName>
    <definedName name="Data_SchaalVastOntslag405">Data!$AM$407</definedName>
    <definedName name="Data_SchaalVastOntslag406">Data!$AM$408</definedName>
    <definedName name="Data_SchaalVastOntslag407">Data!$AM$409</definedName>
    <definedName name="Data_SchaalVastOntslag408">Data!$AM$410</definedName>
    <definedName name="Data_SchaalVastOntslag409">Data!$AM$411</definedName>
    <definedName name="Data_SchaalVastOntslag410">Data!$AM$412</definedName>
    <definedName name="Data_SchaalVastOntslag411">Data!$AM$413</definedName>
    <definedName name="Data_SchaalVastOntslag412">Data!$AM$414</definedName>
    <definedName name="Data_SchaalVastOntslag413">Data!$AM$415</definedName>
    <definedName name="Data_SchaalVastOntslag414">Data!$AM$416</definedName>
    <definedName name="Data_SchaalVastOntslag415">Data!$AM$417</definedName>
    <definedName name="Data_SchaalVastOntslag416">Data!$AM$418</definedName>
    <definedName name="Data_SchaalVastOntslag417">Data!$AM$419</definedName>
    <definedName name="Data_SchaalVastOntslag418">Data!$AM$420</definedName>
    <definedName name="Data_SchaalVastOntslag419">Data!$AM$421</definedName>
    <definedName name="Data_SchaalVastOntslag420">Data!$AM$422</definedName>
    <definedName name="Data_SchaalVastOntslag421">Data!$AM$423</definedName>
    <definedName name="Data_SchaalVastOntslag422">Data!$AM$424</definedName>
    <definedName name="Data_SchaalVastOntslag423">Data!$AM$425</definedName>
    <definedName name="Data_SchaalVastOntslag424">Data!$AM$426</definedName>
    <definedName name="Data_SchaalVastOntslag425">Data!$AM$427</definedName>
    <definedName name="Data_SchaalVastOntslag426">Data!$AM$428</definedName>
    <definedName name="Data_SchaalVastOntslag427">Data!$AM$429</definedName>
    <definedName name="Data_SchaalVastOntslag428">Data!$AM$430</definedName>
    <definedName name="Data_SchaalVastOntslag429">Data!$AM$431</definedName>
    <definedName name="Data_SchaalVastOntslag430">Data!$AM$432</definedName>
    <definedName name="Data_SchaalVastOntslag431">Data!$AM$433</definedName>
    <definedName name="Data_SchaalVastOntslag432">Data!$AM$434</definedName>
    <definedName name="Data_SchaalVastOntslag433">Data!$AM$435</definedName>
    <definedName name="Data_SchaalVastOntslag434">Data!$AM$436</definedName>
    <definedName name="Data_SchaalVastOntslag435">Data!$AM$437</definedName>
    <definedName name="Data_SchaalVastOntslag436">Data!$AM$438</definedName>
    <definedName name="Data_SchaalVastOntslag437">Data!$AM$439</definedName>
    <definedName name="Data_SchaalVastOntslag438">Data!$AM$440</definedName>
    <definedName name="Data_SchaalVastOntslag439">Data!$AM$441</definedName>
    <definedName name="Data_SchaalVastOntslag440">Data!$AM$442</definedName>
    <definedName name="Data_SchaalVastOntslag441">Data!$AM$443</definedName>
    <definedName name="Data_SchaalVastOntslag442">Data!$AM$444</definedName>
    <definedName name="Data_SchaalVastOntslag443">Data!$AM$445</definedName>
    <definedName name="Data_SchaalVastOntslag444">Data!$AM$446</definedName>
    <definedName name="Data_SchaalVastOntslag445">Data!$AM$447</definedName>
    <definedName name="Data_SchaalVastOntslag446">Data!$AM$448</definedName>
    <definedName name="Data_SchaalVastOntslag447">Data!$AM$449</definedName>
    <definedName name="Data_SchaalVastOntslag448">Data!$AM$450</definedName>
    <definedName name="Data_SchaalVastOntslag449">Data!$AM$451</definedName>
    <definedName name="Data_SchaalVastOntslag450">Data!$AM$452</definedName>
    <definedName name="Data_SchaalVastOntslag451">Data!$AM$453</definedName>
    <definedName name="Data_SchaalVastOntslag452">Data!$AM$454</definedName>
    <definedName name="Data_SchaalVastOntslag453">Data!$AM$455</definedName>
    <definedName name="Data_SchaalVastOntslag454">Data!$AM$456</definedName>
    <definedName name="Data_SchaalVastOntslag455">Data!$AM$457</definedName>
    <definedName name="Data_SchaalVastOntslag456">Data!$AM$458</definedName>
    <definedName name="Data_SchaalVastOntslag457">Data!$AM$459</definedName>
    <definedName name="Data_SchaalVastOntslag458">Data!$AM$460</definedName>
    <definedName name="Data_SchaalVastOntslag459">Data!$AM$461</definedName>
    <definedName name="Data_SchaalVastOntslag460">Data!$AM$462</definedName>
    <definedName name="Data_SchaalVastOntslag461">Data!$AM$463</definedName>
    <definedName name="Data_SchaalVastOntslag462">Data!$AM$464</definedName>
    <definedName name="Data_SchaalVastOntslag463">Data!$AM$465</definedName>
    <definedName name="Data_SchaalVastOntslag464">Data!$AM$466</definedName>
    <definedName name="Data_SchaalVastOntslag465">Data!$AM$467</definedName>
    <definedName name="Data_SchaalVastOntslag466">Data!$AM$468</definedName>
    <definedName name="Data_SchaalVastOntslag467">Data!$AM$469</definedName>
    <definedName name="Data_SchaalVastOntslag468">Data!$AM$470</definedName>
    <definedName name="Data_SchaalVastOntslag469">Data!$AM$471</definedName>
    <definedName name="Data_SchaalVastOntslag470">Data!$AM$472</definedName>
    <definedName name="Data_SchaalVastOntslag471">Data!$AM$473</definedName>
    <definedName name="Data_SchaalVastOntslag472">Data!$AM$474</definedName>
    <definedName name="Data_SchaalVastOntslag473">Data!$AM$475</definedName>
    <definedName name="Data_SchaalVastOntslag474">Data!$AM$476</definedName>
    <definedName name="Data_SchaalVastOntslag475">Data!$AM$477</definedName>
    <definedName name="Data_SchaalVastOntslag476">Data!$AM$478</definedName>
    <definedName name="Data_SchaalVastOntslag477">Data!$AM$479</definedName>
    <definedName name="Data_SchaalVastOntslag478">Data!$AM$480</definedName>
    <definedName name="Data_SchaalVastOntslag479">Data!$AM$481</definedName>
    <definedName name="Data_SchaalVastOntslag480">Data!$AM$482</definedName>
    <definedName name="Data_SchaalVastOntslag481">Data!$AM$483</definedName>
    <definedName name="Data_SchaalVastOntslag482">Data!$AM$484</definedName>
    <definedName name="Data_SchaalVastOntslag483">Data!$AM$485</definedName>
    <definedName name="Data_SchaalVastOntslag484">Data!$AM$486</definedName>
    <definedName name="Data_SchaalVastOntslag485">Data!$AM$487</definedName>
    <definedName name="Data_SchaalVastOntslag486">Data!$AM$488</definedName>
    <definedName name="Data_SchaalVastOntslag487">Data!$AM$489</definedName>
    <definedName name="Data_SchaalVastOntslag488">Data!$AM$490</definedName>
    <definedName name="Data_SchaalVastOntslag489">Data!$AM$491</definedName>
    <definedName name="Data_SchaalVastOntslag490">Data!$AM$492</definedName>
    <definedName name="Data_SchaalVastOntslag491">Data!$AM$493</definedName>
    <definedName name="Data_SchaalVastOntslag492">Data!$AM$494</definedName>
    <definedName name="Data_SchaalVastOntslag493">Data!$AM$495</definedName>
    <definedName name="Data_SchaalVastOntslag494">Data!$AM$496</definedName>
    <definedName name="Data_SchaalVastOntslag495">Data!$AM$497</definedName>
    <definedName name="Data_SchaalVastOntslag496">Data!$AM$498</definedName>
    <definedName name="Data_SchaalVastOntslag497">Data!$AM$499</definedName>
    <definedName name="Data_SchaalVastOntslag498">Data!$AM$500</definedName>
    <definedName name="Data_SchaalVastOntslag499">Data!$AM$501</definedName>
    <definedName name="Data_SchaalVastOntslag500">Data!$AM$502</definedName>
    <definedName name="Data_SchaalVastVrij001">Data!$AC$3</definedName>
    <definedName name="Data_SchaalVastVrij002">Data!$AC$4</definedName>
    <definedName name="Data_SchaalVastVrij003">Data!$AC$5</definedName>
    <definedName name="Data_SchaalVastVrij004">Data!$AC$6</definedName>
    <definedName name="Data_SchaalVastVrij005">Data!$AC$7</definedName>
    <definedName name="Data_SchaalVastVrij006">Data!$AC$8</definedName>
    <definedName name="Data_SchaalVastVrij007">Data!$AC$9</definedName>
    <definedName name="Data_SchaalVastVrij008">Data!$AC$10</definedName>
    <definedName name="Data_SchaalVastVrij009">Data!$AC$11</definedName>
    <definedName name="Data_SchaalVastVrij010">Data!$AC$12</definedName>
    <definedName name="Data_SchaalVastVrij011">Data!$AC$13</definedName>
    <definedName name="Data_SchaalVastVrij012">Data!$AC$14</definedName>
    <definedName name="Data_SchaalVastVrij013">Data!$AC$15</definedName>
    <definedName name="Data_SchaalVastVrij014">Data!$AC$16</definedName>
    <definedName name="Data_SchaalVastVrij015">Data!$AC$17</definedName>
    <definedName name="Data_SchaalVastVrij016">Data!$AC$18</definedName>
    <definedName name="Data_SchaalVastVrij017">Data!$AC$19</definedName>
    <definedName name="Data_SchaalVastVrij018">Data!$AC$20</definedName>
    <definedName name="Data_SchaalVastVrij019">Data!$AC$21</definedName>
    <definedName name="Data_SchaalVastVrij020">Data!$AC$22</definedName>
    <definedName name="Data_SchaalVastVrij021">Data!$AC$23</definedName>
    <definedName name="Data_SchaalVastVrij022">Data!$AC$24</definedName>
    <definedName name="Data_SchaalVastVrij023">Data!$AC$25</definedName>
    <definedName name="Data_SchaalVastVrij024">Data!$AC$26</definedName>
    <definedName name="Data_SchaalVastVrij025">Data!$AC$27</definedName>
    <definedName name="Data_SchaalVastVrij026">Data!$AC$28</definedName>
    <definedName name="Data_SchaalVastVrij027">Data!$AC$29</definedName>
    <definedName name="Data_SchaalVastVrij028">Data!$AC$30</definedName>
    <definedName name="Data_SchaalVastVrij029">Data!$AC$31</definedName>
    <definedName name="Data_SchaalVastVrij030">Data!$AC$32</definedName>
    <definedName name="Data_SchaalVastVrij031">Data!$AC$33</definedName>
    <definedName name="Data_SchaalVastVrij032">Data!$AC$34</definedName>
    <definedName name="Data_SchaalVastVrij033">Data!$AC$35</definedName>
    <definedName name="Data_SchaalVastVrij034">Data!$AC$36</definedName>
    <definedName name="Data_SchaalVastVrij035">Data!$AC$37</definedName>
    <definedName name="Data_SchaalVastVrij036">Data!$AC$38</definedName>
    <definedName name="Data_SchaalVastVrij037">Data!$AC$39</definedName>
    <definedName name="Data_SchaalVastVrij038">Data!$AC$40</definedName>
    <definedName name="Data_SchaalVastVrij039">Data!$AC$41</definedName>
    <definedName name="Data_SchaalVastVrij040">Data!$AC$42</definedName>
    <definedName name="Data_SchaalVastVrij041">Data!$AC$43</definedName>
    <definedName name="Data_SchaalVastVrij042">Data!$AC$44</definedName>
    <definedName name="Data_SchaalVastVrij043">Data!$AC$45</definedName>
    <definedName name="Data_SchaalVastVrij044">Data!$AC$46</definedName>
    <definedName name="Data_SchaalVastVrij045">Data!$AC$47</definedName>
    <definedName name="Data_SchaalVastVrij046">Data!$AC$48</definedName>
    <definedName name="Data_SchaalVastVrij047">Data!$AC$49</definedName>
    <definedName name="Data_SchaalVastVrij048">Data!$AC$50</definedName>
    <definedName name="Data_SchaalVastVrij049">Data!$AC$51</definedName>
    <definedName name="Data_SchaalVastVrij050">Data!$AC$52</definedName>
    <definedName name="Data_SchaalVastVrij051">Data!$AC$53</definedName>
    <definedName name="Data_SchaalVastVrij052">Data!$AC$54</definedName>
    <definedName name="Data_SchaalVastVrij053">Data!$AC$55</definedName>
    <definedName name="Data_SchaalVastVrij054">Data!$AC$56</definedName>
    <definedName name="Data_SchaalVastVrij055">Data!$AC$57</definedName>
    <definedName name="Data_SchaalVastVrij056">Data!$AC$58</definedName>
    <definedName name="Data_SchaalVastVrij057">Data!$AC$59</definedName>
    <definedName name="Data_SchaalVastVrij058">Data!$AC$60</definedName>
    <definedName name="Data_SchaalVastVrij059">Data!$AC$61</definedName>
    <definedName name="Data_SchaalVastVrij060">Data!$AC$62</definedName>
    <definedName name="Data_SchaalVastVrij061">Data!$AC$63</definedName>
    <definedName name="Data_SchaalVastVrij062">Data!$AC$64</definedName>
    <definedName name="Data_SchaalVastVrij063">Data!$AC$65</definedName>
    <definedName name="Data_SchaalVastVrij064">Data!$AC$66</definedName>
    <definedName name="Data_SchaalVastVrij065">Data!$AC$67</definedName>
    <definedName name="Data_SchaalVastVrij066">Data!$AC$68</definedName>
    <definedName name="Data_SchaalVastVrij067">Data!$AC$69</definedName>
    <definedName name="Data_SchaalVastVrij068">Data!$AC$70</definedName>
    <definedName name="Data_SchaalVastVrij069">Data!$AC$71</definedName>
    <definedName name="Data_SchaalVastVrij070">Data!$AC$72</definedName>
    <definedName name="Data_SchaalVastVrij071">Data!$AC$73</definedName>
    <definedName name="Data_SchaalVastVrij072">Data!$AC$74</definedName>
    <definedName name="Data_SchaalVastVrij073">Data!$AC$75</definedName>
    <definedName name="Data_SchaalVastVrij074">Data!$AC$76</definedName>
    <definedName name="Data_SchaalVastVrij075">Data!$AC$77</definedName>
    <definedName name="Data_SchaalVastVrij076">Data!$AC$78</definedName>
    <definedName name="Data_SchaalVastVrij077">Data!$AC$79</definedName>
    <definedName name="Data_SchaalVastVrij078">Data!$AC$80</definedName>
    <definedName name="Data_SchaalVastVrij079">Data!$AC$81</definedName>
    <definedName name="Data_SchaalVastVrij080">Data!$AC$82</definedName>
    <definedName name="Data_SchaalVastVrij081">Data!$AC$83</definedName>
    <definedName name="Data_SchaalVastVrij082">Data!$AC$84</definedName>
    <definedName name="Data_SchaalVastVrij083">Data!$AC$85</definedName>
    <definedName name="Data_SchaalVastVrij084">Data!$AC$86</definedName>
    <definedName name="Data_SchaalVastVrij085">Data!$AC$87</definedName>
    <definedName name="Data_SchaalVastVrij086">Data!$AC$88</definedName>
    <definedName name="Data_SchaalVastVrij087">Data!$AC$89</definedName>
    <definedName name="Data_SchaalVastVrij088">Data!$AC$90</definedName>
    <definedName name="Data_SchaalVastVrij089">Data!$AC$91</definedName>
    <definedName name="Data_SchaalVastVrij090">Data!$AC$92</definedName>
    <definedName name="Data_SchaalVastVrij091">Data!$AC$93</definedName>
    <definedName name="Data_SchaalVastVrij092">Data!$AC$94</definedName>
    <definedName name="Data_SchaalVastVrij093">Data!$AC$95</definedName>
    <definedName name="Data_SchaalVastVrij094">Data!$AC$96</definedName>
    <definedName name="Data_SchaalVastVrij095">Data!$AC$97</definedName>
    <definedName name="Data_SchaalVastVrij096">Data!$AC$98</definedName>
    <definedName name="Data_SchaalVastVrij097">Data!$AC$99</definedName>
    <definedName name="Data_SchaalVastVrij098">Data!$AC$100</definedName>
    <definedName name="Data_SchaalVastVrij099">Data!$AC$101</definedName>
    <definedName name="Data_SchaalVastVrij100">Data!$AC$102</definedName>
    <definedName name="Data_SchaalVastVrij101">Data!$AC$103</definedName>
    <definedName name="Data_SchaalVastVrij102">Data!$AC$104</definedName>
    <definedName name="Data_SchaalVastVrij103">Data!$AC$105</definedName>
    <definedName name="Data_SchaalVastVrij104">Data!$AC$106</definedName>
    <definedName name="Data_SchaalVastVrij105">Data!$AC$107</definedName>
    <definedName name="Data_SchaalVastVrij106">Data!$AC$108</definedName>
    <definedName name="Data_SchaalVastVrij107">Data!$AC$109</definedName>
    <definedName name="Data_SchaalVastVrij108">Data!$AC$110</definedName>
    <definedName name="Data_SchaalVastVrij109">Data!$AC$111</definedName>
    <definedName name="Data_SchaalVastVrij110">Data!$AC$112</definedName>
    <definedName name="Data_SchaalVastVrij111">Data!$AC$113</definedName>
    <definedName name="Data_SchaalVastVrij112">Data!$AC$114</definedName>
    <definedName name="Data_SchaalVastVrij113">Data!$AC$115</definedName>
    <definedName name="Data_SchaalVastVrij114">Data!$AC$116</definedName>
    <definedName name="Data_SchaalVastVrij115">Data!$AC$117</definedName>
    <definedName name="Data_SchaalVastVrij116">Data!$AC$118</definedName>
    <definedName name="Data_SchaalVastVrij117">Data!$AC$119</definedName>
    <definedName name="Data_SchaalVastVrij118">Data!$AC$120</definedName>
    <definedName name="Data_SchaalVastVrij119">Data!$AC$121</definedName>
    <definedName name="Data_SchaalVastVrij120">Data!$AC$122</definedName>
    <definedName name="Data_SchaalVastVrij121">Data!$AC$123</definedName>
    <definedName name="Data_SchaalVastVrij122">Data!$AC$124</definedName>
    <definedName name="Data_SchaalVastVrij123">Data!$AC$125</definedName>
    <definedName name="Data_SchaalVastVrij124">Data!$AC$126</definedName>
    <definedName name="Data_SchaalVastVrij125">Data!$AC$127</definedName>
    <definedName name="Data_SchaalVastVrij126">Data!$AC$128</definedName>
    <definedName name="Data_SchaalVastVrij127">Data!$AC$129</definedName>
    <definedName name="Data_SchaalVastVrij128">Data!$AC$130</definedName>
    <definedName name="Data_SchaalVastVrij129">Data!$AC$131</definedName>
    <definedName name="Data_SchaalVastVrij130">Data!$AC$132</definedName>
    <definedName name="Data_SchaalVastVrij131">Data!$AC$133</definedName>
    <definedName name="Data_SchaalVastVrij132">Data!$AC$134</definedName>
    <definedName name="Data_SchaalVastVrij133">Data!$AC$135</definedName>
    <definedName name="Data_SchaalVastVrij134">Data!$AC$136</definedName>
    <definedName name="Data_SchaalVastVrij135">Data!$AC$137</definedName>
    <definedName name="Data_SchaalVastVrij136">Data!$AC$138</definedName>
    <definedName name="Data_SchaalVastVrij137">Data!$AC$139</definedName>
    <definedName name="Data_SchaalVastVrij138">Data!$AC$140</definedName>
    <definedName name="Data_SchaalVastVrij139">Data!$AC$141</definedName>
    <definedName name="Data_SchaalVastVrij140">Data!$AC$142</definedName>
    <definedName name="Data_SchaalVastVrij141">Data!$AC$143</definedName>
    <definedName name="Data_SchaalVastVrij142">Data!$AC$144</definedName>
    <definedName name="Data_SchaalVastVrij143">Data!$AC$145</definedName>
    <definedName name="Data_SchaalVastVrij144">Data!$AC$146</definedName>
    <definedName name="Data_SchaalVastVrij145">Data!$AC$147</definedName>
    <definedName name="Data_SchaalVastVrij146">Data!$AC$148</definedName>
    <definedName name="Data_SchaalVastVrij147">Data!$AC$149</definedName>
    <definedName name="Data_SchaalVastVrij148">Data!$AC$150</definedName>
    <definedName name="Data_SchaalVastVrij149">Data!$AC$151</definedName>
    <definedName name="Data_SchaalVastVrij150">Data!$AC$152</definedName>
    <definedName name="Data_SchaalVastVrij151">Data!$AC$153</definedName>
    <definedName name="Data_SchaalVastVrij152">Data!$AC$154</definedName>
    <definedName name="Data_SchaalVastVrij153">Data!$AC$155</definedName>
    <definedName name="Data_SchaalVastVrij154">Data!$AC$156</definedName>
    <definedName name="Data_SchaalVastVrij155">Data!$AC$157</definedName>
    <definedName name="Data_SchaalVastVrij156">Data!$AC$158</definedName>
    <definedName name="Data_SchaalVastVrij157">Data!$AC$159</definedName>
    <definedName name="Data_SchaalVastVrij158">Data!$AC$160</definedName>
    <definedName name="Data_SchaalVastVrij159">Data!$AC$161</definedName>
    <definedName name="Data_SchaalVastVrij160">Data!$AC$162</definedName>
    <definedName name="Data_SchaalVastVrij161">Data!$AC$163</definedName>
    <definedName name="Data_SchaalVastVrij162">Data!$AC$164</definedName>
    <definedName name="Data_SchaalVastVrij163">Data!$AC$165</definedName>
    <definedName name="Data_SchaalVastVrij164">Data!$AC$166</definedName>
    <definedName name="Data_SchaalVastVrij165">Data!$AC$167</definedName>
    <definedName name="Data_SchaalVastVrij166">Data!$AC$168</definedName>
    <definedName name="Data_SchaalVastVrij167">Data!$AC$169</definedName>
    <definedName name="Data_SchaalVastVrij168">Data!$AC$170</definedName>
    <definedName name="Data_SchaalVastVrij169">Data!$AC$171</definedName>
    <definedName name="Data_SchaalVastVrij170">Data!$AC$172</definedName>
    <definedName name="Data_SchaalVastVrij171">Data!$AC$173</definedName>
    <definedName name="Data_SchaalVastVrij172">Data!$AC$174</definedName>
    <definedName name="Data_SchaalVastVrij173">Data!$AC$175</definedName>
    <definedName name="Data_SchaalVastVrij174">Data!$AC$176</definedName>
    <definedName name="Data_SchaalVastVrij175">Data!$AC$177</definedName>
    <definedName name="Data_SchaalVastVrij176">Data!$AC$178</definedName>
    <definedName name="Data_SchaalVastVrij177">Data!$AC$179</definedName>
    <definedName name="Data_SchaalVastVrij178">Data!$AC$180</definedName>
    <definedName name="Data_SchaalVastVrij179">Data!$AC$181</definedName>
    <definedName name="Data_SchaalVastVrij180">Data!$AC$182</definedName>
    <definedName name="Data_SchaalVastVrij181">Data!$AC$183</definedName>
    <definedName name="Data_SchaalVastVrij182">Data!$AC$184</definedName>
    <definedName name="Data_SchaalVastVrij183">Data!$AC$185</definedName>
    <definedName name="Data_SchaalVastVrij184">Data!$AC$186</definedName>
    <definedName name="Data_SchaalVastVrij185">Data!$AC$187</definedName>
    <definedName name="Data_SchaalVastVrij186">Data!$AC$188</definedName>
    <definedName name="Data_SchaalVastVrij187">Data!$AC$189</definedName>
    <definedName name="Data_SchaalVastVrij188">Data!$AC$190</definedName>
    <definedName name="Data_SchaalVastVrij189">Data!$AC$191</definedName>
    <definedName name="Data_SchaalVastVrij190">Data!$AC$192</definedName>
    <definedName name="Data_SchaalVastVrij191">Data!$AC$193</definedName>
    <definedName name="Data_SchaalVastVrij192">Data!$AC$194</definedName>
    <definedName name="Data_SchaalVastVrij193">Data!$AC$195</definedName>
    <definedName name="Data_SchaalVastVrij194">Data!$AC$196</definedName>
    <definedName name="Data_SchaalVastVrij195">Data!$AC$197</definedName>
    <definedName name="Data_SchaalVastVrij196">Data!$AC$198</definedName>
    <definedName name="Data_SchaalVastVrij197">Data!$AC$199</definedName>
    <definedName name="Data_SchaalVastVrij198">Data!$AC$200</definedName>
    <definedName name="Data_SchaalVastVrij199">Data!$AC$201</definedName>
    <definedName name="Data_SchaalVastVrij200">Data!$AC$202</definedName>
    <definedName name="Data_SchaalVastVrij201">Data!$AC$203</definedName>
    <definedName name="Data_SchaalVastVrij202">Data!$AC$204</definedName>
    <definedName name="Data_SchaalVastVrij203">Data!$AC$205</definedName>
    <definedName name="Data_SchaalVastVrij204">Data!$AC$206</definedName>
    <definedName name="Data_SchaalVastVrij205">Data!$AC$207</definedName>
    <definedName name="Data_SchaalVastVrij206">Data!$AC$208</definedName>
    <definedName name="Data_SchaalVastVrij207">Data!$AC$209</definedName>
    <definedName name="Data_SchaalVastVrij208">Data!$AC$210</definedName>
    <definedName name="Data_SchaalVastVrij209">Data!$AC$211</definedName>
    <definedName name="Data_SchaalVastVrij210">Data!$AC$212</definedName>
    <definedName name="Data_SchaalVastVrij211">Data!$AC$213</definedName>
    <definedName name="Data_SchaalVastVrij212">Data!$AC$214</definedName>
    <definedName name="Data_SchaalVastVrij213">Data!$AC$215</definedName>
    <definedName name="Data_SchaalVastVrij214">Data!$AC$216</definedName>
    <definedName name="Data_SchaalVastVrij215">Data!$AC$217</definedName>
    <definedName name="Data_SchaalVastVrij216">Data!$AC$218</definedName>
    <definedName name="Data_SchaalVastVrij217">Data!$AC$219</definedName>
    <definedName name="Data_SchaalVastVrij218">Data!$AC$220</definedName>
    <definedName name="Data_SchaalVastVrij219">Data!$AC$221</definedName>
    <definedName name="Data_SchaalVastVrij220">Data!$AC$222</definedName>
    <definedName name="Data_SchaalVastVrij221">Data!$AC$223</definedName>
    <definedName name="Data_SchaalVastVrij222">Data!$AC$224</definedName>
    <definedName name="Data_SchaalVastVrij223">Data!$AC$225</definedName>
    <definedName name="Data_SchaalVastVrij224">Data!$AC$226</definedName>
    <definedName name="Data_SchaalVastVrij225">Data!$AC$227</definedName>
    <definedName name="Data_SchaalVastVrij226">Data!$AC$228</definedName>
    <definedName name="Data_SchaalVastVrij227">Data!$AC$229</definedName>
    <definedName name="Data_SchaalVastVrij228">Data!$AC$230</definedName>
    <definedName name="Data_SchaalVastVrij229">Data!$AC$231</definedName>
    <definedName name="Data_SchaalVastVrij230">Data!$AC$232</definedName>
    <definedName name="Data_SchaalVastVrij231">Data!$AC$233</definedName>
    <definedName name="Data_SchaalVastVrij232">Data!$AC$234</definedName>
    <definedName name="Data_SchaalVastVrij233">Data!$AC$235</definedName>
    <definedName name="Data_SchaalVastVrij234">Data!$AC$236</definedName>
    <definedName name="Data_SchaalVastVrij235">Data!$AC$237</definedName>
    <definedName name="Data_SchaalVastVrij236">Data!$AC$238</definedName>
    <definedName name="Data_SchaalVastVrij237">Data!$AC$239</definedName>
    <definedName name="Data_SchaalVastVrij238">Data!$AC$240</definedName>
    <definedName name="Data_SchaalVastVrij239">Data!$AC$241</definedName>
    <definedName name="Data_SchaalVastVrij240">Data!$AC$242</definedName>
    <definedName name="Data_SchaalVastVrij241">Data!$AC$243</definedName>
    <definedName name="Data_SchaalVastVrij242">Data!$AC$244</definedName>
    <definedName name="Data_SchaalVastVrij243">Data!$AC$245</definedName>
    <definedName name="Data_SchaalVastVrij244">Data!$AC$246</definedName>
    <definedName name="Data_SchaalVastVrij245">Data!$AC$247</definedName>
    <definedName name="Data_SchaalVastVrij246">Data!$AC$248</definedName>
    <definedName name="Data_SchaalVastVrij247">Data!$AC$249</definedName>
    <definedName name="Data_SchaalVastVrij248">Data!$AC$250</definedName>
    <definedName name="Data_SchaalVastVrij249">Data!$AC$251</definedName>
    <definedName name="Data_SchaalVastVrij250">Data!$AC$252</definedName>
    <definedName name="Data_SchaalVastVrij251">Data!$AC$253</definedName>
    <definedName name="Data_SchaalVastVrij252">Data!$AC$254</definedName>
    <definedName name="Data_SchaalVastVrij253">Data!$AC$255</definedName>
    <definedName name="Data_SchaalVastVrij254">Data!$AC$256</definedName>
    <definedName name="Data_SchaalVastVrij255">Data!$AC$257</definedName>
    <definedName name="Data_SchaalVastVrij256">Data!$AC$258</definedName>
    <definedName name="Data_SchaalVastVrij257">Data!$AC$259</definedName>
    <definedName name="Data_SchaalVastVrij258">Data!$AC$260</definedName>
    <definedName name="Data_SchaalVastVrij259">Data!$AC$261</definedName>
    <definedName name="Data_SchaalVastVrij260">Data!$AC$262</definedName>
    <definedName name="Data_SchaalVastVrij261">Data!$AC$263</definedName>
    <definedName name="Data_SchaalVastVrij262">Data!$AC$264</definedName>
    <definedName name="Data_SchaalVastVrij263">Data!$AC$265</definedName>
    <definedName name="Data_SchaalVastVrij264">Data!$AC$266</definedName>
    <definedName name="Data_SchaalVastVrij265">Data!$AC$267</definedName>
    <definedName name="Data_SchaalVastVrij266">Data!$AC$268</definedName>
    <definedName name="Data_SchaalVastVrij267">Data!$AC$269</definedName>
    <definedName name="Data_SchaalVastVrij268">Data!$AC$270</definedName>
    <definedName name="Data_SchaalVastVrij269">Data!$AC$271</definedName>
    <definedName name="Data_SchaalVastVrij270">Data!$AC$272</definedName>
    <definedName name="Data_SchaalVastVrij271">Data!$AC$273</definedName>
    <definedName name="Data_SchaalVastVrij272">Data!$AC$274</definedName>
    <definedName name="Data_SchaalVastVrij273">Data!$AC$275</definedName>
    <definedName name="Data_SchaalVastVrij274">Data!$AC$276</definedName>
    <definedName name="Data_SchaalVastVrij275">Data!$AC$277</definedName>
    <definedName name="Data_SchaalVastVrij276">Data!$AC$278</definedName>
    <definedName name="Data_SchaalVastVrij277">Data!$AC$279</definedName>
    <definedName name="Data_SchaalVastVrij278">Data!$AC$280</definedName>
    <definedName name="Data_SchaalVastVrij279">Data!$AC$281</definedName>
    <definedName name="Data_SchaalVastVrij280">Data!$AC$282</definedName>
    <definedName name="Data_SchaalVastVrij281">Data!$AC$283</definedName>
    <definedName name="Data_SchaalVastVrij282">Data!$AC$284</definedName>
    <definedName name="Data_SchaalVastVrij283">Data!$AC$285</definedName>
    <definedName name="Data_SchaalVastVrij284">Data!$AC$286</definedName>
    <definedName name="Data_SchaalVastVrij285">Data!$AC$287</definedName>
    <definedName name="Data_SchaalVastVrij286">Data!$AC$288</definedName>
    <definedName name="Data_SchaalVastVrij287">Data!$AC$289</definedName>
    <definedName name="Data_SchaalVastVrij288">Data!$AC$290</definedName>
    <definedName name="Data_SchaalVastVrij289">Data!$AC$291</definedName>
    <definedName name="Data_SchaalVastVrij290">Data!$AC$292</definedName>
    <definedName name="Data_SchaalVastVrij291">Data!$AC$293</definedName>
    <definedName name="Data_SchaalVastVrij292">Data!$AC$294</definedName>
    <definedName name="Data_SchaalVastVrij293">Data!$AC$295</definedName>
    <definedName name="Data_SchaalVastVrij294">Data!$AC$296</definedName>
    <definedName name="Data_SchaalVastVrij295">Data!$AC$297</definedName>
    <definedName name="Data_SchaalVastVrij296">Data!$AC$298</definedName>
    <definedName name="Data_SchaalVastVrij297">Data!$AC$299</definedName>
    <definedName name="Data_SchaalVastVrij298">Data!$AC$300</definedName>
    <definedName name="Data_SchaalVastVrij299">Data!$AC$301</definedName>
    <definedName name="Data_SchaalVastVrij300">Data!$AC$302</definedName>
    <definedName name="Data_SchaalVastVrij301">Data!$AC$303</definedName>
    <definedName name="Data_SchaalVastVrij302">Data!$AC$304</definedName>
    <definedName name="Data_SchaalVastVrij303">Data!$AC$305</definedName>
    <definedName name="Data_SchaalVastVrij304">Data!$AC$306</definedName>
    <definedName name="Data_SchaalVastVrij305">Data!$AC$307</definedName>
    <definedName name="Data_SchaalVastVrij306">Data!$AC$308</definedName>
    <definedName name="Data_SchaalVastVrij307">Data!$AC$309</definedName>
    <definedName name="Data_SchaalVastVrij308">Data!$AC$310</definedName>
    <definedName name="Data_SchaalVastVrij309">Data!$AC$311</definedName>
    <definedName name="Data_SchaalVastVrij310">Data!$AC$312</definedName>
    <definedName name="Data_SchaalVastVrij311">Data!$AC$313</definedName>
    <definedName name="Data_SchaalVastVrij312">Data!$AC$314</definedName>
    <definedName name="Data_SchaalVastVrij313">Data!$AC$315</definedName>
    <definedName name="Data_SchaalVastVrij314">Data!$AC$316</definedName>
    <definedName name="Data_SchaalVastVrij315">Data!$AC$317</definedName>
    <definedName name="Data_SchaalVastVrij316">Data!$AC$318</definedName>
    <definedName name="Data_SchaalVastVrij317">Data!$AC$319</definedName>
    <definedName name="Data_SchaalVastVrij318">Data!$AC$320</definedName>
    <definedName name="Data_SchaalVastVrij319">Data!$AC$321</definedName>
    <definedName name="Data_SchaalVastVrij320">Data!$AC$322</definedName>
    <definedName name="Data_SchaalVastVrij321">Data!$AC$323</definedName>
    <definedName name="Data_SchaalVastVrij322">Data!$AC$324</definedName>
    <definedName name="Data_SchaalVastVrij323">Data!$AC$325</definedName>
    <definedName name="Data_SchaalVastVrij324">Data!$AC$326</definedName>
    <definedName name="Data_SchaalVastVrij325">Data!$AC$327</definedName>
    <definedName name="Data_SchaalVastVrij326">Data!$AC$328</definedName>
    <definedName name="Data_SchaalVastVrij327">Data!$AC$329</definedName>
    <definedName name="Data_SchaalVastVrij328">Data!$AC$330</definedName>
    <definedName name="Data_SchaalVastVrij329">Data!$AC$331</definedName>
    <definedName name="Data_SchaalVastVrij330">Data!$AC$332</definedName>
    <definedName name="Data_SchaalVastVrij331">Data!$AC$333</definedName>
    <definedName name="Data_SchaalVastVrij332">Data!$AC$334</definedName>
    <definedName name="Data_SchaalVastVrij333">Data!$AC$335</definedName>
    <definedName name="Data_SchaalVastVrij334">Data!$AC$336</definedName>
    <definedName name="Data_SchaalVastVrij335">Data!$AC$337</definedName>
    <definedName name="Data_SchaalVastVrij336">Data!$AC$338</definedName>
    <definedName name="Data_SchaalVastVrij337">Data!$AC$339</definedName>
    <definedName name="Data_SchaalVastVrij338">Data!$AC$340</definedName>
    <definedName name="Data_SchaalVastVrij339">Data!$AC$341</definedName>
    <definedName name="Data_SchaalVastVrij340">Data!$AC$342</definedName>
    <definedName name="Data_SchaalVastVrij341">Data!$AC$343</definedName>
    <definedName name="Data_SchaalVastVrij342">Data!$AC$344</definedName>
    <definedName name="Data_SchaalVastVrij343">Data!$AC$345</definedName>
    <definedName name="Data_SchaalVastVrij344">Data!$AC$346</definedName>
    <definedName name="Data_SchaalVastVrij345">Data!$AC$347</definedName>
    <definedName name="Data_SchaalVastVrij346">Data!$AC$348</definedName>
    <definedName name="Data_SchaalVastVrij347">Data!$AC$349</definedName>
    <definedName name="Data_SchaalVastVrij348">Data!$AC$350</definedName>
    <definedName name="Data_SchaalVastVrij349">Data!$AC$351</definedName>
    <definedName name="Data_SchaalVastVrij350">Data!$AC$352</definedName>
    <definedName name="Data_SchaalVastVrij351">Data!$AC$353</definedName>
    <definedName name="Data_SchaalVastVrij352">Data!$AC$354</definedName>
    <definedName name="Data_SchaalVastVrij353">Data!$AC$355</definedName>
    <definedName name="Data_SchaalVastVrij354">Data!$AC$356</definedName>
    <definedName name="Data_SchaalVastVrij355">Data!$AC$357</definedName>
    <definedName name="Data_SchaalVastVrij356">Data!$AC$358</definedName>
    <definedName name="Data_SchaalVastVrij357">Data!$AC$359</definedName>
    <definedName name="Data_SchaalVastVrij358">Data!$AC$360</definedName>
    <definedName name="Data_SchaalVastVrij359">Data!$AC$361</definedName>
    <definedName name="Data_SchaalVastVrij360">Data!$AC$362</definedName>
    <definedName name="Data_SchaalVastVrij361">Data!$AC$363</definedName>
    <definedName name="Data_SchaalVastVrij362">Data!$AC$364</definedName>
    <definedName name="Data_SchaalVastVrij363">Data!$AC$365</definedName>
    <definedName name="Data_SchaalVastVrij364">Data!$AC$366</definedName>
    <definedName name="Data_SchaalVastVrij365">Data!$AC$367</definedName>
    <definedName name="Data_SchaalVastVrij366">Data!$AC$368</definedName>
    <definedName name="Data_SchaalVastVrij367">Data!$AC$369</definedName>
    <definedName name="Data_SchaalVastVrij368">Data!$AC$370</definedName>
    <definedName name="Data_SchaalVastVrij369">Data!$AC$371</definedName>
    <definedName name="Data_SchaalVastVrij370">Data!$AC$372</definedName>
    <definedName name="Data_SchaalVastVrij371">Data!$AC$373</definedName>
    <definedName name="Data_SchaalVastVrij372">Data!$AC$374</definedName>
    <definedName name="Data_SchaalVastVrij373">Data!$AC$375</definedName>
    <definedName name="Data_SchaalVastVrij374">Data!$AC$376</definedName>
    <definedName name="Data_SchaalVastVrij375">Data!$AC$377</definedName>
    <definedName name="Data_SchaalVastVrij376">Data!$AC$378</definedName>
    <definedName name="Data_SchaalVastVrij377">Data!$AC$379</definedName>
    <definedName name="Data_SchaalVastVrij378">Data!$AC$380</definedName>
    <definedName name="Data_SchaalVastVrij379">Data!$AC$381</definedName>
    <definedName name="Data_SchaalVastVrij380">Data!$AC$382</definedName>
    <definedName name="Data_SchaalVastVrij381">Data!$AC$383</definedName>
    <definedName name="Data_SchaalVastVrij382">Data!$AC$384</definedName>
    <definedName name="Data_SchaalVastVrij383">Data!$AC$385</definedName>
    <definedName name="Data_SchaalVastVrij384">Data!$AC$386</definedName>
    <definedName name="Data_SchaalVastVrij385">Data!$AC$387</definedName>
    <definedName name="Data_SchaalVastVrij386">Data!$AC$388</definedName>
    <definedName name="Data_SchaalVastVrij387">Data!$AC$389</definedName>
    <definedName name="Data_SchaalVastVrij388">Data!$AC$390</definedName>
    <definedName name="Data_SchaalVastVrij389">Data!$AC$391</definedName>
    <definedName name="Data_SchaalVastVrij390">Data!$AC$392</definedName>
    <definedName name="Data_SchaalVastVrij391">Data!$AC$393</definedName>
    <definedName name="Data_SchaalVastVrij392">Data!$AC$394</definedName>
    <definedName name="Data_SchaalVastVrij393">Data!$AC$395</definedName>
    <definedName name="Data_SchaalVastVrij394">Data!$AC$396</definedName>
    <definedName name="Data_SchaalVastVrij395">Data!$AC$397</definedName>
    <definedName name="Data_SchaalVastVrij396">Data!$AC$398</definedName>
    <definedName name="Data_SchaalVastVrij397">Data!$AC$399</definedName>
    <definedName name="Data_SchaalVastVrij398">Data!$AC$400</definedName>
    <definedName name="Data_SchaalVastVrij399">Data!$AC$401</definedName>
    <definedName name="Data_SchaalVastVrij400">Data!$AC$402</definedName>
    <definedName name="Data_SchaalVastVrij401">Data!$AC$403</definedName>
    <definedName name="Data_SchaalVastVrij402">Data!$AC$404</definedName>
    <definedName name="Data_SchaalVastVrij403">Data!$AC$405</definedName>
    <definedName name="Data_SchaalVastVrij404">Data!$AC$406</definedName>
    <definedName name="Data_SchaalVastVrij405">Data!$AC$407</definedName>
    <definedName name="Data_SchaalVastVrij406">Data!$AC$408</definedName>
    <definedName name="Data_SchaalVastVrij407">Data!$AC$409</definedName>
    <definedName name="Data_SchaalVastVrij408">Data!$AC$410</definedName>
    <definedName name="Data_SchaalVastVrij409">Data!$AC$411</definedName>
    <definedName name="Data_SchaalVastVrij410">Data!$AC$412</definedName>
    <definedName name="Data_SchaalVastVrij411">Data!$AC$413</definedName>
    <definedName name="Data_SchaalVastVrij412">Data!$AC$414</definedName>
    <definedName name="Data_SchaalVastVrij413">Data!$AC$415</definedName>
    <definedName name="Data_SchaalVastVrij414">Data!$AC$416</definedName>
    <definedName name="Data_SchaalVastVrij415">Data!$AC$417</definedName>
    <definedName name="Data_SchaalVastVrij416">Data!$AC$418</definedName>
    <definedName name="Data_SchaalVastVrij417">Data!$AC$419</definedName>
    <definedName name="Data_SchaalVastVrij418">Data!$AC$420</definedName>
    <definedName name="Data_SchaalVastVrij419">Data!$AC$421</definedName>
    <definedName name="Data_SchaalVastVrij420">Data!$AC$422</definedName>
    <definedName name="Data_SchaalVastVrij421">Data!$AC$423</definedName>
    <definedName name="Data_SchaalVastVrij422">Data!$AC$424</definedName>
    <definedName name="Data_SchaalVastVrij423">Data!$AC$425</definedName>
    <definedName name="Data_SchaalVastVrij424">Data!$AC$426</definedName>
    <definedName name="Data_SchaalVastVrij425">Data!$AC$427</definedName>
    <definedName name="Data_SchaalVastVrij426">Data!$AC$428</definedName>
    <definedName name="Data_SchaalVastVrij427">Data!$AC$429</definedName>
    <definedName name="Data_SchaalVastVrij428">Data!$AC$430</definedName>
    <definedName name="Data_SchaalVastVrij429">Data!$AC$431</definedName>
    <definedName name="Data_SchaalVastVrij430">Data!$AC$432</definedName>
    <definedName name="Data_SchaalVastVrij431">Data!$AC$433</definedName>
    <definedName name="Data_SchaalVastVrij432">Data!$AC$434</definedName>
    <definedName name="Data_SchaalVastVrij433">Data!$AC$435</definedName>
    <definedName name="Data_SchaalVastVrij434">Data!$AC$436</definedName>
    <definedName name="Data_SchaalVastVrij435">Data!$AC$437</definedName>
    <definedName name="Data_SchaalVastVrij436">Data!$AC$438</definedName>
    <definedName name="Data_SchaalVastVrij437">Data!$AC$439</definedName>
    <definedName name="Data_SchaalVastVrij438">Data!$AC$440</definedName>
    <definedName name="Data_SchaalVastVrij439">Data!$AC$441</definedName>
    <definedName name="Data_SchaalVastVrij440">Data!$AC$442</definedName>
    <definedName name="Data_SchaalVastVrij441">Data!$AC$443</definedName>
    <definedName name="Data_SchaalVastVrij442">Data!$AC$444</definedName>
    <definedName name="Data_SchaalVastVrij443">Data!$AC$445</definedName>
    <definedName name="Data_SchaalVastVrij444">Data!$AC$446</definedName>
    <definedName name="Data_SchaalVastVrij445">Data!$AC$447</definedName>
    <definedName name="Data_SchaalVastVrij446">Data!$AC$448</definedName>
    <definedName name="Data_SchaalVastVrij447">Data!$AC$449</definedName>
    <definedName name="Data_SchaalVastVrij448">Data!$AC$450</definedName>
    <definedName name="Data_SchaalVastVrij449">Data!$AC$451</definedName>
    <definedName name="Data_SchaalVastVrij450">Data!$AC$452</definedName>
    <definedName name="Data_SchaalVastVrij451">Data!$AC$453</definedName>
    <definedName name="Data_SchaalVastVrij452">Data!$AC$454</definedName>
    <definedName name="Data_SchaalVastVrij453">Data!$AC$455</definedName>
    <definedName name="Data_SchaalVastVrij454">Data!$AC$456</definedName>
    <definedName name="Data_SchaalVastVrij455">Data!$AC$457</definedName>
    <definedName name="Data_SchaalVastVrij456">Data!$AC$458</definedName>
    <definedName name="Data_SchaalVastVrij457">Data!$AC$459</definedName>
    <definedName name="Data_SchaalVastVrij458">Data!$AC$460</definedName>
    <definedName name="Data_SchaalVastVrij459">Data!$AC$461</definedName>
    <definedName name="Data_SchaalVastVrij460">Data!$AC$462</definedName>
    <definedName name="Data_SchaalVastVrij461">Data!$AC$463</definedName>
    <definedName name="Data_SchaalVastVrij462">Data!$AC$464</definedName>
    <definedName name="Data_SchaalVastVrij463">Data!$AC$465</definedName>
    <definedName name="Data_SchaalVastVrij464">Data!$AC$466</definedName>
    <definedName name="Data_SchaalVastVrij465">Data!$AC$467</definedName>
    <definedName name="Data_SchaalVastVrij466">Data!$AC$468</definedName>
    <definedName name="Data_SchaalVastVrij467">Data!$AC$469</definedName>
    <definedName name="Data_SchaalVastVrij468">Data!$AC$470</definedName>
    <definedName name="Data_SchaalVastVrij469">Data!$AC$471</definedName>
    <definedName name="Data_SchaalVastVrij470">Data!$AC$472</definedName>
    <definedName name="Data_SchaalVastVrij471">Data!$AC$473</definedName>
    <definedName name="Data_SchaalVastVrij472">Data!$AC$474</definedName>
    <definedName name="Data_SchaalVastVrij473">Data!$AC$475</definedName>
    <definedName name="Data_SchaalVastVrij474">Data!$AC$476</definedName>
    <definedName name="Data_SchaalVastVrij475">Data!$AC$477</definedName>
    <definedName name="Data_SchaalVastVrij476">Data!$AC$478</definedName>
    <definedName name="Data_SchaalVastVrij477">Data!$AC$479</definedName>
    <definedName name="Data_SchaalVastVrij478">Data!$AC$480</definedName>
    <definedName name="Data_SchaalVastVrij479">Data!$AC$481</definedName>
    <definedName name="Data_SchaalVastVrij480">Data!$AC$482</definedName>
    <definedName name="Data_SchaalVastVrij481">Data!$AC$483</definedName>
    <definedName name="Data_SchaalVastVrij482">Data!$AC$484</definedName>
    <definedName name="Data_SchaalVastVrij483">Data!$AC$485</definedName>
    <definedName name="Data_SchaalVastVrij484">Data!$AC$486</definedName>
    <definedName name="Data_SchaalVastVrij485">Data!$AC$487</definedName>
    <definedName name="Data_SchaalVastVrij486">Data!$AC$488</definedName>
    <definedName name="Data_SchaalVastVrij487">Data!$AC$489</definedName>
    <definedName name="Data_SchaalVastVrij488">Data!$AC$490</definedName>
    <definedName name="Data_SchaalVastVrij489">Data!$AC$491</definedName>
    <definedName name="Data_SchaalVastVrij490">Data!$AC$492</definedName>
    <definedName name="Data_SchaalVastVrij491">Data!$AC$493</definedName>
    <definedName name="Data_SchaalVastVrij492">Data!$AC$494</definedName>
    <definedName name="Data_SchaalVastVrij493">Data!$AC$495</definedName>
    <definedName name="Data_SchaalVastVrij494">Data!$AC$496</definedName>
    <definedName name="Data_SchaalVastVrij495">Data!$AC$497</definedName>
    <definedName name="Data_SchaalVastVrij496">Data!$AC$498</definedName>
    <definedName name="Data_SchaalVastVrij497">Data!$AC$499</definedName>
    <definedName name="Data_SchaalVastVrij498">Data!$AC$500</definedName>
    <definedName name="Data_SchaalVastVrij499">Data!$AC$501</definedName>
    <definedName name="Data_SchaalVastVrij500">Data!$AC$502</definedName>
    <definedName name="Data_ToelageDirecteurNatVerloop001">Data!$BA$3</definedName>
    <definedName name="Data_ToelageDirecteurNatVerloop002">Data!$BA$4</definedName>
    <definedName name="Data_ToelageDirecteurNatVerloop003">Data!$BA$5</definedName>
    <definedName name="Data_ToelageDirecteurNatVerloop004">Data!$BA$6</definedName>
    <definedName name="Data_ToelageDirecteurNatVerloop005">Data!$BA$7</definedName>
    <definedName name="Data_ToelageDirecteurNatVerloop006">Data!$BA$8</definedName>
    <definedName name="Data_ToelageDirecteurNatVerloop007">Data!$BA$9</definedName>
    <definedName name="Data_ToelageDirecteurNatVerloop008">Data!$BA$10</definedName>
    <definedName name="Data_ToelageDirecteurNatVerloop009">Data!$BA$11</definedName>
    <definedName name="Data_ToelageDirecteurNatVerloop010">Data!$BA$12</definedName>
    <definedName name="Data_ToelageDirecteurNatVerloop011">Data!$BA$13</definedName>
    <definedName name="Data_ToelageDirecteurNatVerloop012">Data!$BA$14</definedName>
    <definedName name="Data_ToelageDirecteurNatVerloop013">Data!$BA$15</definedName>
    <definedName name="Data_ToelageDirecteurNatVerloop014">Data!$BA$16</definedName>
    <definedName name="Data_ToelageDirecteurNatVerloop015">Data!$BA$17</definedName>
    <definedName name="Data_ToelageDirecteurNatVerloop016">Data!$BA$18</definedName>
    <definedName name="Data_ToelageDirecteurNatVerloop017">Data!$BA$19</definedName>
    <definedName name="Data_ToelageDirecteurNatVerloop018">Data!$BA$20</definedName>
    <definedName name="Data_ToelageDirecteurNatVerloop019">Data!$BA$21</definedName>
    <definedName name="Data_ToelageDirecteurNatVerloop020">Data!$BA$22</definedName>
    <definedName name="Data_ToelageDirecteurNatVerloop021">Data!$BA$23</definedName>
    <definedName name="Data_ToelageDirecteurNatVerloop022">Data!$BA$24</definedName>
    <definedName name="Data_ToelageDirecteurNatVerloop023">Data!$BA$25</definedName>
    <definedName name="Data_ToelageDirecteurNatVerloop024">Data!$BA$26</definedName>
    <definedName name="Data_ToelageDirecteurNatVerloop025">Data!$BA$27</definedName>
    <definedName name="Data_ToelageDirecteurNatVerloop026">Data!$BA$28</definedName>
    <definedName name="Data_ToelageDirecteurNatVerloop027">Data!$BA$29</definedName>
    <definedName name="Data_ToelageDirecteurNatVerloop028">Data!$BA$30</definedName>
    <definedName name="Data_ToelageDirecteurNatVerloop029">Data!$BA$31</definedName>
    <definedName name="Data_ToelageDirecteurNatVerloop030">Data!$BA$32</definedName>
    <definedName name="Data_ToelageDirecteurNatVerloop031">Data!$BA$33</definedName>
    <definedName name="Data_ToelageDirecteurNatVerloop032">Data!$BA$34</definedName>
    <definedName name="Data_ToelageDirecteurNatVerloop033">Data!$BA$35</definedName>
    <definedName name="Data_ToelageDirecteurNatVerloop034">Data!$BA$36</definedName>
    <definedName name="Data_ToelageDirecteurNatVerloop035">Data!$BA$37</definedName>
    <definedName name="Data_ToelageDirecteurNatVerloop036">Data!$BA$38</definedName>
    <definedName name="Data_ToelageDirecteurNatVerloop037">Data!$BA$39</definedName>
    <definedName name="Data_ToelageDirecteurNatVerloop038">Data!$BA$40</definedName>
    <definedName name="Data_ToelageDirecteurNatVerloop039">Data!$BA$41</definedName>
    <definedName name="Data_ToelageDirecteurNatVerloop040">Data!$BA$42</definedName>
    <definedName name="Data_ToelageDirecteurNatVerloop041">Data!$BA$43</definedName>
    <definedName name="Data_ToelageDirecteurNatVerloop042">Data!$BA$44</definedName>
    <definedName name="Data_ToelageDirecteurNatVerloop043">Data!$BA$45</definedName>
    <definedName name="Data_ToelageDirecteurNatVerloop044">Data!$BA$46</definedName>
    <definedName name="Data_ToelageDirecteurNatVerloop045">Data!$BA$47</definedName>
    <definedName name="Data_ToelageDirecteurNatVerloop046">Data!$BA$48</definedName>
    <definedName name="Data_ToelageDirecteurNatVerloop047">Data!$BA$49</definedName>
    <definedName name="Data_ToelageDirecteurNatVerloop048">Data!$BA$50</definedName>
    <definedName name="Data_ToelageDirecteurNatVerloop049">Data!$BA$51</definedName>
    <definedName name="Data_ToelageDirecteurNatVerloop050">Data!$BA$52</definedName>
    <definedName name="Data_ToelageDirecteurNatVerloop051">Data!$BA$53</definedName>
    <definedName name="Data_ToelageDirecteurNatVerloop052">Data!$BA$54</definedName>
    <definedName name="Data_ToelageDirecteurNatVerloop053">Data!$BA$55</definedName>
    <definedName name="Data_ToelageDirecteurNatVerloop054">Data!$BA$56</definedName>
    <definedName name="Data_ToelageDirecteurNatVerloop055">Data!$BA$57</definedName>
    <definedName name="Data_ToelageDirecteurNatVerloop056">Data!$BA$58</definedName>
    <definedName name="Data_ToelageDirecteurNatVerloop057">Data!$BA$59</definedName>
    <definedName name="Data_ToelageDirecteurNatVerloop058">Data!$BA$60</definedName>
    <definedName name="Data_ToelageDirecteurNatVerloop059">Data!$BA$61</definedName>
    <definedName name="Data_ToelageDirecteurNatVerloop060">Data!$BA$62</definedName>
    <definedName name="Data_ToelageDirecteurNatVerloop061">Data!$BA$63</definedName>
    <definedName name="Data_ToelageDirecteurNatVerloop062">Data!$BA$64</definedName>
    <definedName name="Data_ToelageDirecteurNatVerloop063">Data!$BA$65</definedName>
    <definedName name="Data_ToelageDirecteurNatVerloop064">Data!$BA$66</definedName>
    <definedName name="Data_ToelageDirecteurNatVerloop065">Data!$BA$67</definedName>
    <definedName name="Data_ToelageDirecteurNatVerloop066">Data!$BA$68</definedName>
    <definedName name="Data_ToelageDirecteurNatVerloop067">Data!$BA$69</definedName>
    <definedName name="Data_ToelageDirecteurNatVerloop068">Data!$BA$70</definedName>
    <definedName name="Data_ToelageDirecteurNatVerloop069">Data!$BA$71</definedName>
    <definedName name="Data_ToelageDirecteurNatVerloop070">Data!$BA$72</definedName>
    <definedName name="Data_ToelageDirecteurNatVerloop071">Data!$BA$73</definedName>
    <definedName name="Data_ToelageDirecteurNatVerloop072">Data!$BA$74</definedName>
    <definedName name="Data_ToelageDirecteurNatVerloop073">Data!$BA$75</definedName>
    <definedName name="Data_ToelageDirecteurNatVerloop074">Data!$BA$76</definedName>
    <definedName name="Data_ToelageDirecteurNatVerloop075">Data!$BA$77</definedName>
    <definedName name="Data_ToelageDirecteurNatVerloop076">Data!$BA$78</definedName>
    <definedName name="Data_ToelageDirecteurNatVerloop077">Data!$BA$79</definedName>
    <definedName name="Data_ToelageDirecteurNatVerloop078">Data!$BA$80</definedName>
    <definedName name="Data_ToelageDirecteurNatVerloop079">Data!$BA$81</definedName>
    <definedName name="Data_ToelageDirecteurNatVerloop080">Data!$BA$82</definedName>
    <definedName name="Data_ToelageDirecteurNatVerloop081">Data!$BA$83</definedName>
    <definedName name="Data_ToelageDirecteurNatVerloop082">Data!$BA$84</definedName>
    <definedName name="Data_ToelageDirecteurNatVerloop083">Data!$BA$85</definedName>
    <definedName name="Data_ToelageDirecteurNatVerloop084">Data!$BA$86</definedName>
    <definedName name="Data_ToelageDirecteurNatVerloop085">Data!$BA$87</definedName>
    <definedName name="Data_ToelageDirecteurNatVerloop086">Data!$BA$88</definedName>
    <definedName name="Data_ToelageDirecteurNatVerloop087">Data!$BA$89</definedName>
    <definedName name="Data_ToelageDirecteurNatVerloop088">Data!$BA$90</definedName>
    <definedName name="Data_ToelageDirecteurNatVerloop089">Data!$BA$91</definedName>
    <definedName name="Data_ToelageDirecteurNatVerloop090">Data!$BA$92</definedName>
    <definedName name="Data_ToelageDirecteurNatVerloop091">Data!$BA$93</definedName>
    <definedName name="Data_ToelageDirecteurNatVerloop092">Data!$BA$94</definedName>
    <definedName name="Data_ToelageDirecteurNatVerloop093">Data!$BA$95</definedName>
    <definedName name="Data_ToelageDirecteurNatVerloop094">Data!$BA$96</definedName>
    <definedName name="Data_ToelageDirecteurNatVerloop095">Data!$BA$97</definedName>
    <definedName name="Data_ToelageDirecteurNatVerloop096">Data!$BA$98</definedName>
    <definedName name="Data_ToelageDirecteurNatVerloop097">Data!$BA$99</definedName>
    <definedName name="Data_ToelageDirecteurNatVerloop098">Data!$BA$100</definedName>
    <definedName name="Data_ToelageDirecteurNatVerloop099">Data!$BA$101</definedName>
    <definedName name="Data_ToelageDirecteurNatVerloop100">Data!$BA$102</definedName>
    <definedName name="Data_ToelageDirecteurNatVerloop101">Data!$BA$103</definedName>
    <definedName name="Data_ToelageDirecteurNatVerloop102">Data!$BA$104</definedName>
    <definedName name="Data_ToelageDirecteurNatVerloop103">Data!$BA$105</definedName>
    <definedName name="Data_ToelageDirecteurNatVerloop104">Data!$BA$106</definedName>
    <definedName name="Data_ToelageDirecteurNatVerloop105">Data!$BA$107</definedName>
    <definedName name="Data_ToelageDirecteurNatVerloop106">Data!$BA$108</definedName>
    <definedName name="Data_ToelageDirecteurNatVerloop107">Data!$BA$109</definedName>
    <definedName name="Data_ToelageDirecteurNatVerloop108">Data!$BA$110</definedName>
    <definedName name="Data_ToelageDirecteurNatVerloop109">Data!$BA$111</definedName>
    <definedName name="Data_ToelageDirecteurNatVerloop110">Data!$BA$112</definedName>
    <definedName name="Data_ToelageDirecteurNatVerloop111">Data!$BA$113</definedName>
    <definedName name="Data_ToelageDirecteurNatVerloop112">Data!$BA$114</definedName>
    <definedName name="Data_ToelageDirecteurNatVerloop113">Data!$BA$115</definedName>
    <definedName name="Data_ToelageDirecteurNatVerloop114">Data!$BA$116</definedName>
    <definedName name="Data_ToelageDirecteurNatVerloop115">Data!$BA$117</definedName>
    <definedName name="Data_ToelageDirecteurNatVerloop116">Data!$BA$118</definedName>
    <definedName name="Data_ToelageDirecteurNatVerloop117">Data!$BA$119</definedName>
    <definedName name="Data_ToelageDirecteurNatVerloop118">Data!$BA$120</definedName>
    <definedName name="Data_ToelageDirecteurNatVerloop119">Data!$BA$121</definedName>
    <definedName name="Data_ToelageDirecteurNatVerloop120">Data!$BA$122</definedName>
    <definedName name="Data_ToelageDirecteurNatVerloop121">Data!$BA$123</definedName>
    <definedName name="Data_ToelageDirecteurNatVerloop122">Data!$BA$124</definedName>
    <definedName name="Data_ToelageDirecteurNatVerloop123">Data!$BA$125</definedName>
    <definedName name="Data_ToelageDirecteurNatVerloop124">Data!$BA$126</definedName>
    <definedName name="Data_ToelageDirecteurNatVerloop125">Data!$BA$127</definedName>
    <definedName name="Data_ToelageDirecteurNatVerloop126">Data!$BA$128</definedName>
    <definedName name="Data_ToelageDirecteurNatVerloop127">Data!$BA$129</definedName>
    <definedName name="Data_ToelageDirecteurNatVerloop128">Data!$BA$130</definedName>
    <definedName name="Data_ToelageDirecteurNatVerloop129">Data!$BA$131</definedName>
    <definedName name="Data_ToelageDirecteurNatVerloop130">Data!$BA$132</definedName>
    <definedName name="Data_ToelageDirecteurNatVerloop131">Data!$BA$133</definedName>
    <definedName name="Data_ToelageDirecteurNatVerloop132">Data!$BA$134</definedName>
    <definedName name="Data_ToelageDirecteurNatVerloop133">Data!$BA$135</definedName>
    <definedName name="Data_ToelageDirecteurNatVerloop134">Data!$BA$136</definedName>
    <definedName name="Data_ToelageDirecteurNatVerloop135">Data!$BA$137</definedName>
    <definedName name="Data_ToelageDirecteurNatVerloop136">Data!$BA$138</definedName>
    <definedName name="Data_ToelageDirecteurNatVerloop137">Data!$BA$139</definedName>
    <definedName name="Data_ToelageDirecteurNatVerloop138">Data!$BA$140</definedName>
    <definedName name="Data_ToelageDirecteurNatVerloop139">Data!$BA$141</definedName>
    <definedName name="Data_ToelageDirecteurNatVerloop140">Data!$BA$142</definedName>
    <definedName name="Data_ToelageDirecteurNatVerloop141">Data!$BA$143</definedName>
    <definedName name="Data_ToelageDirecteurNatVerloop142">Data!$BA$144</definedName>
    <definedName name="Data_ToelageDirecteurNatVerloop143">Data!$BA$145</definedName>
    <definedName name="Data_ToelageDirecteurNatVerloop144">Data!$BA$146</definedName>
    <definedName name="Data_ToelageDirecteurNatVerloop145">Data!$BA$147</definedName>
    <definedName name="Data_ToelageDirecteurNatVerloop146">Data!$BA$148</definedName>
    <definedName name="Data_ToelageDirecteurNatVerloop147">Data!$BA$149</definedName>
    <definedName name="Data_ToelageDirecteurNatVerloop148">Data!$BA$150</definedName>
    <definedName name="Data_ToelageDirecteurNatVerloop149">Data!$BA$151</definedName>
    <definedName name="Data_ToelageDirecteurNatVerloop150">Data!$BA$152</definedName>
    <definedName name="Data_ToelageDirecteurNatVerloop151">Data!$BA$153</definedName>
    <definedName name="Data_ToelageDirecteurNatVerloop152">Data!$BA$154</definedName>
    <definedName name="Data_ToelageDirecteurNatVerloop153">Data!$BA$155</definedName>
    <definedName name="Data_ToelageDirecteurNatVerloop154">Data!$BA$156</definedName>
    <definedName name="Data_ToelageDirecteurNatVerloop155">Data!$BA$157</definedName>
    <definedName name="Data_ToelageDirecteurNatVerloop156">Data!$BA$158</definedName>
    <definedName name="Data_ToelageDirecteurNatVerloop157">Data!$BA$159</definedName>
    <definedName name="Data_ToelageDirecteurNatVerloop158">Data!$BA$160</definedName>
    <definedName name="Data_ToelageDirecteurNatVerloop159">Data!$BA$161</definedName>
    <definedName name="Data_ToelageDirecteurNatVerloop160">Data!$BA$162</definedName>
    <definedName name="Data_ToelageDirecteurNatVerloop161">Data!$BA$163</definedName>
    <definedName name="Data_ToelageDirecteurNatVerloop162">Data!$BA$164</definedName>
    <definedName name="Data_ToelageDirecteurNatVerloop163">Data!$BA$165</definedName>
    <definedName name="Data_ToelageDirecteurNatVerloop164">Data!$BA$166</definedName>
    <definedName name="Data_ToelageDirecteurNatVerloop165">Data!$BA$167</definedName>
    <definedName name="Data_ToelageDirecteurNatVerloop166">Data!$BA$168</definedName>
    <definedName name="Data_ToelageDirecteurNatVerloop167">Data!$BA$169</definedName>
    <definedName name="Data_ToelageDirecteurNatVerloop168">Data!$BA$170</definedName>
    <definedName name="Data_ToelageDirecteurNatVerloop169">Data!$BA$171</definedName>
    <definedName name="Data_ToelageDirecteurNatVerloop170">Data!$BA$172</definedName>
    <definedName name="Data_ToelageDirecteurNatVerloop171">Data!$BA$173</definedName>
    <definedName name="Data_ToelageDirecteurNatVerloop172">Data!$BA$174</definedName>
    <definedName name="Data_ToelageDirecteurNatVerloop173">Data!$BA$175</definedName>
    <definedName name="Data_ToelageDirecteurNatVerloop174">Data!$BA$176</definedName>
    <definedName name="Data_ToelageDirecteurNatVerloop175">Data!$BA$177</definedName>
    <definedName name="Data_ToelageDirecteurNatVerloop176">Data!$BA$178</definedName>
    <definedName name="Data_ToelageDirecteurNatVerloop177">Data!$BA$179</definedName>
    <definedName name="Data_ToelageDirecteurNatVerloop178">Data!$BA$180</definedName>
    <definedName name="Data_ToelageDirecteurNatVerloop179">Data!$BA$181</definedName>
    <definedName name="Data_ToelageDirecteurNatVerloop180">Data!$BA$182</definedName>
    <definedName name="Data_ToelageDirecteurNatVerloop181">Data!$BA$183</definedName>
    <definedName name="Data_ToelageDirecteurNatVerloop182">Data!$BA$184</definedName>
    <definedName name="Data_ToelageDirecteurNatVerloop183">Data!$BA$185</definedName>
    <definedName name="Data_ToelageDirecteurNatVerloop184">Data!$BA$186</definedName>
    <definedName name="Data_ToelageDirecteurNatVerloop185">Data!$BA$187</definedName>
    <definedName name="Data_ToelageDirecteurNatVerloop186">Data!$BA$188</definedName>
    <definedName name="Data_ToelageDirecteurNatVerloop187">Data!$BA$189</definedName>
    <definedName name="Data_ToelageDirecteurNatVerloop188">Data!$BA$190</definedName>
    <definedName name="Data_ToelageDirecteurNatVerloop189">Data!$BA$191</definedName>
    <definedName name="Data_ToelageDirecteurNatVerloop190">Data!$BA$192</definedName>
    <definedName name="Data_ToelageDirecteurNatVerloop191">Data!$BA$193</definedName>
    <definedName name="Data_ToelageDirecteurNatVerloop192">Data!$BA$194</definedName>
    <definedName name="Data_ToelageDirecteurNatVerloop193">Data!$BA$195</definedName>
    <definedName name="Data_ToelageDirecteurNatVerloop194">Data!$BA$196</definedName>
    <definedName name="Data_ToelageDirecteurNatVerloop195">Data!$BA$197</definedName>
    <definedName name="Data_ToelageDirecteurNatVerloop196">Data!$BA$198</definedName>
    <definedName name="Data_ToelageDirecteurNatVerloop197">Data!$BA$199</definedName>
    <definedName name="Data_ToelageDirecteurNatVerloop198">Data!$BA$200</definedName>
    <definedName name="Data_ToelageDirecteurNatVerloop199">Data!$BA$201</definedName>
    <definedName name="Data_ToelageDirecteurNatVerloop200">Data!$BA$202</definedName>
    <definedName name="Data_ToelageDirecteurNatVerloop201">Data!$BA$203</definedName>
    <definedName name="Data_ToelageDirecteurNatVerloop202">Data!$BA$204</definedName>
    <definedName name="Data_ToelageDirecteurNatVerloop203">Data!$BA$205</definedName>
    <definedName name="Data_ToelageDirecteurNatVerloop204">Data!$BA$206</definedName>
    <definedName name="Data_ToelageDirecteurNatVerloop205">Data!$BA$207</definedName>
    <definedName name="Data_ToelageDirecteurNatVerloop206">Data!$BA$208</definedName>
    <definedName name="Data_ToelageDirecteurNatVerloop207">Data!$BA$209</definedName>
    <definedName name="Data_ToelageDirecteurNatVerloop208">Data!$BA$210</definedName>
    <definedName name="Data_ToelageDirecteurNatVerloop209">Data!$BA$211</definedName>
    <definedName name="Data_ToelageDirecteurNatVerloop210">Data!$BA$212</definedName>
    <definedName name="Data_ToelageDirecteurNatVerloop211">Data!$BA$213</definedName>
    <definedName name="Data_ToelageDirecteurNatVerloop212">Data!$BA$214</definedName>
    <definedName name="Data_ToelageDirecteurNatVerloop213">Data!$BA$215</definedName>
    <definedName name="Data_ToelageDirecteurNatVerloop214">Data!$BA$216</definedName>
    <definedName name="Data_ToelageDirecteurNatVerloop215">Data!$BA$217</definedName>
    <definedName name="Data_ToelageDirecteurNatVerloop216">Data!$BA$218</definedName>
    <definedName name="Data_ToelageDirecteurNatVerloop217">Data!$BA$219</definedName>
    <definedName name="Data_ToelageDirecteurNatVerloop218">Data!$BA$220</definedName>
    <definedName name="Data_ToelageDirecteurNatVerloop219">Data!$BA$221</definedName>
    <definedName name="Data_ToelageDirecteurNatVerloop220">Data!$BA$222</definedName>
    <definedName name="Data_ToelageDirecteurNatVerloop221">Data!$BA$223</definedName>
    <definedName name="Data_ToelageDirecteurNatVerloop222">Data!$BA$224</definedName>
    <definedName name="Data_ToelageDirecteurNatVerloop223">Data!$BA$225</definedName>
    <definedName name="Data_ToelageDirecteurNatVerloop224">Data!$BA$226</definedName>
    <definedName name="Data_ToelageDirecteurNatVerloop225">Data!$BA$227</definedName>
    <definedName name="Data_ToelageDirecteurNatVerloop226">Data!$BA$228</definedName>
    <definedName name="Data_ToelageDirecteurNatVerloop227">Data!$BA$229</definedName>
    <definedName name="Data_ToelageDirecteurNatVerloop228">Data!$BA$230</definedName>
    <definedName name="Data_ToelageDirecteurNatVerloop229">Data!$BA$231</definedName>
    <definedName name="Data_ToelageDirecteurNatVerloop230">Data!$BA$232</definedName>
    <definedName name="Data_ToelageDirecteurNatVerloop231">Data!$BA$233</definedName>
    <definedName name="Data_ToelageDirecteurNatVerloop232">Data!$BA$234</definedName>
    <definedName name="Data_ToelageDirecteurNatVerloop233">Data!$BA$235</definedName>
    <definedName name="Data_ToelageDirecteurNatVerloop234">Data!$BA$236</definedName>
    <definedName name="Data_ToelageDirecteurNatVerloop235">Data!$BA$237</definedName>
    <definedName name="Data_ToelageDirecteurNatVerloop236">Data!$BA$238</definedName>
    <definedName name="Data_ToelageDirecteurNatVerloop237">Data!$BA$239</definedName>
    <definedName name="Data_ToelageDirecteurNatVerloop238">Data!$BA$240</definedName>
    <definedName name="Data_ToelageDirecteurNatVerloop239">Data!$BA$241</definedName>
    <definedName name="Data_ToelageDirecteurNatVerloop240">Data!$BA$242</definedName>
    <definedName name="Data_ToelageDirecteurNatVerloop241">Data!$BA$243</definedName>
    <definedName name="Data_ToelageDirecteurNatVerloop242">Data!$BA$244</definedName>
    <definedName name="Data_ToelageDirecteurNatVerloop243">Data!$BA$245</definedName>
    <definedName name="Data_ToelageDirecteurNatVerloop244">Data!$BA$246</definedName>
    <definedName name="Data_ToelageDirecteurNatVerloop245">Data!$BA$247</definedName>
    <definedName name="Data_ToelageDirecteurNatVerloop246">Data!$BA$248</definedName>
    <definedName name="Data_ToelageDirecteurNatVerloop247">Data!$BA$249</definedName>
    <definedName name="Data_ToelageDirecteurNatVerloop248">Data!$BA$250</definedName>
    <definedName name="Data_ToelageDirecteurNatVerloop249">Data!$BA$251</definedName>
    <definedName name="Data_ToelageDirecteurNatVerloop250">Data!$BA$252</definedName>
    <definedName name="Data_ToelageDirecteurNatVerloop251">Data!$BA$253</definedName>
    <definedName name="Data_ToelageDirecteurNatVerloop252">Data!$BA$254</definedName>
    <definedName name="Data_ToelageDirecteurNatVerloop253">Data!$BA$255</definedName>
    <definedName name="Data_ToelageDirecteurNatVerloop254">Data!$BA$256</definedName>
    <definedName name="Data_ToelageDirecteurNatVerloop255">Data!$BA$257</definedName>
    <definedName name="Data_ToelageDirecteurNatVerloop256">Data!$BA$258</definedName>
    <definedName name="Data_ToelageDirecteurNatVerloop257">Data!$BA$259</definedName>
    <definedName name="Data_ToelageDirecteurNatVerloop258">Data!$BA$260</definedName>
    <definedName name="Data_ToelageDirecteurNatVerloop259">Data!$BA$261</definedName>
    <definedName name="Data_ToelageDirecteurNatVerloop260">Data!$BA$262</definedName>
    <definedName name="Data_ToelageDirecteurNatVerloop261">Data!$BA$263</definedName>
    <definedName name="Data_ToelageDirecteurNatVerloop262">Data!$BA$264</definedName>
    <definedName name="Data_ToelageDirecteurNatVerloop263">Data!$BA$265</definedName>
    <definedName name="Data_ToelageDirecteurNatVerloop264">Data!$BA$266</definedName>
    <definedName name="Data_ToelageDirecteurNatVerloop265">Data!$BA$267</definedName>
    <definedName name="Data_ToelageDirecteurNatVerloop266">Data!$BA$268</definedName>
    <definedName name="Data_ToelageDirecteurNatVerloop267">Data!$BA$269</definedName>
    <definedName name="Data_ToelageDirecteurNatVerloop268">Data!$BA$270</definedName>
    <definedName name="Data_ToelageDirecteurNatVerloop269">Data!$BA$271</definedName>
    <definedName name="Data_ToelageDirecteurNatVerloop270">Data!$BA$272</definedName>
    <definedName name="Data_ToelageDirecteurNatVerloop271">Data!$BA$273</definedName>
    <definedName name="Data_ToelageDirecteurNatVerloop272">Data!$BA$274</definedName>
    <definedName name="Data_ToelageDirecteurNatVerloop273">Data!$BA$275</definedName>
    <definedName name="Data_ToelageDirecteurNatVerloop274">Data!$BA$276</definedName>
    <definedName name="Data_ToelageDirecteurNatVerloop275">Data!$BA$277</definedName>
    <definedName name="Data_ToelageDirecteurNatVerloop276">Data!$BA$278</definedName>
    <definedName name="Data_ToelageDirecteurNatVerloop277">Data!$BA$279</definedName>
    <definedName name="Data_ToelageDirecteurNatVerloop278">Data!$BA$280</definedName>
    <definedName name="Data_ToelageDirecteurNatVerloop279">Data!$BA$281</definedName>
    <definedName name="Data_ToelageDirecteurNatVerloop280">Data!$BA$282</definedName>
    <definedName name="Data_ToelageDirecteurNatVerloop281">Data!$BA$283</definedName>
    <definedName name="Data_ToelageDirecteurNatVerloop282">Data!$BA$284</definedName>
    <definedName name="Data_ToelageDirecteurNatVerloop283">Data!$BA$285</definedName>
    <definedName name="Data_ToelageDirecteurNatVerloop284">Data!$BA$286</definedName>
    <definedName name="Data_ToelageDirecteurNatVerloop285">Data!$BA$287</definedName>
    <definedName name="Data_ToelageDirecteurNatVerloop286">Data!$BA$288</definedName>
    <definedName name="Data_ToelageDirecteurNatVerloop287">Data!$BA$289</definedName>
    <definedName name="Data_ToelageDirecteurNatVerloop288">Data!$BA$290</definedName>
    <definedName name="Data_ToelageDirecteurNatVerloop289">Data!$BA$291</definedName>
    <definedName name="Data_ToelageDirecteurNatVerloop290">Data!$BA$292</definedName>
    <definedName name="Data_ToelageDirecteurNatVerloop291">Data!$BA$293</definedName>
    <definedName name="Data_ToelageDirecteurNatVerloop292">Data!$BA$294</definedName>
    <definedName name="Data_ToelageDirecteurNatVerloop293">Data!$BA$295</definedName>
    <definedName name="Data_ToelageDirecteurNatVerloop294">Data!$BA$296</definedName>
    <definedName name="Data_ToelageDirecteurNatVerloop295">Data!$BA$297</definedName>
    <definedName name="Data_ToelageDirecteurNatVerloop296">Data!$BA$298</definedName>
    <definedName name="Data_ToelageDirecteurNatVerloop297">Data!$BA$299</definedName>
    <definedName name="Data_ToelageDirecteurNatVerloop298">Data!$BA$300</definedName>
    <definedName name="Data_ToelageDirecteurNatVerloop299">Data!$BA$301</definedName>
    <definedName name="Data_ToelageDirecteurNatVerloop300">Data!$BA$302</definedName>
    <definedName name="Data_ToelageDirecteurNatVerloop301">Data!$BA$303</definedName>
    <definedName name="Data_ToelageDirecteurNatVerloop302">Data!$BA$304</definedName>
    <definedName name="Data_ToelageDirecteurNatVerloop303">Data!$BA$305</definedName>
    <definedName name="Data_ToelageDirecteurNatVerloop304">Data!$BA$306</definedName>
    <definedName name="Data_ToelageDirecteurNatVerloop305">Data!$BA$307</definedName>
    <definedName name="Data_ToelageDirecteurNatVerloop306">Data!$BA$308</definedName>
    <definedName name="Data_ToelageDirecteurNatVerloop307">Data!$BA$309</definedName>
    <definedName name="Data_ToelageDirecteurNatVerloop308">Data!$BA$310</definedName>
    <definedName name="Data_ToelageDirecteurNatVerloop309">Data!$BA$311</definedName>
    <definedName name="Data_ToelageDirecteurNatVerloop310">Data!$BA$312</definedName>
    <definedName name="Data_ToelageDirecteurNatVerloop311">Data!$BA$313</definedName>
    <definedName name="Data_ToelageDirecteurNatVerloop312">Data!$BA$314</definedName>
    <definedName name="Data_ToelageDirecteurNatVerloop313">Data!$BA$315</definedName>
    <definedName name="Data_ToelageDirecteurNatVerloop314">Data!$BA$316</definedName>
    <definedName name="Data_ToelageDirecteurNatVerloop315">Data!$BA$317</definedName>
    <definedName name="Data_ToelageDirecteurNatVerloop316">Data!$BA$318</definedName>
    <definedName name="Data_ToelageDirecteurNatVerloop317">Data!$BA$319</definedName>
    <definedName name="Data_ToelageDirecteurNatVerloop318">Data!$BA$320</definedName>
    <definedName name="Data_ToelageDirecteurNatVerloop319">Data!$BA$321</definedName>
    <definedName name="Data_ToelageDirecteurNatVerloop320">Data!$BA$322</definedName>
    <definedName name="Data_ToelageDirecteurNatVerloop321">Data!$BA$323</definedName>
    <definedName name="Data_ToelageDirecteurNatVerloop322">Data!$BA$324</definedName>
    <definedName name="Data_ToelageDirecteurNatVerloop323">Data!$BA$325</definedName>
    <definedName name="Data_ToelageDirecteurNatVerloop324">Data!$BA$326</definedName>
    <definedName name="Data_ToelageDirecteurNatVerloop325">Data!$BA$327</definedName>
    <definedName name="Data_ToelageDirecteurNatVerloop326">Data!$BA$328</definedName>
    <definedName name="Data_ToelageDirecteurNatVerloop327">Data!$BA$329</definedName>
    <definedName name="Data_ToelageDirecteurNatVerloop328">Data!$BA$330</definedName>
    <definedName name="Data_ToelageDirecteurNatVerloop329">Data!$BA$331</definedName>
    <definedName name="Data_ToelageDirecteurNatVerloop330">Data!$BA$332</definedName>
    <definedName name="Data_ToelageDirecteurNatVerloop331">Data!$BA$333</definedName>
    <definedName name="Data_ToelageDirecteurNatVerloop332">Data!$BA$334</definedName>
    <definedName name="Data_ToelageDirecteurNatVerloop333">Data!$BA$335</definedName>
    <definedName name="Data_ToelageDirecteurNatVerloop334">Data!$BA$336</definedName>
    <definedName name="Data_ToelageDirecteurNatVerloop335">Data!$BA$337</definedName>
    <definedName name="Data_ToelageDirecteurNatVerloop336">Data!$BA$338</definedName>
    <definedName name="Data_ToelageDirecteurNatVerloop337">Data!$BA$339</definedName>
    <definedName name="Data_ToelageDirecteurNatVerloop338">Data!$BA$340</definedName>
    <definedName name="Data_ToelageDirecteurNatVerloop339">Data!$BA$341</definedName>
    <definedName name="Data_ToelageDirecteurNatVerloop340">Data!$BA$342</definedName>
    <definedName name="Data_ToelageDirecteurNatVerloop341">Data!$BA$343</definedName>
    <definedName name="Data_ToelageDirecteurNatVerloop342">Data!$BA$344</definedName>
    <definedName name="Data_ToelageDirecteurNatVerloop343">Data!$BA$345</definedName>
    <definedName name="Data_ToelageDirecteurNatVerloop344">Data!$BA$346</definedName>
    <definedName name="Data_ToelageDirecteurNatVerloop345">Data!$BA$347</definedName>
    <definedName name="Data_ToelageDirecteurNatVerloop346">Data!$BA$348</definedName>
    <definedName name="Data_ToelageDirecteurNatVerloop347">Data!$BA$349</definedName>
    <definedName name="Data_ToelageDirecteurNatVerloop348">Data!$BA$350</definedName>
    <definedName name="Data_ToelageDirecteurNatVerloop349">Data!$BA$351</definedName>
    <definedName name="Data_ToelageDirecteurNatVerloop350">Data!$BA$352</definedName>
    <definedName name="Data_ToelageDirecteurNatVerloop351">Data!$BA$353</definedName>
    <definedName name="Data_ToelageDirecteurNatVerloop352">Data!$BA$354</definedName>
    <definedName name="Data_ToelageDirecteurNatVerloop353">Data!$BA$355</definedName>
    <definedName name="Data_ToelageDirecteurNatVerloop354">Data!$BA$356</definedName>
    <definedName name="Data_ToelageDirecteurNatVerloop355">Data!$BA$357</definedName>
    <definedName name="Data_ToelageDirecteurNatVerloop356">Data!$BA$358</definedName>
    <definedName name="Data_ToelageDirecteurNatVerloop357">Data!$BA$359</definedName>
    <definedName name="Data_ToelageDirecteurNatVerloop358">Data!$BA$360</definedName>
    <definedName name="Data_ToelageDirecteurNatVerloop359">Data!$BA$361</definedName>
    <definedName name="Data_ToelageDirecteurNatVerloop360">Data!$BA$362</definedName>
    <definedName name="Data_ToelageDirecteurNatVerloop361">Data!$BA$363</definedName>
    <definedName name="Data_ToelageDirecteurNatVerloop362">Data!$BA$364</definedName>
    <definedName name="Data_ToelageDirecteurNatVerloop363">Data!$BA$365</definedName>
    <definedName name="Data_ToelageDirecteurNatVerloop364">Data!$BA$366</definedName>
    <definedName name="Data_ToelageDirecteurNatVerloop365">Data!$BA$367</definedName>
    <definedName name="Data_ToelageDirecteurNatVerloop366">Data!$BA$368</definedName>
    <definedName name="Data_ToelageDirecteurNatVerloop367">Data!$BA$369</definedName>
    <definedName name="Data_ToelageDirecteurNatVerloop368">Data!$BA$370</definedName>
    <definedName name="Data_ToelageDirecteurNatVerloop369">Data!$BA$371</definedName>
    <definedName name="Data_ToelageDirecteurNatVerloop370">Data!$BA$372</definedName>
    <definedName name="Data_ToelageDirecteurNatVerloop371">Data!$BA$373</definedName>
    <definedName name="Data_ToelageDirecteurNatVerloop372">Data!$BA$374</definedName>
    <definedName name="Data_ToelageDirecteurNatVerloop373">Data!$BA$375</definedName>
    <definedName name="Data_ToelageDirecteurNatVerloop374">Data!$BA$376</definedName>
    <definedName name="Data_ToelageDirecteurNatVerloop375">Data!$BA$377</definedName>
    <definedName name="Data_ToelageDirecteurNatVerloop376">Data!$BA$378</definedName>
    <definedName name="Data_ToelageDirecteurNatVerloop377">Data!$BA$379</definedName>
    <definedName name="Data_ToelageDirecteurNatVerloop378">Data!$BA$380</definedName>
    <definedName name="Data_ToelageDirecteurNatVerloop379">Data!$BA$381</definedName>
    <definedName name="Data_ToelageDirecteurNatVerloop380">Data!$BA$382</definedName>
    <definedName name="Data_ToelageDirecteurNatVerloop381">Data!$BA$383</definedName>
    <definedName name="Data_ToelageDirecteurNatVerloop382">Data!$BA$384</definedName>
    <definedName name="Data_ToelageDirecteurNatVerloop383">Data!$BA$385</definedName>
    <definedName name="Data_ToelageDirecteurNatVerloop384">Data!$BA$386</definedName>
    <definedName name="Data_ToelageDirecteurNatVerloop385">Data!$BA$387</definedName>
    <definedName name="Data_ToelageDirecteurNatVerloop386">Data!$BA$388</definedName>
    <definedName name="Data_ToelageDirecteurNatVerloop387">Data!$BA$389</definedName>
    <definedName name="Data_ToelageDirecteurNatVerloop388">Data!$BA$390</definedName>
    <definedName name="Data_ToelageDirecteurNatVerloop389">Data!$BA$391</definedName>
    <definedName name="Data_ToelageDirecteurNatVerloop390">Data!$BA$392</definedName>
    <definedName name="Data_ToelageDirecteurNatVerloop391">Data!$BA$393</definedName>
    <definedName name="Data_ToelageDirecteurNatVerloop392">Data!$BA$394</definedName>
    <definedName name="Data_ToelageDirecteurNatVerloop393">Data!$BA$395</definedName>
    <definedName name="Data_ToelageDirecteurNatVerloop394">Data!$BA$396</definedName>
    <definedName name="Data_ToelageDirecteurNatVerloop395">Data!$BA$397</definedName>
    <definedName name="Data_ToelageDirecteurNatVerloop396">Data!$BA$398</definedName>
    <definedName name="Data_ToelageDirecteurNatVerloop397">Data!$BA$399</definedName>
    <definedName name="Data_ToelageDirecteurNatVerloop398">Data!$BA$400</definedName>
    <definedName name="Data_ToelageDirecteurNatVerloop399">Data!$BA$401</definedName>
    <definedName name="Data_ToelageDirecteurNatVerloop400">Data!$BA$402</definedName>
    <definedName name="Data_ToelageDirecteurNatVerloop401">Data!$BA$403</definedName>
    <definedName name="Data_ToelageDirecteurNatVerloop402">Data!$BA$404</definedName>
    <definedName name="Data_ToelageDirecteurNatVerloop403">Data!$BA$405</definedName>
    <definedName name="Data_ToelageDirecteurNatVerloop404">Data!$BA$406</definedName>
    <definedName name="Data_ToelageDirecteurNatVerloop405">Data!$BA$407</definedName>
    <definedName name="Data_ToelageDirecteurNatVerloop406">Data!$BA$408</definedName>
    <definedName name="Data_ToelageDirecteurNatVerloop407">Data!$BA$409</definedName>
    <definedName name="Data_ToelageDirecteurNatVerloop408">Data!$BA$410</definedName>
    <definedName name="Data_ToelageDirecteurNatVerloop409">Data!$BA$411</definedName>
    <definedName name="Data_ToelageDirecteurNatVerloop410">Data!$BA$412</definedName>
    <definedName name="Data_ToelageDirecteurNatVerloop411">Data!$BA$413</definedName>
    <definedName name="Data_ToelageDirecteurNatVerloop412">Data!$BA$414</definedName>
    <definedName name="Data_ToelageDirecteurNatVerloop413">Data!$BA$415</definedName>
    <definedName name="Data_ToelageDirecteurNatVerloop414">Data!$BA$416</definedName>
    <definedName name="Data_ToelageDirecteurNatVerloop415">Data!$BA$417</definedName>
    <definedName name="Data_ToelageDirecteurNatVerloop416">Data!$BA$418</definedName>
    <definedName name="Data_ToelageDirecteurNatVerloop417">Data!$BA$419</definedName>
    <definedName name="Data_ToelageDirecteurNatVerloop418">Data!$BA$420</definedName>
    <definedName name="Data_ToelageDirecteurNatVerloop419">Data!$BA$421</definedName>
    <definedName name="Data_ToelageDirecteurNatVerloop420">Data!$BA$422</definedName>
    <definedName name="Data_ToelageDirecteurNatVerloop421">Data!$BA$423</definedName>
    <definedName name="Data_ToelageDirecteurNatVerloop422">Data!$BA$424</definedName>
    <definedName name="Data_ToelageDirecteurNatVerloop423">Data!$BA$425</definedName>
    <definedName name="Data_ToelageDirecteurNatVerloop424">Data!$BA$426</definedName>
    <definedName name="Data_ToelageDirecteurNatVerloop425">Data!$BA$427</definedName>
    <definedName name="Data_ToelageDirecteurNatVerloop426">Data!$BA$428</definedName>
    <definedName name="Data_ToelageDirecteurNatVerloop427">Data!$BA$429</definedName>
    <definedName name="Data_ToelageDirecteurNatVerloop428">Data!$BA$430</definedName>
    <definedName name="Data_ToelageDirecteurNatVerloop429">Data!$BA$431</definedName>
    <definedName name="Data_ToelageDirecteurNatVerloop430">Data!$BA$432</definedName>
    <definedName name="Data_ToelageDirecteurNatVerloop431">Data!$BA$433</definedName>
    <definedName name="Data_ToelageDirecteurNatVerloop432">Data!$BA$434</definedName>
    <definedName name="Data_ToelageDirecteurNatVerloop433">Data!$BA$435</definedName>
    <definedName name="Data_ToelageDirecteurNatVerloop434">Data!$BA$436</definedName>
    <definedName name="Data_ToelageDirecteurNatVerloop435">Data!$BA$437</definedName>
    <definedName name="Data_ToelageDirecteurNatVerloop436">Data!$BA$438</definedName>
    <definedName name="Data_ToelageDirecteurNatVerloop437">Data!$BA$439</definedName>
    <definedName name="Data_ToelageDirecteurNatVerloop438">Data!$BA$440</definedName>
    <definedName name="Data_ToelageDirecteurNatVerloop439">Data!$BA$441</definedName>
    <definedName name="Data_ToelageDirecteurNatVerloop440">Data!$BA$442</definedName>
    <definedName name="Data_ToelageDirecteurNatVerloop441">Data!$BA$443</definedName>
    <definedName name="Data_ToelageDirecteurNatVerloop442">Data!$BA$444</definedName>
    <definedName name="Data_ToelageDirecteurNatVerloop443">Data!$BA$445</definedName>
    <definedName name="Data_ToelageDirecteurNatVerloop444">Data!$BA$446</definedName>
    <definedName name="Data_ToelageDirecteurNatVerloop445">Data!$BA$447</definedName>
    <definedName name="Data_ToelageDirecteurNatVerloop446">Data!$BA$448</definedName>
    <definedName name="Data_ToelageDirecteurNatVerloop447">Data!$BA$449</definedName>
    <definedName name="Data_ToelageDirecteurNatVerloop448">Data!$BA$450</definedName>
    <definedName name="Data_ToelageDirecteurNatVerloop449">Data!$BA$451</definedName>
    <definedName name="Data_ToelageDirecteurNatVerloop450">Data!$BA$452</definedName>
    <definedName name="Data_ToelageDirecteurNatVerloop451">Data!$BA$453</definedName>
    <definedName name="Data_ToelageDirecteurNatVerloop452">Data!$BA$454</definedName>
    <definedName name="Data_ToelageDirecteurNatVerloop453">Data!$BA$455</definedName>
    <definedName name="Data_ToelageDirecteurNatVerloop454">Data!$BA$456</definedName>
    <definedName name="Data_ToelageDirecteurNatVerloop455">Data!$BA$457</definedName>
    <definedName name="Data_ToelageDirecteurNatVerloop456">Data!$BA$458</definedName>
    <definedName name="Data_ToelageDirecteurNatVerloop457">Data!$BA$459</definedName>
    <definedName name="Data_ToelageDirecteurNatVerloop458">Data!$BA$460</definedName>
    <definedName name="Data_ToelageDirecteurNatVerloop459">Data!$BA$461</definedName>
    <definedName name="Data_ToelageDirecteurNatVerloop460">Data!$BA$462</definedName>
    <definedName name="Data_ToelageDirecteurNatVerloop461">Data!$BA$463</definedName>
    <definedName name="Data_ToelageDirecteurNatVerloop462">Data!$BA$464</definedName>
    <definedName name="Data_ToelageDirecteurNatVerloop463">Data!$BA$465</definedName>
    <definedName name="Data_ToelageDirecteurNatVerloop464">Data!$BA$466</definedName>
    <definedName name="Data_ToelageDirecteurNatVerloop465">Data!$BA$467</definedName>
    <definedName name="Data_ToelageDirecteurNatVerloop466">Data!$BA$468</definedName>
    <definedName name="Data_ToelageDirecteurNatVerloop467">Data!$BA$469</definedName>
    <definedName name="Data_ToelageDirecteurNatVerloop468">Data!$BA$470</definedName>
    <definedName name="Data_ToelageDirecteurNatVerloop469">Data!$BA$471</definedName>
    <definedName name="Data_ToelageDirecteurNatVerloop470">Data!$BA$472</definedName>
    <definedName name="Data_ToelageDirecteurNatVerloop471">Data!$BA$473</definedName>
    <definedName name="Data_ToelageDirecteurNatVerloop472">Data!$BA$474</definedName>
    <definedName name="Data_ToelageDirecteurNatVerloop473">Data!$BA$475</definedName>
    <definedName name="Data_ToelageDirecteurNatVerloop474">Data!$BA$476</definedName>
    <definedName name="Data_ToelageDirecteurNatVerloop475">Data!$BA$477</definedName>
    <definedName name="Data_ToelageDirecteurNatVerloop476">Data!$BA$478</definedName>
    <definedName name="Data_ToelageDirecteurNatVerloop477">Data!$BA$479</definedName>
    <definedName name="Data_ToelageDirecteurNatVerloop478">Data!$BA$480</definedName>
    <definedName name="Data_ToelageDirecteurNatVerloop479">Data!$BA$481</definedName>
    <definedName name="Data_ToelageDirecteurNatVerloop480">Data!$BA$482</definedName>
    <definedName name="Data_ToelageDirecteurNatVerloop481">Data!$BA$483</definedName>
    <definedName name="Data_ToelageDirecteurNatVerloop482">Data!$BA$484</definedName>
    <definedName name="Data_ToelageDirecteurNatVerloop483">Data!$BA$485</definedName>
    <definedName name="Data_ToelageDirecteurNatVerloop484">Data!$BA$486</definedName>
    <definedName name="Data_ToelageDirecteurNatVerloop485">Data!$BA$487</definedName>
    <definedName name="Data_ToelageDirecteurNatVerloop486">Data!$BA$488</definedName>
    <definedName name="Data_ToelageDirecteurNatVerloop487">Data!$BA$489</definedName>
    <definedName name="Data_ToelageDirecteurNatVerloop488">Data!$BA$490</definedName>
    <definedName name="Data_ToelageDirecteurNatVerloop489">Data!$BA$491</definedName>
    <definedName name="Data_ToelageDirecteurNatVerloop490">Data!$BA$492</definedName>
    <definedName name="Data_ToelageDirecteurNatVerloop491">Data!$BA$493</definedName>
    <definedName name="Data_ToelageDirecteurNatVerloop492">Data!$BA$494</definedName>
    <definedName name="Data_ToelageDirecteurNatVerloop493">Data!$BA$495</definedName>
    <definedName name="Data_ToelageDirecteurNatVerloop494">Data!$BA$496</definedName>
    <definedName name="Data_ToelageDirecteurNatVerloop495">Data!$BA$497</definedName>
    <definedName name="Data_ToelageDirecteurNatVerloop496">Data!$BA$498</definedName>
    <definedName name="Data_ToelageDirecteurNatVerloop497">Data!$BA$499</definedName>
    <definedName name="Data_ToelageDirecteurNatVerloop498">Data!$BA$500</definedName>
    <definedName name="Data_ToelageDirecteurNatVerloop499">Data!$BA$501</definedName>
    <definedName name="Data_ToelageDirecteurNatVerloop500">Data!$BA$502</definedName>
    <definedName name="Data_ToelageDirecteurTijd001">Data!$W$3</definedName>
    <definedName name="Data_ToelageDirecteurTijd002">Data!$W$4</definedName>
    <definedName name="Data_ToelageDirecteurTijd003">Data!$W$5</definedName>
    <definedName name="Data_ToelageDirecteurTijd004">Data!$W$6</definedName>
    <definedName name="Data_ToelageDirecteurTijd005">Data!$W$7</definedName>
    <definedName name="Data_ToelageDirecteurTijd006">Data!$W$8</definedName>
    <definedName name="Data_ToelageDirecteurTijd007">Data!$W$9</definedName>
    <definedName name="Data_ToelageDirecteurTijd008">Data!$W$10</definedName>
    <definedName name="Data_ToelageDirecteurTijd009">Data!$W$11</definedName>
    <definedName name="Data_ToelageDirecteurTijd010">Data!$W$12</definedName>
    <definedName name="Data_ToelageDirecteurTijd011">Data!$W$13</definedName>
    <definedName name="Data_ToelageDirecteurTijd012">Data!$W$14</definedName>
    <definedName name="Data_ToelageDirecteurTijd013">Data!$W$15</definedName>
    <definedName name="Data_ToelageDirecteurTijd014">Data!$W$16</definedName>
    <definedName name="Data_ToelageDirecteurTijd015">Data!$W$17</definedName>
    <definedName name="Data_ToelageDirecteurTijd016">Data!$W$18</definedName>
    <definedName name="Data_ToelageDirecteurTijd017">Data!$W$19</definedName>
    <definedName name="Data_ToelageDirecteurTijd018">Data!$W$20</definedName>
    <definedName name="Data_ToelageDirecteurTijd019">Data!$W$21</definedName>
    <definedName name="Data_ToelageDirecteurTijd020">Data!$W$22</definedName>
    <definedName name="Data_ToelageDirecteurTijd021">Data!$W$23</definedName>
    <definedName name="Data_ToelageDirecteurTijd022">Data!$W$24</definedName>
    <definedName name="Data_ToelageDirecteurTijd023">Data!$W$25</definedName>
    <definedName name="Data_ToelageDirecteurTijd024">Data!$W$26</definedName>
    <definedName name="Data_ToelageDirecteurTijd025">Data!$W$27</definedName>
    <definedName name="Data_ToelageDirecteurTijd026">Data!$W$28</definedName>
    <definedName name="Data_ToelageDirecteurTijd027">Data!$W$29</definedName>
    <definedName name="Data_ToelageDirecteurTijd028">Data!$W$30</definedName>
    <definedName name="Data_ToelageDirecteurTijd029">Data!$W$31</definedName>
    <definedName name="Data_ToelageDirecteurTijd030">Data!$W$32</definedName>
    <definedName name="Data_ToelageDirecteurTijd031">Data!$W$33</definedName>
    <definedName name="Data_ToelageDirecteurTijd032">Data!$W$34</definedName>
    <definedName name="Data_ToelageDirecteurTijd033">Data!$W$35</definedName>
    <definedName name="Data_ToelageDirecteurTijd034">Data!$W$36</definedName>
    <definedName name="Data_ToelageDirecteurTijd035">Data!$W$37</definedName>
    <definedName name="Data_ToelageDirecteurTijd036">Data!$W$38</definedName>
    <definedName name="Data_ToelageDirecteurTijd037">Data!$W$39</definedName>
    <definedName name="Data_ToelageDirecteurTijd038">Data!$W$40</definedName>
    <definedName name="Data_ToelageDirecteurTijd039">Data!$W$41</definedName>
    <definedName name="Data_ToelageDirecteurTijd040">Data!$W$42</definedName>
    <definedName name="Data_ToelageDirecteurTijd041">Data!$W$43</definedName>
    <definedName name="Data_ToelageDirecteurTijd042">Data!$W$44</definedName>
    <definedName name="Data_ToelageDirecteurTijd043">Data!$W$45</definedName>
    <definedName name="Data_ToelageDirecteurTijd044">Data!$W$46</definedName>
    <definedName name="Data_ToelageDirecteurTijd045">Data!$W$47</definedName>
    <definedName name="Data_ToelageDirecteurTijd046">Data!$W$48</definedName>
    <definedName name="Data_ToelageDirecteurTijd047">Data!$W$49</definedName>
    <definedName name="Data_ToelageDirecteurTijd048">Data!$W$50</definedName>
    <definedName name="Data_ToelageDirecteurTijd049">Data!$W$51</definedName>
    <definedName name="Data_ToelageDirecteurTijd050">Data!$W$52</definedName>
    <definedName name="Data_ToelageDirecteurTijd051">Data!$W$53</definedName>
    <definedName name="Data_ToelageDirecteurTijd052">Data!$W$54</definedName>
    <definedName name="Data_ToelageDirecteurTijd053">Data!$W$55</definedName>
    <definedName name="Data_ToelageDirecteurTijd054">Data!$W$56</definedName>
    <definedName name="Data_ToelageDirecteurTijd055">Data!$W$57</definedName>
    <definedName name="Data_ToelageDirecteurTijd056">Data!$W$58</definedName>
    <definedName name="Data_ToelageDirecteurTijd057">Data!$W$59</definedName>
    <definedName name="Data_ToelageDirecteurTijd058">Data!$W$60</definedName>
    <definedName name="Data_ToelageDirecteurTijd059">Data!$W$61</definedName>
    <definedName name="Data_ToelageDirecteurTijd060">Data!$W$62</definedName>
    <definedName name="Data_ToelageDirecteurTijd061">Data!$W$63</definedName>
    <definedName name="Data_ToelageDirecteurTijd062">Data!$W$64</definedName>
    <definedName name="Data_ToelageDirecteurTijd063">Data!$W$65</definedName>
    <definedName name="Data_ToelageDirecteurTijd064">Data!$W$66</definedName>
    <definedName name="Data_ToelageDirecteurTijd065">Data!$W$67</definedName>
    <definedName name="Data_ToelageDirecteurTijd066">Data!$W$68</definedName>
    <definedName name="Data_ToelageDirecteurTijd067">Data!$W$69</definedName>
    <definedName name="Data_ToelageDirecteurTijd068">Data!$W$70</definedName>
    <definedName name="Data_ToelageDirecteurTijd069">Data!$W$71</definedName>
    <definedName name="Data_ToelageDirecteurTijd070">Data!$W$72</definedName>
    <definedName name="Data_ToelageDirecteurTijd071">Data!$W$73</definedName>
    <definedName name="Data_ToelageDirecteurTijd072">Data!$W$74</definedName>
    <definedName name="Data_ToelageDirecteurTijd073">Data!$W$75</definedName>
    <definedName name="Data_ToelageDirecteurTijd074">Data!$W$76</definedName>
    <definedName name="Data_ToelageDirecteurTijd075">Data!$W$77</definedName>
    <definedName name="Data_ToelageDirecteurTijd076">Data!$W$78</definedName>
    <definedName name="Data_ToelageDirecteurTijd077">Data!$W$79</definedName>
    <definedName name="Data_ToelageDirecteurTijd078">Data!$W$80</definedName>
    <definedName name="Data_ToelageDirecteurTijd079">Data!$W$81</definedName>
    <definedName name="Data_ToelageDirecteurTijd080">Data!$W$82</definedName>
    <definedName name="Data_ToelageDirecteurTijd081">Data!$W$83</definedName>
    <definedName name="Data_ToelageDirecteurTijd082">Data!$W$84</definedName>
    <definedName name="Data_ToelageDirecteurTijd083">Data!$W$85</definedName>
    <definedName name="Data_ToelageDirecteurTijd084">Data!$W$86</definedName>
    <definedName name="Data_ToelageDirecteurTijd085">Data!$W$87</definedName>
    <definedName name="Data_ToelageDirecteurTijd086">Data!$W$88</definedName>
    <definedName name="Data_ToelageDirecteurTijd087">Data!$W$89</definedName>
    <definedName name="Data_ToelageDirecteurTijd088">Data!$W$90</definedName>
    <definedName name="Data_ToelageDirecteurTijd089">Data!$W$91</definedName>
    <definedName name="Data_ToelageDirecteurTijd090">Data!$W$92</definedName>
    <definedName name="Data_ToelageDirecteurTijd091">Data!$W$93</definedName>
    <definedName name="Data_ToelageDirecteurTijd092">Data!$W$94</definedName>
    <definedName name="Data_ToelageDirecteurTijd093">Data!$W$95</definedName>
    <definedName name="Data_ToelageDirecteurTijd094">Data!$W$96</definedName>
    <definedName name="Data_ToelageDirecteurTijd095">Data!$W$97</definedName>
    <definedName name="Data_ToelageDirecteurTijd096">Data!$W$98</definedName>
    <definedName name="Data_ToelageDirecteurTijd097">Data!$W$99</definedName>
    <definedName name="Data_ToelageDirecteurTijd098">Data!$W$100</definedName>
    <definedName name="Data_ToelageDirecteurTijd099">Data!$W$101</definedName>
    <definedName name="Data_ToelageDirecteurTijd100">Data!$W$102</definedName>
    <definedName name="Data_ToelageDirecteurTijd101">Data!$W$103</definedName>
    <definedName name="Data_ToelageDirecteurTijd102">Data!$W$104</definedName>
    <definedName name="Data_ToelageDirecteurTijd103">Data!$W$105</definedName>
    <definedName name="Data_ToelageDirecteurTijd104">Data!$W$106</definedName>
    <definedName name="Data_ToelageDirecteurTijd105">Data!$W$107</definedName>
    <definedName name="Data_ToelageDirecteurTijd106">Data!$W$108</definedName>
    <definedName name="Data_ToelageDirecteurTijd107">Data!$W$109</definedName>
    <definedName name="Data_ToelageDirecteurTijd108">Data!$W$110</definedName>
    <definedName name="Data_ToelageDirecteurTijd109">Data!$W$111</definedName>
    <definedName name="Data_ToelageDirecteurTijd110">Data!$W$112</definedName>
    <definedName name="Data_ToelageDirecteurTijd111">Data!$W$113</definedName>
    <definedName name="Data_ToelageDirecteurTijd112">Data!$W$114</definedName>
    <definedName name="Data_ToelageDirecteurTijd113">Data!$W$115</definedName>
    <definedName name="Data_ToelageDirecteurTijd114">Data!$W$116</definedName>
    <definedName name="Data_ToelageDirecteurTijd115">Data!$W$117</definedName>
    <definedName name="Data_ToelageDirecteurTijd116">Data!$W$118</definedName>
    <definedName name="Data_ToelageDirecteurTijd117">Data!$W$119</definedName>
    <definedName name="Data_ToelageDirecteurTijd118">Data!$W$120</definedName>
    <definedName name="Data_ToelageDirecteurTijd119">Data!$W$121</definedName>
    <definedName name="Data_ToelageDirecteurTijd120">Data!$W$122</definedName>
    <definedName name="Data_ToelageDirecteurTijd121">Data!$W$123</definedName>
    <definedName name="Data_ToelageDirecteurTijd122">Data!$W$124</definedName>
    <definedName name="Data_ToelageDirecteurTijd123">Data!$W$125</definedName>
    <definedName name="Data_ToelageDirecteurTijd124">Data!$W$126</definedName>
    <definedName name="Data_ToelageDirecteurTijd125">Data!$W$127</definedName>
    <definedName name="Data_ToelageDirecteurTijd126">Data!$W$128</definedName>
    <definedName name="Data_ToelageDirecteurTijd127">Data!$W$129</definedName>
    <definedName name="Data_ToelageDirecteurTijd128">Data!$W$130</definedName>
    <definedName name="Data_ToelageDirecteurTijd129">Data!$W$131</definedName>
    <definedName name="Data_ToelageDirecteurTijd130">Data!$W$132</definedName>
    <definedName name="Data_ToelageDirecteurTijd131">Data!$W$133</definedName>
    <definedName name="Data_ToelageDirecteurTijd132">Data!$W$134</definedName>
    <definedName name="Data_ToelageDirecteurTijd133">Data!$W$135</definedName>
    <definedName name="Data_ToelageDirecteurTijd134">Data!$W$136</definedName>
    <definedName name="Data_ToelageDirecteurTijd135">Data!$W$137</definedName>
    <definedName name="Data_ToelageDirecteurTijd136">Data!$W$138</definedName>
    <definedName name="Data_ToelageDirecteurTijd137">Data!$W$139</definedName>
    <definedName name="Data_ToelageDirecteurTijd138">Data!$W$140</definedName>
    <definedName name="Data_ToelageDirecteurTijd139">Data!$W$141</definedName>
    <definedName name="Data_ToelageDirecteurTijd140">Data!$W$142</definedName>
    <definedName name="Data_ToelageDirecteurTijd141">Data!$W$143</definedName>
    <definedName name="Data_ToelageDirecteurTijd142">Data!$W$144</definedName>
    <definedName name="Data_ToelageDirecteurTijd143">Data!$W$145</definedName>
    <definedName name="Data_ToelageDirecteurTijd144">Data!$W$146</definedName>
    <definedName name="Data_ToelageDirecteurTijd145">Data!$W$147</definedName>
    <definedName name="Data_ToelageDirecteurTijd146">Data!$W$148</definedName>
    <definedName name="Data_ToelageDirecteurTijd147">Data!$W$149</definedName>
    <definedName name="Data_ToelageDirecteurTijd148">Data!$W$150</definedName>
    <definedName name="Data_ToelageDirecteurTijd149">Data!$W$151</definedName>
    <definedName name="Data_ToelageDirecteurTijd150">Data!$W$152</definedName>
    <definedName name="Data_ToelageDirecteurTijd151">Data!$W$153</definedName>
    <definedName name="Data_ToelageDirecteurTijd152">Data!$W$154</definedName>
    <definedName name="Data_ToelageDirecteurTijd153">Data!$W$155</definedName>
    <definedName name="Data_ToelageDirecteurTijd154">Data!$W$156</definedName>
    <definedName name="Data_ToelageDirecteurTijd155">Data!$W$157</definedName>
    <definedName name="Data_ToelageDirecteurTijd156">Data!$W$158</definedName>
    <definedName name="Data_ToelageDirecteurTijd157">Data!$W$159</definedName>
    <definedName name="Data_ToelageDirecteurTijd158">Data!$W$160</definedName>
    <definedName name="Data_ToelageDirecteurTijd159">Data!$W$161</definedName>
    <definedName name="Data_ToelageDirecteurTijd160">Data!$W$162</definedName>
    <definedName name="Data_ToelageDirecteurTijd161">Data!$W$163</definedName>
    <definedName name="Data_ToelageDirecteurTijd162">Data!$W$164</definedName>
    <definedName name="Data_ToelageDirecteurTijd163">Data!$W$165</definedName>
    <definedName name="Data_ToelageDirecteurTijd164">Data!$W$166</definedName>
    <definedName name="Data_ToelageDirecteurTijd165">Data!$W$167</definedName>
    <definedName name="Data_ToelageDirecteurTijd166">Data!$W$168</definedName>
    <definedName name="Data_ToelageDirecteurTijd167">Data!$W$169</definedName>
    <definedName name="Data_ToelageDirecteurTijd168">Data!$W$170</definedName>
    <definedName name="Data_ToelageDirecteurTijd169">Data!$W$171</definedName>
    <definedName name="Data_ToelageDirecteurTijd170">Data!$W$172</definedName>
    <definedName name="Data_ToelageDirecteurTijd171">Data!$W$173</definedName>
    <definedName name="Data_ToelageDirecteurTijd172">Data!$W$174</definedName>
    <definedName name="Data_ToelageDirecteurTijd173">Data!$W$175</definedName>
    <definedName name="Data_ToelageDirecteurTijd174">Data!$W$176</definedName>
    <definedName name="Data_ToelageDirecteurTijd175">Data!$W$177</definedName>
    <definedName name="Data_ToelageDirecteurTijd176">Data!$W$178</definedName>
    <definedName name="Data_ToelageDirecteurTijd177">Data!$W$179</definedName>
    <definedName name="Data_ToelageDirecteurTijd178">Data!$W$180</definedName>
    <definedName name="Data_ToelageDirecteurTijd179">Data!$W$181</definedName>
    <definedName name="Data_ToelageDirecteurTijd180">Data!$W$182</definedName>
    <definedName name="Data_ToelageDirecteurTijd181">Data!$W$183</definedName>
    <definedName name="Data_ToelageDirecteurTijd182">Data!$W$184</definedName>
    <definedName name="Data_ToelageDirecteurTijd183">Data!$W$185</definedName>
    <definedName name="Data_ToelageDirecteurTijd184">Data!$W$186</definedName>
    <definedName name="Data_ToelageDirecteurTijd185">Data!$W$187</definedName>
    <definedName name="Data_ToelageDirecteurTijd186">Data!$W$188</definedName>
    <definedName name="Data_ToelageDirecteurTijd187">Data!$W$189</definedName>
    <definedName name="Data_ToelageDirecteurTijd188">Data!$W$190</definedName>
    <definedName name="Data_ToelageDirecteurTijd189">Data!$W$191</definedName>
    <definedName name="Data_ToelageDirecteurTijd190">Data!$W$192</definedName>
    <definedName name="Data_ToelageDirecteurTijd191">Data!$W$193</definedName>
    <definedName name="Data_ToelageDirecteurTijd192">Data!$W$194</definedName>
    <definedName name="Data_ToelageDirecteurTijd193">Data!$W$195</definedName>
    <definedName name="Data_ToelageDirecteurTijd194">Data!$W$196</definedName>
    <definedName name="Data_ToelageDirecteurTijd195">Data!$W$197</definedName>
    <definedName name="Data_ToelageDirecteurTijd196">Data!$W$198</definedName>
    <definedName name="Data_ToelageDirecteurTijd197">Data!$W$199</definedName>
    <definedName name="Data_ToelageDirecteurTijd198">Data!$W$200</definedName>
    <definedName name="Data_ToelageDirecteurTijd199">Data!$W$201</definedName>
    <definedName name="Data_ToelageDirecteurTijd200">Data!$W$202</definedName>
    <definedName name="Data_ToelageDirecteurTijd201">Data!$W$203</definedName>
    <definedName name="Data_ToelageDirecteurTijd202">Data!$W$204</definedName>
    <definedName name="Data_ToelageDirecteurTijd203">Data!$W$205</definedName>
    <definedName name="Data_ToelageDirecteurTijd204">Data!$W$206</definedName>
    <definedName name="Data_ToelageDirecteurTijd205">Data!$W$207</definedName>
    <definedName name="Data_ToelageDirecteurTijd206">Data!$W$208</definedName>
    <definedName name="Data_ToelageDirecteurTijd207">Data!$W$209</definedName>
    <definedName name="Data_ToelageDirecteurTijd208">Data!$W$210</definedName>
    <definedName name="Data_ToelageDirecteurTijd209">Data!$W$211</definedName>
    <definedName name="Data_ToelageDirecteurTijd210">Data!$W$212</definedName>
    <definedName name="Data_ToelageDirecteurTijd211">Data!$W$213</definedName>
    <definedName name="Data_ToelageDirecteurTijd212">Data!$W$214</definedName>
    <definedName name="Data_ToelageDirecteurTijd213">Data!$W$215</definedName>
    <definedName name="Data_ToelageDirecteurTijd214">Data!$W$216</definedName>
    <definedName name="Data_ToelageDirecteurTijd215">Data!$W$217</definedName>
    <definedName name="Data_ToelageDirecteurTijd216">Data!$W$218</definedName>
    <definedName name="Data_ToelageDirecteurTijd217">Data!$W$219</definedName>
    <definedName name="Data_ToelageDirecteurTijd218">Data!$W$220</definedName>
    <definedName name="Data_ToelageDirecteurTijd219">Data!$W$221</definedName>
    <definedName name="Data_ToelageDirecteurTijd220">Data!$W$222</definedName>
    <definedName name="Data_ToelageDirecteurTijd221">Data!$W$223</definedName>
    <definedName name="Data_ToelageDirecteurTijd222">Data!$W$224</definedName>
    <definedName name="Data_ToelageDirecteurTijd223">Data!$W$225</definedName>
    <definedName name="Data_ToelageDirecteurTijd224">Data!$W$226</definedName>
    <definedName name="Data_ToelageDirecteurTijd225">Data!$W$227</definedName>
    <definedName name="Data_ToelageDirecteurTijd226">Data!$W$228</definedName>
    <definedName name="Data_ToelageDirecteurTijd227">Data!$W$229</definedName>
    <definedName name="Data_ToelageDirecteurTijd228">Data!$W$230</definedName>
    <definedName name="Data_ToelageDirecteurTijd229">Data!$W$231</definedName>
    <definedName name="Data_ToelageDirecteurTijd230">Data!$W$232</definedName>
    <definedName name="Data_ToelageDirecteurTijd231">Data!$W$233</definedName>
    <definedName name="Data_ToelageDirecteurTijd232">Data!$W$234</definedName>
    <definedName name="Data_ToelageDirecteurTijd233">Data!$W$235</definedName>
    <definedName name="Data_ToelageDirecteurTijd234">Data!$W$236</definedName>
    <definedName name="Data_ToelageDirecteurTijd235">Data!$W$237</definedName>
    <definedName name="Data_ToelageDirecteurTijd236">Data!$W$238</definedName>
    <definedName name="Data_ToelageDirecteurTijd237">Data!$W$239</definedName>
    <definedName name="Data_ToelageDirecteurTijd238">Data!$W$240</definedName>
    <definedName name="Data_ToelageDirecteurTijd239">Data!$W$241</definedName>
    <definedName name="Data_ToelageDirecteurTijd240">Data!$W$242</definedName>
    <definedName name="Data_ToelageDirecteurTijd241">Data!$W$243</definedName>
    <definedName name="Data_ToelageDirecteurTijd242">Data!$W$244</definedName>
    <definedName name="Data_ToelageDirecteurTijd243">Data!$W$245</definedName>
    <definedName name="Data_ToelageDirecteurTijd244">Data!$W$246</definedName>
    <definedName name="Data_ToelageDirecteurTijd245">Data!$W$247</definedName>
    <definedName name="Data_ToelageDirecteurTijd246">Data!$W$248</definedName>
    <definedName name="Data_ToelageDirecteurTijd247">Data!$W$249</definedName>
    <definedName name="Data_ToelageDirecteurTijd248">Data!$W$250</definedName>
    <definedName name="Data_ToelageDirecteurTijd249">Data!$W$251</definedName>
    <definedName name="Data_ToelageDirecteurTijd250">Data!$W$252</definedName>
    <definedName name="Data_ToelageDirecteurTijd251">Data!$W$253</definedName>
    <definedName name="Data_ToelageDirecteurTijd252">Data!$W$254</definedName>
    <definedName name="Data_ToelageDirecteurTijd253">Data!$W$255</definedName>
    <definedName name="Data_ToelageDirecteurTijd254">Data!$W$256</definedName>
    <definedName name="Data_ToelageDirecteurTijd255">Data!$W$257</definedName>
    <definedName name="Data_ToelageDirecteurTijd256">Data!$W$258</definedName>
    <definedName name="Data_ToelageDirecteurTijd257">Data!$W$259</definedName>
    <definedName name="Data_ToelageDirecteurTijd258">Data!$W$260</definedName>
    <definedName name="Data_ToelageDirecteurTijd259">Data!$W$261</definedName>
    <definedName name="Data_ToelageDirecteurTijd260">Data!$W$262</definedName>
    <definedName name="Data_ToelageDirecteurTijd261">Data!$W$263</definedName>
    <definedName name="Data_ToelageDirecteurTijd262">Data!$W$264</definedName>
    <definedName name="Data_ToelageDirecteurTijd263">Data!$W$265</definedName>
    <definedName name="Data_ToelageDirecteurTijd264">Data!$W$266</definedName>
    <definedName name="Data_ToelageDirecteurTijd265">Data!$W$267</definedName>
    <definedName name="Data_ToelageDirecteurTijd266">Data!$W$268</definedName>
    <definedName name="Data_ToelageDirecteurTijd267">Data!$W$269</definedName>
    <definedName name="Data_ToelageDirecteurTijd268">Data!$W$270</definedName>
    <definedName name="Data_ToelageDirecteurTijd269">Data!$W$271</definedName>
    <definedName name="Data_ToelageDirecteurTijd270">Data!$W$272</definedName>
    <definedName name="Data_ToelageDirecteurTijd271">Data!$W$273</definedName>
    <definedName name="Data_ToelageDirecteurTijd272">Data!$W$274</definedName>
    <definedName name="Data_ToelageDirecteurTijd273">Data!$W$275</definedName>
    <definedName name="Data_ToelageDirecteurTijd274">Data!$W$276</definedName>
    <definedName name="Data_ToelageDirecteurTijd275">Data!$W$277</definedName>
    <definedName name="Data_ToelageDirecteurTijd276">Data!$W$278</definedName>
    <definedName name="Data_ToelageDirecteurTijd277">Data!$W$279</definedName>
    <definedName name="Data_ToelageDirecteurTijd278">Data!$W$280</definedName>
    <definedName name="Data_ToelageDirecteurTijd279">Data!$W$281</definedName>
    <definedName name="Data_ToelageDirecteurTijd280">Data!$W$282</definedName>
    <definedName name="Data_ToelageDirecteurTijd281">Data!$W$283</definedName>
    <definedName name="Data_ToelageDirecteurTijd282">Data!$W$284</definedName>
    <definedName name="Data_ToelageDirecteurTijd283">Data!$W$285</definedName>
    <definedName name="Data_ToelageDirecteurTijd284">Data!$W$286</definedName>
    <definedName name="Data_ToelageDirecteurTijd285">Data!$W$287</definedName>
    <definedName name="Data_ToelageDirecteurTijd286">Data!$W$288</definedName>
    <definedName name="Data_ToelageDirecteurTijd287">Data!$W$289</definedName>
    <definedName name="Data_ToelageDirecteurTijd288">Data!$W$290</definedName>
    <definedName name="Data_ToelageDirecteurTijd289">Data!$W$291</definedName>
    <definedName name="Data_ToelageDirecteurTijd290">Data!$W$292</definedName>
    <definedName name="Data_ToelageDirecteurTijd291">Data!$W$293</definedName>
    <definedName name="Data_ToelageDirecteurTijd292">Data!$W$294</definedName>
    <definedName name="Data_ToelageDirecteurTijd293">Data!$W$295</definedName>
    <definedName name="Data_ToelageDirecteurTijd294">Data!$W$296</definedName>
    <definedName name="Data_ToelageDirecteurTijd295">Data!$W$297</definedName>
    <definedName name="Data_ToelageDirecteurTijd296">Data!$W$298</definedName>
    <definedName name="Data_ToelageDirecteurTijd297">Data!$W$299</definedName>
    <definedName name="Data_ToelageDirecteurTijd298">Data!$W$300</definedName>
    <definedName name="Data_ToelageDirecteurTijd299">Data!$W$301</definedName>
    <definedName name="Data_ToelageDirecteurTijd300">Data!$W$302</definedName>
    <definedName name="Data_ToelageDirecteurTijd301">Data!$W$303</definedName>
    <definedName name="Data_ToelageDirecteurTijd302">Data!$W$304</definedName>
    <definedName name="Data_ToelageDirecteurTijd303">Data!$W$305</definedName>
    <definedName name="Data_ToelageDirecteurTijd304">Data!$W$306</definedName>
    <definedName name="Data_ToelageDirecteurTijd305">Data!$W$307</definedName>
    <definedName name="Data_ToelageDirecteurTijd306">Data!$W$308</definedName>
    <definedName name="Data_ToelageDirecteurTijd307">Data!$W$309</definedName>
    <definedName name="Data_ToelageDirecteurTijd308">Data!$W$310</definedName>
    <definedName name="Data_ToelageDirecteurTijd309">Data!$W$311</definedName>
    <definedName name="Data_ToelageDirecteurTijd310">Data!$W$312</definedName>
    <definedName name="Data_ToelageDirecteurTijd311">Data!$W$313</definedName>
    <definedName name="Data_ToelageDirecteurTijd312">Data!$W$314</definedName>
    <definedName name="Data_ToelageDirecteurTijd313">Data!$W$315</definedName>
    <definedName name="Data_ToelageDirecteurTijd314">Data!$W$316</definedName>
    <definedName name="Data_ToelageDirecteurTijd315">Data!$W$317</definedName>
    <definedName name="Data_ToelageDirecteurTijd316">Data!$W$318</definedName>
    <definedName name="Data_ToelageDirecteurTijd317">Data!$W$319</definedName>
    <definedName name="Data_ToelageDirecteurTijd318">Data!$W$320</definedName>
    <definedName name="Data_ToelageDirecteurTijd319">Data!$W$321</definedName>
    <definedName name="Data_ToelageDirecteurTijd320">Data!$W$322</definedName>
    <definedName name="Data_ToelageDirecteurTijd321">Data!$W$323</definedName>
    <definedName name="Data_ToelageDirecteurTijd322">Data!$W$324</definedName>
    <definedName name="Data_ToelageDirecteurTijd323">Data!$W$325</definedName>
    <definedName name="Data_ToelageDirecteurTijd324">Data!$W$326</definedName>
    <definedName name="Data_ToelageDirecteurTijd325">Data!$W$327</definedName>
    <definedName name="Data_ToelageDirecteurTijd326">Data!$W$328</definedName>
    <definedName name="Data_ToelageDirecteurTijd327">Data!$W$329</definedName>
    <definedName name="Data_ToelageDirecteurTijd328">Data!$W$330</definedName>
    <definedName name="Data_ToelageDirecteurTijd329">Data!$W$331</definedName>
    <definedName name="Data_ToelageDirecteurTijd330">Data!$W$332</definedName>
    <definedName name="Data_ToelageDirecteurTijd331">Data!$W$333</definedName>
    <definedName name="Data_ToelageDirecteurTijd332">Data!$W$334</definedName>
    <definedName name="Data_ToelageDirecteurTijd333">Data!$W$335</definedName>
    <definedName name="Data_ToelageDirecteurTijd334">Data!$W$336</definedName>
    <definedName name="Data_ToelageDirecteurTijd335">Data!$W$337</definedName>
    <definedName name="Data_ToelageDirecteurTijd336">Data!$W$338</definedName>
    <definedName name="Data_ToelageDirecteurTijd337">Data!$W$339</definedName>
    <definedName name="Data_ToelageDirecteurTijd338">Data!$W$340</definedName>
    <definedName name="Data_ToelageDirecteurTijd339">Data!$W$341</definedName>
    <definedName name="Data_ToelageDirecteurTijd340">Data!$W$342</definedName>
    <definedName name="Data_ToelageDirecteurTijd341">Data!$W$343</definedName>
    <definedName name="Data_ToelageDirecteurTijd342">Data!$W$344</definedName>
    <definedName name="Data_ToelageDirecteurTijd343">Data!$W$345</definedName>
    <definedName name="Data_ToelageDirecteurTijd344">Data!$W$346</definedName>
    <definedName name="Data_ToelageDirecteurTijd345">Data!$W$347</definedName>
    <definedName name="Data_ToelageDirecteurTijd346">Data!$W$348</definedName>
    <definedName name="Data_ToelageDirecteurTijd347">Data!$W$349</definedName>
    <definedName name="Data_ToelageDirecteurTijd348">Data!$W$350</definedName>
    <definedName name="Data_ToelageDirecteurTijd349">Data!$W$351</definedName>
    <definedName name="Data_ToelageDirecteurTijd350">Data!$W$352</definedName>
    <definedName name="Data_ToelageDirecteurTijd351">Data!$W$353</definedName>
    <definedName name="Data_ToelageDirecteurTijd352">Data!$W$354</definedName>
    <definedName name="Data_ToelageDirecteurTijd353">Data!$W$355</definedName>
    <definedName name="Data_ToelageDirecteurTijd354">Data!$W$356</definedName>
    <definedName name="Data_ToelageDirecteurTijd355">Data!$W$357</definedName>
    <definedName name="Data_ToelageDirecteurTijd356">Data!$W$358</definedName>
    <definedName name="Data_ToelageDirecteurTijd357">Data!$W$359</definedName>
    <definedName name="Data_ToelageDirecteurTijd358">Data!$W$360</definedName>
    <definedName name="Data_ToelageDirecteurTijd359">Data!$W$361</definedName>
    <definedName name="Data_ToelageDirecteurTijd360">Data!$W$362</definedName>
    <definedName name="Data_ToelageDirecteurTijd361">Data!$W$363</definedName>
    <definedName name="Data_ToelageDirecteurTijd362">Data!$W$364</definedName>
    <definedName name="Data_ToelageDirecteurTijd363">Data!$W$365</definedName>
    <definedName name="Data_ToelageDirecteurTijd364">Data!$W$366</definedName>
    <definedName name="Data_ToelageDirecteurTijd365">Data!$W$367</definedName>
    <definedName name="Data_ToelageDirecteurTijd366">Data!$W$368</definedName>
    <definedName name="Data_ToelageDirecteurTijd367">Data!$W$369</definedName>
    <definedName name="Data_ToelageDirecteurTijd368">Data!$W$370</definedName>
    <definedName name="Data_ToelageDirecteurTijd369">Data!$W$371</definedName>
    <definedName name="Data_ToelageDirecteurTijd370">Data!$W$372</definedName>
    <definedName name="Data_ToelageDirecteurTijd371">Data!$W$373</definedName>
    <definedName name="Data_ToelageDirecteurTijd372">Data!$W$374</definedName>
    <definedName name="Data_ToelageDirecteurTijd373">Data!$W$375</definedName>
    <definedName name="Data_ToelageDirecteurTijd374">Data!$W$376</definedName>
    <definedName name="Data_ToelageDirecteurTijd375">Data!$W$377</definedName>
    <definedName name="Data_ToelageDirecteurTijd376">Data!$W$378</definedName>
    <definedName name="Data_ToelageDirecteurTijd377">Data!$W$379</definedName>
    <definedName name="Data_ToelageDirecteurTijd378">Data!$W$380</definedName>
    <definedName name="Data_ToelageDirecteurTijd379">Data!$W$381</definedName>
    <definedName name="Data_ToelageDirecteurTijd380">Data!$W$382</definedName>
    <definedName name="Data_ToelageDirecteurTijd381">Data!$W$383</definedName>
    <definedName name="Data_ToelageDirecteurTijd382">Data!$W$384</definedName>
    <definedName name="Data_ToelageDirecteurTijd383">Data!$W$385</definedName>
    <definedName name="Data_ToelageDirecteurTijd384">Data!$W$386</definedName>
    <definedName name="Data_ToelageDirecteurTijd385">Data!$W$387</definedName>
    <definedName name="Data_ToelageDirecteurTijd386">Data!$W$388</definedName>
    <definedName name="Data_ToelageDirecteurTijd387">Data!$W$389</definedName>
    <definedName name="Data_ToelageDirecteurTijd388">Data!$W$390</definedName>
    <definedName name="Data_ToelageDirecteurTijd389">Data!$W$391</definedName>
    <definedName name="Data_ToelageDirecteurTijd390">Data!$W$392</definedName>
    <definedName name="Data_ToelageDirecteurTijd391">Data!$W$393</definedName>
    <definedName name="Data_ToelageDirecteurTijd392">Data!$W$394</definedName>
    <definedName name="Data_ToelageDirecteurTijd393">Data!$W$395</definedName>
    <definedName name="Data_ToelageDirecteurTijd394">Data!$W$396</definedName>
    <definedName name="Data_ToelageDirecteurTijd395">Data!$W$397</definedName>
    <definedName name="Data_ToelageDirecteurTijd396">Data!$W$398</definedName>
    <definedName name="Data_ToelageDirecteurTijd397">Data!$W$399</definedName>
    <definedName name="Data_ToelageDirecteurTijd398">Data!$W$400</definedName>
    <definedName name="Data_ToelageDirecteurTijd399">Data!$W$401</definedName>
    <definedName name="Data_ToelageDirecteurTijd400">Data!$W$402</definedName>
    <definedName name="Data_ToelageDirecteurTijd401">Data!$W$403</definedName>
    <definedName name="Data_ToelageDirecteurTijd402">Data!$W$404</definedName>
    <definedName name="Data_ToelageDirecteurTijd403">Data!$W$405</definedName>
    <definedName name="Data_ToelageDirecteurTijd404">Data!$W$406</definedName>
    <definedName name="Data_ToelageDirecteurTijd405">Data!$W$407</definedName>
    <definedName name="Data_ToelageDirecteurTijd406">Data!$W$408</definedName>
    <definedName name="Data_ToelageDirecteurTijd407">Data!$W$409</definedName>
    <definedName name="Data_ToelageDirecteurTijd408">Data!$W$410</definedName>
    <definedName name="Data_ToelageDirecteurTijd409">Data!$W$411</definedName>
    <definedName name="Data_ToelageDirecteurTijd410">Data!$W$412</definedName>
    <definedName name="Data_ToelageDirecteurTijd411">Data!$W$413</definedName>
    <definedName name="Data_ToelageDirecteurTijd412">Data!$W$414</definedName>
    <definedName name="Data_ToelageDirecteurTijd413">Data!$W$415</definedName>
    <definedName name="Data_ToelageDirecteurTijd414">Data!$W$416</definedName>
    <definedName name="Data_ToelageDirecteurTijd415">Data!$W$417</definedName>
    <definedName name="Data_ToelageDirecteurTijd416">Data!$W$418</definedName>
    <definedName name="Data_ToelageDirecteurTijd417">Data!$W$419</definedName>
    <definedName name="Data_ToelageDirecteurTijd418">Data!$W$420</definedName>
    <definedName name="Data_ToelageDirecteurTijd419">Data!$W$421</definedName>
    <definedName name="Data_ToelageDirecteurTijd420">Data!$W$422</definedName>
    <definedName name="Data_ToelageDirecteurTijd421">Data!$W$423</definedName>
    <definedName name="Data_ToelageDirecteurTijd422">Data!$W$424</definedName>
    <definedName name="Data_ToelageDirecteurTijd423">Data!$W$425</definedName>
    <definedName name="Data_ToelageDirecteurTijd424">Data!$W$426</definedName>
    <definedName name="Data_ToelageDirecteurTijd425">Data!$W$427</definedName>
    <definedName name="Data_ToelageDirecteurTijd426">Data!$W$428</definedName>
    <definedName name="Data_ToelageDirecteurTijd427">Data!$W$429</definedName>
    <definedName name="Data_ToelageDirecteurTijd428">Data!$W$430</definedName>
    <definedName name="Data_ToelageDirecteurTijd429">Data!$W$431</definedName>
    <definedName name="Data_ToelageDirecteurTijd430">Data!$W$432</definedName>
    <definedName name="Data_ToelageDirecteurTijd431">Data!$W$433</definedName>
    <definedName name="Data_ToelageDirecteurTijd432">Data!$W$434</definedName>
    <definedName name="Data_ToelageDirecteurTijd433">Data!$W$435</definedName>
    <definedName name="Data_ToelageDirecteurTijd434">Data!$W$436</definedName>
    <definedName name="Data_ToelageDirecteurTijd435">Data!$W$437</definedName>
    <definedName name="Data_ToelageDirecteurTijd436">Data!$W$438</definedName>
    <definedName name="Data_ToelageDirecteurTijd437">Data!$W$439</definedName>
    <definedName name="Data_ToelageDirecteurTijd438">Data!$W$440</definedName>
    <definedName name="Data_ToelageDirecteurTijd439">Data!$W$441</definedName>
    <definedName name="Data_ToelageDirecteurTijd440">Data!$W$442</definedName>
    <definedName name="Data_ToelageDirecteurTijd441">Data!$W$443</definedName>
    <definedName name="Data_ToelageDirecteurTijd442">Data!$W$444</definedName>
    <definedName name="Data_ToelageDirecteurTijd443">Data!$W$445</definedName>
    <definedName name="Data_ToelageDirecteurTijd444">Data!$W$446</definedName>
    <definedName name="Data_ToelageDirecteurTijd445">Data!$W$447</definedName>
    <definedName name="Data_ToelageDirecteurTijd446">Data!$W$448</definedName>
    <definedName name="Data_ToelageDirecteurTijd447">Data!$W$449</definedName>
    <definedName name="Data_ToelageDirecteurTijd448">Data!$W$450</definedName>
    <definedName name="Data_ToelageDirecteurTijd449">Data!$W$451</definedName>
    <definedName name="Data_ToelageDirecteurTijd450">Data!$W$452</definedName>
    <definedName name="Data_ToelageDirecteurTijd451">Data!$W$453</definedName>
    <definedName name="Data_ToelageDirecteurTijd452">Data!$W$454</definedName>
    <definedName name="Data_ToelageDirecteurTijd453">Data!$W$455</definedName>
    <definedName name="Data_ToelageDirecteurTijd454">Data!$W$456</definedName>
    <definedName name="Data_ToelageDirecteurTijd455">Data!$W$457</definedName>
    <definedName name="Data_ToelageDirecteurTijd456">Data!$W$458</definedName>
    <definedName name="Data_ToelageDirecteurTijd457">Data!$W$459</definedName>
    <definedName name="Data_ToelageDirecteurTijd458">Data!$W$460</definedName>
    <definedName name="Data_ToelageDirecteurTijd459">Data!$W$461</definedName>
    <definedName name="Data_ToelageDirecteurTijd460">Data!$W$462</definedName>
    <definedName name="Data_ToelageDirecteurTijd461">Data!$W$463</definedName>
    <definedName name="Data_ToelageDirecteurTijd462">Data!$W$464</definedName>
    <definedName name="Data_ToelageDirecteurTijd463">Data!$W$465</definedName>
    <definedName name="Data_ToelageDirecteurTijd464">Data!$W$466</definedName>
    <definedName name="Data_ToelageDirecteurTijd465">Data!$W$467</definedName>
    <definedName name="Data_ToelageDirecteurTijd466">Data!$W$468</definedName>
    <definedName name="Data_ToelageDirecteurTijd467">Data!$W$469</definedName>
    <definedName name="Data_ToelageDirecteurTijd468">Data!$W$470</definedName>
    <definedName name="Data_ToelageDirecteurTijd469">Data!$W$471</definedName>
    <definedName name="Data_ToelageDirecteurTijd470">Data!$W$472</definedName>
    <definedName name="Data_ToelageDirecteurTijd471">Data!$W$473</definedName>
    <definedName name="Data_ToelageDirecteurTijd472">Data!$W$474</definedName>
    <definedName name="Data_ToelageDirecteurTijd473">Data!$W$475</definedName>
    <definedName name="Data_ToelageDirecteurTijd474">Data!$W$476</definedName>
    <definedName name="Data_ToelageDirecteurTijd475">Data!$W$477</definedName>
    <definedName name="Data_ToelageDirecteurTijd476">Data!$W$478</definedName>
    <definedName name="Data_ToelageDirecteurTijd477">Data!$W$479</definedName>
    <definedName name="Data_ToelageDirecteurTijd478">Data!$W$480</definedName>
    <definedName name="Data_ToelageDirecteurTijd479">Data!$W$481</definedName>
    <definedName name="Data_ToelageDirecteurTijd480">Data!$W$482</definedName>
    <definedName name="Data_ToelageDirecteurTijd481">Data!$W$483</definedName>
    <definedName name="Data_ToelageDirecteurTijd482">Data!$W$484</definedName>
    <definedName name="Data_ToelageDirecteurTijd483">Data!$W$485</definedName>
    <definedName name="Data_ToelageDirecteurTijd484">Data!$W$486</definedName>
    <definedName name="Data_ToelageDirecteurTijd485">Data!$W$487</definedName>
    <definedName name="Data_ToelageDirecteurTijd486">Data!$W$488</definedName>
    <definedName name="Data_ToelageDirecteurTijd487">Data!$W$489</definedName>
    <definedName name="Data_ToelageDirecteurTijd488">Data!$W$490</definedName>
    <definedName name="Data_ToelageDirecteurTijd489">Data!$W$491</definedName>
    <definedName name="Data_ToelageDirecteurTijd490">Data!$W$492</definedName>
    <definedName name="Data_ToelageDirecteurTijd491">Data!$W$493</definedName>
    <definedName name="Data_ToelageDirecteurTijd492">Data!$W$494</definedName>
    <definedName name="Data_ToelageDirecteurTijd493">Data!$W$495</definedName>
    <definedName name="Data_ToelageDirecteurTijd494">Data!$W$496</definedName>
    <definedName name="Data_ToelageDirecteurTijd495">Data!$W$497</definedName>
    <definedName name="Data_ToelageDirecteurTijd496">Data!$W$498</definedName>
    <definedName name="Data_ToelageDirecteurTijd497">Data!$W$499</definedName>
    <definedName name="Data_ToelageDirecteurTijd498">Data!$W$500</definedName>
    <definedName name="Data_ToelageDirecteurTijd499">Data!$W$501</definedName>
    <definedName name="Data_ToelageDirecteurTijd500">Data!$W$502</definedName>
    <definedName name="Data_ToelageDirecteurVastOntslag001">Data!$AQ$3</definedName>
    <definedName name="Data_ToelageDirecteurVastOntslag002">Data!$AQ$4</definedName>
    <definedName name="Data_ToelageDirecteurVastOntslag003">Data!$AQ$5</definedName>
    <definedName name="Data_ToelageDirecteurVastOntslag004">Data!$AQ$6</definedName>
    <definedName name="Data_ToelageDirecteurVastOntslag005">Data!$AQ$7</definedName>
    <definedName name="Data_ToelageDirecteurVastOntslag006">Data!$AQ$8</definedName>
    <definedName name="Data_ToelageDirecteurVastOntslag007">Data!$AQ$9</definedName>
    <definedName name="Data_ToelageDirecteurVastOntslag008">Data!$AQ$10</definedName>
    <definedName name="Data_ToelageDirecteurVastOntslag009">Data!$AQ$11</definedName>
    <definedName name="Data_ToelageDirecteurVastOntslag010">Data!$AQ$12</definedName>
    <definedName name="Data_ToelageDirecteurVastOntslag011">Data!$AQ$13</definedName>
    <definedName name="Data_ToelageDirecteurVastOntslag012">Data!$AQ$14</definedName>
    <definedName name="Data_ToelageDirecteurVastOntslag013">Data!$AQ$15</definedName>
    <definedName name="Data_ToelageDirecteurVastOntslag014">Data!$AQ$16</definedName>
    <definedName name="Data_ToelageDirecteurVastOntslag015">Data!$AQ$17</definedName>
    <definedName name="Data_ToelageDirecteurVastOntslag016">Data!$AQ$18</definedName>
    <definedName name="Data_ToelageDirecteurVastOntslag017">Data!$AQ$19</definedName>
    <definedName name="Data_ToelageDirecteurVastOntslag018">Data!$AQ$20</definedName>
    <definedName name="Data_ToelageDirecteurVastOntslag019">Data!$AQ$21</definedName>
    <definedName name="Data_ToelageDirecteurVastOntslag020">Data!$AQ$22</definedName>
    <definedName name="Data_ToelageDirecteurVastOntslag021">Data!$AQ$23</definedName>
    <definedName name="Data_ToelageDirecteurVastOntslag022">Data!$AQ$24</definedName>
    <definedName name="Data_ToelageDirecteurVastOntslag023">Data!$AQ$25</definedName>
    <definedName name="Data_ToelageDirecteurVastOntslag024">Data!$AQ$26</definedName>
    <definedName name="Data_ToelageDirecteurVastOntslag025">Data!$AQ$27</definedName>
    <definedName name="Data_ToelageDirecteurVastOntslag026">Data!$AQ$28</definedName>
    <definedName name="Data_ToelageDirecteurVastOntslag027">Data!$AQ$29</definedName>
    <definedName name="Data_ToelageDirecteurVastOntslag028">Data!$AQ$30</definedName>
    <definedName name="Data_ToelageDirecteurVastOntslag029">Data!$AQ$31</definedName>
    <definedName name="Data_ToelageDirecteurVastOntslag030">Data!$AQ$32</definedName>
    <definedName name="Data_ToelageDirecteurVastOntslag031">Data!$AQ$33</definedName>
    <definedName name="Data_ToelageDirecteurVastOntslag032">Data!$AQ$34</definedName>
    <definedName name="Data_ToelageDirecteurVastOntslag033">Data!$AQ$35</definedName>
    <definedName name="Data_ToelageDirecteurVastOntslag034">Data!$AQ$36</definedName>
    <definedName name="Data_ToelageDirecteurVastOntslag035">Data!$AQ$37</definedName>
    <definedName name="Data_ToelageDirecteurVastOntslag036">Data!$AQ$38</definedName>
    <definedName name="Data_ToelageDirecteurVastOntslag037">Data!$AQ$39</definedName>
    <definedName name="Data_ToelageDirecteurVastOntslag038">Data!$AQ$40</definedName>
    <definedName name="Data_ToelageDirecteurVastOntslag039">Data!$AQ$41</definedName>
    <definedName name="Data_ToelageDirecteurVastOntslag040">Data!$AQ$42</definedName>
    <definedName name="Data_ToelageDirecteurVastOntslag041">Data!$AQ$43</definedName>
    <definedName name="Data_ToelageDirecteurVastOntslag042">Data!$AQ$44</definedName>
    <definedName name="Data_ToelageDirecteurVastOntslag043">Data!$AQ$45</definedName>
    <definedName name="Data_ToelageDirecteurVastOntslag044">Data!$AQ$46</definedName>
    <definedName name="Data_ToelageDirecteurVastOntslag045">Data!$AQ$47</definedName>
    <definedName name="Data_ToelageDirecteurVastOntslag046">Data!$AQ$48</definedName>
    <definedName name="Data_ToelageDirecteurVastOntslag047">Data!$AQ$49</definedName>
    <definedName name="Data_ToelageDirecteurVastOntslag048">Data!$AQ$50</definedName>
    <definedName name="Data_ToelageDirecteurVastOntslag049">Data!$AQ$51</definedName>
    <definedName name="Data_ToelageDirecteurVastOntslag050">Data!$AQ$52</definedName>
    <definedName name="Data_ToelageDirecteurVastOntslag051">Data!$AQ$53</definedName>
    <definedName name="Data_ToelageDirecteurVastOntslag052">Data!$AQ$54</definedName>
    <definedName name="Data_ToelageDirecteurVastOntslag053">Data!$AQ$55</definedName>
    <definedName name="Data_ToelageDirecteurVastOntslag054">Data!$AQ$56</definedName>
    <definedName name="Data_ToelageDirecteurVastOntslag055">Data!$AQ$57</definedName>
    <definedName name="Data_ToelageDirecteurVastOntslag056">Data!$AQ$58</definedName>
    <definedName name="Data_ToelageDirecteurVastOntslag057">Data!$AQ$59</definedName>
    <definedName name="Data_ToelageDirecteurVastOntslag058">Data!$AQ$60</definedName>
    <definedName name="Data_ToelageDirecteurVastOntslag059">Data!$AQ$61</definedName>
    <definedName name="Data_ToelageDirecteurVastOntslag060">Data!$AQ$62</definedName>
    <definedName name="Data_ToelageDirecteurVastOntslag061">Data!$AQ$63</definedName>
    <definedName name="Data_ToelageDirecteurVastOntslag062">Data!$AQ$64</definedName>
    <definedName name="Data_ToelageDirecteurVastOntslag063">Data!$AQ$65</definedName>
    <definedName name="Data_ToelageDirecteurVastOntslag064">Data!$AQ$66</definedName>
    <definedName name="Data_ToelageDirecteurVastOntslag065">Data!$AQ$67</definedName>
    <definedName name="Data_ToelageDirecteurVastOntslag066">Data!$AQ$68</definedName>
    <definedName name="Data_ToelageDirecteurVastOntslag067">Data!$AQ$69</definedName>
    <definedName name="Data_ToelageDirecteurVastOntslag068">Data!$AQ$70</definedName>
    <definedName name="Data_ToelageDirecteurVastOntslag069">Data!$AQ$71</definedName>
    <definedName name="Data_ToelageDirecteurVastOntslag070">Data!$AQ$72</definedName>
    <definedName name="Data_ToelageDirecteurVastOntslag071">Data!$AQ$73</definedName>
    <definedName name="Data_ToelageDirecteurVastOntslag072">Data!$AQ$74</definedName>
    <definedName name="Data_ToelageDirecteurVastOntslag073">Data!$AQ$75</definedName>
    <definedName name="Data_ToelageDirecteurVastOntslag074">Data!$AQ$76</definedName>
    <definedName name="Data_ToelageDirecteurVastOntslag075">Data!$AQ$77</definedName>
    <definedName name="Data_ToelageDirecteurVastOntslag076">Data!$AQ$78</definedName>
    <definedName name="Data_ToelageDirecteurVastOntslag077">Data!$AQ$79</definedName>
    <definedName name="Data_ToelageDirecteurVastOntslag078">Data!$AQ$80</definedName>
    <definedName name="Data_ToelageDirecteurVastOntslag079">Data!$AQ$81</definedName>
    <definedName name="Data_ToelageDirecteurVastOntslag080">Data!$AQ$82</definedName>
    <definedName name="Data_ToelageDirecteurVastOntslag081">Data!$AQ$83</definedName>
    <definedName name="Data_ToelageDirecteurVastOntslag082">Data!$AQ$84</definedName>
    <definedName name="Data_ToelageDirecteurVastOntslag083">Data!$AQ$85</definedName>
    <definedName name="Data_ToelageDirecteurVastOntslag084">Data!$AQ$86</definedName>
    <definedName name="Data_ToelageDirecteurVastOntslag085">Data!$AQ$87</definedName>
    <definedName name="Data_ToelageDirecteurVastOntslag086">Data!$AQ$88</definedName>
    <definedName name="Data_ToelageDirecteurVastOntslag087">Data!$AQ$89</definedName>
    <definedName name="Data_ToelageDirecteurVastOntslag088">Data!$AQ$90</definedName>
    <definedName name="Data_ToelageDirecteurVastOntslag089">Data!$AQ$91</definedName>
    <definedName name="Data_ToelageDirecteurVastOntslag090">Data!$AQ$92</definedName>
    <definedName name="Data_ToelageDirecteurVastOntslag091">Data!$AQ$93</definedName>
    <definedName name="Data_ToelageDirecteurVastOntslag092">Data!$AQ$94</definedName>
    <definedName name="Data_ToelageDirecteurVastOntslag093">Data!$AQ$95</definedName>
    <definedName name="Data_ToelageDirecteurVastOntslag094">Data!$AQ$96</definedName>
    <definedName name="Data_ToelageDirecteurVastOntslag095">Data!$AQ$97</definedName>
    <definedName name="Data_ToelageDirecteurVastOntslag096">Data!$AQ$98</definedName>
    <definedName name="Data_ToelageDirecteurVastOntslag097">Data!$AQ$99</definedName>
    <definedName name="Data_ToelageDirecteurVastOntslag098">Data!$AQ$100</definedName>
    <definedName name="Data_ToelageDirecteurVastOntslag099">Data!$AQ$101</definedName>
    <definedName name="Data_ToelageDirecteurVastOntslag100">Data!$AQ$102</definedName>
    <definedName name="Data_ToelageDirecteurVastOntslag101">Data!$AQ$103</definedName>
    <definedName name="Data_ToelageDirecteurVastOntslag102">Data!$AQ$104</definedName>
    <definedName name="Data_ToelageDirecteurVastOntslag103">Data!$AQ$105</definedName>
    <definedName name="Data_ToelageDirecteurVastOntslag104">Data!$AQ$106</definedName>
    <definedName name="Data_ToelageDirecteurVastOntslag105">Data!$AQ$107</definedName>
    <definedName name="Data_ToelageDirecteurVastOntslag106">Data!$AQ$108</definedName>
    <definedName name="Data_ToelageDirecteurVastOntslag107">Data!$AQ$109</definedName>
    <definedName name="Data_ToelageDirecteurVastOntslag108">Data!$AQ$110</definedName>
    <definedName name="Data_ToelageDirecteurVastOntslag109">Data!$AQ$111</definedName>
    <definedName name="Data_ToelageDirecteurVastOntslag110">Data!$AQ$112</definedName>
    <definedName name="Data_ToelageDirecteurVastOntslag111">Data!$AQ$113</definedName>
    <definedName name="Data_ToelageDirecteurVastOntslag112">Data!$AQ$114</definedName>
    <definedName name="Data_ToelageDirecteurVastOntslag113">Data!$AQ$115</definedName>
    <definedName name="Data_ToelageDirecteurVastOntslag114">Data!$AQ$116</definedName>
    <definedName name="Data_ToelageDirecteurVastOntslag115">Data!$AQ$117</definedName>
    <definedName name="Data_ToelageDirecteurVastOntslag116">Data!$AQ$118</definedName>
    <definedName name="Data_ToelageDirecteurVastOntslag117">Data!$AQ$119</definedName>
    <definedName name="Data_ToelageDirecteurVastOntslag118">Data!$AQ$120</definedName>
    <definedName name="Data_ToelageDirecteurVastOntslag119">Data!$AQ$121</definedName>
    <definedName name="Data_ToelageDirecteurVastOntslag120">Data!$AQ$122</definedName>
    <definedName name="Data_ToelageDirecteurVastOntslag121">Data!$AQ$123</definedName>
    <definedName name="Data_ToelageDirecteurVastOntslag122">Data!$AQ$124</definedName>
    <definedName name="Data_ToelageDirecteurVastOntslag123">Data!$AQ$125</definedName>
    <definedName name="Data_ToelageDirecteurVastOntslag124">Data!$AQ$126</definedName>
    <definedName name="Data_ToelageDirecteurVastOntslag125">Data!$AQ$127</definedName>
    <definedName name="Data_ToelageDirecteurVastOntslag126">Data!$AQ$128</definedName>
    <definedName name="Data_ToelageDirecteurVastOntslag127">Data!$AQ$129</definedName>
    <definedName name="Data_ToelageDirecteurVastOntslag128">Data!$AQ$130</definedName>
    <definedName name="Data_ToelageDirecteurVastOntslag129">Data!$AQ$131</definedName>
    <definedName name="Data_ToelageDirecteurVastOntslag130">Data!$AQ$132</definedName>
    <definedName name="Data_ToelageDirecteurVastOntslag131">Data!$AQ$133</definedName>
    <definedName name="Data_ToelageDirecteurVastOntslag132">Data!$AQ$134</definedName>
    <definedName name="Data_ToelageDirecteurVastOntslag133">Data!$AQ$135</definedName>
    <definedName name="Data_ToelageDirecteurVastOntslag134">Data!$AQ$136</definedName>
    <definedName name="Data_ToelageDirecteurVastOntslag135">Data!$AQ$137</definedName>
    <definedName name="Data_ToelageDirecteurVastOntslag136">Data!$AQ$138</definedName>
    <definedName name="Data_ToelageDirecteurVastOntslag137">Data!$AQ$139</definedName>
    <definedName name="Data_ToelageDirecteurVastOntslag138">Data!$AQ$140</definedName>
    <definedName name="Data_ToelageDirecteurVastOntslag139">Data!$AQ$141</definedName>
    <definedName name="Data_ToelageDirecteurVastOntslag140">Data!$AQ$142</definedName>
    <definedName name="Data_ToelageDirecteurVastOntslag141">Data!$AQ$143</definedName>
    <definedName name="Data_ToelageDirecteurVastOntslag142">Data!$AQ$144</definedName>
    <definedName name="Data_ToelageDirecteurVastOntslag143">Data!$AQ$145</definedName>
    <definedName name="Data_ToelageDirecteurVastOntslag144">Data!$AQ$146</definedName>
    <definedName name="Data_ToelageDirecteurVastOntslag145">Data!$AQ$147</definedName>
    <definedName name="Data_ToelageDirecteurVastOntslag146">Data!$AQ$148</definedName>
    <definedName name="Data_ToelageDirecteurVastOntslag147">Data!$AQ$149</definedName>
    <definedName name="Data_ToelageDirecteurVastOntslag148">Data!$AQ$150</definedName>
    <definedName name="Data_ToelageDirecteurVastOntslag149">Data!$AQ$151</definedName>
    <definedName name="Data_ToelageDirecteurVastOntslag150">Data!$AQ$152</definedName>
    <definedName name="Data_ToelageDirecteurVastOntslag151">Data!$AQ$153</definedName>
    <definedName name="Data_ToelageDirecteurVastOntslag152">Data!$AQ$154</definedName>
    <definedName name="Data_ToelageDirecteurVastOntslag153">Data!$AQ$155</definedName>
    <definedName name="Data_ToelageDirecteurVastOntslag154">Data!$AQ$156</definedName>
    <definedName name="Data_ToelageDirecteurVastOntslag155">Data!$AQ$157</definedName>
    <definedName name="Data_ToelageDirecteurVastOntslag156">Data!$AQ$158</definedName>
    <definedName name="Data_ToelageDirecteurVastOntslag157">Data!$AQ$159</definedName>
    <definedName name="Data_ToelageDirecteurVastOntslag158">Data!$AQ$160</definedName>
    <definedName name="Data_ToelageDirecteurVastOntslag159">Data!$AQ$161</definedName>
    <definedName name="Data_ToelageDirecteurVastOntslag160">Data!$AQ$162</definedName>
    <definedName name="Data_ToelageDirecteurVastOntslag161">Data!$AQ$163</definedName>
    <definedName name="Data_ToelageDirecteurVastOntslag162">Data!$AQ$164</definedName>
    <definedName name="Data_ToelageDirecteurVastOntslag163">Data!$AQ$165</definedName>
    <definedName name="Data_ToelageDirecteurVastOntslag164">Data!$AQ$166</definedName>
    <definedName name="Data_ToelageDirecteurVastOntslag165">Data!$AQ$167</definedName>
    <definedName name="Data_ToelageDirecteurVastOntslag166">Data!$AQ$168</definedName>
    <definedName name="Data_ToelageDirecteurVastOntslag167">Data!$AQ$169</definedName>
    <definedName name="Data_ToelageDirecteurVastOntslag168">Data!$AQ$170</definedName>
    <definedName name="Data_ToelageDirecteurVastOntslag169">Data!$AQ$171</definedName>
    <definedName name="Data_ToelageDirecteurVastOntslag170">Data!$AQ$172</definedName>
    <definedName name="Data_ToelageDirecteurVastOntslag171">Data!$AQ$173</definedName>
    <definedName name="Data_ToelageDirecteurVastOntslag172">Data!$AQ$174</definedName>
    <definedName name="Data_ToelageDirecteurVastOntslag173">Data!$AQ$175</definedName>
    <definedName name="Data_ToelageDirecteurVastOntslag174">Data!$AQ$176</definedName>
    <definedName name="Data_ToelageDirecteurVastOntslag175">Data!$AQ$177</definedName>
    <definedName name="Data_ToelageDirecteurVastOntslag176">Data!$AQ$178</definedName>
    <definedName name="Data_ToelageDirecteurVastOntslag177">Data!$AQ$179</definedName>
    <definedName name="Data_ToelageDirecteurVastOntslag178">Data!$AQ$180</definedName>
    <definedName name="Data_ToelageDirecteurVastOntslag179">Data!$AQ$181</definedName>
    <definedName name="Data_ToelageDirecteurVastOntslag180">Data!$AQ$182</definedName>
    <definedName name="Data_ToelageDirecteurVastOntslag181">Data!$AQ$183</definedName>
    <definedName name="Data_ToelageDirecteurVastOntslag182">Data!$AQ$184</definedName>
    <definedName name="Data_ToelageDirecteurVastOntslag183">Data!$AQ$185</definedName>
    <definedName name="Data_ToelageDirecteurVastOntslag184">Data!$AQ$186</definedName>
    <definedName name="Data_ToelageDirecteurVastOntslag185">Data!$AQ$187</definedName>
    <definedName name="Data_ToelageDirecteurVastOntslag186">Data!$AQ$188</definedName>
    <definedName name="Data_ToelageDirecteurVastOntslag187">Data!$AQ$189</definedName>
    <definedName name="Data_ToelageDirecteurVastOntslag188">Data!$AQ$190</definedName>
    <definedName name="Data_ToelageDirecteurVastOntslag189">Data!$AQ$191</definedName>
    <definedName name="Data_ToelageDirecteurVastOntslag190">Data!$AQ$192</definedName>
    <definedName name="Data_ToelageDirecteurVastOntslag191">Data!$AQ$193</definedName>
    <definedName name="Data_ToelageDirecteurVastOntslag192">Data!$AQ$194</definedName>
    <definedName name="Data_ToelageDirecteurVastOntslag193">Data!$AQ$195</definedName>
    <definedName name="Data_ToelageDirecteurVastOntslag194">Data!$AQ$196</definedName>
    <definedName name="Data_ToelageDirecteurVastOntslag195">Data!$AQ$197</definedName>
    <definedName name="Data_ToelageDirecteurVastOntslag196">Data!$AQ$198</definedName>
    <definedName name="Data_ToelageDirecteurVastOntslag197">Data!$AQ$199</definedName>
    <definedName name="Data_ToelageDirecteurVastOntslag198">Data!$AQ$200</definedName>
    <definedName name="Data_ToelageDirecteurVastOntslag199">Data!$AQ$201</definedName>
    <definedName name="Data_ToelageDirecteurVastOntslag200">Data!$AQ$202</definedName>
    <definedName name="Data_ToelageDirecteurVastOntslag201">Data!$AQ$203</definedName>
    <definedName name="Data_ToelageDirecteurVastOntslag202">Data!$AQ$204</definedName>
    <definedName name="Data_ToelageDirecteurVastOntslag203">Data!$AQ$205</definedName>
    <definedName name="Data_ToelageDirecteurVastOntslag204">Data!$AQ$206</definedName>
    <definedName name="Data_ToelageDirecteurVastOntslag205">Data!$AQ$207</definedName>
    <definedName name="Data_ToelageDirecteurVastOntslag206">Data!$AQ$208</definedName>
    <definedName name="Data_ToelageDirecteurVastOntslag207">Data!$AQ$209</definedName>
    <definedName name="Data_ToelageDirecteurVastOntslag208">Data!$AQ$210</definedName>
    <definedName name="Data_ToelageDirecteurVastOntslag209">Data!$AQ$211</definedName>
    <definedName name="Data_ToelageDirecteurVastOntslag210">Data!$AQ$212</definedName>
    <definedName name="Data_ToelageDirecteurVastOntslag211">Data!$AQ$213</definedName>
    <definedName name="Data_ToelageDirecteurVastOntslag212">Data!$AQ$214</definedName>
    <definedName name="Data_ToelageDirecteurVastOntslag213">Data!$AQ$215</definedName>
    <definedName name="Data_ToelageDirecteurVastOntslag214">Data!$AQ$216</definedName>
    <definedName name="Data_ToelageDirecteurVastOntslag215">Data!$AQ$217</definedName>
    <definedName name="Data_ToelageDirecteurVastOntslag216">Data!$AQ$218</definedName>
    <definedName name="Data_ToelageDirecteurVastOntslag217">Data!$AQ$219</definedName>
    <definedName name="Data_ToelageDirecteurVastOntslag218">Data!$AQ$220</definedName>
    <definedName name="Data_ToelageDirecteurVastOntslag219">Data!$AQ$221</definedName>
    <definedName name="Data_ToelageDirecteurVastOntslag220">Data!$AQ$222</definedName>
    <definedName name="Data_ToelageDirecteurVastOntslag221">Data!$AQ$223</definedName>
    <definedName name="Data_ToelageDirecteurVastOntslag222">Data!$AQ$224</definedName>
    <definedName name="Data_ToelageDirecteurVastOntslag223">Data!$AQ$225</definedName>
    <definedName name="Data_ToelageDirecteurVastOntslag224">Data!$AQ$226</definedName>
    <definedName name="Data_ToelageDirecteurVastOntslag225">Data!$AQ$227</definedName>
    <definedName name="Data_ToelageDirecteurVastOntslag226">Data!$AQ$228</definedName>
    <definedName name="Data_ToelageDirecteurVastOntslag227">Data!$AQ$229</definedName>
    <definedName name="Data_ToelageDirecteurVastOntslag228">Data!$AQ$230</definedName>
    <definedName name="Data_ToelageDirecteurVastOntslag229">Data!$AQ$231</definedName>
    <definedName name="Data_ToelageDirecteurVastOntslag230">Data!$AQ$232</definedName>
    <definedName name="Data_ToelageDirecteurVastOntslag231">Data!$AQ$233</definedName>
    <definedName name="Data_ToelageDirecteurVastOntslag232">Data!$AQ$234</definedName>
    <definedName name="Data_ToelageDirecteurVastOntslag233">Data!$AQ$235</definedName>
    <definedName name="Data_ToelageDirecteurVastOntslag234">Data!$AQ$236</definedName>
    <definedName name="Data_ToelageDirecteurVastOntslag235">Data!$AQ$237</definedName>
    <definedName name="Data_ToelageDirecteurVastOntslag236">Data!$AQ$238</definedName>
    <definedName name="Data_ToelageDirecteurVastOntslag237">Data!$AQ$239</definedName>
    <definedName name="Data_ToelageDirecteurVastOntslag238">Data!$AQ$240</definedName>
    <definedName name="Data_ToelageDirecteurVastOntslag239">Data!$AQ$241</definedName>
    <definedName name="Data_ToelageDirecteurVastOntslag240">Data!$AQ$242</definedName>
    <definedName name="Data_ToelageDirecteurVastOntslag241">Data!$AQ$243</definedName>
    <definedName name="Data_ToelageDirecteurVastOntslag242">Data!$AQ$244</definedName>
    <definedName name="Data_ToelageDirecteurVastOntslag243">Data!$AQ$245</definedName>
    <definedName name="Data_ToelageDirecteurVastOntslag244">Data!$AQ$246</definedName>
    <definedName name="Data_ToelageDirecteurVastOntslag245">Data!$AQ$247</definedName>
    <definedName name="Data_ToelageDirecteurVastOntslag246">Data!$AQ$248</definedName>
    <definedName name="Data_ToelageDirecteurVastOntslag247">Data!$AQ$249</definedName>
    <definedName name="Data_ToelageDirecteurVastOntslag248">Data!$AQ$250</definedName>
    <definedName name="Data_ToelageDirecteurVastOntslag249">Data!$AQ$251</definedName>
    <definedName name="Data_ToelageDirecteurVastOntslag250">Data!$AQ$252</definedName>
    <definedName name="Data_ToelageDirecteurVastOntslag251">Data!$AQ$253</definedName>
    <definedName name="Data_ToelageDirecteurVastOntslag252">Data!$AQ$254</definedName>
    <definedName name="Data_ToelageDirecteurVastOntslag253">Data!$AQ$255</definedName>
    <definedName name="Data_ToelageDirecteurVastOntslag254">Data!$AQ$256</definedName>
    <definedName name="Data_ToelageDirecteurVastOntslag255">Data!$AQ$257</definedName>
    <definedName name="Data_ToelageDirecteurVastOntslag256">Data!$AQ$258</definedName>
    <definedName name="Data_ToelageDirecteurVastOntslag257">Data!$AQ$259</definedName>
    <definedName name="Data_ToelageDirecteurVastOntslag258">Data!$AQ$260</definedName>
    <definedName name="Data_ToelageDirecteurVastOntslag259">Data!$AQ$261</definedName>
    <definedName name="Data_ToelageDirecteurVastOntslag260">Data!$AQ$262</definedName>
    <definedName name="Data_ToelageDirecteurVastOntslag261">Data!$AQ$263</definedName>
    <definedName name="Data_ToelageDirecteurVastOntslag262">Data!$AQ$264</definedName>
    <definedName name="Data_ToelageDirecteurVastOntslag263">Data!$AQ$265</definedName>
    <definedName name="Data_ToelageDirecteurVastOntslag264">Data!$AQ$266</definedName>
    <definedName name="Data_ToelageDirecteurVastOntslag265">Data!$AQ$267</definedName>
    <definedName name="Data_ToelageDirecteurVastOntslag266">Data!$AQ$268</definedName>
    <definedName name="Data_ToelageDirecteurVastOntslag267">Data!$AQ$269</definedName>
    <definedName name="Data_ToelageDirecteurVastOntslag268">Data!$AQ$270</definedName>
    <definedName name="Data_ToelageDirecteurVastOntslag269">Data!$AQ$271</definedName>
    <definedName name="Data_ToelageDirecteurVastOntslag270">Data!$AQ$272</definedName>
    <definedName name="Data_ToelageDirecteurVastOntslag271">Data!$AQ$273</definedName>
    <definedName name="Data_ToelageDirecteurVastOntslag272">Data!$AQ$274</definedName>
    <definedName name="Data_ToelageDirecteurVastOntslag273">Data!$AQ$275</definedName>
    <definedName name="Data_ToelageDirecteurVastOntslag274">Data!$AQ$276</definedName>
    <definedName name="Data_ToelageDirecteurVastOntslag275">Data!$AQ$277</definedName>
    <definedName name="Data_ToelageDirecteurVastOntslag276">Data!$AQ$278</definedName>
    <definedName name="Data_ToelageDirecteurVastOntslag277">Data!$AQ$279</definedName>
    <definedName name="Data_ToelageDirecteurVastOntslag278">Data!$AQ$280</definedName>
    <definedName name="Data_ToelageDirecteurVastOntslag279">Data!$AQ$281</definedName>
    <definedName name="Data_ToelageDirecteurVastOntslag280">Data!$AQ$282</definedName>
    <definedName name="Data_ToelageDirecteurVastOntslag281">Data!$AQ$283</definedName>
    <definedName name="Data_ToelageDirecteurVastOntslag282">Data!$AQ$284</definedName>
    <definedName name="Data_ToelageDirecteurVastOntslag283">Data!$AQ$285</definedName>
    <definedName name="Data_ToelageDirecteurVastOntslag284">Data!$AQ$286</definedName>
    <definedName name="Data_ToelageDirecteurVastOntslag285">Data!$AQ$287</definedName>
    <definedName name="Data_ToelageDirecteurVastOntslag286">Data!$AQ$288</definedName>
    <definedName name="Data_ToelageDirecteurVastOntslag287">Data!$AQ$289</definedName>
    <definedName name="Data_ToelageDirecteurVastOntslag288">Data!$AQ$290</definedName>
    <definedName name="Data_ToelageDirecteurVastOntslag289">Data!$AQ$291</definedName>
    <definedName name="Data_ToelageDirecteurVastOntslag290">Data!$AQ$292</definedName>
    <definedName name="Data_ToelageDirecteurVastOntslag291">Data!$AQ$293</definedName>
    <definedName name="Data_ToelageDirecteurVastOntslag292">Data!$AQ$294</definedName>
    <definedName name="Data_ToelageDirecteurVastOntslag293">Data!$AQ$295</definedName>
    <definedName name="Data_ToelageDirecteurVastOntslag294">Data!$AQ$296</definedName>
    <definedName name="Data_ToelageDirecteurVastOntslag295">Data!$AQ$297</definedName>
    <definedName name="Data_ToelageDirecteurVastOntslag296">Data!$AQ$298</definedName>
    <definedName name="Data_ToelageDirecteurVastOntslag297">Data!$AQ$299</definedName>
    <definedName name="Data_ToelageDirecteurVastOntslag298">Data!$AQ$300</definedName>
    <definedName name="Data_ToelageDirecteurVastOntslag299">Data!$AQ$301</definedName>
    <definedName name="Data_ToelageDirecteurVastOntslag300">Data!$AQ$302</definedName>
    <definedName name="Data_ToelageDirecteurVastOntslag301">Data!$AQ$303</definedName>
    <definedName name="Data_ToelageDirecteurVastOntslag302">Data!$AQ$304</definedName>
    <definedName name="Data_ToelageDirecteurVastOntslag303">Data!$AQ$305</definedName>
    <definedName name="Data_ToelageDirecteurVastOntslag304">Data!$AQ$306</definedName>
    <definedName name="Data_ToelageDirecteurVastOntslag305">Data!$AQ$307</definedName>
    <definedName name="Data_ToelageDirecteurVastOntslag306">Data!$AQ$308</definedName>
    <definedName name="Data_ToelageDirecteurVastOntslag307">Data!$AQ$309</definedName>
    <definedName name="Data_ToelageDirecteurVastOntslag308">Data!$AQ$310</definedName>
    <definedName name="Data_ToelageDirecteurVastOntslag309">Data!$AQ$311</definedName>
    <definedName name="Data_ToelageDirecteurVastOntslag310">Data!$AQ$312</definedName>
    <definedName name="Data_ToelageDirecteurVastOntslag311">Data!$AQ$313</definedName>
    <definedName name="Data_ToelageDirecteurVastOntslag312">Data!$AQ$314</definedName>
    <definedName name="Data_ToelageDirecteurVastOntslag313">Data!$AQ$315</definedName>
    <definedName name="Data_ToelageDirecteurVastOntslag314">Data!$AQ$316</definedName>
    <definedName name="Data_ToelageDirecteurVastOntslag315">Data!$AQ$317</definedName>
    <definedName name="Data_ToelageDirecteurVastOntslag316">Data!$AQ$318</definedName>
    <definedName name="Data_ToelageDirecteurVastOntslag317">Data!$AQ$319</definedName>
    <definedName name="Data_ToelageDirecteurVastOntslag318">Data!$AQ$320</definedName>
    <definedName name="Data_ToelageDirecteurVastOntslag319">Data!$AQ$321</definedName>
    <definedName name="Data_ToelageDirecteurVastOntslag320">Data!$AQ$322</definedName>
    <definedName name="Data_ToelageDirecteurVastOntslag321">Data!$AQ$323</definedName>
    <definedName name="Data_ToelageDirecteurVastOntslag322">Data!$AQ$324</definedName>
    <definedName name="Data_ToelageDirecteurVastOntslag323">Data!$AQ$325</definedName>
    <definedName name="Data_ToelageDirecteurVastOntslag324">Data!$AQ$326</definedName>
    <definedName name="Data_ToelageDirecteurVastOntslag325">Data!$AQ$327</definedName>
    <definedName name="Data_ToelageDirecteurVastOntslag326">Data!$AQ$328</definedName>
    <definedName name="Data_ToelageDirecteurVastOntslag327">Data!$AQ$329</definedName>
    <definedName name="Data_ToelageDirecteurVastOntslag328">Data!$AQ$330</definedName>
    <definedName name="Data_ToelageDirecteurVastOntslag329">Data!$AQ$331</definedName>
    <definedName name="Data_ToelageDirecteurVastOntslag330">Data!$AQ$332</definedName>
    <definedName name="Data_ToelageDirecteurVastOntslag331">Data!$AQ$333</definedName>
    <definedName name="Data_ToelageDirecteurVastOntslag332">Data!$AQ$334</definedName>
    <definedName name="Data_ToelageDirecteurVastOntslag333">Data!$AQ$335</definedName>
    <definedName name="Data_ToelageDirecteurVastOntslag334">Data!$AQ$336</definedName>
    <definedName name="Data_ToelageDirecteurVastOntslag335">Data!$AQ$337</definedName>
    <definedName name="Data_ToelageDirecteurVastOntslag336">Data!$AQ$338</definedName>
    <definedName name="Data_ToelageDirecteurVastOntslag337">Data!$AQ$339</definedName>
    <definedName name="Data_ToelageDirecteurVastOntslag338">Data!$AQ$340</definedName>
    <definedName name="Data_ToelageDirecteurVastOntslag339">Data!$AQ$341</definedName>
    <definedName name="Data_ToelageDirecteurVastOntslag340">Data!$AQ$342</definedName>
    <definedName name="Data_ToelageDirecteurVastOntslag341">Data!$AQ$343</definedName>
    <definedName name="Data_ToelageDirecteurVastOntslag342">Data!$AQ$344</definedName>
    <definedName name="Data_ToelageDirecteurVastOntslag343">Data!$AQ$345</definedName>
    <definedName name="Data_ToelageDirecteurVastOntslag344">Data!$AQ$346</definedName>
    <definedName name="Data_ToelageDirecteurVastOntslag345">Data!$AQ$347</definedName>
    <definedName name="Data_ToelageDirecteurVastOntslag346">Data!$AQ$348</definedName>
    <definedName name="Data_ToelageDirecteurVastOntslag347">Data!$AQ$349</definedName>
    <definedName name="Data_ToelageDirecteurVastOntslag348">Data!$AQ$350</definedName>
    <definedName name="Data_ToelageDirecteurVastOntslag349">Data!$AQ$351</definedName>
    <definedName name="Data_ToelageDirecteurVastOntslag350">Data!$AQ$352</definedName>
    <definedName name="Data_ToelageDirecteurVastOntslag351">Data!$AQ$353</definedName>
    <definedName name="Data_ToelageDirecteurVastOntslag352">Data!$AQ$354</definedName>
    <definedName name="Data_ToelageDirecteurVastOntslag353">Data!$AQ$355</definedName>
    <definedName name="Data_ToelageDirecteurVastOntslag354">Data!$AQ$356</definedName>
    <definedName name="Data_ToelageDirecteurVastOntslag355">Data!$AQ$357</definedName>
    <definedName name="Data_ToelageDirecteurVastOntslag356">Data!$AQ$358</definedName>
    <definedName name="Data_ToelageDirecteurVastOntslag357">Data!$AQ$359</definedName>
    <definedName name="Data_ToelageDirecteurVastOntslag358">Data!$AQ$360</definedName>
    <definedName name="Data_ToelageDirecteurVastOntslag359">Data!$AQ$361</definedName>
    <definedName name="Data_ToelageDirecteurVastOntslag360">Data!$AQ$362</definedName>
    <definedName name="Data_ToelageDirecteurVastOntslag361">Data!$AQ$363</definedName>
    <definedName name="Data_ToelageDirecteurVastOntslag362">Data!$AQ$364</definedName>
    <definedName name="Data_ToelageDirecteurVastOntslag363">Data!$AQ$365</definedName>
    <definedName name="Data_ToelageDirecteurVastOntslag364">Data!$AQ$366</definedName>
    <definedName name="Data_ToelageDirecteurVastOntslag365">Data!$AQ$367</definedName>
    <definedName name="Data_ToelageDirecteurVastOntslag366">Data!$AQ$368</definedName>
    <definedName name="Data_ToelageDirecteurVastOntslag367">Data!$AQ$369</definedName>
    <definedName name="Data_ToelageDirecteurVastOntslag368">Data!$AQ$370</definedName>
    <definedName name="Data_ToelageDirecteurVastOntslag369">Data!$AQ$371</definedName>
    <definedName name="Data_ToelageDirecteurVastOntslag370">Data!$AQ$372</definedName>
    <definedName name="Data_ToelageDirecteurVastOntslag371">Data!$AQ$373</definedName>
    <definedName name="Data_ToelageDirecteurVastOntslag372">Data!$AQ$374</definedName>
    <definedName name="Data_ToelageDirecteurVastOntslag373">Data!$AQ$375</definedName>
    <definedName name="Data_ToelageDirecteurVastOntslag374">Data!$AQ$376</definedName>
    <definedName name="Data_ToelageDirecteurVastOntslag375">Data!$AQ$377</definedName>
    <definedName name="Data_ToelageDirecteurVastOntslag376">Data!$AQ$378</definedName>
    <definedName name="Data_ToelageDirecteurVastOntslag377">Data!$AQ$379</definedName>
    <definedName name="Data_ToelageDirecteurVastOntslag378">Data!$AQ$380</definedName>
    <definedName name="Data_ToelageDirecteurVastOntslag379">Data!$AQ$381</definedName>
    <definedName name="Data_ToelageDirecteurVastOntslag380">Data!$AQ$382</definedName>
    <definedName name="Data_ToelageDirecteurVastOntslag381">Data!$AQ$383</definedName>
    <definedName name="Data_ToelageDirecteurVastOntslag382">Data!$AQ$384</definedName>
    <definedName name="Data_ToelageDirecteurVastOntslag383">Data!$AQ$385</definedName>
    <definedName name="Data_ToelageDirecteurVastOntslag384">Data!$AQ$386</definedName>
    <definedName name="Data_ToelageDirecteurVastOntslag385">Data!$AQ$387</definedName>
    <definedName name="Data_ToelageDirecteurVastOntslag386">Data!$AQ$388</definedName>
    <definedName name="Data_ToelageDirecteurVastOntslag387">Data!$AQ$389</definedName>
    <definedName name="Data_ToelageDirecteurVastOntslag388">Data!$AQ$390</definedName>
    <definedName name="Data_ToelageDirecteurVastOntslag389">Data!$AQ$391</definedName>
    <definedName name="Data_ToelageDirecteurVastOntslag390">Data!$AQ$392</definedName>
    <definedName name="Data_ToelageDirecteurVastOntslag391">Data!$AQ$393</definedName>
    <definedName name="Data_ToelageDirecteurVastOntslag392">Data!$AQ$394</definedName>
    <definedName name="Data_ToelageDirecteurVastOntslag393">Data!$AQ$395</definedName>
    <definedName name="Data_ToelageDirecteurVastOntslag394">Data!$AQ$396</definedName>
    <definedName name="Data_ToelageDirecteurVastOntslag395">Data!$AQ$397</definedName>
    <definedName name="Data_ToelageDirecteurVastOntslag396">Data!$AQ$398</definedName>
    <definedName name="Data_ToelageDirecteurVastOntslag397">Data!$AQ$399</definedName>
    <definedName name="Data_ToelageDirecteurVastOntslag398">Data!$AQ$400</definedName>
    <definedName name="Data_ToelageDirecteurVastOntslag399">Data!$AQ$401</definedName>
    <definedName name="Data_ToelageDirecteurVastOntslag400">Data!$AQ$402</definedName>
    <definedName name="Data_ToelageDirecteurVastOntslag401">Data!$AQ$403</definedName>
    <definedName name="Data_ToelageDirecteurVastOntslag402">Data!$AQ$404</definedName>
    <definedName name="Data_ToelageDirecteurVastOntslag403">Data!$AQ$405</definedName>
    <definedName name="Data_ToelageDirecteurVastOntslag404">Data!$AQ$406</definedName>
    <definedName name="Data_ToelageDirecteurVastOntslag405">Data!$AQ$407</definedName>
    <definedName name="Data_ToelageDirecteurVastOntslag406">Data!$AQ$408</definedName>
    <definedName name="Data_ToelageDirecteurVastOntslag407">Data!$AQ$409</definedName>
    <definedName name="Data_ToelageDirecteurVastOntslag408">Data!$AQ$410</definedName>
    <definedName name="Data_ToelageDirecteurVastOntslag409">Data!$AQ$411</definedName>
    <definedName name="Data_ToelageDirecteurVastOntslag410">Data!$AQ$412</definedName>
    <definedName name="Data_ToelageDirecteurVastOntslag411">Data!$AQ$413</definedName>
    <definedName name="Data_ToelageDirecteurVastOntslag412">Data!$AQ$414</definedName>
    <definedName name="Data_ToelageDirecteurVastOntslag413">Data!$AQ$415</definedName>
    <definedName name="Data_ToelageDirecteurVastOntslag414">Data!$AQ$416</definedName>
    <definedName name="Data_ToelageDirecteurVastOntslag415">Data!$AQ$417</definedName>
    <definedName name="Data_ToelageDirecteurVastOntslag416">Data!$AQ$418</definedName>
    <definedName name="Data_ToelageDirecteurVastOntslag417">Data!$AQ$419</definedName>
    <definedName name="Data_ToelageDirecteurVastOntslag418">Data!$AQ$420</definedName>
    <definedName name="Data_ToelageDirecteurVastOntslag419">Data!$AQ$421</definedName>
    <definedName name="Data_ToelageDirecteurVastOntslag420">Data!$AQ$422</definedName>
    <definedName name="Data_ToelageDirecteurVastOntslag421">Data!$AQ$423</definedName>
    <definedName name="Data_ToelageDirecteurVastOntslag422">Data!$AQ$424</definedName>
    <definedName name="Data_ToelageDirecteurVastOntslag423">Data!$AQ$425</definedName>
    <definedName name="Data_ToelageDirecteurVastOntslag424">Data!$AQ$426</definedName>
    <definedName name="Data_ToelageDirecteurVastOntslag425">Data!$AQ$427</definedName>
    <definedName name="Data_ToelageDirecteurVastOntslag426">Data!$AQ$428</definedName>
    <definedName name="Data_ToelageDirecteurVastOntslag427">Data!$AQ$429</definedName>
    <definedName name="Data_ToelageDirecteurVastOntslag428">Data!$AQ$430</definedName>
    <definedName name="Data_ToelageDirecteurVastOntslag429">Data!$AQ$431</definedName>
    <definedName name="Data_ToelageDirecteurVastOntslag430">Data!$AQ$432</definedName>
    <definedName name="Data_ToelageDirecteurVastOntslag431">Data!$AQ$433</definedName>
    <definedName name="Data_ToelageDirecteurVastOntslag432">Data!$AQ$434</definedName>
    <definedName name="Data_ToelageDirecteurVastOntslag433">Data!$AQ$435</definedName>
    <definedName name="Data_ToelageDirecteurVastOntslag434">Data!$AQ$436</definedName>
    <definedName name="Data_ToelageDirecteurVastOntslag435">Data!$AQ$437</definedName>
    <definedName name="Data_ToelageDirecteurVastOntslag436">Data!$AQ$438</definedName>
    <definedName name="Data_ToelageDirecteurVastOntslag437">Data!$AQ$439</definedName>
    <definedName name="Data_ToelageDirecteurVastOntslag438">Data!$AQ$440</definedName>
    <definedName name="Data_ToelageDirecteurVastOntslag439">Data!$AQ$441</definedName>
    <definedName name="Data_ToelageDirecteurVastOntslag440">Data!$AQ$442</definedName>
    <definedName name="Data_ToelageDirecteurVastOntslag441">Data!$AQ$443</definedName>
    <definedName name="Data_ToelageDirecteurVastOntslag442">Data!$AQ$444</definedName>
    <definedName name="Data_ToelageDirecteurVastOntslag443">Data!$AQ$445</definedName>
    <definedName name="Data_ToelageDirecteurVastOntslag444">Data!$AQ$446</definedName>
    <definedName name="Data_ToelageDirecteurVastOntslag445">Data!$AQ$447</definedName>
    <definedName name="Data_ToelageDirecteurVastOntslag446">Data!$AQ$448</definedName>
    <definedName name="Data_ToelageDirecteurVastOntslag447">Data!$AQ$449</definedName>
    <definedName name="Data_ToelageDirecteurVastOntslag448">Data!$AQ$450</definedName>
    <definedName name="Data_ToelageDirecteurVastOntslag449">Data!$AQ$451</definedName>
    <definedName name="Data_ToelageDirecteurVastOntslag450">Data!$AQ$452</definedName>
    <definedName name="Data_ToelageDirecteurVastOntslag451">Data!$AQ$453</definedName>
    <definedName name="Data_ToelageDirecteurVastOntslag452">Data!$AQ$454</definedName>
    <definedName name="Data_ToelageDirecteurVastOntslag453">Data!$AQ$455</definedName>
    <definedName name="Data_ToelageDirecteurVastOntslag454">Data!$AQ$456</definedName>
    <definedName name="Data_ToelageDirecteurVastOntslag455">Data!$AQ$457</definedName>
    <definedName name="Data_ToelageDirecteurVastOntslag456">Data!$AQ$458</definedName>
    <definedName name="Data_ToelageDirecteurVastOntslag457">Data!$AQ$459</definedName>
    <definedName name="Data_ToelageDirecteurVastOntslag458">Data!$AQ$460</definedName>
    <definedName name="Data_ToelageDirecteurVastOntslag459">Data!$AQ$461</definedName>
    <definedName name="Data_ToelageDirecteurVastOntslag460">Data!$AQ$462</definedName>
    <definedName name="Data_ToelageDirecteurVastOntslag461">Data!$AQ$463</definedName>
    <definedName name="Data_ToelageDirecteurVastOntslag462">Data!$AQ$464</definedName>
    <definedName name="Data_ToelageDirecteurVastOntslag463">Data!$AQ$465</definedName>
    <definedName name="Data_ToelageDirecteurVastOntslag464">Data!$AQ$466</definedName>
    <definedName name="Data_ToelageDirecteurVastOntslag465">Data!$AQ$467</definedName>
    <definedName name="Data_ToelageDirecteurVastOntslag466">Data!$AQ$468</definedName>
    <definedName name="Data_ToelageDirecteurVastOntslag467">Data!$AQ$469</definedName>
    <definedName name="Data_ToelageDirecteurVastOntslag468">Data!$AQ$470</definedName>
    <definedName name="Data_ToelageDirecteurVastOntslag469">Data!$AQ$471</definedName>
    <definedName name="Data_ToelageDirecteurVastOntslag470">Data!$AQ$472</definedName>
    <definedName name="Data_ToelageDirecteurVastOntslag471">Data!$AQ$473</definedName>
    <definedName name="Data_ToelageDirecteurVastOntslag472">Data!$AQ$474</definedName>
    <definedName name="Data_ToelageDirecteurVastOntslag473">Data!$AQ$475</definedName>
    <definedName name="Data_ToelageDirecteurVastOntslag474">Data!$AQ$476</definedName>
    <definedName name="Data_ToelageDirecteurVastOntslag475">Data!$AQ$477</definedName>
    <definedName name="Data_ToelageDirecteurVastOntslag476">Data!$AQ$478</definedName>
    <definedName name="Data_ToelageDirecteurVastOntslag477">Data!$AQ$479</definedName>
    <definedName name="Data_ToelageDirecteurVastOntslag478">Data!$AQ$480</definedName>
    <definedName name="Data_ToelageDirecteurVastOntslag479">Data!$AQ$481</definedName>
    <definedName name="Data_ToelageDirecteurVastOntslag480">Data!$AQ$482</definedName>
    <definedName name="Data_ToelageDirecteurVastOntslag481">Data!$AQ$483</definedName>
    <definedName name="Data_ToelageDirecteurVastOntslag482">Data!$AQ$484</definedName>
    <definedName name="Data_ToelageDirecteurVastOntslag483">Data!$AQ$485</definedName>
    <definedName name="Data_ToelageDirecteurVastOntslag484">Data!$AQ$486</definedName>
    <definedName name="Data_ToelageDirecteurVastOntslag485">Data!$AQ$487</definedName>
    <definedName name="Data_ToelageDirecteurVastOntslag486">Data!$AQ$488</definedName>
    <definedName name="Data_ToelageDirecteurVastOntslag487">Data!$AQ$489</definedName>
    <definedName name="Data_ToelageDirecteurVastOntslag488">Data!$AQ$490</definedName>
    <definedName name="Data_ToelageDirecteurVastOntslag489">Data!$AQ$491</definedName>
    <definedName name="Data_ToelageDirecteurVastOntslag490">Data!$AQ$492</definedName>
    <definedName name="Data_ToelageDirecteurVastOntslag491">Data!$AQ$493</definedName>
    <definedName name="Data_ToelageDirecteurVastOntslag492">Data!$AQ$494</definedName>
    <definedName name="Data_ToelageDirecteurVastOntslag493">Data!$AQ$495</definedName>
    <definedName name="Data_ToelageDirecteurVastOntslag494">Data!$AQ$496</definedName>
    <definedName name="Data_ToelageDirecteurVastOntslag495">Data!$AQ$497</definedName>
    <definedName name="Data_ToelageDirecteurVastOntslag496">Data!$AQ$498</definedName>
    <definedName name="Data_ToelageDirecteurVastOntslag497">Data!$AQ$499</definedName>
    <definedName name="Data_ToelageDirecteurVastOntslag498">Data!$AQ$500</definedName>
    <definedName name="Data_ToelageDirecteurVastOntslag499">Data!$AQ$501</definedName>
    <definedName name="Data_ToelageDirecteurVastOntslag500">Data!$AQ$502</definedName>
    <definedName name="Data_ToelageDirecteurVastVrij001">Data!$AG$3</definedName>
    <definedName name="Data_ToelageDirecteurVastVrij002">Data!$AG$4</definedName>
    <definedName name="Data_ToelageDirecteurVastVrij003">Data!$AG$5</definedName>
    <definedName name="Data_ToelageDirecteurVastVrij004">Data!$AG$6</definedName>
    <definedName name="Data_ToelageDirecteurVastVrij005">Data!$AG$7</definedName>
    <definedName name="Data_ToelageDirecteurVastVrij006">Data!$AG$8</definedName>
    <definedName name="Data_ToelageDirecteurVastVrij007">Data!$AG$9</definedName>
    <definedName name="Data_ToelageDirecteurVastVrij008">Data!$AG$10</definedName>
    <definedName name="Data_ToelageDirecteurVastVrij009">Data!$AG$11</definedName>
    <definedName name="Data_ToelageDirecteurVastVrij010">Data!$AG$12</definedName>
    <definedName name="Data_ToelageDirecteurVastVrij011">Data!$AG$13</definedName>
    <definedName name="Data_ToelageDirecteurVastVrij012">Data!$AG$14</definedName>
    <definedName name="Data_ToelageDirecteurVastVrij013">Data!$AG$15</definedName>
    <definedName name="Data_ToelageDirecteurVastVrij014">Data!$AG$16</definedName>
    <definedName name="Data_ToelageDirecteurVastVrij015">Data!$AG$17</definedName>
    <definedName name="Data_ToelageDirecteurVastVrij016">Data!$AG$18</definedName>
    <definedName name="Data_ToelageDirecteurVastVrij017">Data!$AG$19</definedName>
    <definedName name="Data_ToelageDirecteurVastVrij018">Data!$AG$20</definedName>
    <definedName name="Data_ToelageDirecteurVastVrij019">Data!$AG$21</definedName>
    <definedName name="Data_ToelageDirecteurVastVrij020">Data!$AG$22</definedName>
    <definedName name="Data_ToelageDirecteurVastVrij021">Data!$AG$23</definedName>
    <definedName name="Data_ToelageDirecteurVastVrij022">Data!$AG$24</definedName>
    <definedName name="Data_ToelageDirecteurVastVrij023">Data!$AG$25</definedName>
    <definedName name="Data_ToelageDirecteurVastVrij024">Data!$AG$26</definedName>
    <definedName name="Data_ToelageDirecteurVastVrij025">Data!$AG$27</definedName>
    <definedName name="Data_ToelageDirecteurVastVrij026">Data!$AG$28</definedName>
    <definedName name="Data_ToelageDirecteurVastVrij027">Data!$AG$29</definedName>
    <definedName name="Data_ToelageDirecteurVastVrij028">Data!$AG$30</definedName>
    <definedName name="Data_ToelageDirecteurVastVrij029">Data!$AG$31</definedName>
    <definedName name="Data_ToelageDirecteurVastVrij030">Data!$AG$32</definedName>
    <definedName name="Data_ToelageDirecteurVastVrij031">Data!$AG$33</definedName>
    <definedName name="Data_ToelageDirecteurVastVrij032">Data!$AG$34</definedName>
    <definedName name="Data_ToelageDirecteurVastVrij033">Data!$AG$35</definedName>
    <definedName name="Data_ToelageDirecteurVastVrij034">Data!$AG$36</definedName>
    <definedName name="Data_ToelageDirecteurVastVrij035">Data!$AG$37</definedName>
    <definedName name="Data_ToelageDirecteurVastVrij036">Data!$AG$38</definedName>
    <definedName name="Data_ToelageDirecteurVastVrij037">Data!$AG$39</definedName>
    <definedName name="Data_ToelageDirecteurVastVrij038">Data!$AG$40</definedName>
    <definedName name="Data_ToelageDirecteurVastVrij039">Data!$AG$41</definedName>
    <definedName name="Data_ToelageDirecteurVastVrij040">Data!$AG$42</definedName>
    <definedName name="Data_ToelageDirecteurVastVrij041">Data!$AG$43</definedName>
    <definedName name="Data_ToelageDirecteurVastVrij042">Data!$AG$44</definedName>
    <definedName name="Data_ToelageDirecteurVastVrij043">Data!$AG$45</definedName>
    <definedName name="Data_ToelageDirecteurVastVrij044">Data!$AG$46</definedName>
    <definedName name="Data_ToelageDirecteurVastVrij045">Data!$AG$47</definedName>
    <definedName name="Data_ToelageDirecteurVastVrij046">Data!$AG$48</definedName>
    <definedName name="Data_ToelageDirecteurVastVrij047">Data!$AG$49</definedName>
    <definedName name="Data_ToelageDirecteurVastVrij048">Data!$AG$50</definedName>
    <definedName name="Data_ToelageDirecteurVastVrij049">Data!$AG$51</definedName>
    <definedName name="Data_ToelageDirecteurVastVrij050">Data!$AG$52</definedName>
    <definedName name="Data_ToelageDirecteurVastVrij051">Data!$AG$53</definedName>
    <definedName name="Data_ToelageDirecteurVastVrij052">Data!$AG$54</definedName>
    <definedName name="Data_ToelageDirecteurVastVrij053">Data!$AG$55</definedName>
    <definedName name="Data_ToelageDirecteurVastVrij054">Data!$AG$56</definedName>
    <definedName name="Data_ToelageDirecteurVastVrij055">Data!$AG$57</definedName>
    <definedName name="Data_ToelageDirecteurVastVrij056">Data!$AG$58</definedName>
    <definedName name="Data_ToelageDirecteurVastVrij057">Data!$AG$59</definedName>
    <definedName name="Data_ToelageDirecteurVastVrij058">Data!$AG$60</definedName>
    <definedName name="Data_ToelageDirecteurVastVrij059">Data!$AG$61</definedName>
    <definedName name="Data_ToelageDirecteurVastVrij060">Data!$AG$62</definedName>
    <definedName name="Data_ToelageDirecteurVastVrij061">Data!$AG$63</definedName>
    <definedName name="Data_ToelageDirecteurVastVrij062">Data!$AG$64</definedName>
    <definedName name="Data_ToelageDirecteurVastVrij063">Data!$AG$65</definedName>
    <definedName name="Data_ToelageDirecteurVastVrij064">Data!$AG$66</definedName>
    <definedName name="Data_ToelageDirecteurVastVrij065">Data!$AG$67</definedName>
    <definedName name="Data_ToelageDirecteurVastVrij066">Data!$AG$68</definedName>
    <definedName name="Data_ToelageDirecteurVastVrij067">Data!$AG$69</definedName>
    <definedName name="Data_ToelageDirecteurVastVrij068">Data!$AG$70</definedName>
    <definedName name="Data_ToelageDirecteurVastVrij069">Data!$AG$71</definedName>
    <definedName name="Data_ToelageDirecteurVastVrij070">Data!$AG$72</definedName>
    <definedName name="Data_ToelageDirecteurVastVrij071">Data!$AG$73</definedName>
    <definedName name="Data_ToelageDirecteurVastVrij072">Data!$AG$74</definedName>
    <definedName name="Data_ToelageDirecteurVastVrij073">Data!$AG$75</definedName>
    <definedName name="Data_ToelageDirecteurVastVrij074">Data!$AG$76</definedName>
    <definedName name="Data_ToelageDirecteurVastVrij075">Data!$AG$77</definedName>
    <definedName name="Data_ToelageDirecteurVastVrij076">Data!$AG$78</definedName>
    <definedName name="Data_ToelageDirecteurVastVrij077">Data!$AG$79</definedName>
    <definedName name="Data_ToelageDirecteurVastVrij078">Data!$AG$80</definedName>
    <definedName name="Data_ToelageDirecteurVastVrij079">Data!$AG$81</definedName>
    <definedName name="Data_ToelageDirecteurVastVrij080">Data!$AG$82</definedName>
    <definedName name="Data_ToelageDirecteurVastVrij081">Data!$AG$83</definedName>
    <definedName name="Data_ToelageDirecteurVastVrij082">Data!$AG$84</definedName>
    <definedName name="Data_ToelageDirecteurVastVrij083">Data!$AG$85</definedName>
    <definedName name="Data_ToelageDirecteurVastVrij084">Data!$AG$86</definedName>
    <definedName name="Data_ToelageDirecteurVastVrij085">Data!$AG$87</definedName>
    <definedName name="Data_ToelageDirecteurVastVrij086">Data!$AG$88</definedName>
    <definedName name="Data_ToelageDirecteurVastVrij087">Data!$AG$89</definedName>
    <definedName name="Data_ToelageDirecteurVastVrij088">Data!$AG$90</definedName>
    <definedName name="Data_ToelageDirecteurVastVrij089">Data!$AG$91</definedName>
    <definedName name="Data_ToelageDirecteurVastVrij090">Data!$AG$92</definedName>
    <definedName name="Data_ToelageDirecteurVastVrij091">Data!$AG$93</definedName>
    <definedName name="Data_ToelageDirecteurVastVrij092">Data!$AG$94</definedName>
    <definedName name="Data_ToelageDirecteurVastVrij093">Data!$AG$95</definedName>
    <definedName name="Data_ToelageDirecteurVastVrij094">Data!$AG$96</definedName>
    <definedName name="Data_ToelageDirecteurVastVrij095">Data!$AG$97</definedName>
    <definedName name="Data_ToelageDirecteurVastVrij096">Data!$AG$98</definedName>
    <definedName name="Data_ToelageDirecteurVastVrij097">Data!$AG$99</definedName>
    <definedName name="Data_ToelageDirecteurVastVrij098">Data!$AG$100</definedName>
    <definedName name="Data_ToelageDirecteurVastVrij099">Data!$AG$101</definedName>
    <definedName name="Data_ToelageDirecteurVastVrij100">Data!$AG$102</definedName>
    <definedName name="Data_ToelageDirecteurVastVrij101">Data!$AG$103</definedName>
    <definedName name="Data_ToelageDirecteurVastVrij102">Data!$AG$104</definedName>
    <definedName name="Data_ToelageDirecteurVastVrij103">Data!$AG$105</definedName>
    <definedName name="Data_ToelageDirecteurVastVrij104">Data!$AG$106</definedName>
    <definedName name="Data_ToelageDirecteurVastVrij105">Data!$AG$107</definedName>
    <definedName name="Data_ToelageDirecteurVastVrij106">Data!$AG$108</definedName>
    <definedName name="Data_ToelageDirecteurVastVrij107">Data!$AG$109</definedName>
    <definedName name="Data_ToelageDirecteurVastVrij108">Data!$AG$110</definedName>
    <definedName name="Data_ToelageDirecteurVastVrij109">Data!$AG$111</definedName>
    <definedName name="Data_ToelageDirecteurVastVrij110">Data!$AG$112</definedName>
    <definedName name="Data_ToelageDirecteurVastVrij111">Data!$AG$113</definedName>
    <definedName name="Data_ToelageDirecteurVastVrij112">Data!$AG$114</definedName>
    <definedName name="Data_ToelageDirecteurVastVrij113">Data!$AG$115</definedName>
    <definedName name="Data_ToelageDirecteurVastVrij114">Data!$AG$116</definedName>
    <definedName name="Data_ToelageDirecteurVastVrij115">Data!$AG$117</definedName>
    <definedName name="Data_ToelageDirecteurVastVrij116">Data!$AG$118</definedName>
    <definedName name="Data_ToelageDirecteurVastVrij117">Data!$AG$119</definedName>
    <definedName name="Data_ToelageDirecteurVastVrij118">Data!$AG$120</definedName>
    <definedName name="Data_ToelageDirecteurVastVrij119">Data!$AG$121</definedName>
    <definedName name="Data_ToelageDirecteurVastVrij120">Data!$AG$122</definedName>
    <definedName name="Data_ToelageDirecteurVastVrij121">Data!$AG$123</definedName>
    <definedName name="Data_ToelageDirecteurVastVrij122">Data!$AG$124</definedName>
    <definedName name="Data_ToelageDirecteurVastVrij123">Data!$AG$125</definedName>
    <definedName name="Data_ToelageDirecteurVastVrij124">Data!$AG$126</definedName>
    <definedName name="Data_ToelageDirecteurVastVrij125">Data!$AG$127</definedName>
    <definedName name="Data_ToelageDirecteurVastVrij126">Data!$AG$128</definedName>
    <definedName name="Data_ToelageDirecteurVastVrij127">Data!$AG$129</definedName>
    <definedName name="Data_ToelageDirecteurVastVrij128">Data!$AG$130</definedName>
    <definedName name="Data_ToelageDirecteurVastVrij129">Data!$AG$131</definedName>
    <definedName name="Data_ToelageDirecteurVastVrij130">Data!$AG$132</definedName>
    <definedName name="Data_ToelageDirecteurVastVrij131">Data!$AG$133</definedName>
    <definedName name="Data_ToelageDirecteurVastVrij132">Data!$AG$134</definedName>
    <definedName name="Data_ToelageDirecteurVastVrij133">Data!$AG$135</definedName>
    <definedName name="Data_ToelageDirecteurVastVrij134">Data!$AG$136</definedName>
    <definedName name="Data_ToelageDirecteurVastVrij135">Data!$AG$137</definedName>
    <definedName name="Data_ToelageDirecteurVastVrij136">Data!$AG$138</definedName>
    <definedName name="Data_ToelageDirecteurVastVrij137">Data!$AG$139</definedName>
    <definedName name="Data_ToelageDirecteurVastVrij138">Data!$AG$140</definedName>
    <definedName name="Data_ToelageDirecteurVastVrij139">Data!$AG$141</definedName>
    <definedName name="Data_ToelageDirecteurVastVrij140">Data!$AG$142</definedName>
    <definedName name="Data_ToelageDirecteurVastVrij141">Data!$AG$143</definedName>
    <definedName name="Data_ToelageDirecteurVastVrij142">Data!$AG$144</definedName>
    <definedName name="Data_ToelageDirecteurVastVrij143">Data!$AG$145</definedName>
    <definedName name="Data_ToelageDirecteurVastVrij144">Data!$AG$146</definedName>
    <definedName name="Data_ToelageDirecteurVastVrij145">Data!$AG$147</definedName>
    <definedName name="Data_ToelageDirecteurVastVrij146">Data!$AG$148</definedName>
    <definedName name="Data_ToelageDirecteurVastVrij147">Data!$AG$149</definedName>
    <definedName name="Data_ToelageDirecteurVastVrij148">Data!$AG$150</definedName>
    <definedName name="Data_ToelageDirecteurVastVrij149">Data!$AG$151</definedName>
    <definedName name="Data_ToelageDirecteurVastVrij150">Data!$AG$152</definedName>
    <definedName name="Data_ToelageDirecteurVastVrij151">Data!$AG$153</definedName>
    <definedName name="Data_ToelageDirecteurVastVrij152">Data!$AG$154</definedName>
    <definedName name="Data_ToelageDirecteurVastVrij153">Data!$AG$155</definedName>
    <definedName name="Data_ToelageDirecteurVastVrij154">Data!$AG$156</definedName>
    <definedName name="Data_ToelageDirecteurVastVrij155">Data!$AG$157</definedName>
    <definedName name="Data_ToelageDirecteurVastVrij156">Data!$AG$158</definedName>
    <definedName name="Data_ToelageDirecteurVastVrij157">Data!$AG$159</definedName>
    <definedName name="Data_ToelageDirecteurVastVrij158">Data!$AG$160</definedName>
    <definedName name="Data_ToelageDirecteurVastVrij159">Data!$AG$161</definedName>
    <definedName name="Data_ToelageDirecteurVastVrij160">Data!$AG$162</definedName>
    <definedName name="Data_ToelageDirecteurVastVrij161">Data!$AG$163</definedName>
    <definedName name="Data_ToelageDirecteurVastVrij162">Data!$AG$164</definedName>
    <definedName name="Data_ToelageDirecteurVastVrij163">Data!$AG$165</definedName>
    <definedName name="Data_ToelageDirecteurVastVrij164">Data!$AG$166</definedName>
    <definedName name="Data_ToelageDirecteurVastVrij165">Data!$AG$167</definedName>
    <definedName name="Data_ToelageDirecteurVastVrij166">Data!$AG$168</definedName>
    <definedName name="Data_ToelageDirecteurVastVrij167">Data!$AG$169</definedName>
    <definedName name="Data_ToelageDirecteurVastVrij168">Data!$AG$170</definedName>
    <definedName name="Data_ToelageDirecteurVastVrij169">Data!$AG$171</definedName>
    <definedName name="Data_ToelageDirecteurVastVrij170">Data!$AG$172</definedName>
    <definedName name="Data_ToelageDirecteurVastVrij171">Data!$AG$173</definedName>
    <definedName name="Data_ToelageDirecteurVastVrij172">Data!$AG$174</definedName>
    <definedName name="Data_ToelageDirecteurVastVrij173">Data!$AG$175</definedName>
    <definedName name="Data_ToelageDirecteurVastVrij174">Data!$AG$176</definedName>
    <definedName name="Data_ToelageDirecteurVastVrij175">Data!$AG$177</definedName>
    <definedName name="Data_ToelageDirecteurVastVrij176">Data!$AG$178</definedName>
    <definedName name="Data_ToelageDirecteurVastVrij177">Data!$AG$179</definedName>
    <definedName name="Data_ToelageDirecteurVastVrij178">Data!$AG$180</definedName>
    <definedName name="Data_ToelageDirecteurVastVrij179">Data!$AG$181</definedName>
    <definedName name="Data_ToelageDirecteurVastVrij180">Data!$AG$182</definedName>
    <definedName name="Data_ToelageDirecteurVastVrij181">Data!$AG$183</definedName>
    <definedName name="Data_ToelageDirecteurVastVrij182">Data!$AG$184</definedName>
    <definedName name="Data_ToelageDirecteurVastVrij183">Data!$AG$185</definedName>
    <definedName name="Data_ToelageDirecteurVastVrij184">Data!$AG$186</definedName>
    <definedName name="Data_ToelageDirecteurVastVrij185">Data!$AG$187</definedName>
    <definedName name="Data_ToelageDirecteurVastVrij186">Data!$AG$188</definedName>
    <definedName name="Data_ToelageDirecteurVastVrij187">Data!$AG$189</definedName>
    <definedName name="Data_ToelageDirecteurVastVrij188">Data!$AG$190</definedName>
    <definedName name="Data_ToelageDirecteurVastVrij189">Data!$AG$191</definedName>
    <definedName name="Data_ToelageDirecteurVastVrij190">Data!$AG$192</definedName>
    <definedName name="Data_ToelageDirecteurVastVrij191">Data!$AG$193</definedName>
    <definedName name="Data_ToelageDirecteurVastVrij192">Data!$AG$194</definedName>
    <definedName name="Data_ToelageDirecteurVastVrij193">Data!$AG$195</definedName>
    <definedName name="Data_ToelageDirecteurVastVrij194">Data!$AG$196</definedName>
    <definedName name="Data_ToelageDirecteurVastVrij195">Data!$AG$197</definedName>
    <definedName name="Data_ToelageDirecteurVastVrij196">Data!$AG$198</definedName>
    <definedName name="Data_ToelageDirecteurVastVrij197">Data!$AG$199</definedName>
    <definedName name="Data_ToelageDirecteurVastVrij198">Data!$AG$200</definedName>
    <definedName name="Data_ToelageDirecteurVastVrij199">Data!$AG$201</definedName>
    <definedName name="Data_ToelageDirecteurVastVrij200">Data!$AG$202</definedName>
    <definedName name="Data_ToelageDirecteurVastVrij201">Data!$AG$203</definedName>
    <definedName name="Data_ToelageDirecteurVastVrij202">Data!$AG$204</definedName>
    <definedName name="Data_ToelageDirecteurVastVrij203">Data!$AG$205</definedName>
    <definedName name="Data_ToelageDirecteurVastVrij204">Data!$AG$206</definedName>
    <definedName name="Data_ToelageDirecteurVastVrij205">Data!$AG$207</definedName>
    <definedName name="Data_ToelageDirecteurVastVrij206">Data!$AG$208</definedName>
    <definedName name="Data_ToelageDirecteurVastVrij207">Data!$AG$209</definedName>
    <definedName name="Data_ToelageDirecteurVastVrij208">Data!$AG$210</definedName>
    <definedName name="Data_ToelageDirecteurVastVrij209">Data!$AG$211</definedName>
    <definedName name="Data_ToelageDirecteurVastVrij210">Data!$AG$212</definedName>
    <definedName name="Data_ToelageDirecteurVastVrij211">Data!$AG$213</definedName>
    <definedName name="Data_ToelageDirecteurVastVrij212">Data!$AG$214</definedName>
    <definedName name="Data_ToelageDirecteurVastVrij213">Data!$AG$215</definedName>
    <definedName name="Data_ToelageDirecteurVastVrij214">Data!$AG$216</definedName>
    <definedName name="Data_ToelageDirecteurVastVrij215">Data!$AG$217</definedName>
    <definedName name="Data_ToelageDirecteurVastVrij216">Data!$AG$218</definedName>
    <definedName name="Data_ToelageDirecteurVastVrij217">Data!$AG$219</definedName>
    <definedName name="Data_ToelageDirecteurVastVrij218">Data!$AG$220</definedName>
    <definedName name="Data_ToelageDirecteurVastVrij219">Data!$AG$221</definedName>
    <definedName name="Data_ToelageDirecteurVastVrij220">Data!$AG$222</definedName>
    <definedName name="Data_ToelageDirecteurVastVrij221">Data!$AG$223</definedName>
    <definedName name="Data_ToelageDirecteurVastVrij222">Data!$AG$224</definedName>
    <definedName name="Data_ToelageDirecteurVastVrij223">Data!$AG$225</definedName>
    <definedName name="Data_ToelageDirecteurVastVrij224">Data!$AG$226</definedName>
    <definedName name="Data_ToelageDirecteurVastVrij225">Data!$AG$227</definedName>
    <definedName name="Data_ToelageDirecteurVastVrij226">Data!$AG$228</definedName>
    <definedName name="Data_ToelageDirecteurVastVrij227">Data!$AG$229</definedName>
    <definedName name="Data_ToelageDirecteurVastVrij228">Data!$AG$230</definedName>
    <definedName name="Data_ToelageDirecteurVastVrij229">Data!$AG$231</definedName>
    <definedName name="Data_ToelageDirecteurVastVrij230">Data!$AG$232</definedName>
    <definedName name="Data_ToelageDirecteurVastVrij231">Data!$AG$233</definedName>
    <definedName name="Data_ToelageDirecteurVastVrij232">Data!$AG$234</definedName>
    <definedName name="Data_ToelageDirecteurVastVrij233">Data!$AG$235</definedName>
    <definedName name="Data_ToelageDirecteurVastVrij234">Data!$AG$236</definedName>
    <definedName name="Data_ToelageDirecteurVastVrij235">Data!$AG$237</definedName>
    <definedName name="Data_ToelageDirecteurVastVrij236">Data!$AG$238</definedName>
    <definedName name="Data_ToelageDirecteurVastVrij237">Data!$AG$239</definedName>
    <definedName name="Data_ToelageDirecteurVastVrij238">Data!$AG$240</definedName>
    <definedName name="Data_ToelageDirecteurVastVrij239">Data!$AG$241</definedName>
    <definedName name="Data_ToelageDirecteurVastVrij240">Data!$AG$242</definedName>
    <definedName name="Data_ToelageDirecteurVastVrij241">Data!$AG$243</definedName>
    <definedName name="Data_ToelageDirecteurVastVrij242">Data!$AG$244</definedName>
    <definedName name="Data_ToelageDirecteurVastVrij243">Data!$AG$245</definedName>
    <definedName name="Data_ToelageDirecteurVastVrij244">Data!$AG$246</definedName>
    <definedName name="Data_ToelageDirecteurVastVrij245">Data!$AG$247</definedName>
    <definedName name="Data_ToelageDirecteurVastVrij246">Data!$AG$248</definedName>
    <definedName name="Data_ToelageDirecteurVastVrij247">Data!$AG$249</definedName>
    <definedName name="Data_ToelageDirecteurVastVrij248">Data!$AG$250</definedName>
    <definedName name="Data_ToelageDirecteurVastVrij249">Data!$AG$251</definedName>
    <definedName name="Data_ToelageDirecteurVastVrij250">Data!$AG$252</definedName>
    <definedName name="Data_ToelageDirecteurVastVrij251">Data!$AG$253</definedName>
    <definedName name="Data_ToelageDirecteurVastVrij252">Data!$AG$254</definedName>
    <definedName name="Data_ToelageDirecteurVastVrij253">Data!$AG$255</definedName>
    <definedName name="Data_ToelageDirecteurVastVrij254">Data!$AG$256</definedName>
    <definedName name="Data_ToelageDirecteurVastVrij255">Data!$AG$257</definedName>
    <definedName name="Data_ToelageDirecteurVastVrij256">Data!$AG$258</definedName>
    <definedName name="Data_ToelageDirecteurVastVrij257">Data!$AG$259</definedName>
    <definedName name="Data_ToelageDirecteurVastVrij258">Data!$AG$260</definedName>
    <definedName name="Data_ToelageDirecteurVastVrij259">Data!$AG$261</definedName>
    <definedName name="Data_ToelageDirecteurVastVrij260">Data!$AG$262</definedName>
    <definedName name="Data_ToelageDirecteurVastVrij261">Data!$AG$263</definedName>
    <definedName name="Data_ToelageDirecteurVastVrij262">Data!$AG$264</definedName>
    <definedName name="Data_ToelageDirecteurVastVrij263">Data!$AG$265</definedName>
    <definedName name="Data_ToelageDirecteurVastVrij264">Data!$AG$266</definedName>
    <definedName name="Data_ToelageDirecteurVastVrij265">Data!$AG$267</definedName>
    <definedName name="Data_ToelageDirecteurVastVrij266">Data!$AG$268</definedName>
    <definedName name="Data_ToelageDirecteurVastVrij267">Data!$AG$269</definedName>
    <definedName name="Data_ToelageDirecteurVastVrij268">Data!$AG$270</definedName>
    <definedName name="Data_ToelageDirecteurVastVrij269">Data!$AG$271</definedName>
    <definedName name="Data_ToelageDirecteurVastVrij270">Data!$AG$272</definedName>
    <definedName name="Data_ToelageDirecteurVastVrij271">Data!$AG$273</definedName>
    <definedName name="Data_ToelageDirecteurVastVrij272">Data!$AG$274</definedName>
    <definedName name="Data_ToelageDirecteurVastVrij273">Data!$AG$275</definedName>
    <definedName name="Data_ToelageDirecteurVastVrij274">Data!$AG$276</definedName>
    <definedName name="Data_ToelageDirecteurVastVrij275">Data!$AG$277</definedName>
    <definedName name="Data_ToelageDirecteurVastVrij276">Data!$AG$278</definedName>
    <definedName name="Data_ToelageDirecteurVastVrij277">Data!$AG$279</definedName>
    <definedName name="Data_ToelageDirecteurVastVrij278">Data!$AG$280</definedName>
    <definedName name="Data_ToelageDirecteurVastVrij279">Data!$AG$281</definedName>
    <definedName name="Data_ToelageDirecteurVastVrij280">Data!$AG$282</definedName>
    <definedName name="Data_ToelageDirecteurVastVrij281">Data!$AG$283</definedName>
    <definedName name="Data_ToelageDirecteurVastVrij282">Data!$AG$284</definedName>
    <definedName name="Data_ToelageDirecteurVastVrij283">Data!$AG$285</definedName>
    <definedName name="Data_ToelageDirecteurVastVrij284">Data!$AG$286</definedName>
    <definedName name="Data_ToelageDirecteurVastVrij285">Data!$AG$287</definedName>
    <definedName name="Data_ToelageDirecteurVastVrij286">Data!$AG$288</definedName>
    <definedName name="Data_ToelageDirecteurVastVrij287">Data!$AG$289</definedName>
    <definedName name="Data_ToelageDirecteurVastVrij288">Data!$AG$290</definedName>
    <definedName name="Data_ToelageDirecteurVastVrij289">Data!$AG$291</definedName>
    <definedName name="Data_ToelageDirecteurVastVrij290">Data!$AG$292</definedName>
    <definedName name="Data_ToelageDirecteurVastVrij291">Data!$AG$293</definedName>
    <definedName name="Data_ToelageDirecteurVastVrij292">Data!$AG$294</definedName>
    <definedName name="Data_ToelageDirecteurVastVrij293">Data!$AG$295</definedName>
    <definedName name="Data_ToelageDirecteurVastVrij294">Data!$AG$296</definedName>
    <definedName name="Data_ToelageDirecteurVastVrij295">Data!$AG$297</definedName>
    <definedName name="Data_ToelageDirecteurVastVrij296">Data!$AG$298</definedName>
    <definedName name="Data_ToelageDirecteurVastVrij297">Data!$AG$299</definedName>
    <definedName name="Data_ToelageDirecteurVastVrij298">Data!$AG$300</definedName>
    <definedName name="Data_ToelageDirecteurVastVrij299">Data!$AG$301</definedName>
    <definedName name="Data_ToelageDirecteurVastVrij300">Data!$AG$302</definedName>
    <definedName name="Data_ToelageDirecteurVastVrij301">Data!$AG$303</definedName>
    <definedName name="Data_ToelageDirecteurVastVrij302">Data!$AG$304</definedName>
    <definedName name="Data_ToelageDirecteurVastVrij303">Data!$AG$305</definedName>
    <definedName name="Data_ToelageDirecteurVastVrij304">Data!$AG$306</definedName>
    <definedName name="Data_ToelageDirecteurVastVrij305">Data!$AG$307</definedName>
    <definedName name="Data_ToelageDirecteurVastVrij306">Data!$AG$308</definedName>
    <definedName name="Data_ToelageDirecteurVastVrij307">Data!$AG$309</definedName>
    <definedName name="Data_ToelageDirecteurVastVrij308">Data!$AG$310</definedName>
    <definedName name="Data_ToelageDirecteurVastVrij309">Data!$AG$311</definedName>
    <definedName name="Data_ToelageDirecteurVastVrij310">Data!$AG$312</definedName>
    <definedName name="Data_ToelageDirecteurVastVrij311">Data!$AG$313</definedName>
    <definedName name="Data_ToelageDirecteurVastVrij312">Data!$AG$314</definedName>
    <definedName name="Data_ToelageDirecteurVastVrij313">Data!$AG$315</definedName>
    <definedName name="Data_ToelageDirecteurVastVrij314">Data!$AG$316</definedName>
    <definedName name="Data_ToelageDirecteurVastVrij315">Data!$AG$317</definedName>
    <definedName name="Data_ToelageDirecteurVastVrij316">Data!$AG$318</definedName>
    <definedName name="Data_ToelageDirecteurVastVrij317">Data!$AG$319</definedName>
    <definedName name="Data_ToelageDirecteurVastVrij318">Data!$AG$320</definedName>
    <definedName name="Data_ToelageDirecteurVastVrij319">Data!$AG$321</definedName>
    <definedName name="Data_ToelageDirecteurVastVrij320">Data!$AG$322</definedName>
    <definedName name="Data_ToelageDirecteurVastVrij321">Data!$AG$323</definedName>
    <definedName name="Data_ToelageDirecteurVastVrij322">Data!$AG$324</definedName>
    <definedName name="Data_ToelageDirecteurVastVrij323">Data!$AG$325</definedName>
    <definedName name="Data_ToelageDirecteurVastVrij324">Data!$AG$326</definedName>
    <definedName name="Data_ToelageDirecteurVastVrij325">Data!$AG$327</definedName>
    <definedName name="Data_ToelageDirecteurVastVrij326">Data!$AG$328</definedName>
    <definedName name="Data_ToelageDirecteurVastVrij327">Data!$AG$329</definedName>
    <definedName name="Data_ToelageDirecteurVastVrij328">Data!$AG$330</definedName>
    <definedName name="Data_ToelageDirecteurVastVrij329">Data!$AG$331</definedName>
    <definedName name="Data_ToelageDirecteurVastVrij330">Data!$AG$332</definedName>
    <definedName name="Data_ToelageDirecteurVastVrij331">Data!$AG$333</definedName>
    <definedName name="Data_ToelageDirecteurVastVrij332">Data!$AG$334</definedName>
    <definedName name="Data_ToelageDirecteurVastVrij333">Data!$AG$335</definedName>
    <definedName name="Data_ToelageDirecteurVastVrij334">Data!$AG$336</definedName>
    <definedName name="Data_ToelageDirecteurVastVrij335">Data!$AG$337</definedName>
    <definedName name="Data_ToelageDirecteurVastVrij336">Data!$AG$338</definedName>
    <definedName name="Data_ToelageDirecteurVastVrij337">Data!$AG$339</definedName>
    <definedName name="Data_ToelageDirecteurVastVrij338">Data!$AG$340</definedName>
    <definedName name="Data_ToelageDirecteurVastVrij339">Data!$AG$341</definedName>
    <definedName name="Data_ToelageDirecteurVastVrij340">Data!$AG$342</definedName>
    <definedName name="Data_ToelageDirecteurVastVrij341">Data!$AG$343</definedName>
    <definedName name="Data_ToelageDirecteurVastVrij342">Data!$AG$344</definedName>
    <definedName name="Data_ToelageDirecteurVastVrij343">Data!$AG$345</definedName>
    <definedName name="Data_ToelageDirecteurVastVrij344">Data!$AG$346</definedName>
    <definedName name="Data_ToelageDirecteurVastVrij345">Data!$AG$347</definedName>
    <definedName name="Data_ToelageDirecteurVastVrij346">Data!$AG$348</definedName>
    <definedName name="Data_ToelageDirecteurVastVrij347">Data!$AG$349</definedName>
    <definedName name="Data_ToelageDirecteurVastVrij348">Data!$AG$350</definedName>
    <definedName name="Data_ToelageDirecteurVastVrij349">Data!$AG$351</definedName>
    <definedName name="Data_ToelageDirecteurVastVrij350">Data!$AG$352</definedName>
    <definedName name="Data_ToelageDirecteurVastVrij351">Data!$AG$353</definedName>
    <definedName name="Data_ToelageDirecteurVastVrij352">Data!$AG$354</definedName>
    <definedName name="Data_ToelageDirecteurVastVrij353">Data!$AG$355</definedName>
    <definedName name="Data_ToelageDirecteurVastVrij354">Data!$AG$356</definedName>
    <definedName name="Data_ToelageDirecteurVastVrij355">Data!$AG$357</definedName>
    <definedName name="Data_ToelageDirecteurVastVrij356">Data!$AG$358</definedName>
    <definedName name="Data_ToelageDirecteurVastVrij357">Data!$AG$359</definedName>
    <definedName name="Data_ToelageDirecteurVastVrij358">Data!$AG$360</definedName>
    <definedName name="Data_ToelageDirecteurVastVrij359">Data!$AG$361</definedName>
    <definedName name="Data_ToelageDirecteurVastVrij360">Data!$AG$362</definedName>
    <definedName name="Data_ToelageDirecteurVastVrij361">Data!$AG$363</definedName>
    <definedName name="Data_ToelageDirecteurVastVrij362">Data!$AG$364</definedName>
    <definedName name="Data_ToelageDirecteurVastVrij363">Data!$AG$365</definedName>
    <definedName name="Data_ToelageDirecteurVastVrij364">Data!$AG$366</definedName>
    <definedName name="Data_ToelageDirecteurVastVrij365">Data!$AG$367</definedName>
    <definedName name="Data_ToelageDirecteurVastVrij366">Data!$AG$368</definedName>
    <definedName name="Data_ToelageDirecteurVastVrij367">Data!$AG$369</definedName>
    <definedName name="Data_ToelageDirecteurVastVrij368">Data!$AG$370</definedName>
    <definedName name="Data_ToelageDirecteurVastVrij369">Data!$AG$371</definedName>
    <definedName name="Data_ToelageDirecteurVastVrij370">Data!$AG$372</definedName>
    <definedName name="Data_ToelageDirecteurVastVrij371">Data!$AG$373</definedName>
    <definedName name="Data_ToelageDirecteurVastVrij372">Data!$AG$374</definedName>
    <definedName name="Data_ToelageDirecteurVastVrij373">Data!$AG$375</definedName>
    <definedName name="Data_ToelageDirecteurVastVrij374">Data!$AG$376</definedName>
    <definedName name="Data_ToelageDirecteurVastVrij375">Data!$AG$377</definedName>
    <definedName name="Data_ToelageDirecteurVastVrij376">Data!$AG$378</definedName>
    <definedName name="Data_ToelageDirecteurVastVrij377">Data!$AG$379</definedName>
    <definedName name="Data_ToelageDirecteurVastVrij378">Data!$AG$380</definedName>
    <definedName name="Data_ToelageDirecteurVastVrij379">Data!$AG$381</definedName>
    <definedName name="Data_ToelageDirecteurVastVrij380">Data!$AG$382</definedName>
    <definedName name="Data_ToelageDirecteurVastVrij381">Data!$AG$383</definedName>
    <definedName name="Data_ToelageDirecteurVastVrij382">Data!$AG$384</definedName>
    <definedName name="Data_ToelageDirecteurVastVrij383">Data!$AG$385</definedName>
    <definedName name="Data_ToelageDirecteurVastVrij384">Data!$AG$386</definedName>
    <definedName name="Data_ToelageDirecteurVastVrij385">Data!$AG$387</definedName>
    <definedName name="Data_ToelageDirecteurVastVrij386">Data!$AG$388</definedName>
    <definedName name="Data_ToelageDirecteurVastVrij387">Data!$AG$389</definedName>
    <definedName name="Data_ToelageDirecteurVastVrij388">Data!$AG$390</definedName>
    <definedName name="Data_ToelageDirecteurVastVrij389">Data!$AG$391</definedName>
    <definedName name="Data_ToelageDirecteurVastVrij390">Data!$AG$392</definedName>
    <definedName name="Data_ToelageDirecteurVastVrij391">Data!$AG$393</definedName>
    <definedName name="Data_ToelageDirecteurVastVrij392">Data!$AG$394</definedName>
    <definedName name="Data_ToelageDirecteurVastVrij393">Data!$AG$395</definedName>
    <definedName name="Data_ToelageDirecteurVastVrij394">Data!$AG$396</definedName>
    <definedName name="Data_ToelageDirecteurVastVrij395">Data!$AG$397</definedName>
    <definedName name="Data_ToelageDirecteurVastVrij396">Data!$AG$398</definedName>
    <definedName name="Data_ToelageDirecteurVastVrij397">Data!$AG$399</definedName>
    <definedName name="Data_ToelageDirecteurVastVrij398">Data!$AG$400</definedName>
    <definedName name="Data_ToelageDirecteurVastVrij399">Data!$AG$401</definedName>
    <definedName name="Data_ToelageDirecteurVastVrij400">Data!$AG$402</definedName>
    <definedName name="Data_ToelageDirecteurVastVrij401">Data!$AG$403</definedName>
    <definedName name="Data_ToelageDirecteurVastVrij402">Data!$AG$404</definedName>
    <definedName name="Data_ToelageDirecteurVastVrij403">Data!$AG$405</definedName>
    <definedName name="Data_ToelageDirecteurVastVrij404">Data!$AG$406</definedName>
    <definedName name="Data_ToelageDirecteurVastVrij405">Data!$AG$407</definedName>
    <definedName name="Data_ToelageDirecteurVastVrij406">Data!$AG$408</definedName>
    <definedName name="Data_ToelageDirecteurVastVrij407">Data!$AG$409</definedName>
    <definedName name="Data_ToelageDirecteurVastVrij408">Data!$AG$410</definedName>
    <definedName name="Data_ToelageDirecteurVastVrij409">Data!$AG$411</definedName>
    <definedName name="Data_ToelageDirecteurVastVrij410">Data!$AG$412</definedName>
    <definedName name="Data_ToelageDirecteurVastVrij411">Data!$AG$413</definedName>
    <definedName name="Data_ToelageDirecteurVastVrij412">Data!$AG$414</definedName>
    <definedName name="Data_ToelageDirecteurVastVrij413">Data!$AG$415</definedName>
    <definedName name="Data_ToelageDirecteurVastVrij414">Data!$AG$416</definedName>
    <definedName name="Data_ToelageDirecteurVastVrij415">Data!$AG$417</definedName>
    <definedName name="Data_ToelageDirecteurVastVrij416">Data!$AG$418</definedName>
    <definedName name="Data_ToelageDirecteurVastVrij417">Data!$AG$419</definedName>
    <definedName name="Data_ToelageDirecteurVastVrij418">Data!$AG$420</definedName>
    <definedName name="Data_ToelageDirecteurVastVrij419">Data!$AG$421</definedName>
    <definedName name="Data_ToelageDirecteurVastVrij420">Data!$AG$422</definedName>
    <definedName name="Data_ToelageDirecteurVastVrij421">Data!$AG$423</definedName>
    <definedName name="Data_ToelageDirecteurVastVrij422">Data!$AG$424</definedName>
    <definedName name="Data_ToelageDirecteurVastVrij423">Data!$AG$425</definedName>
    <definedName name="Data_ToelageDirecteurVastVrij424">Data!$AG$426</definedName>
    <definedName name="Data_ToelageDirecteurVastVrij425">Data!$AG$427</definedName>
    <definedName name="Data_ToelageDirecteurVastVrij426">Data!$AG$428</definedName>
    <definedName name="Data_ToelageDirecteurVastVrij427">Data!$AG$429</definedName>
    <definedName name="Data_ToelageDirecteurVastVrij428">Data!$AG$430</definedName>
    <definedName name="Data_ToelageDirecteurVastVrij429">Data!$AG$431</definedName>
    <definedName name="Data_ToelageDirecteurVastVrij430">Data!$AG$432</definedName>
    <definedName name="Data_ToelageDirecteurVastVrij431">Data!$AG$433</definedName>
    <definedName name="Data_ToelageDirecteurVastVrij432">Data!$AG$434</definedName>
    <definedName name="Data_ToelageDirecteurVastVrij433">Data!$AG$435</definedName>
    <definedName name="Data_ToelageDirecteurVastVrij434">Data!$AG$436</definedName>
    <definedName name="Data_ToelageDirecteurVastVrij435">Data!$AG$437</definedName>
    <definedName name="Data_ToelageDirecteurVastVrij436">Data!$AG$438</definedName>
    <definedName name="Data_ToelageDirecteurVastVrij437">Data!$AG$439</definedName>
    <definedName name="Data_ToelageDirecteurVastVrij438">Data!$AG$440</definedName>
    <definedName name="Data_ToelageDirecteurVastVrij439">Data!$AG$441</definedName>
    <definedName name="Data_ToelageDirecteurVastVrij440">Data!$AG$442</definedName>
    <definedName name="Data_ToelageDirecteurVastVrij441">Data!$AG$443</definedName>
    <definedName name="Data_ToelageDirecteurVastVrij442">Data!$AG$444</definedName>
    <definedName name="Data_ToelageDirecteurVastVrij443">Data!$AG$445</definedName>
    <definedName name="Data_ToelageDirecteurVastVrij444">Data!$AG$446</definedName>
    <definedName name="Data_ToelageDirecteurVastVrij445">Data!$AG$447</definedName>
    <definedName name="Data_ToelageDirecteurVastVrij446">Data!$AG$448</definedName>
    <definedName name="Data_ToelageDirecteurVastVrij447">Data!$AG$449</definedName>
    <definedName name="Data_ToelageDirecteurVastVrij448">Data!$AG$450</definedName>
    <definedName name="Data_ToelageDirecteurVastVrij449">Data!$AG$451</definedName>
    <definedName name="Data_ToelageDirecteurVastVrij450">Data!$AG$452</definedName>
    <definedName name="Data_ToelageDirecteurVastVrij451">Data!$AG$453</definedName>
    <definedName name="Data_ToelageDirecteurVastVrij452">Data!$AG$454</definedName>
    <definedName name="Data_ToelageDirecteurVastVrij453">Data!$AG$455</definedName>
    <definedName name="Data_ToelageDirecteurVastVrij454">Data!$AG$456</definedName>
    <definedName name="Data_ToelageDirecteurVastVrij455">Data!$AG$457</definedName>
    <definedName name="Data_ToelageDirecteurVastVrij456">Data!$AG$458</definedName>
    <definedName name="Data_ToelageDirecteurVastVrij457">Data!$AG$459</definedName>
    <definedName name="Data_ToelageDirecteurVastVrij458">Data!$AG$460</definedName>
    <definedName name="Data_ToelageDirecteurVastVrij459">Data!$AG$461</definedName>
    <definedName name="Data_ToelageDirecteurVastVrij460">Data!$AG$462</definedName>
    <definedName name="Data_ToelageDirecteurVastVrij461">Data!$AG$463</definedName>
    <definedName name="Data_ToelageDirecteurVastVrij462">Data!$AG$464</definedName>
    <definedName name="Data_ToelageDirecteurVastVrij463">Data!$AG$465</definedName>
    <definedName name="Data_ToelageDirecteurVastVrij464">Data!$AG$466</definedName>
    <definedName name="Data_ToelageDirecteurVastVrij465">Data!$AG$467</definedName>
    <definedName name="Data_ToelageDirecteurVastVrij466">Data!$AG$468</definedName>
    <definedName name="Data_ToelageDirecteurVastVrij467">Data!$AG$469</definedName>
    <definedName name="Data_ToelageDirecteurVastVrij468">Data!$AG$470</definedName>
    <definedName name="Data_ToelageDirecteurVastVrij469">Data!$AG$471</definedName>
    <definedName name="Data_ToelageDirecteurVastVrij470">Data!$AG$472</definedName>
    <definedName name="Data_ToelageDirecteurVastVrij471">Data!$AG$473</definedName>
    <definedName name="Data_ToelageDirecteurVastVrij472">Data!$AG$474</definedName>
    <definedName name="Data_ToelageDirecteurVastVrij473">Data!$AG$475</definedName>
    <definedName name="Data_ToelageDirecteurVastVrij474">Data!$AG$476</definedName>
    <definedName name="Data_ToelageDirecteurVastVrij475">Data!$AG$477</definedName>
    <definedName name="Data_ToelageDirecteurVastVrij476">Data!$AG$478</definedName>
    <definedName name="Data_ToelageDirecteurVastVrij477">Data!$AG$479</definedName>
    <definedName name="Data_ToelageDirecteurVastVrij478">Data!$AG$480</definedName>
    <definedName name="Data_ToelageDirecteurVastVrij479">Data!$AG$481</definedName>
    <definedName name="Data_ToelageDirecteurVastVrij480">Data!$AG$482</definedName>
    <definedName name="Data_ToelageDirecteurVastVrij481">Data!$AG$483</definedName>
    <definedName name="Data_ToelageDirecteurVastVrij482">Data!$AG$484</definedName>
    <definedName name="Data_ToelageDirecteurVastVrij483">Data!$AG$485</definedName>
    <definedName name="Data_ToelageDirecteurVastVrij484">Data!$AG$486</definedName>
    <definedName name="Data_ToelageDirecteurVastVrij485">Data!$AG$487</definedName>
    <definedName name="Data_ToelageDirecteurVastVrij486">Data!$AG$488</definedName>
    <definedName name="Data_ToelageDirecteurVastVrij487">Data!$AG$489</definedName>
    <definedName name="Data_ToelageDirecteurVastVrij488">Data!$AG$490</definedName>
    <definedName name="Data_ToelageDirecteurVastVrij489">Data!$AG$491</definedName>
    <definedName name="Data_ToelageDirecteurVastVrij490">Data!$AG$492</definedName>
    <definedName name="Data_ToelageDirecteurVastVrij491">Data!$AG$493</definedName>
    <definedName name="Data_ToelageDirecteurVastVrij492">Data!$AG$494</definedName>
    <definedName name="Data_ToelageDirecteurVastVrij493">Data!$AG$495</definedName>
    <definedName name="Data_ToelageDirecteurVastVrij494">Data!$AG$496</definedName>
    <definedName name="Data_ToelageDirecteurVastVrij495">Data!$AG$497</definedName>
    <definedName name="Data_ToelageDirecteurVastVrij496">Data!$AG$498</definedName>
    <definedName name="Data_ToelageDirecteurVastVrij497">Data!$AG$499</definedName>
    <definedName name="Data_ToelageDirecteurVastVrij498">Data!$AG$500</definedName>
    <definedName name="Data_ToelageDirecteurVastVrij499">Data!$AG$501</definedName>
    <definedName name="Data_ToelageDirecteurVastVrij500">Data!$AG$502</definedName>
    <definedName name="Data_TredeNatVerloop001">Data!$AX$3</definedName>
    <definedName name="Data_TredeNatVerloop002">Data!$AX$4</definedName>
    <definedName name="Data_TredeNatVerloop003">Data!$AX$5</definedName>
    <definedName name="Data_TredeNatVerloop004">Data!$AX$6</definedName>
    <definedName name="Data_TredeNatVerloop005">Data!$AX$7</definedName>
    <definedName name="Data_TredeNatVerloop006">Data!$AX$8</definedName>
    <definedName name="Data_TredeNatVerloop007">Data!$AX$9</definedName>
    <definedName name="Data_TredeNatVerloop008">Data!$AX$10</definedName>
    <definedName name="Data_TredeNatVerloop009">Data!$AX$11</definedName>
    <definedName name="Data_TredeNatVerloop010">Data!$AX$12</definedName>
    <definedName name="Data_TredeNatVerloop011">Data!$AX$13</definedName>
    <definedName name="Data_TredeNatVerloop012">Data!$AX$14</definedName>
    <definedName name="Data_TredeNatVerloop013">Data!$AX$15</definedName>
    <definedName name="Data_TredeNatVerloop014">Data!$AX$16</definedName>
    <definedName name="Data_TredeNatVerloop015">Data!$AX$17</definedName>
    <definedName name="Data_TredeNatVerloop016">Data!$AX$18</definedName>
    <definedName name="Data_TredeNatVerloop017">Data!$AX$19</definedName>
    <definedName name="Data_TredeNatVerloop018">Data!$AX$20</definedName>
    <definedName name="Data_TredeNatVerloop019">Data!$AX$21</definedName>
    <definedName name="Data_TredeNatVerloop020">Data!$AX$22</definedName>
    <definedName name="Data_TredeNatVerloop021">Data!$AX$23</definedName>
    <definedName name="Data_TredeNatVerloop022">Data!$AX$24</definedName>
    <definedName name="Data_TredeNatVerloop023">Data!$AX$25</definedName>
    <definedName name="Data_TredeNatVerloop024">Data!$AX$26</definedName>
    <definedName name="Data_TredeNatVerloop025">Data!$AX$27</definedName>
    <definedName name="Data_TredeNatVerloop026">Data!$AX$28</definedName>
    <definedName name="Data_TredeNatVerloop027">Data!$AX$29</definedName>
    <definedName name="Data_TredeNatVerloop028">Data!$AX$30</definedName>
    <definedName name="Data_TredeNatVerloop029">Data!$AX$31</definedName>
    <definedName name="Data_TredeNatVerloop030">Data!$AX$32</definedName>
    <definedName name="Data_TredeNatVerloop031">Data!$AX$33</definedName>
    <definedName name="Data_TredeNatVerloop032">Data!$AX$34</definedName>
    <definedName name="Data_TredeNatVerloop033">Data!$AX$35</definedName>
    <definedName name="Data_TredeNatVerloop034">Data!$AX$36</definedName>
    <definedName name="Data_TredeNatVerloop035">Data!$AX$37</definedName>
    <definedName name="Data_TredeNatVerloop036">Data!$AX$38</definedName>
    <definedName name="Data_TredeNatVerloop037">Data!$AX$39</definedName>
    <definedName name="Data_TredeNatVerloop038">Data!$AX$40</definedName>
    <definedName name="Data_TredeNatVerloop039">Data!$AX$41</definedName>
    <definedName name="Data_TredeNatVerloop040">Data!$AX$42</definedName>
    <definedName name="Data_TredeNatVerloop041">Data!$AX$43</definedName>
    <definedName name="Data_TredeNatVerloop042">Data!$AX$44</definedName>
    <definedName name="Data_TredeNatVerloop043">Data!$AX$45</definedName>
    <definedName name="Data_TredeNatVerloop044">Data!$AX$46</definedName>
    <definedName name="Data_TredeNatVerloop045">Data!$AX$47</definedName>
    <definedName name="Data_TredeNatVerloop046">Data!$AX$48</definedName>
    <definedName name="Data_TredeNatVerloop047">Data!$AX$49</definedName>
    <definedName name="Data_TredeNatVerloop048">Data!$AX$50</definedName>
    <definedName name="Data_TredeNatVerloop049">Data!$AX$51</definedName>
    <definedName name="Data_TredeNatVerloop050">Data!$AX$52</definedName>
    <definedName name="Data_TredeNatVerloop051">Data!$AX$53</definedName>
    <definedName name="Data_TredeNatVerloop052">Data!$AX$54</definedName>
    <definedName name="Data_TredeNatVerloop053">Data!$AX$55</definedName>
    <definedName name="Data_TredeNatVerloop054">Data!$AX$56</definedName>
    <definedName name="Data_TredeNatVerloop055">Data!$AX$57</definedName>
    <definedName name="Data_TredeNatVerloop056">Data!$AX$58</definedName>
    <definedName name="Data_TredeNatVerloop057">Data!$AX$59</definedName>
    <definedName name="Data_TredeNatVerloop058">Data!$AX$60</definedName>
    <definedName name="Data_TredeNatVerloop059">Data!$AX$61</definedName>
    <definedName name="Data_TredeNatVerloop060">Data!$AX$62</definedName>
    <definedName name="Data_TredeNatVerloop061">Data!$AX$63</definedName>
    <definedName name="Data_TredeNatVerloop062">Data!$AX$64</definedName>
    <definedName name="Data_TredeNatVerloop063">Data!$AX$65</definedName>
    <definedName name="Data_TredeNatVerloop064">Data!$AX$66</definedName>
    <definedName name="Data_TredeNatVerloop065">Data!$AX$67</definedName>
    <definedName name="Data_TredeNatVerloop066">Data!$AX$68</definedName>
    <definedName name="Data_TredeNatVerloop067">Data!$AX$69</definedName>
    <definedName name="Data_TredeNatVerloop068">Data!$AX$70</definedName>
    <definedName name="Data_TredeNatVerloop069">Data!$AX$71</definedName>
    <definedName name="Data_TredeNatVerloop070">Data!$AX$72</definedName>
    <definedName name="Data_TredeNatVerloop071">Data!$AX$73</definedName>
    <definedName name="Data_TredeNatVerloop072">Data!$AX$74</definedName>
    <definedName name="Data_TredeNatVerloop073">Data!$AX$75</definedName>
    <definedName name="Data_TredeNatVerloop074">Data!$AX$76</definedName>
    <definedName name="Data_TredeNatVerloop075">Data!$AX$77</definedName>
    <definedName name="Data_TredeNatVerloop076">Data!$AX$78</definedName>
    <definedName name="Data_TredeNatVerloop077">Data!$AX$79</definedName>
    <definedName name="Data_TredeNatVerloop078">Data!$AX$80</definedName>
    <definedName name="Data_TredeNatVerloop079">Data!$AX$81</definedName>
    <definedName name="Data_TredeNatVerloop080">Data!$AX$82</definedName>
    <definedName name="Data_TredeNatVerloop081">Data!$AX$83</definedName>
    <definedName name="Data_TredeNatVerloop082">Data!$AX$84</definedName>
    <definedName name="Data_TredeNatVerloop083">Data!$AX$85</definedName>
    <definedName name="Data_TredeNatVerloop084">Data!$AX$86</definedName>
    <definedName name="Data_TredeNatVerloop085">Data!$AX$87</definedName>
    <definedName name="Data_TredeNatVerloop086">Data!$AX$88</definedName>
    <definedName name="Data_TredeNatVerloop087">Data!$AX$89</definedName>
    <definedName name="Data_TredeNatVerloop088">Data!$AX$90</definedName>
    <definedName name="Data_TredeNatVerloop089">Data!$AX$91</definedName>
    <definedName name="Data_TredeNatVerloop090">Data!$AX$92</definedName>
    <definedName name="Data_TredeNatVerloop091">Data!$AX$93</definedName>
    <definedName name="Data_TredeNatVerloop092">Data!$AX$94</definedName>
    <definedName name="Data_TredeNatVerloop093">Data!$AX$95</definedName>
    <definedName name="Data_TredeNatVerloop094">Data!$AX$96</definedName>
    <definedName name="Data_TredeNatVerloop095">Data!$AX$97</definedName>
    <definedName name="Data_TredeNatVerloop096">Data!$AX$98</definedName>
    <definedName name="Data_TredeNatVerloop097">Data!$AX$99</definedName>
    <definedName name="Data_TredeNatVerloop098">Data!$AX$100</definedName>
    <definedName name="Data_TredeNatVerloop099">Data!$AX$101</definedName>
    <definedName name="Data_TredeNatVerloop100">Data!$AX$102</definedName>
    <definedName name="Data_TredeNatVerloop101">Data!$AX$103</definedName>
    <definedName name="Data_TredeNatVerloop102">Data!$AX$104</definedName>
    <definedName name="Data_TredeNatVerloop103">Data!$AX$105</definedName>
    <definedName name="Data_TredeNatVerloop104">Data!$AX$106</definedName>
    <definedName name="Data_TredeNatVerloop105">Data!$AX$107</definedName>
    <definedName name="Data_TredeNatVerloop106">Data!$AX$108</definedName>
    <definedName name="Data_TredeNatVerloop107">Data!$AX$109</definedName>
    <definedName name="Data_TredeNatVerloop108">Data!$AX$110</definedName>
    <definedName name="Data_TredeNatVerloop109">Data!$AX$111</definedName>
    <definedName name="Data_TredeNatVerloop110">Data!$AX$112</definedName>
    <definedName name="Data_TredeNatVerloop111">Data!$AX$113</definedName>
    <definedName name="Data_TredeNatVerloop112">Data!$AX$114</definedName>
    <definedName name="Data_TredeNatVerloop113">Data!$AX$115</definedName>
    <definedName name="Data_TredeNatVerloop114">Data!$AX$116</definedName>
    <definedName name="Data_TredeNatVerloop115">Data!$AX$117</definedName>
    <definedName name="Data_TredeNatVerloop116">Data!$AX$118</definedName>
    <definedName name="Data_TredeNatVerloop117">Data!$AX$119</definedName>
    <definedName name="Data_TredeNatVerloop118">Data!$AX$120</definedName>
    <definedName name="Data_TredeNatVerloop119">Data!$AX$121</definedName>
    <definedName name="Data_TredeNatVerloop120">Data!$AX$122</definedName>
    <definedName name="Data_TredeNatVerloop121">Data!$AX$123</definedName>
    <definedName name="Data_TredeNatVerloop122">Data!$AX$124</definedName>
    <definedName name="Data_TredeNatVerloop123">Data!$AX$125</definedName>
    <definedName name="Data_TredeNatVerloop124">Data!$AX$126</definedName>
    <definedName name="Data_TredeNatVerloop125">Data!$AX$127</definedName>
    <definedName name="Data_TredeNatVerloop126">Data!$AX$128</definedName>
    <definedName name="Data_TredeNatVerloop127">Data!$AX$129</definedName>
    <definedName name="Data_TredeNatVerloop128">Data!$AX$130</definedName>
    <definedName name="Data_TredeNatVerloop129">Data!$AX$131</definedName>
    <definedName name="Data_TredeNatVerloop130">Data!$AX$132</definedName>
    <definedName name="Data_TredeNatVerloop131">Data!$AX$133</definedName>
    <definedName name="Data_TredeNatVerloop132">Data!$AX$134</definedName>
    <definedName name="Data_TredeNatVerloop133">Data!$AX$135</definedName>
    <definedName name="Data_TredeNatVerloop134">Data!$AX$136</definedName>
    <definedName name="Data_TredeNatVerloop135">Data!$AX$137</definedName>
    <definedName name="Data_TredeNatVerloop136">Data!$AX$138</definedName>
    <definedName name="Data_TredeNatVerloop137">Data!$AX$139</definedName>
    <definedName name="Data_TredeNatVerloop138">Data!$AX$140</definedName>
    <definedName name="Data_TredeNatVerloop139">Data!$AX$141</definedName>
    <definedName name="Data_TredeNatVerloop140">Data!$AX$142</definedName>
    <definedName name="Data_TredeNatVerloop141">Data!$AX$143</definedName>
    <definedName name="Data_TredeNatVerloop142">Data!$AX$144</definedName>
    <definedName name="Data_TredeNatVerloop143">Data!$AX$145</definedName>
    <definedName name="Data_TredeNatVerloop144">Data!$AX$146</definedName>
    <definedName name="Data_TredeNatVerloop145">Data!$AX$147</definedName>
    <definedName name="Data_TredeNatVerloop146">Data!$AX$148</definedName>
    <definedName name="Data_TredeNatVerloop147">Data!$AX$149</definedName>
    <definedName name="Data_TredeNatVerloop148">Data!$AX$150</definedName>
    <definedName name="Data_TredeNatVerloop149">Data!$AX$151</definedName>
    <definedName name="Data_TredeNatVerloop150">Data!$AX$152</definedName>
    <definedName name="Data_TredeNatVerloop151">Data!$AX$153</definedName>
    <definedName name="Data_TredeNatVerloop152">Data!$AX$154</definedName>
    <definedName name="Data_TredeNatVerloop153">Data!$AX$155</definedName>
    <definedName name="Data_TredeNatVerloop154">Data!$AX$156</definedName>
    <definedName name="Data_TredeNatVerloop155">Data!$AX$157</definedName>
    <definedName name="Data_TredeNatVerloop156">Data!$AX$158</definedName>
    <definedName name="Data_TredeNatVerloop157">Data!$AX$159</definedName>
    <definedName name="Data_TredeNatVerloop158">Data!$AX$160</definedName>
    <definedName name="Data_TredeNatVerloop159">Data!$AX$161</definedName>
    <definedName name="Data_TredeNatVerloop160">Data!$AX$162</definedName>
    <definedName name="Data_TredeNatVerloop161">Data!$AX$163</definedName>
    <definedName name="Data_TredeNatVerloop162">Data!$AX$164</definedName>
    <definedName name="Data_TredeNatVerloop163">Data!$AX$165</definedName>
    <definedName name="Data_TredeNatVerloop164">Data!$AX$166</definedName>
    <definedName name="Data_TredeNatVerloop165">Data!$AX$167</definedName>
    <definedName name="Data_TredeNatVerloop166">Data!$AX$168</definedName>
    <definedName name="Data_TredeNatVerloop167">Data!$AX$169</definedName>
    <definedName name="Data_TredeNatVerloop168">Data!$AX$170</definedName>
    <definedName name="Data_TredeNatVerloop169">Data!$AX$171</definedName>
    <definedName name="Data_TredeNatVerloop170">Data!$AX$172</definedName>
    <definedName name="Data_TredeNatVerloop171">Data!$AX$173</definedName>
    <definedName name="Data_TredeNatVerloop172">Data!$AX$174</definedName>
    <definedName name="Data_TredeNatVerloop173">Data!$AX$175</definedName>
    <definedName name="Data_TredeNatVerloop174">Data!$AX$176</definedName>
    <definedName name="Data_TredeNatVerloop175">Data!$AX$177</definedName>
    <definedName name="Data_TredeNatVerloop176">Data!$AX$178</definedName>
    <definedName name="Data_TredeNatVerloop177">Data!$AX$179</definedName>
    <definedName name="Data_TredeNatVerloop178">Data!$AX$180</definedName>
    <definedName name="Data_TredeNatVerloop179">Data!$AX$181</definedName>
    <definedName name="Data_TredeNatVerloop180">Data!$AX$182</definedName>
    <definedName name="Data_TredeNatVerloop181">Data!$AX$183</definedName>
    <definedName name="Data_TredeNatVerloop182">Data!$AX$184</definedName>
    <definedName name="Data_TredeNatVerloop183">Data!$AX$185</definedName>
    <definedName name="Data_TredeNatVerloop184">Data!$AX$186</definedName>
    <definedName name="Data_TredeNatVerloop185">Data!$AX$187</definedName>
    <definedName name="Data_TredeNatVerloop186">Data!$AX$188</definedName>
    <definedName name="Data_TredeNatVerloop187">Data!$AX$189</definedName>
    <definedName name="Data_TredeNatVerloop188">Data!$AX$190</definedName>
    <definedName name="Data_TredeNatVerloop189">Data!$AX$191</definedName>
    <definedName name="Data_TredeNatVerloop190">Data!$AX$192</definedName>
    <definedName name="Data_TredeNatVerloop191">Data!$AX$193</definedName>
    <definedName name="Data_TredeNatVerloop192">Data!$AX$194</definedName>
    <definedName name="Data_TredeNatVerloop193">Data!$AX$195</definedName>
    <definedName name="Data_TredeNatVerloop194">Data!$AX$196</definedName>
    <definedName name="Data_TredeNatVerloop195">Data!$AX$197</definedName>
    <definedName name="Data_TredeNatVerloop196">Data!$AX$198</definedName>
    <definedName name="Data_TredeNatVerloop197">Data!$AX$199</definedName>
    <definedName name="Data_TredeNatVerloop198">Data!$AX$200</definedName>
    <definedName name="Data_TredeNatVerloop199">Data!$AX$201</definedName>
    <definedName name="Data_TredeNatVerloop200">Data!$AX$202</definedName>
    <definedName name="Data_TredeNatVerloop201">Data!$AX$203</definedName>
    <definedName name="Data_TredeNatVerloop202">Data!$AX$204</definedName>
    <definedName name="Data_TredeNatVerloop203">Data!$AX$205</definedName>
    <definedName name="Data_TredeNatVerloop204">Data!$AX$206</definedName>
    <definedName name="Data_TredeNatVerloop205">Data!$AX$207</definedName>
    <definedName name="Data_TredeNatVerloop206">Data!$AX$208</definedName>
    <definedName name="Data_TredeNatVerloop207">Data!$AX$209</definedName>
    <definedName name="Data_TredeNatVerloop208">Data!$AX$210</definedName>
    <definedName name="Data_TredeNatVerloop209">Data!$AX$211</definedName>
    <definedName name="Data_TredeNatVerloop210">Data!$AX$212</definedName>
    <definedName name="Data_TredeNatVerloop211">Data!$AX$213</definedName>
    <definedName name="Data_TredeNatVerloop212">Data!$AX$214</definedName>
    <definedName name="Data_TredeNatVerloop213">Data!$AX$215</definedName>
    <definedName name="Data_TredeNatVerloop214">Data!$AX$216</definedName>
    <definedName name="Data_TredeNatVerloop215">Data!$AX$217</definedName>
    <definedName name="Data_TredeNatVerloop216">Data!$AX$218</definedName>
    <definedName name="Data_TredeNatVerloop217">Data!$AX$219</definedName>
    <definedName name="Data_TredeNatVerloop218">Data!$AX$220</definedName>
    <definedName name="Data_TredeNatVerloop219">Data!$AX$221</definedName>
    <definedName name="Data_TredeNatVerloop220">Data!$AX$222</definedName>
    <definedName name="Data_TredeNatVerloop221">Data!$AX$223</definedName>
    <definedName name="Data_TredeNatVerloop222">Data!$AX$224</definedName>
    <definedName name="Data_TredeNatVerloop223">Data!$AX$225</definedName>
    <definedName name="Data_TredeNatVerloop224">Data!$AX$226</definedName>
    <definedName name="Data_TredeNatVerloop225">Data!$AX$227</definedName>
    <definedName name="Data_TredeNatVerloop226">Data!$AX$228</definedName>
    <definedName name="Data_TredeNatVerloop227">Data!$AX$229</definedName>
    <definedName name="Data_TredeNatVerloop228">Data!$AX$230</definedName>
    <definedName name="Data_TredeNatVerloop229">Data!$AX$231</definedName>
    <definedName name="Data_TredeNatVerloop230">Data!$AX$232</definedName>
    <definedName name="Data_TredeNatVerloop231">Data!$AX$233</definedName>
    <definedName name="Data_TredeNatVerloop232">Data!$AX$234</definedName>
    <definedName name="Data_TredeNatVerloop233">Data!$AX$235</definedName>
    <definedName name="Data_TredeNatVerloop234">Data!$AX$236</definedName>
    <definedName name="Data_TredeNatVerloop235">Data!$AX$237</definedName>
    <definedName name="Data_TredeNatVerloop236">Data!$AX$238</definedName>
    <definedName name="Data_TredeNatVerloop237">Data!$AX$239</definedName>
    <definedName name="Data_TredeNatVerloop238">Data!$AX$240</definedName>
    <definedName name="Data_TredeNatVerloop239">Data!$AX$241</definedName>
    <definedName name="Data_TredeNatVerloop240">Data!$AX$242</definedName>
    <definedName name="Data_TredeNatVerloop241">Data!$AX$243</definedName>
    <definedName name="Data_TredeNatVerloop242">Data!$AX$244</definedName>
    <definedName name="Data_TredeNatVerloop243">Data!$AX$245</definedName>
    <definedName name="Data_TredeNatVerloop244">Data!$AX$246</definedName>
    <definedName name="Data_TredeNatVerloop245">Data!$AX$247</definedName>
    <definedName name="Data_TredeNatVerloop246">Data!$AX$248</definedName>
    <definedName name="Data_TredeNatVerloop247">Data!$AX$249</definedName>
    <definedName name="Data_TredeNatVerloop248">Data!$AX$250</definedName>
    <definedName name="Data_TredeNatVerloop249">Data!$AX$251</definedName>
    <definedName name="Data_TredeNatVerloop250">Data!$AX$252</definedName>
    <definedName name="Data_TredeNatVerloop251">Data!$AX$253</definedName>
    <definedName name="Data_TredeNatVerloop252">Data!$AX$254</definedName>
    <definedName name="Data_TredeNatVerloop253">Data!$AX$255</definedName>
    <definedName name="Data_TredeNatVerloop254">Data!$AX$256</definedName>
    <definedName name="Data_TredeNatVerloop255">Data!$AX$257</definedName>
    <definedName name="Data_TredeNatVerloop256">Data!$AX$258</definedName>
    <definedName name="Data_TredeNatVerloop257">Data!$AX$259</definedName>
    <definedName name="Data_TredeNatVerloop258">Data!$AX$260</definedName>
    <definedName name="Data_TredeNatVerloop259">Data!$AX$261</definedName>
    <definedName name="Data_TredeNatVerloop260">Data!$AX$262</definedName>
    <definedName name="Data_TredeNatVerloop261">Data!$AX$263</definedName>
    <definedName name="Data_TredeNatVerloop262">Data!$AX$264</definedName>
    <definedName name="Data_TredeNatVerloop263">Data!$AX$265</definedName>
    <definedName name="Data_TredeNatVerloop264">Data!$AX$266</definedName>
    <definedName name="Data_TredeNatVerloop265">Data!$AX$267</definedName>
    <definedName name="Data_TredeNatVerloop266">Data!$AX$268</definedName>
    <definedName name="Data_TredeNatVerloop267">Data!$AX$269</definedName>
    <definedName name="Data_TredeNatVerloop268">Data!$AX$270</definedName>
    <definedName name="Data_TredeNatVerloop269">Data!$AX$271</definedName>
    <definedName name="Data_TredeNatVerloop270">Data!$AX$272</definedName>
    <definedName name="Data_TredeNatVerloop271">Data!$AX$273</definedName>
    <definedName name="Data_TredeNatVerloop272">Data!$AX$274</definedName>
    <definedName name="Data_TredeNatVerloop273">Data!$AX$275</definedName>
    <definedName name="Data_TredeNatVerloop274">Data!$AX$276</definedName>
    <definedName name="Data_TredeNatVerloop275">Data!$AX$277</definedName>
    <definedName name="Data_TredeNatVerloop276">Data!$AX$278</definedName>
    <definedName name="Data_TredeNatVerloop277">Data!$AX$279</definedName>
    <definedName name="Data_TredeNatVerloop278">Data!$AX$280</definedName>
    <definedName name="Data_TredeNatVerloop279">Data!$AX$281</definedName>
    <definedName name="Data_TredeNatVerloop280">Data!$AX$282</definedName>
    <definedName name="Data_TredeNatVerloop281">Data!$AX$283</definedName>
    <definedName name="Data_TredeNatVerloop282">Data!$AX$284</definedName>
    <definedName name="Data_TredeNatVerloop283">Data!$AX$285</definedName>
    <definedName name="Data_TredeNatVerloop284">Data!$AX$286</definedName>
    <definedName name="Data_TredeNatVerloop285">Data!$AX$287</definedName>
    <definedName name="Data_TredeNatVerloop286">Data!$AX$288</definedName>
    <definedName name="Data_TredeNatVerloop287">Data!$AX$289</definedName>
    <definedName name="Data_TredeNatVerloop288">Data!$AX$290</definedName>
    <definedName name="Data_TredeNatVerloop289">Data!$AX$291</definedName>
    <definedName name="Data_TredeNatVerloop290">Data!$AX$292</definedName>
    <definedName name="Data_TredeNatVerloop291">Data!$AX$293</definedName>
    <definedName name="Data_TredeNatVerloop292">Data!$AX$294</definedName>
    <definedName name="Data_TredeNatVerloop293">Data!$AX$295</definedName>
    <definedName name="Data_TredeNatVerloop294">Data!$AX$296</definedName>
    <definedName name="Data_TredeNatVerloop295">Data!$AX$297</definedName>
    <definedName name="Data_TredeNatVerloop296">Data!$AX$298</definedName>
    <definedName name="Data_TredeNatVerloop297">Data!$AX$299</definedName>
    <definedName name="Data_TredeNatVerloop298">Data!$AX$300</definedName>
    <definedName name="Data_TredeNatVerloop299">Data!$AX$301</definedName>
    <definedName name="Data_TredeNatVerloop300">Data!$AX$302</definedName>
    <definedName name="Data_TredeNatVerloop301">Data!$AX$303</definedName>
    <definedName name="Data_TredeNatVerloop302">Data!$AX$304</definedName>
    <definedName name="Data_TredeNatVerloop303">Data!$AX$305</definedName>
    <definedName name="Data_TredeNatVerloop304">Data!$AX$306</definedName>
    <definedName name="Data_TredeNatVerloop305">Data!$AX$307</definedName>
    <definedName name="Data_TredeNatVerloop306">Data!$AX$308</definedName>
    <definedName name="Data_TredeNatVerloop307">Data!$AX$309</definedName>
    <definedName name="Data_TredeNatVerloop308">Data!$AX$310</definedName>
    <definedName name="Data_TredeNatVerloop309">Data!$AX$311</definedName>
    <definedName name="Data_TredeNatVerloop310">Data!$AX$312</definedName>
    <definedName name="Data_TredeNatVerloop311">Data!$AX$313</definedName>
    <definedName name="Data_TredeNatVerloop312">Data!$AX$314</definedName>
    <definedName name="Data_TredeNatVerloop313">Data!$AX$315</definedName>
    <definedName name="Data_TredeNatVerloop314">Data!$AX$316</definedName>
    <definedName name="Data_TredeNatVerloop315">Data!$AX$317</definedName>
    <definedName name="Data_TredeNatVerloop316">Data!$AX$318</definedName>
    <definedName name="Data_TredeNatVerloop317">Data!$AX$319</definedName>
    <definedName name="Data_TredeNatVerloop318">Data!$AX$320</definedName>
    <definedName name="Data_TredeNatVerloop319">Data!$AX$321</definedName>
    <definedName name="Data_TredeNatVerloop320">Data!$AX$322</definedName>
    <definedName name="Data_TredeNatVerloop321">Data!$AX$323</definedName>
    <definedName name="Data_TredeNatVerloop322">Data!$AX$324</definedName>
    <definedName name="Data_TredeNatVerloop323">Data!$AX$325</definedName>
    <definedName name="Data_TredeNatVerloop324">Data!$AX$326</definedName>
    <definedName name="Data_TredeNatVerloop325">Data!$AX$327</definedName>
    <definedName name="Data_TredeNatVerloop326">Data!$AX$328</definedName>
    <definedName name="Data_TredeNatVerloop327">Data!$AX$329</definedName>
    <definedName name="Data_TredeNatVerloop328">Data!$AX$330</definedName>
    <definedName name="Data_TredeNatVerloop329">Data!$AX$331</definedName>
    <definedName name="Data_TredeNatVerloop330">Data!$AX$332</definedName>
    <definedName name="Data_TredeNatVerloop331">Data!$AX$333</definedName>
    <definedName name="Data_TredeNatVerloop332">Data!$AX$334</definedName>
    <definedName name="Data_TredeNatVerloop333">Data!$AX$335</definedName>
    <definedName name="Data_TredeNatVerloop334">Data!$AX$336</definedName>
    <definedName name="Data_TredeNatVerloop335">Data!$AX$337</definedName>
    <definedName name="Data_TredeNatVerloop336">Data!$AX$338</definedName>
    <definedName name="Data_TredeNatVerloop337">Data!$AX$339</definedName>
    <definedName name="Data_TredeNatVerloop338">Data!$AX$340</definedName>
    <definedName name="Data_TredeNatVerloop339">Data!$AX$341</definedName>
    <definedName name="Data_TredeNatVerloop340">Data!$AX$342</definedName>
    <definedName name="Data_TredeNatVerloop341">Data!$AX$343</definedName>
    <definedName name="Data_TredeNatVerloop342">Data!$AX$344</definedName>
    <definedName name="Data_TredeNatVerloop343">Data!$AX$345</definedName>
    <definedName name="Data_TredeNatVerloop344">Data!$AX$346</definedName>
    <definedName name="Data_TredeNatVerloop345">Data!$AX$347</definedName>
    <definedName name="Data_TredeNatVerloop346">Data!$AX$348</definedName>
    <definedName name="Data_TredeNatVerloop347">Data!$AX$349</definedName>
    <definedName name="Data_TredeNatVerloop348">Data!$AX$350</definedName>
    <definedName name="Data_TredeNatVerloop349">Data!$AX$351</definedName>
    <definedName name="Data_TredeNatVerloop350">Data!$AX$352</definedName>
    <definedName name="Data_TredeNatVerloop351">Data!$AX$353</definedName>
    <definedName name="Data_TredeNatVerloop352">Data!$AX$354</definedName>
    <definedName name="Data_TredeNatVerloop353">Data!$AX$355</definedName>
    <definedName name="Data_TredeNatVerloop354">Data!$AX$356</definedName>
    <definedName name="Data_TredeNatVerloop355">Data!$AX$357</definedName>
    <definedName name="Data_TredeNatVerloop356">Data!$AX$358</definedName>
    <definedName name="Data_TredeNatVerloop357">Data!$AX$359</definedName>
    <definedName name="Data_TredeNatVerloop358">Data!$AX$360</definedName>
    <definedName name="Data_TredeNatVerloop359">Data!$AX$361</definedName>
    <definedName name="Data_TredeNatVerloop360">Data!$AX$362</definedName>
    <definedName name="Data_TredeNatVerloop361">Data!$AX$363</definedName>
    <definedName name="Data_TredeNatVerloop362">Data!$AX$364</definedName>
    <definedName name="Data_TredeNatVerloop363">Data!$AX$365</definedName>
    <definedName name="Data_TredeNatVerloop364">Data!$AX$366</definedName>
    <definedName name="Data_TredeNatVerloop365">Data!$AX$367</definedName>
    <definedName name="Data_TredeNatVerloop366">Data!$AX$368</definedName>
    <definedName name="Data_TredeNatVerloop367">Data!$AX$369</definedName>
    <definedName name="Data_TredeNatVerloop368">Data!$AX$370</definedName>
    <definedName name="Data_TredeNatVerloop369">Data!$AX$371</definedName>
    <definedName name="Data_TredeNatVerloop370">Data!$AX$372</definedName>
    <definedName name="Data_TredeNatVerloop371">Data!$AX$373</definedName>
    <definedName name="Data_TredeNatVerloop372">Data!$AX$374</definedName>
    <definedName name="Data_TredeNatVerloop373">Data!$AX$375</definedName>
    <definedName name="Data_TredeNatVerloop374">Data!$AX$376</definedName>
    <definedName name="Data_TredeNatVerloop375">Data!$AX$377</definedName>
    <definedName name="Data_TredeNatVerloop376">Data!$AX$378</definedName>
    <definedName name="Data_TredeNatVerloop377">Data!$AX$379</definedName>
    <definedName name="Data_TredeNatVerloop378">Data!$AX$380</definedName>
    <definedName name="Data_TredeNatVerloop379">Data!$AX$381</definedName>
    <definedName name="Data_TredeNatVerloop380">Data!$AX$382</definedName>
    <definedName name="Data_TredeNatVerloop381">Data!$AX$383</definedName>
    <definedName name="Data_TredeNatVerloop382">Data!$AX$384</definedName>
    <definedName name="Data_TredeNatVerloop383">Data!$AX$385</definedName>
    <definedName name="Data_TredeNatVerloop384">Data!$AX$386</definedName>
    <definedName name="Data_TredeNatVerloop385">Data!$AX$387</definedName>
    <definedName name="Data_TredeNatVerloop386">Data!$AX$388</definedName>
    <definedName name="Data_TredeNatVerloop387">Data!$AX$389</definedName>
    <definedName name="Data_TredeNatVerloop388">Data!$AX$390</definedName>
    <definedName name="Data_TredeNatVerloop389">Data!$AX$391</definedName>
    <definedName name="Data_TredeNatVerloop390">Data!$AX$392</definedName>
    <definedName name="Data_TredeNatVerloop391">Data!$AX$393</definedName>
    <definedName name="Data_TredeNatVerloop392">Data!$AX$394</definedName>
    <definedName name="Data_TredeNatVerloop393">Data!$AX$395</definedName>
    <definedName name="Data_TredeNatVerloop394">Data!$AX$396</definedName>
    <definedName name="Data_TredeNatVerloop395">Data!$AX$397</definedName>
    <definedName name="Data_TredeNatVerloop396">Data!$AX$398</definedName>
    <definedName name="Data_TredeNatVerloop397">Data!$AX$399</definedName>
    <definedName name="Data_TredeNatVerloop398">Data!$AX$400</definedName>
    <definedName name="Data_TredeNatVerloop399">Data!$AX$401</definedName>
    <definedName name="Data_TredeNatVerloop400">Data!$AX$402</definedName>
    <definedName name="Data_TredeNatVerloop401">Data!$AX$403</definedName>
    <definedName name="Data_TredeNatVerloop402">Data!$AX$404</definedName>
    <definedName name="Data_TredeNatVerloop403">Data!$AX$405</definedName>
    <definedName name="Data_TredeNatVerloop404">Data!$AX$406</definedName>
    <definedName name="Data_TredeNatVerloop405">Data!$AX$407</definedName>
    <definedName name="Data_TredeNatVerloop406">Data!$AX$408</definedName>
    <definedName name="Data_TredeNatVerloop407">Data!$AX$409</definedName>
    <definedName name="Data_TredeNatVerloop408">Data!$AX$410</definedName>
    <definedName name="Data_TredeNatVerloop409">Data!$AX$411</definedName>
    <definedName name="Data_TredeNatVerloop410">Data!$AX$412</definedName>
    <definedName name="Data_TredeNatVerloop411">Data!$AX$413</definedName>
    <definedName name="Data_TredeNatVerloop412">Data!$AX$414</definedName>
    <definedName name="Data_TredeNatVerloop413">Data!$AX$415</definedName>
    <definedName name="Data_TredeNatVerloop414">Data!$AX$416</definedName>
    <definedName name="Data_TredeNatVerloop415">Data!$AX$417</definedName>
    <definedName name="Data_TredeNatVerloop416">Data!$AX$418</definedName>
    <definedName name="Data_TredeNatVerloop417">Data!$AX$419</definedName>
    <definedName name="Data_TredeNatVerloop418">Data!$AX$420</definedName>
    <definedName name="Data_TredeNatVerloop419">Data!$AX$421</definedName>
    <definedName name="Data_TredeNatVerloop420">Data!$AX$422</definedName>
    <definedName name="Data_TredeNatVerloop421">Data!$AX$423</definedName>
    <definedName name="Data_TredeNatVerloop422">Data!$AX$424</definedName>
    <definedName name="Data_TredeNatVerloop423">Data!$AX$425</definedName>
    <definedName name="Data_TredeNatVerloop424">Data!$AX$426</definedName>
    <definedName name="Data_TredeNatVerloop425">Data!$AX$427</definedName>
    <definedName name="Data_TredeNatVerloop426">Data!$AX$428</definedName>
    <definedName name="Data_TredeNatVerloop427">Data!$AX$429</definedName>
    <definedName name="Data_TredeNatVerloop428">Data!$AX$430</definedName>
    <definedName name="Data_TredeNatVerloop429">Data!$AX$431</definedName>
    <definedName name="Data_TredeNatVerloop430">Data!$AX$432</definedName>
    <definedName name="Data_TredeNatVerloop431">Data!$AX$433</definedName>
    <definedName name="Data_TredeNatVerloop432">Data!$AX$434</definedName>
    <definedName name="Data_TredeNatVerloop433">Data!$AX$435</definedName>
    <definedName name="Data_TredeNatVerloop434">Data!$AX$436</definedName>
    <definedName name="Data_TredeNatVerloop435">Data!$AX$437</definedName>
    <definedName name="Data_TredeNatVerloop436">Data!$AX$438</definedName>
    <definedName name="Data_TredeNatVerloop437">Data!$AX$439</definedName>
    <definedName name="Data_TredeNatVerloop438">Data!$AX$440</definedName>
    <definedName name="Data_TredeNatVerloop439">Data!$AX$441</definedName>
    <definedName name="Data_TredeNatVerloop440">Data!$AX$442</definedName>
    <definedName name="Data_TredeNatVerloop441">Data!$AX$443</definedName>
    <definedName name="Data_TredeNatVerloop442">Data!$AX$444</definedName>
    <definedName name="Data_TredeNatVerloop443">Data!$AX$445</definedName>
    <definedName name="Data_TredeNatVerloop444">Data!$AX$446</definedName>
    <definedName name="Data_TredeNatVerloop445">Data!$AX$447</definedName>
    <definedName name="Data_TredeNatVerloop446">Data!$AX$448</definedName>
    <definedName name="Data_TredeNatVerloop447">Data!$AX$449</definedName>
    <definedName name="Data_TredeNatVerloop448">Data!$AX$450</definedName>
    <definedName name="Data_TredeNatVerloop449">Data!$AX$451</definedName>
    <definedName name="Data_TredeNatVerloop450">Data!$AX$452</definedName>
    <definedName name="Data_TredeNatVerloop451">Data!$AX$453</definedName>
    <definedName name="Data_TredeNatVerloop452">Data!$AX$454</definedName>
    <definedName name="Data_TredeNatVerloop453">Data!$AX$455</definedName>
    <definedName name="Data_TredeNatVerloop454">Data!$AX$456</definedName>
    <definedName name="Data_TredeNatVerloop455">Data!$AX$457</definedName>
    <definedName name="Data_TredeNatVerloop456">Data!$AX$458</definedName>
    <definedName name="Data_TredeNatVerloop457">Data!$AX$459</definedName>
    <definedName name="Data_TredeNatVerloop458">Data!$AX$460</definedName>
    <definedName name="Data_TredeNatVerloop459">Data!$AX$461</definedName>
    <definedName name="Data_TredeNatVerloop460">Data!$AX$462</definedName>
    <definedName name="Data_TredeNatVerloop461">Data!$AX$463</definedName>
    <definedName name="Data_TredeNatVerloop462">Data!$AX$464</definedName>
    <definedName name="Data_TredeNatVerloop463">Data!$AX$465</definedName>
    <definedName name="Data_TredeNatVerloop464">Data!$AX$466</definedName>
    <definedName name="Data_TredeNatVerloop465">Data!$AX$467</definedName>
    <definedName name="Data_TredeNatVerloop466">Data!$AX$468</definedName>
    <definedName name="Data_TredeNatVerloop467">Data!$AX$469</definedName>
    <definedName name="Data_TredeNatVerloop468">Data!$AX$470</definedName>
    <definedName name="Data_TredeNatVerloop469">Data!$AX$471</definedName>
    <definedName name="Data_TredeNatVerloop470">Data!$AX$472</definedName>
    <definedName name="Data_TredeNatVerloop471">Data!$AX$473</definedName>
    <definedName name="Data_TredeNatVerloop472">Data!$AX$474</definedName>
    <definedName name="Data_TredeNatVerloop473">Data!$AX$475</definedName>
    <definedName name="Data_TredeNatVerloop474">Data!$AX$476</definedName>
    <definedName name="Data_TredeNatVerloop475">Data!$AX$477</definedName>
    <definedName name="Data_TredeNatVerloop476">Data!$AX$478</definedName>
    <definedName name="Data_TredeNatVerloop477">Data!$AX$479</definedName>
    <definedName name="Data_TredeNatVerloop478">Data!$AX$480</definedName>
    <definedName name="Data_TredeNatVerloop479">Data!$AX$481</definedName>
    <definedName name="Data_TredeNatVerloop480">Data!$AX$482</definedName>
    <definedName name="Data_TredeNatVerloop481">Data!$AX$483</definedName>
    <definedName name="Data_TredeNatVerloop482">Data!$AX$484</definedName>
    <definedName name="Data_TredeNatVerloop483">Data!$AX$485</definedName>
    <definedName name="Data_TredeNatVerloop484">Data!$AX$486</definedName>
    <definedName name="Data_TredeNatVerloop485">Data!$AX$487</definedName>
    <definedName name="Data_TredeNatVerloop486">Data!$AX$488</definedName>
    <definedName name="Data_TredeNatVerloop487">Data!$AX$489</definedName>
    <definedName name="Data_TredeNatVerloop488">Data!$AX$490</definedName>
    <definedName name="Data_TredeNatVerloop489">Data!$AX$491</definedName>
    <definedName name="Data_TredeNatVerloop490">Data!$AX$492</definedName>
    <definedName name="Data_TredeNatVerloop491">Data!$AX$493</definedName>
    <definedName name="Data_TredeNatVerloop492">Data!$AX$494</definedName>
    <definedName name="Data_TredeNatVerloop493">Data!$AX$495</definedName>
    <definedName name="Data_TredeNatVerloop494">Data!$AX$496</definedName>
    <definedName name="Data_TredeNatVerloop495">Data!$AX$497</definedName>
    <definedName name="Data_TredeNatVerloop496">Data!$AX$498</definedName>
    <definedName name="Data_TredeNatVerloop497">Data!$AX$499</definedName>
    <definedName name="Data_TredeNatVerloop498">Data!$AX$500</definedName>
    <definedName name="Data_TredeNatVerloop499">Data!$AX$501</definedName>
    <definedName name="Data_TredeNatVerloop500">Data!$AX$502</definedName>
    <definedName name="Data_TredeTijd001">Data!$T$3</definedName>
    <definedName name="Data_TredeTijd002">Data!$T$4</definedName>
    <definedName name="Data_TredeTijd003">Data!$T$5</definedName>
    <definedName name="Data_TredeTijd004">Data!$T$6</definedName>
    <definedName name="Data_TredeTijd005">Data!$T$7</definedName>
    <definedName name="Data_TredeTijd006">Data!$T$8</definedName>
    <definedName name="Data_TredeTijd007">Data!$T$9</definedName>
    <definedName name="Data_TredeTijd008">Data!$T$10</definedName>
    <definedName name="Data_TredeTijd009">Data!$T$11</definedName>
    <definedName name="Data_TredeTijd010">Data!$T$12</definedName>
    <definedName name="Data_TredeTijd011">Data!$T$13</definedName>
    <definedName name="Data_TredeTijd012">Data!$T$14</definedName>
    <definedName name="Data_TredeTijd013">Data!$T$15</definedName>
    <definedName name="Data_TredeTijd014">Data!$T$16</definedName>
    <definedName name="Data_TredeTijd015">Data!$T$17</definedName>
    <definedName name="Data_TredeTijd016">Data!$T$18</definedName>
    <definedName name="Data_TredeTijd017">Data!$T$19</definedName>
    <definedName name="Data_TredeTijd018">Data!$T$20</definedName>
    <definedName name="Data_TredeTijd019">Data!$T$21</definedName>
    <definedName name="Data_TredeTijd020">Data!$T$22</definedName>
    <definedName name="Data_TredeTijd021">Data!$T$23</definedName>
    <definedName name="Data_TredeTijd022">Data!$T$24</definedName>
    <definedName name="Data_TredeTijd023">Data!$T$25</definedName>
    <definedName name="Data_TredeTijd024">Data!$T$26</definedName>
    <definedName name="Data_TredeTijd025">Data!$T$27</definedName>
    <definedName name="Data_TredeTijd026">Data!$T$28</definedName>
    <definedName name="Data_TredeTijd027">Data!$T$29</definedName>
    <definedName name="Data_TredeTijd028">Data!$T$30</definedName>
    <definedName name="Data_TredeTijd029">Data!$T$31</definedName>
    <definedName name="Data_TredeTijd030">Data!$T$32</definedName>
    <definedName name="Data_TredeTijd031">Data!$T$33</definedName>
    <definedName name="Data_TredeTijd032">Data!$T$34</definedName>
    <definedName name="Data_TredeTijd033">Data!$T$35</definedName>
    <definedName name="Data_TredeTijd034">Data!$T$36</definedName>
    <definedName name="Data_TredeTijd035">Data!$T$37</definedName>
    <definedName name="Data_TredeTijd036">Data!$T$38</definedName>
    <definedName name="Data_TredeTijd037">Data!$T$39</definedName>
    <definedName name="Data_TredeTijd038">Data!$T$40</definedName>
    <definedName name="Data_TredeTijd039">Data!$T$41</definedName>
    <definedName name="Data_TredeTijd040">Data!$T$42</definedName>
    <definedName name="Data_TredeTijd041">Data!$T$43</definedName>
    <definedName name="Data_TredeTijd042">Data!$T$44</definedName>
    <definedName name="Data_TredeTijd043">Data!$T$45</definedName>
    <definedName name="Data_TredeTijd044">Data!$T$46</definedName>
    <definedName name="Data_TredeTijd045">Data!$T$47</definedName>
    <definedName name="Data_TredeTijd046">Data!$T$48</definedName>
    <definedName name="Data_TredeTijd047">Data!$T$49</definedName>
    <definedName name="Data_TredeTijd048">Data!$T$50</definedName>
    <definedName name="Data_TredeTijd049">Data!$T$51</definedName>
    <definedName name="Data_TredeTijd050">Data!$T$52</definedName>
    <definedName name="Data_TredeTijd051">Data!$T$53</definedName>
    <definedName name="Data_TredeTijd052">Data!$T$54</definedName>
    <definedName name="Data_TredeTijd053">Data!$T$55</definedName>
    <definedName name="Data_TredeTijd054">Data!$T$56</definedName>
    <definedName name="Data_TredeTijd055">Data!$T$57</definedName>
    <definedName name="Data_TredeTijd056">Data!$T$58</definedName>
    <definedName name="Data_TredeTijd057">Data!$T$59</definedName>
    <definedName name="Data_TredeTijd058">Data!$T$60</definedName>
    <definedName name="Data_TredeTijd059">Data!$T$61</definedName>
    <definedName name="Data_TredeTijd060">Data!$T$62</definedName>
    <definedName name="Data_TredeTijd061">Data!$T$63</definedName>
    <definedName name="Data_TredeTijd062">Data!$T$64</definedName>
    <definedName name="Data_TredeTijd063">Data!$T$65</definedName>
    <definedName name="Data_TredeTijd064">Data!$T$66</definedName>
    <definedName name="Data_TredeTijd065">Data!$T$67</definedName>
    <definedName name="Data_TredeTijd066">Data!$T$68</definedName>
    <definedName name="Data_TredeTijd067">Data!$T$69</definedName>
    <definedName name="Data_TredeTijd068">Data!$T$70</definedName>
    <definedName name="Data_TredeTijd069">Data!$T$71</definedName>
    <definedName name="Data_TredeTijd070">Data!$T$72</definedName>
    <definedName name="Data_TredeTijd071">Data!$T$73</definedName>
    <definedName name="Data_TredeTijd072">Data!$T$74</definedName>
    <definedName name="Data_TredeTijd073">Data!$T$75</definedName>
    <definedName name="Data_TredeTijd074">Data!$T$76</definedName>
    <definedName name="Data_TredeTijd075">Data!$T$77</definedName>
    <definedName name="Data_TredeTijd076">Data!$T$78</definedName>
    <definedName name="Data_TredeTijd077">Data!$T$79</definedName>
    <definedName name="Data_TredeTijd078">Data!$T$80</definedName>
    <definedName name="Data_TredeTijd079">Data!$T$81</definedName>
    <definedName name="Data_TredeTijd080">Data!$T$82</definedName>
    <definedName name="Data_TredeTijd081">Data!$T$83</definedName>
    <definedName name="Data_TredeTijd082">Data!$T$84</definedName>
    <definedName name="Data_TredeTijd083">Data!$T$85</definedName>
    <definedName name="Data_TredeTijd084">Data!$T$86</definedName>
    <definedName name="Data_TredeTijd085">Data!$T$87</definedName>
    <definedName name="Data_TredeTijd086">Data!$T$88</definedName>
    <definedName name="Data_TredeTijd087">Data!$T$89</definedName>
    <definedName name="Data_TredeTijd088">Data!$T$90</definedName>
    <definedName name="Data_TredeTijd089">Data!$T$91</definedName>
    <definedName name="Data_TredeTijd090">Data!$T$92</definedName>
    <definedName name="Data_TredeTijd091">Data!$T$93</definedName>
    <definedName name="Data_TredeTijd092">Data!$T$94</definedName>
    <definedName name="Data_TredeTijd093">Data!$T$95</definedName>
    <definedName name="Data_TredeTijd094">Data!$T$96</definedName>
    <definedName name="Data_TredeTijd095">Data!$T$97</definedName>
    <definedName name="Data_TredeTijd096">Data!$T$98</definedName>
    <definedName name="Data_TredeTijd097">Data!$T$99</definedName>
    <definedName name="Data_TredeTijd098">Data!$T$100</definedName>
    <definedName name="Data_TredeTijd099">Data!$T$101</definedName>
    <definedName name="Data_TredeTijd100">Data!$T$102</definedName>
    <definedName name="Data_TredeTijd101">Data!$T$103</definedName>
    <definedName name="Data_TredeTijd102">Data!$T$104</definedName>
    <definedName name="Data_TredeTijd103">Data!$T$105</definedName>
    <definedName name="Data_TredeTijd104">Data!$T$106</definedName>
    <definedName name="Data_TredeTijd105">Data!$T$107</definedName>
    <definedName name="Data_TredeTijd106">Data!$T$108</definedName>
    <definedName name="Data_TredeTijd107">Data!$T$109</definedName>
    <definedName name="Data_TredeTijd108">Data!$T$110</definedName>
    <definedName name="Data_TredeTijd109">Data!$T$111</definedName>
    <definedName name="Data_TredeTijd110">Data!$T$112</definedName>
    <definedName name="Data_TredeTijd111">Data!$T$113</definedName>
    <definedName name="Data_TredeTijd112">Data!$T$114</definedName>
    <definedName name="Data_TredeTijd113">Data!$T$115</definedName>
    <definedName name="Data_TredeTijd114">Data!$T$116</definedName>
    <definedName name="Data_TredeTijd115">Data!$T$117</definedName>
    <definedName name="Data_TredeTijd116">Data!$T$118</definedName>
    <definedName name="Data_TredeTijd117">Data!$T$119</definedName>
    <definedName name="Data_TredeTijd118">Data!$T$120</definedName>
    <definedName name="Data_TredeTijd119">Data!$T$121</definedName>
    <definedName name="Data_TredeTijd120">Data!$T$122</definedName>
    <definedName name="Data_TredeTijd121">Data!$T$123</definedName>
    <definedName name="Data_TredeTijd122">Data!$T$124</definedName>
    <definedName name="Data_TredeTijd123">Data!$T$125</definedName>
    <definedName name="Data_TredeTijd124">Data!$T$126</definedName>
    <definedName name="Data_TredeTijd125">Data!$T$127</definedName>
    <definedName name="Data_TredeTijd126">Data!$T$128</definedName>
    <definedName name="Data_TredeTijd127">Data!$T$129</definedName>
    <definedName name="Data_TredeTijd128">Data!$T$130</definedName>
    <definedName name="Data_TredeTijd129">Data!$T$131</definedName>
    <definedName name="Data_TredeTijd130">Data!$T$132</definedName>
    <definedName name="Data_TredeTijd131">Data!$T$133</definedName>
    <definedName name="Data_TredeTijd132">Data!$T$134</definedName>
    <definedName name="Data_TredeTijd133">Data!$T$135</definedName>
    <definedName name="Data_TredeTijd134">Data!$T$136</definedName>
    <definedName name="Data_TredeTijd135">Data!$T$137</definedName>
    <definedName name="Data_TredeTijd136">Data!$T$138</definedName>
    <definedName name="Data_TredeTijd137">Data!$T$139</definedName>
    <definedName name="Data_TredeTijd138">Data!$T$140</definedName>
    <definedName name="Data_TredeTijd139">Data!$T$141</definedName>
    <definedName name="Data_TredeTijd140">Data!$T$142</definedName>
    <definedName name="Data_TredeTijd141">Data!$T$143</definedName>
    <definedName name="Data_TredeTijd142">Data!$T$144</definedName>
    <definedName name="Data_TredeTijd143">Data!$T$145</definedName>
    <definedName name="Data_TredeTijd144">Data!$T$146</definedName>
    <definedName name="Data_TredeTijd145">Data!$T$147</definedName>
    <definedName name="Data_TredeTijd146">Data!$T$148</definedName>
    <definedName name="Data_TredeTijd147">Data!$T$149</definedName>
    <definedName name="Data_TredeTijd148">Data!$T$150</definedName>
    <definedName name="Data_TredeTijd149">Data!$T$151</definedName>
    <definedName name="Data_TredeTijd150">Data!$T$152</definedName>
    <definedName name="Data_TredeTijd151">Data!$T$153</definedName>
    <definedName name="Data_TredeTijd152">Data!$T$154</definedName>
    <definedName name="Data_TredeTijd153">Data!$T$155</definedName>
    <definedName name="Data_TredeTijd154">Data!$T$156</definedName>
    <definedName name="Data_TredeTijd155">Data!$T$157</definedName>
    <definedName name="Data_TredeTijd156">Data!$T$158</definedName>
    <definedName name="Data_TredeTijd157">Data!$T$159</definedName>
    <definedName name="Data_TredeTijd158">Data!$T$160</definedName>
    <definedName name="Data_TredeTijd159">Data!$T$161</definedName>
    <definedName name="Data_TredeTijd160">Data!$T$162</definedName>
    <definedName name="Data_TredeTijd161">Data!$T$163</definedName>
    <definedName name="Data_TredeTijd162">Data!$T$164</definedName>
    <definedName name="Data_TredeTijd163">Data!$T$165</definedName>
    <definedName name="Data_TredeTijd164">Data!$T$166</definedName>
    <definedName name="Data_TredeTijd165">Data!$T$167</definedName>
    <definedName name="Data_TredeTijd166">Data!$T$168</definedName>
    <definedName name="Data_TredeTijd167">Data!$T$169</definedName>
    <definedName name="Data_TredeTijd168">Data!$T$170</definedName>
    <definedName name="Data_TredeTijd169">Data!$T$171</definedName>
    <definedName name="Data_TredeTijd170">Data!$T$172</definedName>
    <definedName name="Data_TredeTijd171">Data!$T$173</definedName>
    <definedName name="Data_TredeTijd172">Data!$T$174</definedName>
    <definedName name="Data_TredeTijd173">Data!$T$175</definedName>
    <definedName name="Data_TredeTijd174">Data!$T$176</definedName>
    <definedName name="Data_TredeTijd175">Data!$T$177</definedName>
    <definedName name="Data_TredeTijd176">Data!$T$178</definedName>
    <definedName name="Data_TredeTijd177">Data!$T$179</definedName>
    <definedName name="Data_TredeTijd178">Data!$T$180</definedName>
    <definedName name="Data_TredeTijd179">Data!$T$181</definedName>
    <definedName name="Data_TredeTijd180">Data!$T$182</definedName>
    <definedName name="Data_TredeTijd181">Data!$T$183</definedName>
    <definedName name="Data_TredeTijd182">Data!$T$184</definedName>
    <definedName name="Data_TredeTijd183">Data!$T$185</definedName>
    <definedName name="Data_TredeTijd184">Data!$T$186</definedName>
    <definedName name="Data_TredeTijd185">Data!$T$187</definedName>
    <definedName name="Data_TredeTijd186">Data!$T$188</definedName>
    <definedName name="Data_TredeTijd187">Data!$T$189</definedName>
    <definedName name="Data_TredeTijd188">Data!$T$190</definedName>
    <definedName name="Data_TredeTijd189">Data!$T$191</definedName>
    <definedName name="Data_TredeTijd190">Data!$T$192</definedName>
    <definedName name="Data_TredeTijd191">Data!$T$193</definedName>
    <definedName name="Data_TredeTijd192">Data!$T$194</definedName>
    <definedName name="Data_TredeTijd193">Data!$T$195</definedName>
    <definedName name="Data_TredeTijd194">Data!$T$196</definedName>
    <definedName name="Data_TredeTijd195">Data!$T$197</definedName>
    <definedName name="Data_TredeTijd196">Data!$T$198</definedName>
    <definedName name="Data_TredeTijd197">Data!$T$199</definedName>
    <definedName name="Data_TredeTijd198">Data!$T$200</definedName>
    <definedName name="Data_TredeTijd199">Data!$T$201</definedName>
    <definedName name="Data_TredeTijd200">Data!$T$202</definedName>
    <definedName name="Data_TredeTijd201">Data!$T$203</definedName>
    <definedName name="Data_TredeTijd202">Data!$T$204</definedName>
    <definedName name="Data_TredeTijd203">Data!$T$205</definedName>
    <definedName name="Data_TredeTijd204">Data!$T$206</definedName>
    <definedName name="Data_TredeTijd205">Data!$T$207</definedName>
    <definedName name="Data_TredeTijd206">Data!$T$208</definedName>
    <definedName name="Data_TredeTijd207">Data!$T$209</definedName>
    <definedName name="Data_TredeTijd208">Data!$T$210</definedName>
    <definedName name="Data_TredeTijd209">Data!$T$211</definedName>
    <definedName name="Data_TredeTijd210">Data!$T$212</definedName>
    <definedName name="Data_TredeTijd211">Data!$T$213</definedName>
    <definedName name="Data_TredeTijd212">Data!$T$214</definedName>
    <definedName name="Data_TredeTijd213">Data!$T$215</definedName>
    <definedName name="Data_TredeTijd214">Data!$T$216</definedName>
    <definedName name="Data_TredeTijd215">Data!$T$217</definedName>
    <definedName name="Data_TredeTijd216">Data!$T$218</definedName>
    <definedName name="Data_TredeTijd217">Data!$T$219</definedName>
    <definedName name="Data_TredeTijd218">Data!$T$220</definedName>
    <definedName name="Data_TredeTijd219">Data!$T$221</definedName>
    <definedName name="Data_TredeTijd220">Data!$T$222</definedName>
    <definedName name="Data_TredeTijd221">Data!$T$223</definedName>
    <definedName name="Data_TredeTijd222">Data!$T$224</definedName>
    <definedName name="Data_TredeTijd223">Data!$T$225</definedName>
    <definedName name="Data_TredeTijd224">Data!$T$226</definedName>
    <definedName name="Data_TredeTijd225">Data!$T$227</definedName>
    <definedName name="Data_TredeTijd226">Data!$T$228</definedName>
    <definedName name="Data_TredeTijd227">Data!$T$229</definedName>
    <definedName name="Data_TredeTijd228">Data!$T$230</definedName>
    <definedName name="Data_TredeTijd229">Data!$T$231</definedName>
    <definedName name="Data_TredeTijd230">Data!$T$232</definedName>
    <definedName name="Data_TredeTijd231">Data!$T$233</definedName>
    <definedName name="Data_TredeTijd232">Data!$T$234</definedName>
    <definedName name="Data_TredeTijd233">Data!$T$235</definedName>
    <definedName name="Data_TredeTijd234">Data!$T$236</definedName>
    <definedName name="Data_TredeTijd235">Data!$T$237</definedName>
    <definedName name="Data_TredeTijd236">Data!$T$238</definedName>
    <definedName name="Data_TredeTijd237">Data!$T$239</definedName>
    <definedName name="Data_TredeTijd238">Data!$T$240</definedName>
    <definedName name="Data_TredeTijd239">Data!$T$241</definedName>
    <definedName name="Data_TredeTijd240">Data!$T$242</definedName>
    <definedName name="Data_TredeTijd241">Data!$T$243</definedName>
    <definedName name="Data_TredeTijd242">Data!$T$244</definedName>
    <definedName name="Data_TredeTijd243">Data!$T$245</definedName>
    <definedName name="Data_TredeTijd244">Data!$T$246</definedName>
    <definedName name="Data_TredeTijd245">Data!$T$247</definedName>
    <definedName name="Data_TredeTijd246">Data!$T$248</definedName>
    <definedName name="Data_TredeTijd247">Data!$T$249</definedName>
    <definedName name="Data_TredeTijd248">Data!$T$250</definedName>
    <definedName name="Data_TredeTijd249">Data!$T$251</definedName>
    <definedName name="Data_TredeTijd250">Data!$T$252</definedName>
    <definedName name="Data_TredeTijd251">Data!$T$253</definedName>
    <definedName name="Data_TredeTijd252">Data!$T$254</definedName>
    <definedName name="Data_TredeTijd253">Data!$T$255</definedName>
    <definedName name="Data_TredeTijd254">Data!$T$256</definedName>
    <definedName name="Data_TredeTijd255">Data!$T$257</definedName>
    <definedName name="Data_TredeTijd256">Data!$T$258</definedName>
    <definedName name="Data_TredeTijd257">Data!$T$259</definedName>
    <definedName name="Data_TredeTijd258">Data!$T$260</definedName>
    <definedName name="Data_TredeTijd259">Data!$T$261</definedName>
    <definedName name="Data_TredeTijd260">Data!$T$262</definedName>
    <definedName name="Data_TredeTijd261">Data!$T$263</definedName>
    <definedName name="Data_TredeTijd262">Data!$T$264</definedName>
    <definedName name="Data_TredeTijd263">Data!$T$265</definedName>
    <definedName name="Data_TredeTijd264">Data!$T$266</definedName>
    <definedName name="Data_TredeTijd265">Data!$T$267</definedName>
    <definedName name="Data_TredeTijd266">Data!$T$268</definedName>
    <definedName name="Data_TredeTijd267">Data!$T$269</definedName>
    <definedName name="Data_TredeTijd268">Data!$T$270</definedName>
    <definedName name="Data_TredeTijd269">Data!$T$271</definedName>
    <definedName name="Data_TredeTijd270">Data!$T$272</definedName>
    <definedName name="Data_TredeTijd271">Data!$T$273</definedName>
    <definedName name="Data_TredeTijd272">Data!$T$274</definedName>
    <definedName name="Data_TredeTijd273">Data!$T$275</definedName>
    <definedName name="Data_TredeTijd274">Data!$T$276</definedName>
    <definedName name="Data_TredeTijd275">Data!$T$277</definedName>
    <definedName name="Data_TredeTijd276">Data!$T$278</definedName>
    <definedName name="Data_TredeTijd277">Data!$T$279</definedName>
    <definedName name="Data_TredeTijd278">Data!$T$280</definedName>
    <definedName name="Data_TredeTijd279">Data!$T$281</definedName>
    <definedName name="Data_TredeTijd280">Data!$T$282</definedName>
    <definedName name="Data_TredeTijd281">Data!$T$283</definedName>
    <definedName name="Data_TredeTijd282">Data!$T$284</definedName>
    <definedName name="Data_TredeTijd283">Data!$T$285</definedName>
    <definedName name="Data_TredeTijd284">Data!$T$286</definedName>
    <definedName name="Data_TredeTijd285">Data!$T$287</definedName>
    <definedName name="Data_TredeTijd286">Data!$T$288</definedName>
    <definedName name="Data_TredeTijd287">Data!$T$289</definedName>
    <definedName name="Data_TredeTijd288">Data!$T$290</definedName>
    <definedName name="Data_TredeTijd289">Data!$T$291</definedName>
    <definedName name="Data_TredeTijd290">Data!$T$292</definedName>
    <definedName name="Data_TredeTijd291">Data!$T$293</definedName>
    <definedName name="Data_TredeTijd292">Data!$T$294</definedName>
    <definedName name="Data_TredeTijd293">Data!$T$295</definedName>
    <definedName name="Data_TredeTijd294">Data!$T$296</definedName>
    <definedName name="Data_TredeTijd295">Data!$T$297</definedName>
    <definedName name="Data_TredeTijd296">Data!$T$298</definedName>
    <definedName name="Data_TredeTijd297">Data!$T$299</definedName>
    <definedName name="Data_TredeTijd298">Data!$T$300</definedName>
    <definedName name="Data_TredeTijd299">Data!$T$301</definedName>
    <definedName name="Data_TredeTijd300">Data!$T$302</definedName>
    <definedName name="Data_TredeTijd301">Data!$T$303</definedName>
    <definedName name="Data_TredeTijd302">Data!$T$304</definedName>
    <definedName name="Data_TredeTijd303">Data!$T$305</definedName>
    <definedName name="Data_TredeTijd304">Data!$T$306</definedName>
    <definedName name="Data_TredeTijd305">Data!$T$307</definedName>
    <definedName name="Data_TredeTijd306">Data!$T$308</definedName>
    <definedName name="Data_TredeTijd307">Data!$T$309</definedName>
    <definedName name="Data_TredeTijd308">Data!$T$310</definedName>
    <definedName name="Data_TredeTijd309">Data!$T$311</definedName>
    <definedName name="Data_TredeTijd310">Data!$T$312</definedName>
    <definedName name="Data_TredeTijd311">Data!$T$313</definedName>
    <definedName name="Data_TredeTijd312">Data!$T$314</definedName>
    <definedName name="Data_TredeTijd313">Data!$T$315</definedName>
    <definedName name="Data_TredeTijd314">Data!$T$316</definedName>
    <definedName name="Data_TredeTijd315">Data!$T$317</definedName>
    <definedName name="Data_TredeTijd316">Data!$T$318</definedName>
    <definedName name="Data_TredeTijd317">Data!$T$319</definedName>
    <definedName name="Data_TredeTijd318">Data!$T$320</definedName>
    <definedName name="Data_TredeTijd319">Data!$T$321</definedName>
    <definedName name="Data_TredeTijd320">Data!$T$322</definedName>
    <definedName name="Data_TredeTijd321">Data!$T$323</definedName>
    <definedName name="Data_TredeTijd322">Data!$T$324</definedName>
    <definedName name="Data_TredeTijd323">Data!$T$325</definedName>
    <definedName name="Data_TredeTijd324">Data!$T$326</definedName>
    <definedName name="Data_TredeTijd325">Data!$T$327</definedName>
    <definedName name="Data_TredeTijd326">Data!$T$328</definedName>
    <definedName name="Data_TredeTijd327">Data!$T$329</definedName>
    <definedName name="Data_TredeTijd328">Data!$T$330</definedName>
    <definedName name="Data_TredeTijd329">Data!$T$331</definedName>
    <definedName name="Data_TredeTijd330">Data!$T$332</definedName>
    <definedName name="Data_TredeTijd331">Data!$T$333</definedName>
    <definedName name="Data_TredeTijd332">Data!$T$334</definedName>
    <definedName name="Data_TredeTijd333">Data!$T$335</definedName>
    <definedName name="Data_TredeTijd334">Data!$T$336</definedName>
    <definedName name="Data_TredeTijd335">Data!$T$337</definedName>
    <definedName name="Data_TredeTijd336">Data!$T$338</definedName>
    <definedName name="Data_TredeTijd337">Data!$T$339</definedName>
    <definedName name="Data_TredeTijd338">Data!$T$340</definedName>
    <definedName name="Data_TredeTijd339">Data!$T$341</definedName>
    <definedName name="Data_TredeTijd340">Data!$T$342</definedName>
    <definedName name="Data_TredeTijd341">Data!$T$343</definedName>
    <definedName name="Data_TredeTijd342">Data!$T$344</definedName>
    <definedName name="Data_TredeTijd343">Data!$T$345</definedName>
    <definedName name="Data_TredeTijd344">Data!$T$346</definedName>
    <definedName name="Data_TredeTijd345">Data!$T$347</definedName>
    <definedName name="Data_TredeTijd346">Data!$T$348</definedName>
    <definedName name="Data_TredeTijd347">Data!$T$349</definedName>
    <definedName name="Data_TredeTijd348">Data!$T$350</definedName>
    <definedName name="Data_TredeTijd349">Data!$T$351</definedName>
    <definedName name="Data_TredeTijd350">Data!$T$352</definedName>
    <definedName name="Data_TredeTijd351">Data!$T$353</definedName>
    <definedName name="Data_TredeTijd352">Data!$T$354</definedName>
    <definedName name="Data_TredeTijd353">Data!$T$355</definedName>
    <definedName name="Data_TredeTijd354">Data!$T$356</definedName>
    <definedName name="Data_TredeTijd355">Data!$T$357</definedName>
    <definedName name="Data_TredeTijd356">Data!$T$358</definedName>
    <definedName name="Data_TredeTijd357">Data!$T$359</definedName>
    <definedName name="Data_TredeTijd358">Data!$T$360</definedName>
    <definedName name="Data_TredeTijd359">Data!$T$361</definedName>
    <definedName name="Data_TredeTijd360">Data!$T$362</definedName>
    <definedName name="Data_TredeTijd361">Data!$T$363</definedName>
    <definedName name="Data_TredeTijd362">Data!$T$364</definedName>
    <definedName name="Data_TredeTijd363">Data!$T$365</definedName>
    <definedName name="Data_TredeTijd364">Data!$T$366</definedName>
    <definedName name="Data_TredeTijd365">Data!$T$367</definedName>
    <definedName name="Data_TredeTijd366">Data!$T$368</definedName>
    <definedName name="Data_TredeTijd367">Data!$T$369</definedName>
    <definedName name="Data_TredeTijd368">Data!$T$370</definedName>
    <definedName name="Data_TredeTijd369">Data!$T$371</definedName>
    <definedName name="Data_TredeTijd370">Data!$T$372</definedName>
    <definedName name="Data_TredeTijd371">Data!$T$373</definedName>
    <definedName name="Data_TredeTijd372">Data!$T$374</definedName>
    <definedName name="Data_TredeTijd373">Data!$T$375</definedName>
    <definedName name="Data_TredeTijd374">Data!$T$376</definedName>
    <definedName name="Data_TredeTijd375">Data!$T$377</definedName>
    <definedName name="Data_TredeTijd376">Data!$T$378</definedName>
    <definedName name="Data_TredeTijd377">Data!$T$379</definedName>
    <definedName name="Data_TredeTijd378">Data!$T$380</definedName>
    <definedName name="Data_TredeTijd379">Data!$T$381</definedName>
    <definedName name="Data_TredeTijd380">Data!$T$382</definedName>
    <definedName name="Data_TredeTijd381">Data!$T$383</definedName>
    <definedName name="Data_TredeTijd382">Data!$T$384</definedName>
    <definedName name="Data_TredeTijd383">Data!$T$385</definedName>
    <definedName name="Data_TredeTijd384">Data!$T$386</definedName>
    <definedName name="Data_TredeTijd385">Data!$T$387</definedName>
    <definedName name="Data_TredeTijd386">Data!$T$388</definedName>
    <definedName name="Data_TredeTijd387">Data!$T$389</definedName>
    <definedName name="Data_TredeTijd388">Data!$T$390</definedName>
    <definedName name="Data_TredeTijd389">Data!$T$391</definedName>
    <definedName name="Data_TredeTijd390">Data!$T$392</definedName>
    <definedName name="Data_TredeTijd391">Data!$T$393</definedName>
    <definedName name="Data_TredeTijd392">Data!$T$394</definedName>
    <definedName name="Data_TredeTijd393">Data!$T$395</definedName>
    <definedName name="Data_TredeTijd394">Data!$T$396</definedName>
    <definedName name="Data_TredeTijd395">Data!$T$397</definedName>
    <definedName name="Data_TredeTijd396">Data!$T$398</definedName>
    <definedName name="Data_TredeTijd397">Data!$T$399</definedName>
    <definedName name="Data_TredeTijd398">Data!$T$400</definedName>
    <definedName name="Data_TredeTijd399">Data!$T$401</definedName>
    <definedName name="Data_TredeTijd400">Data!$T$402</definedName>
    <definedName name="Data_TredeTijd401">Data!$T$403</definedName>
    <definedName name="Data_TredeTijd402">Data!$T$404</definedName>
    <definedName name="Data_TredeTijd403">Data!$T$405</definedName>
    <definedName name="Data_TredeTijd404">Data!$T$406</definedName>
    <definedName name="Data_TredeTijd405">Data!$T$407</definedName>
    <definedName name="Data_TredeTijd406">Data!$T$408</definedName>
    <definedName name="Data_TredeTijd407">Data!$T$409</definedName>
    <definedName name="Data_TredeTijd408">Data!$T$410</definedName>
    <definedName name="Data_TredeTijd409">Data!$T$411</definedName>
    <definedName name="Data_TredeTijd410">Data!$T$412</definedName>
    <definedName name="Data_TredeTijd411">Data!$T$413</definedName>
    <definedName name="Data_TredeTijd412">Data!$T$414</definedName>
    <definedName name="Data_TredeTijd413">Data!$T$415</definedName>
    <definedName name="Data_TredeTijd414">Data!$T$416</definedName>
    <definedName name="Data_TredeTijd415">Data!$T$417</definedName>
    <definedName name="Data_TredeTijd416">Data!$T$418</definedName>
    <definedName name="Data_TredeTijd417">Data!$T$419</definedName>
    <definedName name="Data_TredeTijd418">Data!$T$420</definedName>
    <definedName name="Data_TredeTijd419">Data!$T$421</definedName>
    <definedName name="Data_TredeTijd420">Data!$T$422</definedName>
    <definedName name="Data_TredeTijd421">Data!$T$423</definedName>
    <definedName name="Data_TredeTijd422">Data!$T$424</definedName>
    <definedName name="Data_TredeTijd423">Data!$T$425</definedName>
    <definedName name="Data_TredeTijd424">Data!$T$426</definedName>
    <definedName name="Data_TredeTijd425">Data!$T$427</definedName>
    <definedName name="Data_TredeTijd426">Data!$T$428</definedName>
    <definedName name="Data_TredeTijd427">Data!$T$429</definedName>
    <definedName name="Data_TredeTijd428">Data!$T$430</definedName>
    <definedName name="Data_TredeTijd429">Data!$T$431</definedName>
    <definedName name="Data_TredeTijd430">Data!$T$432</definedName>
    <definedName name="Data_TredeTijd431">Data!$T$433</definedName>
    <definedName name="Data_TredeTijd432">Data!$T$434</definedName>
    <definedName name="Data_TredeTijd433">Data!$T$435</definedName>
    <definedName name="Data_TredeTijd434">Data!$T$436</definedName>
    <definedName name="Data_TredeTijd435">Data!$T$437</definedName>
    <definedName name="Data_TredeTijd436">Data!$T$438</definedName>
    <definedName name="Data_TredeTijd437">Data!$T$439</definedName>
    <definedName name="Data_TredeTijd438">Data!$T$440</definedName>
    <definedName name="Data_TredeTijd439">Data!$T$441</definedName>
    <definedName name="Data_TredeTijd440">Data!$T$442</definedName>
    <definedName name="Data_TredeTijd441">Data!$T$443</definedName>
    <definedName name="Data_TredeTijd442">Data!$T$444</definedName>
    <definedName name="Data_TredeTijd443">Data!$T$445</definedName>
    <definedName name="Data_TredeTijd444">Data!$T$446</definedName>
    <definedName name="Data_TredeTijd445">Data!$T$447</definedName>
    <definedName name="Data_TredeTijd446">Data!$T$448</definedName>
    <definedName name="Data_TredeTijd447">Data!$T$449</definedName>
    <definedName name="Data_TredeTijd448">Data!$T$450</definedName>
    <definedName name="Data_TredeTijd449">Data!$T$451</definedName>
    <definedName name="Data_TredeTijd450">Data!$T$452</definedName>
    <definedName name="Data_TredeTijd451">Data!$T$453</definedName>
    <definedName name="Data_TredeTijd452">Data!$T$454</definedName>
    <definedName name="Data_TredeTijd453">Data!$T$455</definedName>
    <definedName name="Data_TredeTijd454">Data!$T$456</definedName>
    <definedName name="Data_TredeTijd455">Data!$T$457</definedName>
    <definedName name="Data_TredeTijd456">Data!$T$458</definedName>
    <definedName name="Data_TredeTijd457">Data!$T$459</definedName>
    <definedName name="Data_TredeTijd458">Data!$T$460</definedName>
    <definedName name="Data_TredeTijd459">Data!$T$461</definedName>
    <definedName name="Data_TredeTijd460">Data!$T$462</definedName>
    <definedName name="Data_TredeTijd461">Data!$T$463</definedName>
    <definedName name="Data_TredeTijd462">Data!$T$464</definedName>
    <definedName name="Data_TredeTijd463">Data!$T$465</definedName>
    <definedName name="Data_TredeTijd464">Data!$T$466</definedName>
    <definedName name="Data_TredeTijd465">Data!$T$467</definedName>
    <definedName name="Data_TredeTijd466">Data!$T$468</definedName>
    <definedName name="Data_TredeTijd467">Data!$T$469</definedName>
    <definedName name="Data_TredeTijd468">Data!$T$470</definedName>
    <definedName name="Data_TredeTijd469">Data!$T$471</definedName>
    <definedName name="Data_TredeTijd470">Data!$T$472</definedName>
    <definedName name="Data_TredeTijd471">Data!$T$473</definedName>
    <definedName name="Data_TredeTijd472">Data!$T$474</definedName>
    <definedName name="Data_TredeTijd473">Data!$T$475</definedName>
    <definedName name="Data_TredeTijd474">Data!$T$476</definedName>
    <definedName name="Data_TredeTijd475">Data!$T$477</definedName>
    <definedName name="Data_TredeTijd476">Data!$T$478</definedName>
    <definedName name="Data_TredeTijd477">Data!$T$479</definedName>
    <definedName name="Data_TredeTijd478">Data!$T$480</definedName>
    <definedName name="Data_TredeTijd479">Data!$T$481</definedName>
    <definedName name="Data_TredeTijd480">Data!$T$482</definedName>
    <definedName name="Data_TredeTijd481">Data!$T$483</definedName>
    <definedName name="Data_TredeTijd482">Data!$T$484</definedName>
    <definedName name="Data_TredeTijd483">Data!$T$485</definedName>
    <definedName name="Data_TredeTijd484">Data!$T$486</definedName>
    <definedName name="Data_TredeTijd485">Data!$T$487</definedName>
    <definedName name="Data_TredeTijd486">Data!$T$488</definedName>
    <definedName name="Data_TredeTijd487">Data!$T$489</definedName>
    <definedName name="Data_TredeTijd488">Data!$T$490</definedName>
    <definedName name="Data_TredeTijd489">Data!$T$491</definedName>
    <definedName name="Data_TredeTijd490">Data!$T$492</definedName>
    <definedName name="Data_TredeTijd491">Data!$T$493</definedName>
    <definedName name="Data_TredeTijd492">Data!$T$494</definedName>
    <definedName name="Data_TredeTijd493">Data!$T$495</definedName>
    <definedName name="Data_TredeTijd494">Data!$T$496</definedName>
    <definedName name="Data_TredeTijd495">Data!$T$497</definedName>
    <definedName name="Data_TredeTijd496">Data!$T$498</definedName>
    <definedName name="Data_TredeTijd497">Data!$T$499</definedName>
    <definedName name="Data_TredeTijd498">Data!$T$500</definedName>
    <definedName name="Data_TredeTijd499">Data!$T$501</definedName>
    <definedName name="Data_TredeTijd500">Data!$T$502</definedName>
    <definedName name="Data_TredeVastOntslag001">Data!$AN$3</definedName>
    <definedName name="Data_TredeVastOntslag002">Data!$AN$4</definedName>
    <definedName name="Data_TredeVastOntslag003">Data!$AN$5</definedName>
    <definedName name="Data_TredeVastOntslag004">Data!$AN$6</definedName>
    <definedName name="Data_TredeVastOntslag005">Data!$AN$7</definedName>
    <definedName name="Data_TredeVastOntslag006">Data!$AN$8</definedName>
    <definedName name="Data_TredeVastOntslag007">Data!$AN$9</definedName>
    <definedName name="Data_TredeVastOntslag008">Data!$AN$10</definedName>
    <definedName name="Data_TredeVastOntslag009">Data!$AN$11</definedName>
    <definedName name="Data_TredeVastOntslag010">Data!$AN$12</definedName>
    <definedName name="Data_TredeVastOntslag011">Data!$AN$13</definedName>
    <definedName name="Data_TredeVastOntslag012">Data!$AN$14</definedName>
    <definedName name="Data_TredeVastOntslag013">Data!$AN$15</definedName>
    <definedName name="Data_TredeVastOntslag014">Data!$AN$16</definedName>
    <definedName name="Data_TredeVastOntslag015">Data!$AN$17</definedName>
    <definedName name="Data_TredeVastOntslag016">Data!$AN$18</definedName>
    <definedName name="Data_TredeVastOntslag017">Data!$AN$19</definedName>
    <definedName name="Data_TredeVastOntslag018">Data!$AN$20</definedName>
    <definedName name="Data_TredeVastOntslag019">Data!$AN$21</definedName>
    <definedName name="Data_TredeVastOntslag020">Data!$AN$22</definedName>
    <definedName name="Data_TredeVastOntslag021">Data!$AN$23</definedName>
    <definedName name="Data_TredeVastOntslag022">Data!$AN$24</definedName>
    <definedName name="Data_TredeVastOntslag023">Data!$AN$25</definedName>
    <definedName name="Data_TredeVastOntslag024">Data!$AN$26</definedName>
    <definedName name="Data_TredeVastOntslag025">Data!$AN$27</definedName>
    <definedName name="Data_TredeVastOntslag026">Data!$AN$28</definedName>
    <definedName name="Data_TredeVastOntslag027">Data!$AN$29</definedName>
    <definedName name="Data_TredeVastOntslag028">Data!$AN$30</definedName>
    <definedName name="Data_TredeVastOntslag029">Data!$AN$31</definedName>
    <definedName name="Data_TredeVastOntslag030">Data!$AN$32</definedName>
    <definedName name="Data_TredeVastOntslag031">Data!$AN$33</definedName>
    <definedName name="Data_TredeVastOntslag032">Data!$AN$34</definedName>
    <definedName name="Data_TredeVastOntslag033">Data!$AN$35</definedName>
    <definedName name="Data_TredeVastOntslag034">Data!$AN$36</definedName>
    <definedName name="Data_TredeVastOntslag035">Data!$AN$37</definedName>
    <definedName name="Data_TredeVastOntslag036">Data!$AN$38</definedName>
    <definedName name="Data_TredeVastOntslag037">Data!$AN$39</definedName>
    <definedName name="Data_TredeVastOntslag038">Data!$AN$40</definedName>
    <definedName name="Data_TredeVastOntslag039">Data!$AN$41</definedName>
    <definedName name="Data_TredeVastOntslag040">Data!$AN$42</definedName>
    <definedName name="Data_TredeVastOntslag041">Data!$AN$43</definedName>
    <definedName name="Data_TredeVastOntslag042">Data!$AN$44</definedName>
    <definedName name="Data_TredeVastOntslag043">Data!$AN$45</definedName>
    <definedName name="Data_TredeVastOntslag044">Data!$AN$46</definedName>
    <definedName name="Data_TredeVastOntslag045">Data!$AN$47</definedName>
    <definedName name="Data_TredeVastOntslag046">Data!$AN$48</definedName>
    <definedName name="Data_TredeVastOntslag047">Data!$AN$49</definedName>
    <definedName name="Data_TredeVastOntslag048">Data!$AN$50</definedName>
    <definedName name="Data_TredeVastOntslag049">Data!$AN$51</definedName>
    <definedName name="Data_TredeVastOntslag050">Data!$AN$52</definedName>
    <definedName name="Data_TredeVastOntslag051">Data!$AN$53</definedName>
    <definedName name="Data_TredeVastOntslag052">Data!$AN$54</definedName>
    <definedName name="Data_TredeVastOntslag053">Data!$AN$55</definedName>
    <definedName name="Data_TredeVastOntslag054">Data!$AN$56</definedName>
    <definedName name="Data_TredeVastOntslag055">Data!$AN$57</definedName>
    <definedName name="Data_TredeVastOntslag056">Data!$AN$58</definedName>
    <definedName name="Data_TredeVastOntslag057">Data!$AN$59</definedName>
    <definedName name="Data_TredeVastOntslag058">Data!$AN$60</definedName>
    <definedName name="Data_TredeVastOntslag059">Data!$AN$61</definedName>
    <definedName name="Data_TredeVastOntslag060">Data!$AN$62</definedName>
    <definedName name="Data_TredeVastOntslag061">Data!$AN$63</definedName>
    <definedName name="Data_TredeVastOntslag062">Data!$AN$64</definedName>
    <definedName name="Data_TredeVastOntslag063">Data!$AN$65</definedName>
    <definedName name="Data_TredeVastOntslag064">Data!$AN$66</definedName>
    <definedName name="Data_TredeVastOntslag065">Data!$AN$67</definedName>
    <definedName name="Data_TredeVastOntslag066">Data!$AN$68</definedName>
    <definedName name="Data_TredeVastOntslag067">Data!$AN$69</definedName>
    <definedName name="Data_TredeVastOntslag068">Data!$AN$70</definedName>
    <definedName name="Data_TredeVastOntslag069">Data!$AN$71</definedName>
    <definedName name="Data_TredeVastOntslag070">Data!$AN$72</definedName>
    <definedName name="Data_TredeVastOntslag071">Data!$AN$73</definedName>
    <definedName name="Data_TredeVastOntslag072">Data!$AN$74</definedName>
    <definedName name="Data_TredeVastOntslag073">Data!$AN$75</definedName>
    <definedName name="Data_TredeVastOntslag074">Data!$AN$76</definedName>
    <definedName name="Data_TredeVastOntslag075">Data!$AN$77</definedName>
    <definedName name="Data_TredeVastOntslag076">Data!$AN$78</definedName>
    <definedName name="Data_TredeVastOntslag077">Data!$AN$79</definedName>
    <definedName name="Data_TredeVastOntslag078">Data!$AN$80</definedName>
    <definedName name="Data_TredeVastOntslag079">Data!$AN$81</definedName>
    <definedName name="Data_TredeVastOntslag080">Data!$AN$82</definedName>
    <definedName name="Data_TredeVastOntslag081">Data!$AN$83</definedName>
    <definedName name="Data_TredeVastOntslag082">Data!$AN$84</definedName>
    <definedName name="Data_TredeVastOntslag083">Data!$AN$85</definedName>
    <definedName name="Data_TredeVastOntslag084">Data!$AN$86</definedName>
    <definedName name="Data_TredeVastOntslag085">Data!$AN$87</definedName>
    <definedName name="Data_TredeVastOntslag086">Data!$AN$88</definedName>
    <definedName name="Data_TredeVastOntslag087">Data!$AN$89</definedName>
    <definedName name="Data_TredeVastOntslag088">Data!$AN$90</definedName>
    <definedName name="Data_TredeVastOntslag089">Data!$AN$91</definedName>
    <definedName name="Data_TredeVastOntslag090">Data!$AN$92</definedName>
    <definedName name="Data_TredeVastOntslag091">Data!$AN$93</definedName>
    <definedName name="Data_TredeVastOntslag092">Data!$AN$94</definedName>
    <definedName name="Data_TredeVastOntslag093">Data!$AN$95</definedName>
    <definedName name="Data_TredeVastOntslag094">Data!$AN$96</definedName>
    <definedName name="Data_TredeVastOntslag095">Data!$AN$97</definedName>
    <definedName name="Data_TredeVastOntslag096">Data!$AN$98</definedName>
    <definedName name="Data_TredeVastOntslag097">Data!$AN$99</definedName>
    <definedName name="Data_TredeVastOntslag098">Data!$AN$100</definedName>
    <definedName name="Data_TredeVastOntslag099">Data!$AN$101</definedName>
    <definedName name="Data_TredeVastOntslag100">Data!$AN$102</definedName>
    <definedName name="Data_TredeVastOntslag101">Data!$AN$103</definedName>
    <definedName name="Data_TredeVastOntslag102">Data!$AN$104</definedName>
    <definedName name="Data_TredeVastOntslag103">Data!$AN$105</definedName>
    <definedName name="Data_TredeVastOntslag104">Data!$AN$106</definedName>
    <definedName name="Data_TredeVastOntslag105">Data!$AN$107</definedName>
    <definedName name="Data_TredeVastOntslag106">Data!$AN$108</definedName>
    <definedName name="Data_TredeVastOntslag107">Data!$AN$109</definedName>
    <definedName name="Data_TredeVastOntslag108">Data!$AN$110</definedName>
    <definedName name="Data_TredeVastOntslag109">Data!$AN$111</definedName>
    <definedName name="Data_TredeVastOntslag110">Data!$AN$112</definedName>
    <definedName name="Data_TredeVastOntslag111">Data!$AN$113</definedName>
    <definedName name="Data_TredeVastOntslag112">Data!$AN$114</definedName>
    <definedName name="Data_TredeVastOntslag113">Data!$AN$115</definedName>
    <definedName name="Data_TredeVastOntslag114">Data!$AN$116</definedName>
    <definedName name="Data_TredeVastOntslag115">Data!$AN$117</definedName>
    <definedName name="Data_TredeVastOntslag116">Data!$AN$118</definedName>
    <definedName name="Data_TredeVastOntslag117">Data!$AN$119</definedName>
    <definedName name="Data_TredeVastOntslag118">Data!$AN$120</definedName>
    <definedName name="Data_TredeVastOntslag119">Data!$AN$121</definedName>
    <definedName name="Data_TredeVastOntslag120">Data!$AN$122</definedName>
    <definedName name="Data_TredeVastOntslag121">Data!$AN$123</definedName>
    <definedName name="Data_TredeVastOntslag122">Data!$AN$124</definedName>
    <definedName name="Data_TredeVastOntslag123">Data!$AN$125</definedName>
    <definedName name="Data_TredeVastOntslag124">Data!$AN$126</definedName>
    <definedName name="Data_TredeVastOntslag125">Data!$AN$127</definedName>
    <definedName name="Data_TredeVastOntslag126">Data!$AN$128</definedName>
    <definedName name="Data_TredeVastOntslag127">Data!$AN$129</definedName>
    <definedName name="Data_TredeVastOntslag128">Data!$AN$130</definedName>
    <definedName name="Data_TredeVastOntslag129">Data!$AN$131</definedName>
    <definedName name="Data_TredeVastOntslag130">Data!$AN$132</definedName>
    <definedName name="Data_TredeVastOntslag131">Data!$AN$133</definedName>
    <definedName name="Data_TredeVastOntslag132">Data!$AN$134</definedName>
    <definedName name="Data_TredeVastOntslag133">Data!$AN$135</definedName>
    <definedName name="Data_TredeVastOntslag134">Data!$AN$136</definedName>
    <definedName name="Data_TredeVastOntslag135">Data!$AN$137</definedName>
    <definedName name="Data_TredeVastOntslag136">Data!$AN$138</definedName>
    <definedName name="Data_TredeVastOntslag137">Data!$AN$139</definedName>
    <definedName name="Data_TredeVastOntslag138">Data!$AN$140</definedName>
    <definedName name="Data_TredeVastOntslag139">Data!$AN$141</definedName>
    <definedName name="Data_TredeVastOntslag140">Data!$AN$142</definedName>
    <definedName name="Data_TredeVastOntslag141">Data!$AN$143</definedName>
    <definedName name="Data_TredeVastOntslag142">Data!$AN$144</definedName>
    <definedName name="Data_TredeVastOntslag143">Data!$AN$145</definedName>
    <definedName name="Data_TredeVastOntslag144">Data!$AN$146</definedName>
    <definedName name="Data_TredeVastOntslag145">Data!$AN$147</definedName>
    <definedName name="Data_TredeVastOntslag146">Data!$AN$148</definedName>
    <definedName name="Data_TredeVastOntslag147">Data!$AN$149</definedName>
    <definedName name="Data_TredeVastOntslag148">Data!$AN$150</definedName>
    <definedName name="Data_TredeVastOntslag149">Data!$AN$151</definedName>
    <definedName name="Data_TredeVastOntslag150">Data!$AN$152</definedName>
    <definedName name="Data_TredeVastOntslag151">Data!$AN$153</definedName>
    <definedName name="Data_TredeVastOntslag152">Data!$AN$154</definedName>
    <definedName name="Data_TredeVastOntslag153">Data!$AN$155</definedName>
    <definedName name="Data_TredeVastOntslag154">Data!$AN$156</definedName>
    <definedName name="Data_TredeVastOntslag155">Data!$AN$157</definedName>
    <definedName name="Data_TredeVastOntslag156">Data!$AN$158</definedName>
    <definedName name="Data_TredeVastOntslag157">Data!$AN$159</definedName>
    <definedName name="Data_TredeVastOntslag158">Data!$AN$160</definedName>
    <definedName name="Data_TredeVastOntslag159">Data!$AN$161</definedName>
    <definedName name="Data_TredeVastOntslag160">Data!$AN$162</definedName>
    <definedName name="Data_TredeVastOntslag161">Data!$AN$163</definedName>
    <definedName name="Data_TredeVastOntslag162">Data!$AN$164</definedName>
    <definedName name="Data_TredeVastOntslag163">Data!$AN$165</definedName>
    <definedName name="Data_TredeVastOntslag164">Data!$AN$166</definedName>
    <definedName name="Data_TredeVastOntslag165">Data!$AN$167</definedName>
    <definedName name="Data_TredeVastOntslag166">Data!$AN$168</definedName>
    <definedName name="Data_TredeVastOntslag167">Data!$AN$169</definedName>
    <definedName name="Data_TredeVastOntslag168">Data!$AN$170</definedName>
    <definedName name="Data_TredeVastOntslag169">Data!$AN$171</definedName>
    <definedName name="Data_TredeVastOntslag170">Data!$AN$172</definedName>
    <definedName name="Data_TredeVastOntslag171">Data!$AN$173</definedName>
    <definedName name="Data_TredeVastOntslag172">Data!$AN$174</definedName>
    <definedName name="Data_TredeVastOntslag173">Data!$AN$175</definedName>
    <definedName name="Data_TredeVastOntslag174">Data!$AN$176</definedName>
    <definedName name="Data_TredeVastOntslag175">Data!$AN$177</definedName>
    <definedName name="Data_TredeVastOntslag176">Data!$AN$178</definedName>
    <definedName name="Data_TredeVastOntslag177">Data!$AN$179</definedName>
    <definedName name="Data_TredeVastOntslag178">Data!$AN$180</definedName>
    <definedName name="Data_TredeVastOntslag179">Data!$AN$181</definedName>
    <definedName name="Data_TredeVastOntslag180">Data!$AN$182</definedName>
    <definedName name="Data_TredeVastOntslag181">Data!$AN$183</definedName>
    <definedName name="Data_TredeVastOntslag182">Data!$AN$184</definedName>
    <definedName name="Data_TredeVastOntslag183">Data!$AN$185</definedName>
    <definedName name="Data_TredeVastOntslag184">Data!$AN$186</definedName>
    <definedName name="Data_TredeVastOntslag185">Data!$AN$187</definedName>
    <definedName name="Data_TredeVastOntslag186">Data!$AN$188</definedName>
    <definedName name="Data_TredeVastOntslag187">Data!$AN$189</definedName>
    <definedName name="Data_TredeVastOntslag188">Data!$AN$190</definedName>
    <definedName name="Data_TredeVastOntslag189">Data!$AN$191</definedName>
    <definedName name="Data_TredeVastOntslag190">Data!$AN$192</definedName>
    <definedName name="Data_TredeVastOntslag191">Data!$AN$193</definedName>
    <definedName name="Data_TredeVastOntslag192">Data!$AN$194</definedName>
    <definedName name="Data_TredeVastOntslag193">Data!$AN$195</definedName>
    <definedName name="Data_TredeVastOntslag194">Data!$AN$196</definedName>
    <definedName name="Data_TredeVastOntslag195">Data!$AN$197</definedName>
    <definedName name="Data_TredeVastOntslag196">Data!$AN$198</definedName>
    <definedName name="Data_TredeVastOntslag197">Data!$AN$199</definedName>
    <definedName name="Data_TredeVastOntslag198">Data!$AN$200</definedName>
    <definedName name="Data_TredeVastOntslag199">Data!$AN$201</definedName>
    <definedName name="Data_TredeVastOntslag200">Data!$AN$202</definedName>
    <definedName name="Data_TredeVastOntslag201">Data!$AN$203</definedName>
    <definedName name="Data_TredeVastOntslag202">Data!$AN$204</definedName>
    <definedName name="Data_TredeVastOntslag203">Data!$AN$205</definedName>
    <definedName name="Data_TredeVastOntslag204">Data!$AN$206</definedName>
    <definedName name="Data_TredeVastOntslag205">Data!$AN$207</definedName>
    <definedName name="Data_TredeVastOntslag206">Data!$AN$208</definedName>
    <definedName name="Data_TredeVastOntslag207">Data!$AN$209</definedName>
    <definedName name="Data_TredeVastOntslag208">Data!$AN$210</definedName>
    <definedName name="Data_TredeVastOntslag209">Data!$AN$211</definedName>
    <definedName name="Data_TredeVastOntslag210">Data!$AN$212</definedName>
    <definedName name="Data_TredeVastOntslag211">Data!$AN$213</definedName>
    <definedName name="Data_TredeVastOntslag212">Data!$AN$214</definedName>
    <definedName name="Data_TredeVastOntslag213">Data!$AN$215</definedName>
    <definedName name="Data_TredeVastOntslag214">Data!$AN$216</definedName>
    <definedName name="Data_TredeVastOntslag215">Data!$AN$217</definedName>
    <definedName name="Data_TredeVastOntslag216">Data!$AN$218</definedName>
    <definedName name="Data_TredeVastOntslag217">Data!$AN$219</definedName>
    <definedName name="Data_TredeVastOntslag218">Data!$AN$220</definedName>
    <definedName name="Data_TredeVastOntslag219">Data!$AN$221</definedName>
    <definedName name="Data_TredeVastOntslag220">Data!$AN$222</definedName>
    <definedName name="Data_TredeVastOntslag221">Data!$AN$223</definedName>
    <definedName name="Data_TredeVastOntslag222">Data!$AN$224</definedName>
    <definedName name="Data_TredeVastOntslag223">Data!$AN$225</definedName>
    <definedName name="Data_TredeVastOntslag224">Data!$AN$226</definedName>
    <definedName name="Data_TredeVastOntslag225">Data!$AN$227</definedName>
    <definedName name="Data_TredeVastOntslag226">Data!$AN$228</definedName>
    <definedName name="Data_TredeVastOntslag227">Data!$AN$229</definedName>
    <definedName name="Data_TredeVastOntslag228">Data!$AN$230</definedName>
    <definedName name="Data_TredeVastOntslag229">Data!$AN$231</definedName>
    <definedName name="Data_TredeVastOntslag230">Data!$AN$232</definedName>
    <definedName name="Data_TredeVastOntslag231">Data!$AN$233</definedName>
    <definedName name="Data_TredeVastOntslag232">Data!$AN$234</definedName>
    <definedName name="Data_TredeVastOntslag233">Data!$AN$235</definedName>
    <definedName name="Data_TredeVastOntslag234">Data!$AN$236</definedName>
    <definedName name="Data_TredeVastOntslag235">Data!$AN$237</definedName>
    <definedName name="Data_TredeVastOntslag236">Data!$AN$238</definedName>
    <definedName name="Data_TredeVastOntslag237">Data!$AN$239</definedName>
    <definedName name="Data_TredeVastOntslag238">Data!$AN$240</definedName>
    <definedName name="Data_TredeVastOntslag239">Data!$AN$241</definedName>
    <definedName name="Data_TredeVastOntslag240">Data!$AN$242</definedName>
    <definedName name="Data_TredeVastOntslag241">Data!$AN$243</definedName>
    <definedName name="Data_TredeVastOntslag242">Data!$AN$244</definedName>
    <definedName name="Data_TredeVastOntslag243">Data!$AN$245</definedName>
    <definedName name="Data_TredeVastOntslag244">Data!$AN$246</definedName>
    <definedName name="Data_TredeVastOntslag245">Data!$AN$247</definedName>
    <definedName name="Data_TredeVastOntslag246">Data!$AN$248</definedName>
    <definedName name="Data_TredeVastOntslag247">Data!$AN$249</definedName>
    <definedName name="Data_TredeVastOntslag248">Data!$AN$250</definedName>
    <definedName name="Data_TredeVastOntslag249">Data!$AN$251</definedName>
    <definedName name="Data_TredeVastOntslag250">Data!$AN$252</definedName>
    <definedName name="Data_TredeVastOntslag251">Data!$AN$253</definedName>
    <definedName name="Data_TredeVastOntslag252">Data!$AN$254</definedName>
    <definedName name="Data_TredeVastOntslag253">Data!$AN$255</definedName>
    <definedName name="Data_TredeVastOntslag254">Data!$AN$256</definedName>
    <definedName name="Data_TredeVastOntslag255">Data!$AN$257</definedName>
    <definedName name="Data_TredeVastOntslag256">Data!$AN$258</definedName>
    <definedName name="Data_TredeVastOntslag257">Data!$AN$259</definedName>
    <definedName name="Data_TredeVastOntslag258">Data!$AN$260</definedName>
    <definedName name="Data_TredeVastOntslag259">Data!$AN$261</definedName>
    <definedName name="Data_TredeVastOntslag260">Data!$AN$262</definedName>
    <definedName name="Data_TredeVastOntslag261">Data!$AN$263</definedName>
    <definedName name="Data_TredeVastOntslag262">Data!$AN$264</definedName>
    <definedName name="Data_TredeVastOntslag263">Data!$AN$265</definedName>
    <definedName name="Data_TredeVastOntslag264">Data!$AN$266</definedName>
    <definedName name="Data_TredeVastOntslag265">Data!$AN$267</definedName>
    <definedName name="Data_TredeVastOntslag266">Data!$AN$268</definedName>
    <definedName name="Data_TredeVastOntslag267">Data!$AN$269</definedName>
    <definedName name="Data_TredeVastOntslag268">Data!$AN$270</definedName>
    <definedName name="Data_TredeVastOntslag269">Data!$AN$271</definedName>
    <definedName name="Data_TredeVastOntslag270">Data!$AN$272</definedName>
    <definedName name="Data_TredeVastOntslag271">Data!$AN$273</definedName>
    <definedName name="Data_TredeVastOntslag272">Data!$AN$274</definedName>
    <definedName name="Data_TredeVastOntslag273">Data!$AN$275</definedName>
    <definedName name="Data_TredeVastOntslag274">Data!$AN$276</definedName>
    <definedName name="Data_TredeVastOntslag275">Data!$AN$277</definedName>
    <definedName name="Data_TredeVastOntslag276">Data!$AN$278</definedName>
    <definedName name="Data_TredeVastOntslag277">Data!$AN$279</definedName>
    <definedName name="Data_TredeVastOntslag278">Data!$AN$280</definedName>
    <definedName name="Data_TredeVastOntslag279">Data!$AN$281</definedName>
    <definedName name="Data_TredeVastOntslag280">Data!$AN$282</definedName>
    <definedName name="Data_TredeVastOntslag281">Data!$AN$283</definedName>
    <definedName name="Data_TredeVastOntslag282">Data!$AN$284</definedName>
    <definedName name="Data_TredeVastOntslag283">Data!$AN$285</definedName>
    <definedName name="Data_TredeVastOntslag284">Data!$AN$286</definedName>
    <definedName name="Data_TredeVastOntslag285">Data!$AN$287</definedName>
    <definedName name="Data_TredeVastOntslag286">Data!$AN$288</definedName>
    <definedName name="Data_TredeVastOntslag287">Data!$AN$289</definedName>
    <definedName name="Data_TredeVastOntslag288">Data!$AN$290</definedName>
    <definedName name="Data_TredeVastOntslag289">Data!$AN$291</definedName>
    <definedName name="Data_TredeVastOntslag290">Data!$AN$292</definedName>
    <definedName name="Data_TredeVastOntslag291">Data!$AN$293</definedName>
    <definedName name="Data_TredeVastOntslag292">Data!$AN$294</definedName>
    <definedName name="Data_TredeVastOntslag293">Data!$AN$295</definedName>
    <definedName name="Data_TredeVastOntslag294">Data!$AN$296</definedName>
    <definedName name="Data_TredeVastOntslag295">Data!$AN$297</definedName>
    <definedName name="Data_TredeVastOntslag296">Data!$AN$298</definedName>
    <definedName name="Data_TredeVastOntslag297">Data!$AN$299</definedName>
    <definedName name="Data_TredeVastOntslag298">Data!$AN$300</definedName>
    <definedName name="Data_TredeVastOntslag299">Data!$AN$301</definedName>
    <definedName name="Data_TredeVastOntslag300">Data!$AN$302</definedName>
    <definedName name="Data_TredeVastOntslag301">Data!$AN$303</definedName>
    <definedName name="Data_TredeVastOntslag302">Data!$AN$304</definedName>
    <definedName name="Data_TredeVastOntslag303">Data!$AN$305</definedName>
    <definedName name="Data_TredeVastOntslag304">Data!$AN$306</definedName>
    <definedName name="Data_TredeVastOntslag305">Data!$AN$307</definedName>
    <definedName name="Data_TredeVastOntslag306">Data!$AN$308</definedName>
    <definedName name="Data_TredeVastOntslag307">Data!$AN$309</definedName>
    <definedName name="Data_TredeVastOntslag308">Data!$AN$310</definedName>
    <definedName name="Data_TredeVastOntslag309">Data!$AN$311</definedName>
    <definedName name="Data_TredeVastOntslag310">Data!$AN$312</definedName>
    <definedName name="Data_TredeVastOntslag311">Data!$AN$313</definedName>
    <definedName name="Data_TredeVastOntslag312">Data!$AN$314</definedName>
    <definedName name="Data_TredeVastOntslag313">Data!$AN$315</definedName>
    <definedName name="Data_TredeVastOntslag314">Data!$AN$316</definedName>
    <definedName name="Data_TredeVastOntslag315">Data!$AN$317</definedName>
    <definedName name="Data_TredeVastOntslag316">Data!$AN$318</definedName>
    <definedName name="Data_TredeVastOntslag317">Data!$AN$319</definedName>
    <definedName name="Data_TredeVastOntslag318">Data!$AN$320</definedName>
    <definedName name="Data_TredeVastOntslag319">Data!$AN$321</definedName>
    <definedName name="Data_TredeVastOntslag320">Data!$AN$322</definedName>
    <definedName name="Data_TredeVastOntslag321">Data!$AN$323</definedName>
    <definedName name="Data_TredeVastOntslag322">Data!$AN$324</definedName>
    <definedName name="Data_TredeVastOntslag323">Data!$AN$325</definedName>
    <definedName name="Data_TredeVastOntslag324">Data!$AN$326</definedName>
    <definedName name="Data_TredeVastOntslag325">Data!$AN$327</definedName>
    <definedName name="Data_TredeVastOntslag326">Data!$AN$328</definedName>
    <definedName name="Data_TredeVastOntslag327">Data!$AN$329</definedName>
    <definedName name="Data_TredeVastOntslag328">Data!$AN$330</definedName>
    <definedName name="Data_TredeVastOntslag329">Data!$AN$331</definedName>
    <definedName name="Data_TredeVastOntslag330">Data!$AN$332</definedName>
    <definedName name="Data_TredeVastOntslag331">Data!$AN$333</definedName>
    <definedName name="Data_TredeVastOntslag332">Data!$AN$334</definedName>
    <definedName name="Data_TredeVastOntslag333">Data!$AN$335</definedName>
    <definedName name="Data_TredeVastOntslag334">Data!$AN$336</definedName>
    <definedName name="Data_TredeVastOntslag335">Data!$AN$337</definedName>
    <definedName name="Data_TredeVastOntslag336">Data!$AN$338</definedName>
    <definedName name="Data_TredeVastOntslag337">Data!$AN$339</definedName>
    <definedName name="Data_TredeVastOntslag338">Data!$AN$340</definedName>
    <definedName name="Data_TredeVastOntslag339">Data!$AN$341</definedName>
    <definedName name="Data_TredeVastOntslag340">Data!$AN$342</definedName>
    <definedName name="Data_TredeVastOntslag341">Data!$AN$343</definedName>
    <definedName name="Data_TredeVastOntslag342">Data!$AN$344</definedName>
    <definedName name="Data_TredeVastOntslag343">Data!$AN$345</definedName>
    <definedName name="Data_TredeVastOntslag344">Data!$AN$346</definedName>
    <definedName name="Data_TredeVastOntslag345">Data!$AN$347</definedName>
    <definedName name="Data_TredeVastOntslag346">Data!$AN$348</definedName>
    <definedName name="Data_TredeVastOntslag347">Data!$AN$349</definedName>
    <definedName name="Data_TredeVastOntslag348">Data!$AN$350</definedName>
    <definedName name="Data_TredeVastOntslag349">Data!$AN$351</definedName>
    <definedName name="Data_TredeVastOntslag350">Data!$AN$352</definedName>
    <definedName name="Data_TredeVastOntslag351">Data!$AN$353</definedName>
    <definedName name="Data_TredeVastOntslag352">Data!$AN$354</definedName>
    <definedName name="Data_TredeVastOntslag353">Data!$AN$355</definedName>
    <definedName name="Data_TredeVastOntslag354">Data!$AN$356</definedName>
    <definedName name="Data_TredeVastOntslag355">Data!$AN$357</definedName>
    <definedName name="Data_TredeVastOntslag356">Data!$AN$358</definedName>
    <definedName name="Data_TredeVastOntslag357">Data!$AN$359</definedName>
    <definedName name="Data_TredeVastOntslag358">Data!$AN$360</definedName>
    <definedName name="Data_TredeVastOntslag359">Data!$AN$361</definedName>
    <definedName name="Data_TredeVastOntslag360">Data!$AN$362</definedName>
    <definedName name="Data_TredeVastOntslag361">Data!$AN$363</definedName>
    <definedName name="Data_TredeVastOntslag362">Data!$AN$364</definedName>
    <definedName name="Data_TredeVastOntslag363">Data!$AN$365</definedName>
    <definedName name="Data_TredeVastOntslag364">Data!$AN$366</definedName>
    <definedName name="Data_TredeVastOntslag365">Data!$AN$367</definedName>
    <definedName name="Data_TredeVastOntslag366">Data!$AN$368</definedName>
    <definedName name="Data_TredeVastOntslag367">Data!$AN$369</definedName>
    <definedName name="Data_TredeVastOntslag368">Data!$AN$370</definedName>
    <definedName name="Data_TredeVastOntslag369">Data!$AN$371</definedName>
    <definedName name="Data_TredeVastOntslag370">Data!$AN$372</definedName>
    <definedName name="Data_TredeVastOntslag371">Data!$AN$373</definedName>
    <definedName name="Data_TredeVastOntslag372">Data!$AN$374</definedName>
    <definedName name="Data_TredeVastOntslag373">Data!$AN$375</definedName>
    <definedName name="Data_TredeVastOntslag374">Data!$AN$376</definedName>
    <definedName name="Data_TredeVastOntslag375">Data!$AN$377</definedName>
    <definedName name="Data_TredeVastOntslag376">Data!$AN$378</definedName>
    <definedName name="Data_TredeVastOntslag377">Data!$AN$379</definedName>
    <definedName name="Data_TredeVastOntslag378">Data!$AN$380</definedName>
    <definedName name="Data_TredeVastOntslag379">Data!$AN$381</definedName>
    <definedName name="Data_TredeVastOntslag380">Data!$AN$382</definedName>
    <definedName name="Data_TredeVastOntslag381">Data!$AN$383</definedName>
    <definedName name="Data_TredeVastOntslag382">Data!$AN$384</definedName>
    <definedName name="Data_TredeVastOntslag383">Data!$AN$385</definedName>
    <definedName name="Data_TredeVastOntslag384">Data!$AN$386</definedName>
    <definedName name="Data_TredeVastOntslag385">Data!$AN$387</definedName>
    <definedName name="Data_TredeVastOntslag386">Data!$AN$388</definedName>
    <definedName name="Data_TredeVastOntslag387">Data!$AN$389</definedName>
    <definedName name="Data_TredeVastOntslag388">Data!$AN$390</definedName>
    <definedName name="Data_TredeVastOntslag389">Data!$AN$391</definedName>
    <definedName name="Data_TredeVastOntslag390">Data!$AN$392</definedName>
    <definedName name="Data_TredeVastOntslag391">Data!$AN$393</definedName>
    <definedName name="Data_TredeVastOntslag392">Data!$AN$394</definedName>
    <definedName name="Data_TredeVastOntslag393">Data!$AN$395</definedName>
    <definedName name="Data_TredeVastOntslag394">Data!$AN$396</definedName>
    <definedName name="Data_TredeVastOntslag395">Data!$AN$397</definedName>
    <definedName name="Data_TredeVastOntslag396">Data!$AN$398</definedName>
    <definedName name="Data_TredeVastOntslag397">Data!$AN$399</definedName>
    <definedName name="Data_TredeVastOntslag398">Data!$AN$400</definedName>
    <definedName name="Data_TredeVastOntslag399">Data!$AN$401</definedName>
    <definedName name="Data_TredeVastOntslag400">Data!$AN$402</definedName>
    <definedName name="Data_TredeVastOntslag401">Data!$AN$403</definedName>
    <definedName name="Data_TredeVastOntslag402">Data!$AN$404</definedName>
    <definedName name="Data_TredeVastOntslag403">Data!$AN$405</definedName>
    <definedName name="Data_TredeVastOntslag404">Data!$AN$406</definedName>
    <definedName name="Data_TredeVastOntslag405">Data!$AN$407</definedName>
    <definedName name="Data_TredeVastOntslag406">Data!$AN$408</definedName>
    <definedName name="Data_TredeVastOntslag407">Data!$AN$409</definedName>
    <definedName name="Data_TredeVastOntslag408">Data!$AN$410</definedName>
    <definedName name="Data_TredeVastOntslag409">Data!$AN$411</definedName>
    <definedName name="Data_TredeVastOntslag410">Data!$AN$412</definedName>
    <definedName name="Data_TredeVastOntslag411">Data!$AN$413</definedName>
    <definedName name="Data_TredeVastOntslag412">Data!$AN$414</definedName>
    <definedName name="Data_TredeVastOntslag413">Data!$AN$415</definedName>
    <definedName name="Data_TredeVastOntslag414">Data!$AN$416</definedName>
    <definedName name="Data_TredeVastOntslag415">Data!$AN$417</definedName>
    <definedName name="Data_TredeVastOntslag416">Data!$AN$418</definedName>
    <definedName name="Data_TredeVastOntslag417">Data!$AN$419</definedName>
    <definedName name="Data_TredeVastOntslag418">Data!$AN$420</definedName>
    <definedName name="Data_TredeVastOntslag419">Data!$AN$421</definedName>
    <definedName name="Data_TredeVastOntslag420">Data!$AN$422</definedName>
    <definedName name="Data_TredeVastOntslag421">Data!$AN$423</definedName>
    <definedName name="Data_TredeVastOntslag422">Data!$AN$424</definedName>
    <definedName name="Data_TredeVastOntslag423">Data!$AN$425</definedName>
    <definedName name="Data_TredeVastOntslag424">Data!$AN$426</definedName>
    <definedName name="Data_TredeVastOntslag425">Data!$AN$427</definedName>
    <definedName name="Data_TredeVastOntslag426">Data!$AN$428</definedName>
    <definedName name="Data_TredeVastOntslag427">Data!$AN$429</definedName>
    <definedName name="Data_TredeVastOntslag428">Data!$AN$430</definedName>
    <definedName name="Data_TredeVastOntslag429">Data!$AN$431</definedName>
    <definedName name="Data_TredeVastOntslag430">Data!$AN$432</definedName>
    <definedName name="Data_TredeVastOntslag431">Data!$AN$433</definedName>
    <definedName name="Data_TredeVastOntslag432">Data!$AN$434</definedName>
    <definedName name="Data_TredeVastOntslag433">Data!$AN$435</definedName>
    <definedName name="Data_TredeVastOntslag434">Data!$AN$436</definedName>
    <definedName name="Data_TredeVastOntslag435">Data!$AN$437</definedName>
    <definedName name="Data_TredeVastOntslag436">Data!$AN$438</definedName>
    <definedName name="Data_TredeVastOntslag437">Data!$AN$439</definedName>
    <definedName name="Data_TredeVastOntslag438">Data!$AN$440</definedName>
    <definedName name="Data_TredeVastOntslag439">Data!$AN$441</definedName>
    <definedName name="Data_TredeVastOntslag440">Data!$AN$442</definedName>
    <definedName name="Data_TredeVastOntslag441">Data!$AN$443</definedName>
    <definedName name="Data_TredeVastOntslag442">Data!$AN$444</definedName>
    <definedName name="Data_TredeVastOntslag443">Data!$AN$445</definedName>
    <definedName name="Data_TredeVastOntslag444">Data!$AN$446</definedName>
    <definedName name="Data_TredeVastOntslag445">Data!$AN$447</definedName>
    <definedName name="Data_TredeVastOntslag446">Data!$AN$448</definedName>
    <definedName name="Data_TredeVastOntslag447">Data!$AN$449</definedName>
    <definedName name="Data_TredeVastOntslag448">Data!$AN$450</definedName>
    <definedName name="Data_TredeVastOntslag449">Data!$AN$451</definedName>
    <definedName name="Data_TredeVastOntslag450">Data!$AN$452</definedName>
    <definedName name="Data_TredeVastOntslag451">Data!$AN$453</definedName>
    <definedName name="Data_TredeVastOntslag452">Data!$AN$454</definedName>
    <definedName name="Data_TredeVastOntslag453">Data!$AN$455</definedName>
    <definedName name="Data_TredeVastOntslag454">Data!$AN$456</definedName>
    <definedName name="Data_TredeVastOntslag455">Data!$AN$457</definedName>
    <definedName name="Data_TredeVastOntslag456">Data!$AN$458</definedName>
    <definedName name="Data_TredeVastOntslag457">Data!$AN$459</definedName>
    <definedName name="Data_TredeVastOntslag458">Data!$AN$460</definedName>
    <definedName name="Data_TredeVastOntslag459">Data!$AN$461</definedName>
    <definedName name="Data_TredeVastOntslag460">Data!$AN$462</definedName>
    <definedName name="Data_TredeVastOntslag461">Data!$AN$463</definedName>
    <definedName name="Data_TredeVastOntslag462">Data!$AN$464</definedName>
    <definedName name="Data_TredeVastOntslag463">Data!$AN$465</definedName>
    <definedName name="Data_TredeVastOntslag464">Data!$AN$466</definedName>
    <definedName name="Data_TredeVastOntslag465">Data!$AN$467</definedName>
    <definedName name="Data_TredeVastOntslag466">Data!$AN$468</definedName>
    <definedName name="Data_TredeVastOntslag467">Data!$AN$469</definedName>
    <definedName name="Data_TredeVastOntslag468">Data!$AN$470</definedName>
    <definedName name="Data_TredeVastOntslag469">Data!$AN$471</definedName>
    <definedName name="Data_TredeVastOntslag470">Data!$AN$472</definedName>
    <definedName name="Data_TredeVastOntslag471">Data!$AN$473</definedName>
    <definedName name="Data_TredeVastOntslag472">Data!$AN$474</definedName>
    <definedName name="Data_TredeVastOntslag473">Data!$AN$475</definedName>
    <definedName name="Data_TredeVastOntslag474">Data!$AN$476</definedName>
    <definedName name="Data_TredeVastOntslag475">Data!$AN$477</definedName>
    <definedName name="Data_TredeVastOntslag476">Data!$AN$478</definedName>
    <definedName name="Data_TredeVastOntslag477">Data!$AN$479</definedName>
    <definedName name="Data_TredeVastOntslag478">Data!$AN$480</definedName>
    <definedName name="Data_TredeVastOntslag479">Data!$AN$481</definedName>
    <definedName name="Data_TredeVastOntslag480">Data!$AN$482</definedName>
    <definedName name="Data_TredeVastOntslag481">Data!$AN$483</definedName>
    <definedName name="Data_TredeVastOntslag482">Data!$AN$484</definedName>
    <definedName name="Data_TredeVastOntslag483">Data!$AN$485</definedName>
    <definedName name="Data_TredeVastOntslag484">Data!$AN$486</definedName>
    <definedName name="Data_TredeVastOntslag485">Data!$AN$487</definedName>
    <definedName name="Data_TredeVastOntslag486">Data!$AN$488</definedName>
    <definedName name="Data_TredeVastOntslag487">Data!$AN$489</definedName>
    <definedName name="Data_TredeVastOntslag488">Data!$AN$490</definedName>
    <definedName name="Data_TredeVastOntslag489">Data!$AN$491</definedName>
    <definedName name="Data_TredeVastOntslag490">Data!$AN$492</definedName>
    <definedName name="Data_TredeVastOntslag491">Data!$AN$493</definedName>
    <definedName name="Data_TredeVastOntslag492">Data!$AN$494</definedName>
    <definedName name="Data_TredeVastOntslag493">Data!$AN$495</definedName>
    <definedName name="Data_TredeVastOntslag494">Data!$AN$496</definedName>
    <definedName name="Data_TredeVastOntslag495">Data!$AN$497</definedName>
    <definedName name="Data_TredeVastOntslag496">Data!$AN$498</definedName>
    <definedName name="Data_TredeVastOntslag497">Data!$AN$499</definedName>
    <definedName name="Data_TredeVastOntslag498">Data!$AN$500</definedName>
    <definedName name="Data_TredeVastOntslag499">Data!$AN$501</definedName>
    <definedName name="Data_TredeVastOntslag500">Data!$AN$502</definedName>
    <definedName name="Data_TredeVastVrij001">Data!$AD$3</definedName>
    <definedName name="Data_TredeVastVrij002">Data!$AD$4</definedName>
    <definedName name="Data_TredeVastVrij003">Data!$AD$5</definedName>
    <definedName name="Data_TredeVastVrij004">Data!$AD$6</definedName>
    <definedName name="Data_TredeVastVrij005">Data!$AD$7</definedName>
    <definedName name="Data_TredeVastVrij006">Data!$AD$8</definedName>
    <definedName name="Data_TredeVastVrij007">Data!$AD$9</definedName>
    <definedName name="Data_TredeVastVrij008">Data!$AD$10</definedName>
    <definedName name="Data_TredeVastVrij009">Data!$AD$11</definedName>
    <definedName name="Data_TredeVastVrij010">Data!$AD$12</definedName>
    <definedName name="Data_TredeVastVrij011">Data!$AD$13</definedName>
    <definedName name="Data_TredeVastVrij012">Data!$AD$14</definedName>
    <definedName name="Data_TredeVastVrij013">Data!$AD$15</definedName>
    <definedName name="Data_TredeVastVrij014">Data!$AD$16</definedName>
    <definedName name="Data_TredeVastVrij015">Data!$AD$17</definedName>
    <definedName name="Data_TredeVastVrij016">Data!$AD$18</definedName>
    <definedName name="Data_TredeVastVrij017">Data!$AD$19</definedName>
    <definedName name="Data_TredeVastVrij018">Data!$AD$20</definedName>
    <definedName name="Data_TredeVastVrij019">Data!$AD$21</definedName>
    <definedName name="Data_TredeVastVrij020">Data!$AD$22</definedName>
    <definedName name="Data_TredeVastVrij021">Data!$AD$23</definedName>
    <definedName name="Data_TredeVastVrij022">Data!$AD$24</definedName>
    <definedName name="Data_TredeVastVrij023">Data!$AD$25</definedName>
    <definedName name="Data_TredeVastVrij024">Data!$AD$26</definedName>
    <definedName name="Data_TredeVastVrij025">Data!$AD$27</definedName>
    <definedName name="Data_TredeVastVrij026">Data!$AD$28</definedName>
    <definedName name="Data_TredeVastVrij027">Data!$AD$29</definedName>
    <definedName name="Data_TredeVastVrij028">Data!$AD$30</definedName>
    <definedName name="Data_TredeVastVrij029">Data!$AD$31</definedName>
    <definedName name="Data_TredeVastVrij030">Data!$AD$32</definedName>
    <definedName name="Data_TredeVastVrij031">Data!$AD$33</definedName>
    <definedName name="Data_TredeVastVrij032">Data!$AD$34</definedName>
    <definedName name="Data_TredeVastVrij033">Data!$AD$35</definedName>
    <definedName name="Data_TredeVastVrij034">Data!$AD$36</definedName>
    <definedName name="Data_TredeVastVrij035">Data!$AD$37</definedName>
    <definedName name="Data_TredeVastVrij036">Data!$AD$38</definedName>
    <definedName name="Data_TredeVastVrij037">Data!$AD$39</definedName>
    <definedName name="Data_TredeVastVrij038">Data!$AD$40</definedName>
    <definedName name="Data_TredeVastVrij039">Data!$AD$41</definedName>
    <definedName name="Data_TredeVastVrij040">Data!$AD$42</definedName>
    <definedName name="Data_TredeVastVrij041">Data!$AD$43</definedName>
    <definedName name="Data_TredeVastVrij042">Data!$AD$44</definedName>
    <definedName name="Data_TredeVastVrij043">Data!$AD$45</definedName>
    <definedName name="Data_TredeVastVrij044">Data!$AD$46</definedName>
    <definedName name="Data_TredeVastVrij045">Data!$AD$47</definedName>
    <definedName name="Data_TredeVastVrij046">Data!$AD$48</definedName>
    <definedName name="Data_TredeVastVrij047">Data!$AD$49</definedName>
    <definedName name="Data_TredeVastVrij048">Data!$AD$50</definedName>
    <definedName name="Data_TredeVastVrij049">Data!$AD$51</definedName>
    <definedName name="Data_TredeVastVrij050">Data!$AD$52</definedName>
    <definedName name="Data_TredeVastVrij051">Data!$AD$53</definedName>
    <definedName name="Data_TredeVastVrij052">Data!$AD$54</definedName>
    <definedName name="Data_TredeVastVrij053">Data!$AD$55</definedName>
    <definedName name="Data_TredeVastVrij054">Data!$AD$56</definedName>
    <definedName name="Data_TredeVastVrij055">Data!$AD$57</definedName>
    <definedName name="Data_TredeVastVrij056">Data!$AD$58</definedName>
    <definedName name="Data_TredeVastVrij057">Data!$AD$59</definedName>
    <definedName name="Data_TredeVastVrij058">Data!$AD$60</definedName>
    <definedName name="Data_TredeVastVrij059">Data!$AD$61</definedName>
    <definedName name="Data_TredeVastVrij060">Data!$AD$62</definedName>
    <definedName name="Data_TredeVastVrij061">Data!$AD$63</definedName>
    <definedName name="Data_TredeVastVrij062">Data!$AD$64</definedName>
    <definedName name="Data_TredeVastVrij063">Data!$AD$65</definedName>
    <definedName name="Data_TredeVastVrij064">Data!$AD$66</definedName>
    <definedName name="Data_TredeVastVrij065">Data!$AD$67</definedName>
    <definedName name="Data_TredeVastVrij066">Data!$AD$68</definedName>
    <definedName name="Data_TredeVastVrij067">Data!$AD$69</definedName>
    <definedName name="Data_TredeVastVrij068">Data!$AD$70</definedName>
    <definedName name="Data_TredeVastVrij069">Data!$AD$71</definedName>
    <definedName name="Data_TredeVastVrij070">Data!$AD$72</definedName>
    <definedName name="Data_TredeVastVrij071">Data!$AD$73</definedName>
    <definedName name="Data_TredeVastVrij072">Data!$AD$74</definedName>
    <definedName name="Data_TredeVastVrij073">Data!$AD$75</definedName>
    <definedName name="Data_TredeVastVrij074">Data!$AD$76</definedName>
    <definedName name="Data_TredeVastVrij075">Data!$AD$77</definedName>
    <definedName name="Data_TredeVastVrij076">Data!$AD$78</definedName>
    <definedName name="Data_TredeVastVrij077">Data!$AD$79</definedName>
    <definedName name="Data_TredeVastVrij078">Data!$AD$80</definedName>
    <definedName name="Data_TredeVastVrij079">Data!$AD$81</definedName>
    <definedName name="Data_TredeVastVrij080">Data!$AD$82</definedName>
    <definedName name="Data_TredeVastVrij081">Data!$AD$83</definedName>
    <definedName name="Data_TredeVastVrij082">Data!$AD$84</definedName>
    <definedName name="Data_TredeVastVrij083">Data!$AD$85</definedName>
    <definedName name="Data_TredeVastVrij084">Data!$AD$86</definedName>
    <definedName name="Data_TredeVastVrij085">Data!$AD$87</definedName>
    <definedName name="Data_TredeVastVrij086">Data!$AD$88</definedName>
    <definedName name="Data_TredeVastVrij087">Data!$AD$89</definedName>
    <definedName name="Data_TredeVastVrij088">Data!$AD$90</definedName>
    <definedName name="Data_TredeVastVrij089">Data!$AD$91</definedName>
    <definedName name="Data_TredeVastVrij090">Data!$AD$92</definedName>
    <definedName name="Data_TredeVastVrij091">Data!$AD$93</definedName>
    <definedName name="Data_TredeVastVrij092">Data!$AD$94</definedName>
    <definedName name="Data_TredeVastVrij093">Data!$AD$95</definedName>
    <definedName name="Data_TredeVastVrij094">Data!$AD$96</definedName>
    <definedName name="Data_TredeVastVrij095">Data!$AD$97</definedName>
    <definedName name="Data_TredeVastVrij096">Data!$AD$98</definedName>
    <definedName name="Data_TredeVastVrij097">Data!$AD$99</definedName>
    <definedName name="Data_TredeVastVrij098">Data!$AD$100</definedName>
    <definedName name="Data_TredeVastVrij099">Data!$AD$101</definedName>
    <definedName name="Data_TredeVastVrij100">Data!$AD$102</definedName>
    <definedName name="Data_TredeVastVrij101">Data!$AD$103</definedName>
    <definedName name="Data_TredeVastVrij102">Data!$AD$104</definedName>
    <definedName name="Data_TredeVastVrij103">Data!$AD$105</definedName>
    <definedName name="Data_TredeVastVrij104">Data!$AD$106</definedName>
    <definedName name="Data_TredeVastVrij105">Data!$AD$107</definedName>
    <definedName name="Data_TredeVastVrij106">Data!$AD$108</definedName>
    <definedName name="Data_TredeVastVrij107">Data!$AD$109</definedName>
    <definedName name="Data_TredeVastVrij108">Data!$AD$110</definedName>
    <definedName name="Data_TredeVastVrij109">Data!$AD$111</definedName>
    <definedName name="Data_TredeVastVrij110">Data!$AD$112</definedName>
    <definedName name="Data_TredeVastVrij111">Data!$AD$113</definedName>
    <definedName name="Data_TredeVastVrij112">Data!$AD$114</definedName>
    <definedName name="Data_TredeVastVrij113">Data!$AD$115</definedName>
    <definedName name="Data_TredeVastVrij114">Data!$AD$116</definedName>
    <definedName name="Data_TredeVastVrij115">Data!$AD$117</definedName>
    <definedName name="Data_TredeVastVrij116">Data!$AD$118</definedName>
    <definedName name="Data_TredeVastVrij117">Data!$AD$119</definedName>
    <definedName name="Data_TredeVastVrij118">Data!$AD$120</definedName>
    <definedName name="Data_TredeVastVrij119">Data!$AD$121</definedName>
    <definedName name="Data_TredeVastVrij120">Data!$AD$122</definedName>
    <definedName name="Data_TredeVastVrij121">Data!$AD$123</definedName>
    <definedName name="Data_TredeVastVrij122">Data!$AD$124</definedName>
    <definedName name="Data_TredeVastVrij123">Data!$AD$125</definedName>
    <definedName name="Data_TredeVastVrij124">Data!$AD$126</definedName>
    <definedName name="Data_TredeVastVrij125">Data!$AD$127</definedName>
    <definedName name="Data_TredeVastVrij126">Data!$AD$128</definedName>
    <definedName name="Data_TredeVastVrij127">Data!$AD$129</definedName>
    <definedName name="Data_TredeVastVrij128">Data!$AD$130</definedName>
    <definedName name="Data_TredeVastVrij129">Data!$AD$131</definedName>
    <definedName name="Data_TredeVastVrij130">Data!$AD$132</definedName>
    <definedName name="Data_TredeVastVrij131">Data!$AD$133</definedName>
    <definedName name="Data_TredeVastVrij132">Data!$AD$134</definedName>
    <definedName name="Data_TredeVastVrij133">Data!$AD$135</definedName>
    <definedName name="Data_TredeVastVrij134">Data!$AD$136</definedName>
    <definedName name="Data_TredeVastVrij135">Data!$AD$137</definedName>
    <definedName name="Data_TredeVastVrij136">Data!$AD$138</definedName>
    <definedName name="Data_TredeVastVrij137">Data!$AD$139</definedName>
    <definedName name="Data_TredeVastVrij138">Data!$AD$140</definedName>
    <definedName name="Data_TredeVastVrij139">Data!$AD$141</definedName>
    <definedName name="Data_TredeVastVrij140">Data!$AD$142</definedName>
    <definedName name="Data_TredeVastVrij141">Data!$AD$143</definedName>
    <definedName name="Data_TredeVastVrij142">Data!$AD$144</definedName>
    <definedName name="Data_TredeVastVrij143">Data!$AD$145</definedName>
    <definedName name="Data_TredeVastVrij144">Data!$AD$146</definedName>
    <definedName name="Data_TredeVastVrij145">Data!$AD$147</definedName>
    <definedName name="Data_TredeVastVrij146">Data!$AD$148</definedName>
    <definedName name="Data_TredeVastVrij147">Data!$AD$149</definedName>
    <definedName name="Data_TredeVastVrij148">Data!$AD$150</definedName>
    <definedName name="Data_TredeVastVrij149">Data!$AD$151</definedName>
    <definedName name="Data_TredeVastVrij150">Data!$AD$152</definedName>
    <definedName name="Data_TredeVastVrij151">Data!$AD$153</definedName>
    <definedName name="Data_TredeVastVrij152">Data!$AD$154</definedName>
    <definedName name="Data_TredeVastVrij153">Data!$AD$155</definedName>
    <definedName name="Data_TredeVastVrij154">Data!$AD$156</definedName>
    <definedName name="Data_TredeVastVrij155">Data!$AD$157</definedName>
    <definedName name="Data_TredeVastVrij156">Data!$AD$158</definedName>
    <definedName name="Data_TredeVastVrij157">Data!$AD$159</definedName>
    <definedName name="Data_TredeVastVrij158">Data!$AD$160</definedName>
    <definedName name="Data_TredeVastVrij159">Data!$AD$161</definedName>
    <definedName name="Data_TredeVastVrij160">Data!$AD$162</definedName>
    <definedName name="Data_TredeVastVrij161">Data!$AD$163</definedName>
    <definedName name="Data_TredeVastVrij162">Data!$AD$164</definedName>
    <definedName name="Data_TredeVastVrij163">Data!$AD$165</definedName>
    <definedName name="Data_TredeVastVrij164">Data!$AD$166</definedName>
    <definedName name="Data_TredeVastVrij165">Data!$AD$167</definedName>
    <definedName name="Data_TredeVastVrij166">Data!$AD$168</definedName>
    <definedName name="Data_TredeVastVrij167">Data!$AD$169</definedName>
    <definedName name="Data_TredeVastVrij168">Data!$AD$170</definedName>
    <definedName name="Data_TredeVastVrij169">Data!$AD$171</definedName>
    <definedName name="Data_TredeVastVrij170">Data!$AD$172</definedName>
    <definedName name="Data_TredeVastVrij171">Data!$AD$173</definedName>
    <definedName name="Data_TredeVastVrij172">Data!$AD$174</definedName>
    <definedName name="Data_TredeVastVrij173">Data!$AD$175</definedName>
    <definedName name="Data_TredeVastVrij174">Data!$AD$176</definedName>
    <definedName name="Data_TredeVastVrij175">Data!$AD$177</definedName>
    <definedName name="Data_TredeVastVrij176">Data!$AD$178</definedName>
    <definedName name="Data_TredeVastVrij177">Data!$AD$179</definedName>
    <definedName name="Data_TredeVastVrij178">Data!$AD$180</definedName>
    <definedName name="Data_TredeVastVrij179">Data!$AD$181</definedName>
    <definedName name="Data_TredeVastVrij180">Data!$AD$182</definedName>
    <definedName name="Data_TredeVastVrij181">Data!$AD$183</definedName>
    <definedName name="Data_TredeVastVrij182">Data!$AD$184</definedName>
    <definedName name="Data_TredeVastVrij183">Data!$AD$185</definedName>
    <definedName name="Data_TredeVastVrij184">Data!$AD$186</definedName>
    <definedName name="Data_TredeVastVrij185">Data!$AD$187</definedName>
    <definedName name="Data_TredeVastVrij186">Data!$AD$188</definedName>
    <definedName name="Data_TredeVastVrij187">Data!$AD$189</definedName>
    <definedName name="Data_TredeVastVrij188">Data!$AD$190</definedName>
    <definedName name="Data_TredeVastVrij189">Data!$AD$191</definedName>
    <definedName name="Data_TredeVastVrij190">Data!$AD$192</definedName>
    <definedName name="Data_TredeVastVrij191">Data!$AD$193</definedName>
    <definedName name="Data_TredeVastVrij192">Data!$AD$194</definedName>
    <definedName name="Data_TredeVastVrij193">Data!$AD$195</definedName>
    <definedName name="Data_TredeVastVrij194">Data!$AD$196</definedName>
    <definedName name="Data_TredeVastVrij195">Data!$AD$197</definedName>
    <definedName name="Data_TredeVastVrij196">Data!$AD$198</definedName>
    <definedName name="Data_TredeVastVrij197">Data!$AD$199</definedName>
    <definedName name="Data_TredeVastVrij198">Data!$AD$200</definedName>
    <definedName name="Data_TredeVastVrij199">Data!$AD$201</definedName>
    <definedName name="Data_TredeVastVrij200">Data!$AD$202</definedName>
    <definedName name="Data_TredeVastVrij201">Data!$AD$203</definedName>
    <definedName name="Data_TredeVastVrij202">Data!$AD$204</definedName>
    <definedName name="Data_TredeVastVrij203">Data!$AD$205</definedName>
    <definedName name="Data_TredeVastVrij204">Data!$AD$206</definedName>
    <definedName name="Data_TredeVastVrij205">Data!$AD$207</definedName>
    <definedName name="Data_TredeVastVrij206">Data!$AD$208</definedName>
    <definedName name="Data_TredeVastVrij207">Data!$AD$209</definedName>
    <definedName name="Data_TredeVastVrij208">Data!$AD$210</definedName>
    <definedName name="Data_TredeVastVrij209">Data!$AD$211</definedName>
    <definedName name="Data_TredeVastVrij210">Data!$AD$212</definedName>
    <definedName name="Data_TredeVastVrij211">Data!$AD$213</definedName>
    <definedName name="Data_TredeVastVrij212">Data!$AD$214</definedName>
    <definedName name="Data_TredeVastVrij213">Data!$AD$215</definedName>
    <definedName name="Data_TredeVastVrij214">Data!$AD$216</definedName>
    <definedName name="Data_TredeVastVrij215">Data!$AD$217</definedName>
    <definedName name="Data_TredeVastVrij216">Data!$AD$218</definedName>
    <definedName name="Data_TredeVastVrij217">Data!$AD$219</definedName>
    <definedName name="Data_TredeVastVrij218">Data!$AD$220</definedName>
    <definedName name="Data_TredeVastVrij219">Data!$AD$221</definedName>
    <definedName name="Data_TredeVastVrij220">Data!$AD$222</definedName>
    <definedName name="Data_TredeVastVrij221">Data!$AD$223</definedName>
    <definedName name="Data_TredeVastVrij222">Data!$AD$224</definedName>
    <definedName name="Data_TredeVastVrij223">Data!$AD$225</definedName>
    <definedName name="Data_TredeVastVrij224">Data!$AD$226</definedName>
    <definedName name="Data_TredeVastVrij225">Data!$AD$227</definedName>
    <definedName name="Data_TredeVastVrij226">Data!$AD$228</definedName>
    <definedName name="Data_TredeVastVrij227">Data!$AD$229</definedName>
    <definedName name="Data_TredeVastVrij228">Data!$AD$230</definedName>
    <definedName name="Data_TredeVastVrij229">Data!$AD$231</definedName>
    <definedName name="Data_TredeVastVrij230">Data!$AD$232</definedName>
    <definedName name="Data_TredeVastVrij231">Data!$AD$233</definedName>
    <definedName name="Data_TredeVastVrij232">Data!$AD$234</definedName>
    <definedName name="Data_TredeVastVrij233">Data!$AD$235</definedName>
    <definedName name="Data_TredeVastVrij234">Data!$AD$236</definedName>
    <definedName name="Data_TredeVastVrij235">Data!$AD$237</definedName>
    <definedName name="Data_TredeVastVrij236">Data!$AD$238</definedName>
    <definedName name="Data_TredeVastVrij237">Data!$AD$239</definedName>
    <definedName name="Data_TredeVastVrij238">Data!$AD$240</definedName>
    <definedName name="Data_TredeVastVrij239">Data!$AD$241</definedName>
    <definedName name="Data_TredeVastVrij240">Data!$AD$242</definedName>
    <definedName name="Data_TredeVastVrij241">Data!$AD$243</definedName>
    <definedName name="Data_TredeVastVrij242">Data!$AD$244</definedName>
    <definedName name="Data_TredeVastVrij243">Data!$AD$245</definedName>
    <definedName name="Data_TredeVastVrij244">Data!$AD$246</definedName>
    <definedName name="Data_TredeVastVrij245">Data!$AD$247</definedName>
    <definedName name="Data_TredeVastVrij246">Data!$AD$248</definedName>
    <definedName name="Data_TredeVastVrij247">Data!$AD$249</definedName>
    <definedName name="Data_TredeVastVrij248">Data!$AD$250</definedName>
    <definedName name="Data_TredeVastVrij249">Data!$AD$251</definedName>
    <definedName name="Data_TredeVastVrij250">Data!$AD$252</definedName>
    <definedName name="Data_TredeVastVrij251">Data!$AD$253</definedName>
    <definedName name="Data_TredeVastVrij252">Data!$AD$254</definedName>
    <definedName name="Data_TredeVastVrij253">Data!$AD$255</definedName>
    <definedName name="Data_TredeVastVrij254">Data!$AD$256</definedName>
    <definedName name="Data_TredeVastVrij255">Data!$AD$257</definedName>
    <definedName name="Data_TredeVastVrij256">Data!$AD$258</definedName>
    <definedName name="Data_TredeVastVrij257">Data!$AD$259</definedName>
    <definedName name="Data_TredeVastVrij258">Data!$AD$260</definedName>
    <definedName name="Data_TredeVastVrij259">Data!$AD$261</definedName>
    <definedName name="Data_TredeVastVrij260">Data!$AD$262</definedName>
    <definedName name="Data_TredeVastVrij261">Data!$AD$263</definedName>
    <definedName name="Data_TredeVastVrij262">Data!$AD$264</definedName>
    <definedName name="Data_TredeVastVrij263">Data!$AD$265</definedName>
    <definedName name="Data_TredeVastVrij264">Data!$AD$266</definedName>
    <definedName name="Data_TredeVastVrij265">Data!$AD$267</definedName>
    <definedName name="Data_TredeVastVrij266">Data!$AD$268</definedName>
    <definedName name="Data_TredeVastVrij267">Data!$AD$269</definedName>
    <definedName name="Data_TredeVastVrij268">Data!$AD$270</definedName>
    <definedName name="Data_TredeVastVrij269">Data!$AD$271</definedName>
    <definedName name="Data_TredeVastVrij270">Data!$AD$272</definedName>
    <definedName name="Data_TredeVastVrij271">Data!$AD$273</definedName>
    <definedName name="Data_TredeVastVrij272">Data!$AD$274</definedName>
    <definedName name="Data_TredeVastVrij273">Data!$AD$275</definedName>
    <definedName name="Data_TredeVastVrij274">Data!$AD$276</definedName>
    <definedName name="Data_TredeVastVrij275">Data!$AD$277</definedName>
    <definedName name="Data_TredeVastVrij276">Data!$AD$278</definedName>
    <definedName name="Data_TredeVastVrij277">Data!$AD$279</definedName>
    <definedName name="Data_TredeVastVrij278">Data!$AD$280</definedName>
    <definedName name="Data_TredeVastVrij279">Data!$AD$281</definedName>
    <definedName name="Data_TredeVastVrij280">Data!$AD$282</definedName>
    <definedName name="Data_TredeVastVrij281">Data!$AD$283</definedName>
    <definedName name="Data_TredeVastVrij282">Data!$AD$284</definedName>
    <definedName name="Data_TredeVastVrij283">Data!$AD$285</definedName>
    <definedName name="Data_TredeVastVrij284">Data!$AD$286</definedName>
    <definedName name="Data_TredeVastVrij285">Data!$AD$287</definedName>
    <definedName name="Data_TredeVastVrij286">Data!$AD$288</definedName>
    <definedName name="Data_TredeVastVrij287">Data!$AD$289</definedName>
    <definedName name="Data_TredeVastVrij288">Data!$AD$290</definedName>
    <definedName name="Data_TredeVastVrij289">Data!$AD$291</definedName>
    <definedName name="Data_TredeVastVrij290">Data!$AD$292</definedName>
    <definedName name="Data_TredeVastVrij291">Data!$AD$293</definedName>
    <definedName name="Data_TredeVastVrij292">Data!$AD$294</definedName>
    <definedName name="Data_TredeVastVrij293">Data!$AD$295</definedName>
    <definedName name="Data_TredeVastVrij294">Data!$AD$296</definedName>
    <definedName name="Data_TredeVastVrij295">Data!$AD$297</definedName>
    <definedName name="Data_TredeVastVrij296">Data!$AD$298</definedName>
    <definedName name="Data_TredeVastVrij297">Data!$AD$299</definedName>
    <definedName name="Data_TredeVastVrij298">Data!$AD$300</definedName>
    <definedName name="Data_TredeVastVrij299">Data!$AD$301</definedName>
    <definedName name="Data_TredeVastVrij300">Data!$AD$302</definedName>
    <definedName name="Data_TredeVastVrij301">Data!$AD$303</definedName>
    <definedName name="Data_TredeVastVrij302">Data!$AD$304</definedName>
    <definedName name="Data_TredeVastVrij303">Data!$AD$305</definedName>
    <definedName name="Data_TredeVastVrij304">Data!$AD$306</definedName>
    <definedName name="Data_TredeVastVrij305">Data!$AD$307</definedName>
    <definedName name="Data_TredeVastVrij306">Data!$AD$308</definedName>
    <definedName name="Data_TredeVastVrij307">Data!$AD$309</definedName>
    <definedName name="Data_TredeVastVrij308">Data!$AD$310</definedName>
    <definedName name="Data_TredeVastVrij309">Data!$AD$311</definedName>
    <definedName name="Data_TredeVastVrij310">Data!$AD$312</definedName>
    <definedName name="Data_TredeVastVrij311">Data!$AD$313</definedName>
    <definedName name="Data_TredeVastVrij312">Data!$AD$314</definedName>
    <definedName name="Data_TredeVastVrij313">Data!$AD$315</definedName>
    <definedName name="Data_TredeVastVrij314">Data!$AD$316</definedName>
    <definedName name="Data_TredeVastVrij315">Data!$AD$317</definedName>
    <definedName name="Data_TredeVastVrij316">Data!$AD$318</definedName>
    <definedName name="Data_TredeVastVrij317">Data!$AD$319</definedName>
    <definedName name="Data_TredeVastVrij318">Data!$AD$320</definedName>
    <definedName name="Data_TredeVastVrij319">Data!$AD$321</definedName>
    <definedName name="Data_TredeVastVrij320">Data!$AD$322</definedName>
    <definedName name="Data_TredeVastVrij321">Data!$AD$323</definedName>
    <definedName name="Data_TredeVastVrij322">Data!$AD$324</definedName>
    <definedName name="Data_TredeVastVrij323">Data!$AD$325</definedName>
    <definedName name="Data_TredeVastVrij324">Data!$AD$326</definedName>
    <definedName name="Data_TredeVastVrij325">Data!$AD$327</definedName>
    <definedName name="Data_TredeVastVrij326">Data!$AD$328</definedName>
    <definedName name="Data_TredeVastVrij327">Data!$AD$329</definedName>
    <definedName name="Data_TredeVastVrij328">Data!$AD$330</definedName>
    <definedName name="Data_TredeVastVrij329">Data!$AD$331</definedName>
    <definedName name="Data_TredeVastVrij330">Data!$AD$332</definedName>
    <definedName name="Data_TredeVastVrij331">Data!$AD$333</definedName>
    <definedName name="Data_TredeVastVrij332">Data!$AD$334</definedName>
    <definedName name="Data_TredeVastVrij333">Data!$AD$335</definedName>
    <definedName name="Data_TredeVastVrij334">Data!$AD$336</definedName>
    <definedName name="Data_TredeVastVrij335">Data!$AD$337</definedName>
    <definedName name="Data_TredeVastVrij336">Data!$AD$338</definedName>
    <definedName name="Data_TredeVastVrij337">Data!$AD$339</definedName>
    <definedName name="Data_TredeVastVrij338">Data!$AD$340</definedName>
    <definedName name="Data_TredeVastVrij339">Data!$AD$341</definedName>
    <definedName name="Data_TredeVastVrij340">Data!$AD$342</definedName>
    <definedName name="Data_TredeVastVrij341">Data!$AD$343</definedName>
    <definedName name="Data_TredeVastVrij342">Data!$AD$344</definedName>
    <definedName name="Data_TredeVastVrij343">Data!$AD$345</definedName>
    <definedName name="Data_TredeVastVrij344">Data!$AD$346</definedName>
    <definedName name="Data_TredeVastVrij345">Data!$AD$347</definedName>
    <definedName name="Data_TredeVastVrij346">Data!$AD$348</definedName>
    <definedName name="Data_TredeVastVrij347">Data!$AD$349</definedName>
    <definedName name="Data_TredeVastVrij348">Data!$AD$350</definedName>
    <definedName name="Data_TredeVastVrij349">Data!$AD$351</definedName>
    <definedName name="Data_TredeVastVrij350">Data!$AD$352</definedName>
    <definedName name="Data_TredeVastVrij351">Data!$AD$353</definedName>
    <definedName name="Data_TredeVastVrij352">Data!$AD$354</definedName>
    <definedName name="Data_TredeVastVrij353">Data!$AD$355</definedName>
    <definedName name="Data_TredeVastVrij354">Data!$AD$356</definedName>
    <definedName name="Data_TredeVastVrij355">Data!$AD$357</definedName>
    <definedName name="Data_TredeVastVrij356">Data!$AD$358</definedName>
    <definedName name="Data_TredeVastVrij357">Data!$AD$359</definedName>
    <definedName name="Data_TredeVastVrij358">Data!$AD$360</definedName>
    <definedName name="Data_TredeVastVrij359">Data!$AD$361</definedName>
    <definedName name="Data_TredeVastVrij360">Data!$AD$362</definedName>
    <definedName name="Data_TredeVastVrij361">Data!$AD$363</definedName>
    <definedName name="Data_TredeVastVrij362">Data!$AD$364</definedName>
    <definedName name="Data_TredeVastVrij363">Data!$AD$365</definedName>
    <definedName name="Data_TredeVastVrij364">Data!$AD$366</definedName>
    <definedName name="Data_TredeVastVrij365">Data!$AD$367</definedName>
    <definedName name="Data_TredeVastVrij366">Data!$AD$368</definedName>
    <definedName name="Data_TredeVastVrij367">Data!$AD$369</definedName>
    <definedName name="Data_TredeVastVrij368">Data!$AD$370</definedName>
    <definedName name="Data_TredeVastVrij369">Data!$AD$371</definedName>
    <definedName name="Data_TredeVastVrij370">Data!$AD$372</definedName>
    <definedName name="Data_TredeVastVrij371">Data!$AD$373</definedName>
    <definedName name="Data_TredeVastVrij372">Data!$AD$374</definedName>
    <definedName name="Data_TredeVastVrij373">Data!$AD$375</definedName>
    <definedName name="Data_TredeVastVrij374">Data!$AD$376</definedName>
    <definedName name="Data_TredeVastVrij375">Data!$AD$377</definedName>
    <definedName name="Data_TredeVastVrij376">Data!$AD$378</definedName>
    <definedName name="Data_TredeVastVrij377">Data!$AD$379</definedName>
    <definedName name="Data_TredeVastVrij378">Data!$AD$380</definedName>
    <definedName name="Data_TredeVastVrij379">Data!$AD$381</definedName>
    <definedName name="Data_TredeVastVrij380">Data!$AD$382</definedName>
    <definedName name="Data_TredeVastVrij381">Data!$AD$383</definedName>
    <definedName name="Data_TredeVastVrij382">Data!$AD$384</definedName>
    <definedName name="Data_TredeVastVrij383">Data!$AD$385</definedName>
    <definedName name="Data_TredeVastVrij384">Data!$AD$386</definedName>
    <definedName name="Data_TredeVastVrij385">Data!$AD$387</definedName>
    <definedName name="Data_TredeVastVrij386">Data!$AD$388</definedName>
    <definedName name="Data_TredeVastVrij387">Data!$AD$389</definedName>
    <definedName name="Data_TredeVastVrij388">Data!$AD$390</definedName>
    <definedName name="Data_TredeVastVrij389">Data!$AD$391</definedName>
    <definedName name="Data_TredeVastVrij390">Data!$AD$392</definedName>
    <definedName name="Data_TredeVastVrij391">Data!$AD$393</definedName>
    <definedName name="Data_TredeVastVrij392">Data!$AD$394</definedName>
    <definedName name="Data_TredeVastVrij393">Data!$AD$395</definedName>
    <definedName name="Data_TredeVastVrij394">Data!$AD$396</definedName>
    <definedName name="Data_TredeVastVrij395">Data!$AD$397</definedName>
    <definedName name="Data_TredeVastVrij396">Data!$AD$398</definedName>
    <definedName name="Data_TredeVastVrij397">Data!$AD$399</definedName>
    <definedName name="Data_TredeVastVrij398">Data!$AD$400</definedName>
    <definedName name="Data_TredeVastVrij399">Data!$AD$401</definedName>
    <definedName name="Data_TredeVastVrij400">Data!$AD$402</definedName>
    <definedName name="Data_TredeVastVrij401">Data!$AD$403</definedName>
    <definedName name="Data_TredeVastVrij402">Data!$AD$404</definedName>
    <definedName name="Data_TredeVastVrij403">Data!$AD$405</definedName>
    <definedName name="Data_TredeVastVrij404">Data!$AD$406</definedName>
    <definedName name="Data_TredeVastVrij405">Data!$AD$407</definedName>
    <definedName name="Data_TredeVastVrij406">Data!$AD$408</definedName>
    <definedName name="Data_TredeVastVrij407">Data!$AD$409</definedName>
    <definedName name="Data_TredeVastVrij408">Data!$AD$410</definedName>
    <definedName name="Data_TredeVastVrij409">Data!$AD$411</definedName>
    <definedName name="Data_TredeVastVrij410">Data!$AD$412</definedName>
    <definedName name="Data_TredeVastVrij411">Data!$AD$413</definedName>
    <definedName name="Data_TredeVastVrij412">Data!$AD$414</definedName>
    <definedName name="Data_TredeVastVrij413">Data!$AD$415</definedName>
    <definedName name="Data_TredeVastVrij414">Data!$AD$416</definedName>
    <definedName name="Data_TredeVastVrij415">Data!$AD$417</definedName>
    <definedName name="Data_TredeVastVrij416">Data!$AD$418</definedName>
    <definedName name="Data_TredeVastVrij417">Data!$AD$419</definedName>
    <definedName name="Data_TredeVastVrij418">Data!$AD$420</definedName>
    <definedName name="Data_TredeVastVrij419">Data!$AD$421</definedName>
    <definedName name="Data_TredeVastVrij420">Data!$AD$422</definedName>
    <definedName name="Data_TredeVastVrij421">Data!$AD$423</definedName>
    <definedName name="Data_TredeVastVrij422">Data!$AD$424</definedName>
    <definedName name="Data_TredeVastVrij423">Data!$AD$425</definedName>
    <definedName name="Data_TredeVastVrij424">Data!$AD$426</definedName>
    <definedName name="Data_TredeVastVrij425">Data!$AD$427</definedName>
    <definedName name="Data_TredeVastVrij426">Data!$AD$428</definedName>
    <definedName name="Data_TredeVastVrij427">Data!$AD$429</definedName>
    <definedName name="Data_TredeVastVrij428">Data!$AD$430</definedName>
    <definedName name="Data_TredeVastVrij429">Data!$AD$431</definedName>
    <definedName name="Data_TredeVastVrij430">Data!$AD$432</definedName>
    <definedName name="Data_TredeVastVrij431">Data!$AD$433</definedName>
    <definedName name="Data_TredeVastVrij432">Data!$AD$434</definedName>
    <definedName name="Data_TredeVastVrij433">Data!$AD$435</definedName>
    <definedName name="Data_TredeVastVrij434">Data!$AD$436</definedName>
    <definedName name="Data_TredeVastVrij435">Data!$AD$437</definedName>
    <definedName name="Data_TredeVastVrij436">Data!$AD$438</definedName>
    <definedName name="Data_TredeVastVrij437">Data!$AD$439</definedName>
    <definedName name="Data_TredeVastVrij438">Data!$AD$440</definedName>
    <definedName name="Data_TredeVastVrij439">Data!$AD$441</definedName>
    <definedName name="Data_TredeVastVrij440">Data!$AD$442</definedName>
    <definedName name="Data_TredeVastVrij441">Data!$AD$443</definedName>
    <definedName name="Data_TredeVastVrij442">Data!$AD$444</definedName>
    <definedName name="Data_TredeVastVrij443">Data!$AD$445</definedName>
    <definedName name="Data_TredeVastVrij444">Data!$AD$446</definedName>
    <definedName name="Data_TredeVastVrij445">Data!$AD$447</definedName>
    <definedName name="Data_TredeVastVrij446">Data!$AD$448</definedName>
    <definedName name="Data_TredeVastVrij447">Data!$AD$449</definedName>
    <definedName name="Data_TredeVastVrij448">Data!$AD$450</definedName>
    <definedName name="Data_TredeVastVrij449">Data!$AD$451</definedName>
    <definedName name="Data_TredeVastVrij450">Data!$AD$452</definedName>
    <definedName name="Data_TredeVastVrij451">Data!$AD$453</definedName>
    <definedName name="Data_TredeVastVrij452">Data!$AD$454</definedName>
    <definedName name="Data_TredeVastVrij453">Data!$AD$455</definedName>
    <definedName name="Data_TredeVastVrij454">Data!$AD$456</definedName>
    <definedName name="Data_TredeVastVrij455">Data!$AD$457</definedName>
    <definedName name="Data_TredeVastVrij456">Data!$AD$458</definedName>
    <definedName name="Data_TredeVastVrij457">Data!$AD$459</definedName>
    <definedName name="Data_TredeVastVrij458">Data!$AD$460</definedName>
    <definedName name="Data_TredeVastVrij459">Data!$AD$461</definedName>
    <definedName name="Data_TredeVastVrij460">Data!$AD$462</definedName>
    <definedName name="Data_TredeVastVrij461">Data!$AD$463</definedName>
    <definedName name="Data_TredeVastVrij462">Data!$AD$464</definedName>
    <definedName name="Data_TredeVastVrij463">Data!$AD$465</definedName>
    <definedName name="Data_TredeVastVrij464">Data!$AD$466</definedName>
    <definedName name="Data_TredeVastVrij465">Data!$AD$467</definedName>
    <definedName name="Data_TredeVastVrij466">Data!$AD$468</definedName>
    <definedName name="Data_TredeVastVrij467">Data!$AD$469</definedName>
    <definedName name="Data_TredeVastVrij468">Data!$AD$470</definedName>
    <definedName name="Data_TredeVastVrij469">Data!$AD$471</definedName>
    <definedName name="Data_TredeVastVrij470">Data!$AD$472</definedName>
    <definedName name="Data_TredeVastVrij471">Data!$AD$473</definedName>
    <definedName name="Data_TredeVastVrij472">Data!$AD$474</definedName>
    <definedName name="Data_TredeVastVrij473">Data!$AD$475</definedName>
    <definedName name="Data_TredeVastVrij474">Data!$AD$476</definedName>
    <definedName name="Data_TredeVastVrij475">Data!$AD$477</definedName>
    <definedName name="Data_TredeVastVrij476">Data!$AD$478</definedName>
    <definedName name="Data_TredeVastVrij477">Data!$AD$479</definedName>
    <definedName name="Data_TredeVastVrij478">Data!$AD$480</definedName>
    <definedName name="Data_TredeVastVrij479">Data!$AD$481</definedName>
    <definedName name="Data_TredeVastVrij480">Data!$AD$482</definedName>
    <definedName name="Data_TredeVastVrij481">Data!$AD$483</definedName>
    <definedName name="Data_TredeVastVrij482">Data!$AD$484</definedName>
    <definedName name="Data_TredeVastVrij483">Data!$AD$485</definedName>
    <definedName name="Data_TredeVastVrij484">Data!$AD$486</definedName>
    <definedName name="Data_TredeVastVrij485">Data!$AD$487</definedName>
    <definedName name="Data_TredeVastVrij486">Data!$AD$488</definedName>
    <definedName name="Data_TredeVastVrij487">Data!$AD$489</definedName>
    <definedName name="Data_TredeVastVrij488">Data!$AD$490</definedName>
    <definedName name="Data_TredeVastVrij489">Data!$AD$491</definedName>
    <definedName name="Data_TredeVastVrij490">Data!$AD$492</definedName>
    <definedName name="Data_TredeVastVrij491">Data!$AD$493</definedName>
    <definedName name="Data_TredeVastVrij492">Data!$AD$494</definedName>
    <definedName name="Data_TredeVastVrij493">Data!$AD$495</definedName>
    <definedName name="Data_TredeVastVrij494">Data!$AD$496</definedName>
    <definedName name="Data_TredeVastVrij495">Data!$AD$497</definedName>
    <definedName name="Data_TredeVastVrij496">Data!$AD$498</definedName>
    <definedName name="Data_TredeVastVrij497">Data!$AD$499</definedName>
    <definedName name="Data_TredeVastVrij498">Data!$AD$500</definedName>
    <definedName name="Data_TredeVastVrij499">Data!$AD$501</definedName>
    <definedName name="Data_TredeVastVrij500">Data!$AD$502</definedName>
    <definedName name="Data_UitloopschaalNatVerloop001">Data!$AY$3</definedName>
    <definedName name="Data_UitloopschaalNatVerloop002">Data!$AY$4</definedName>
    <definedName name="Data_UitloopschaalNatVerloop003">Data!$AY$5</definedName>
    <definedName name="Data_UitloopschaalNatVerloop004">Data!$AY$6</definedName>
    <definedName name="Data_UitloopschaalNatVerloop005">Data!$AY$7</definedName>
    <definedName name="Data_UitloopschaalNatVerloop006">Data!$AY$8</definedName>
    <definedName name="Data_UitloopschaalNatVerloop007">Data!$AY$9</definedName>
    <definedName name="Data_UitloopschaalNatVerloop008">Data!$AY$10</definedName>
    <definedName name="Data_UitloopschaalNatVerloop009">Data!$AY$11</definedName>
    <definedName name="Data_UitloopschaalNatVerloop010">Data!$AY$12</definedName>
    <definedName name="Data_UitloopschaalNatVerloop011">Data!$AY$13</definedName>
    <definedName name="Data_UitloopschaalNatVerloop012">Data!$AY$14</definedName>
    <definedName name="Data_UitloopschaalNatVerloop013">Data!$AY$15</definedName>
    <definedName name="Data_UitloopschaalNatVerloop014">Data!$AY$16</definedName>
    <definedName name="Data_UitloopschaalNatVerloop015">Data!$AY$17</definedName>
    <definedName name="Data_UitloopschaalNatVerloop016">Data!$AY$18</definedName>
    <definedName name="Data_UitloopschaalNatVerloop017">Data!$AY$19</definedName>
    <definedName name="Data_UitloopschaalNatVerloop018">Data!$AY$20</definedName>
    <definedName name="Data_UitloopschaalNatVerloop019">Data!$AY$21</definedName>
    <definedName name="Data_UitloopschaalNatVerloop020">Data!$AY$22</definedName>
    <definedName name="Data_UitloopschaalNatVerloop021">Data!$AY$23</definedName>
    <definedName name="Data_UitloopschaalNatVerloop022">Data!$AY$24</definedName>
    <definedName name="Data_UitloopschaalNatVerloop023">Data!$AY$25</definedName>
    <definedName name="Data_UitloopschaalNatVerloop024">Data!$AY$26</definedName>
    <definedName name="Data_UitloopschaalNatVerloop025">Data!$AY$27</definedName>
    <definedName name="Data_UitloopschaalNatVerloop026">Data!$AY$28</definedName>
    <definedName name="Data_UitloopschaalNatVerloop027">Data!$AY$29</definedName>
    <definedName name="Data_UitloopschaalNatVerloop028">Data!$AY$30</definedName>
    <definedName name="Data_UitloopschaalNatVerloop029">Data!$AY$31</definedName>
    <definedName name="Data_UitloopschaalNatVerloop030">Data!$AY$32</definedName>
    <definedName name="Data_UitloopschaalNatVerloop031">Data!$AY$33</definedName>
    <definedName name="Data_UitloopschaalNatVerloop032">Data!$AY$34</definedName>
    <definedName name="Data_UitloopschaalNatVerloop033">Data!$AY$35</definedName>
    <definedName name="Data_UitloopschaalNatVerloop034">Data!$AY$36</definedName>
    <definedName name="Data_UitloopschaalNatVerloop035">Data!$AY$37</definedName>
    <definedName name="Data_UitloopschaalNatVerloop036">Data!$AY$38</definedName>
    <definedName name="Data_UitloopschaalNatVerloop037">Data!$AY$39</definedName>
    <definedName name="Data_UitloopschaalNatVerloop038">Data!$AY$40</definedName>
    <definedName name="Data_UitloopschaalNatVerloop039">Data!$AY$41</definedName>
    <definedName name="Data_UitloopschaalNatVerloop040">Data!$AY$42</definedName>
    <definedName name="Data_UitloopschaalNatVerloop041">Data!$AY$43</definedName>
    <definedName name="Data_UitloopschaalNatVerloop042">Data!$AY$44</definedName>
    <definedName name="Data_UitloopschaalNatVerloop043">Data!$AY$45</definedName>
    <definedName name="Data_UitloopschaalNatVerloop044">Data!$AY$46</definedName>
    <definedName name="Data_UitloopschaalNatVerloop045">Data!$AY$47</definedName>
    <definedName name="Data_UitloopschaalNatVerloop046">Data!$AY$48</definedName>
    <definedName name="Data_UitloopschaalNatVerloop047">Data!$AY$49</definedName>
    <definedName name="Data_UitloopschaalNatVerloop048">Data!$AY$50</definedName>
    <definedName name="Data_UitloopschaalNatVerloop049">Data!$AY$51</definedName>
    <definedName name="Data_UitloopschaalNatVerloop050">Data!$AY$52</definedName>
    <definedName name="Data_UitloopschaalNatVerloop051">Data!$AY$53</definedName>
    <definedName name="Data_UitloopschaalNatVerloop052">Data!$AY$54</definedName>
    <definedName name="Data_UitloopschaalNatVerloop053">Data!$AY$55</definedName>
    <definedName name="Data_UitloopschaalNatVerloop054">Data!$AY$56</definedName>
    <definedName name="Data_UitloopschaalNatVerloop055">Data!$AY$57</definedName>
    <definedName name="Data_UitloopschaalNatVerloop056">Data!$AY$58</definedName>
    <definedName name="Data_UitloopschaalNatVerloop057">Data!$AY$59</definedName>
    <definedName name="Data_UitloopschaalNatVerloop058">Data!$AY$60</definedName>
    <definedName name="Data_UitloopschaalNatVerloop059">Data!$AY$61</definedName>
    <definedName name="Data_UitloopschaalNatVerloop060">Data!$AY$62</definedName>
    <definedName name="Data_UitloopschaalNatVerloop061">Data!$AY$63</definedName>
    <definedName name="Data_UitloopschaalNatVerloop062">Data!$AY$64</definedName>
    <definedName name="Data_UitloopschaalNatVerloop063">Data!$AY$65</definedName>
    <definedName name="Data_UitloopschaalNatVerloop064">Data!$AY$66</definedName>
    <definedName name="Data_UitloopschaalNatVerloop065">Data!$AY$67</definedName>
    <definedName name="Data_UitloopschaalNatVerloop066">Data!$AY$68</definedName>
    <definedName name="Data_UitloopschaalNatVerloop067">Data!$AY$69</definedName>
    <definedName name="Data_UitloopschaalNatVerloop068">Data!$AY$70</definedName>
    <definedName name="Data_UitloopschaalNatVerloop069">Data!$AY$71</definedName>
    <definedName name="Data_UitloopschaalNatVerloop070">Data!$AY$72</definedName>
    <definedName name="Data_UitloopschaalNatVerloop071">Data!$AY$73</definedName>
    <definedName name="Data_UitloopschaalNatVerloop072">Data!$AY$74</definedName>
    <definedName name="Data_UitloopschaalNatVerloop073">Data!$AY$75</definedName>
    <definedName name="Data_UitloopschaalNatVerloop074">Data!$AY$76</definedName>
    <definedName name="Data_UitloopschaalNatVerloop075">Data!$AY$77</definedName>
    <definedName name="Data_UitloopschaalNatVerloop076">Data!$AY$78</definedName>
    <definedName name="Data_UitloopschaalNatVerloop077">Data!$AY$79</definedName>
    <definedName name="Data_UitloopschaalNatVerloop078">Data!$AY$80</definedName>
    <definedName name="Data_UitloopschaalNatVerloop079">Data!$AY$81</definedName>
    <definedName name="Data_UitloopschaalNatVerloop080">Data!$AY$82</definedName>
    <definedName name="Data_UitloopschaalNatVerloop081">Data!$AY$83</definedName>
    <definedName name="Data_UitloopschaalNatVerloop082">Data!$AY$84</definedName>
    <definedName name="Data_UitloopschaalNatVerloop083">Data!$AY$85</definedName>
    <definedName name="Data_UitloopschaalNatVerloop084">Data!$AY$86</definedName>
    <definedName name="Data_UitloopschaalNatVerloop085">Data!$AY$87</definedName>
    <definedName name="Data_UitloopschaalNatVerloop086">Data!$AY$88</definedName>
    <definedName name="Data_UitloopschaalNatVerloop087">Data!$AY$89</definedName>
    <definedName name="Data_UitloopschaalNatVerloop088">Data!$AY$90</definedName>
    <definedName name="Data_UitloopschaalNatVerloop089">Data!$AY$91</definedName>
    <definedName name="Data_UitloopschaalNatVerloop090">Data!$AY$92</definedName>
    <definedName name="Data_UitloopschaalNatVerloop091">Data!$AY$93</definedName>
    <definedName name="Data_UitloopschaalNatVerloop092">Data!$AY$94</definedName>
    <definedName name="Data_UitloopschaalNatVerloop093">Data!$AY$95</definedName>
    <definedName name="Data_UitloopschaalNatVerloop094">Data!$AY$96</definedName>
    <definedName name="Data_UitloopschaalNatVerloop095">Data!$AY$97</definedName>
    <definedName name="Data_UitloopschaalNatVerloop096">Data!$AY$98</definedName>
    <definedName name="Data_UitloopschaalNatVerloop097">Data!$AY$99</definedName>
    <definedName name="Data_UitloopschaalNatVerloop098">Data!$AY$100</definedName>
    <definedName name="Data_UitloopschaalNatVerloop099">Data!$AY$101</definedName>
    <definedName name="Data_UitloopschaalNatVerloop100">Data!$AY$102</definedName>
    <definedName name="Data_UitloopschaalNatVerloop101">Data!$AY$103</definedName>
    <definedName name="Data_UitloopschaalNatVerloop102">Data!$AY$104</definedName>
    <definedName name="Data_UitloopschaalNatVerloop103">Data!$AY$105</definedName>
    <definedName name="Data_UitloopschaalNatVerloop104">Data!$AY$106</definedName>
    <definedName name="Data_UitloopschaalNatVerloop105">Data!$AY$107</definedName>
    <definedName name="Data_UitloopschaalNatVerloop106">Data!$AY$108</definedName>
    <definedName name="Data_UitloopschaalNatVerloop107">Data!$AY$109</definedName>
    <definedName name="Data_UitloopschaalNatVerloop108">Data!$AY$110</definedName>
    <definedName name="Data_UitloopschaalNatVerloop109">Data!$AY$111</definedName>
    <definedName name="Data_UitloopschaalNatVerloop110">Data!$AY$112</definedName>
    <definedName name="Data_UitloopschaalNatVerloop111">Data!$AY$113</definedName>
    <definedName name="Data_UitloopschaalNatVerloop112">Data!$AY$114</definedName>
    <definedName name="Data_UitloopschaalNatVerloop113">Data!$AY$115</definedName>
    <definedName name="Data_UitloopschaalNatVerloop114">Data!$AY$116</definedName>
    <definedName name="Data_UitloopschaalNatVerloop115">Data!$AY$117</definedName>
    <definedName name="Data_UitloopschaalNatVerloop116">Data!$AY$118</definedName>
    <definedName name="Data_UitloopschaalNatVerloop117">Data!$AY$119</definedName>
    <definedName name="Data_UitloopschaalNatVerloop118">Data!$AY$120</definedName>
    <definedName name="Data_UitloopschaalNatVerloop119">Data!$AY$121</definedName>
    <definedName name="Data_UitloopschaalNatVerloop120">Data!$AY$122</definedName>
    <definedName name="Data_UitloopschaalNatVerloop121">Data!$AY$123</definedName>
    <definedName name="Data_UitloopschaalNatVerloop122">Data!$AY$124</definedName>
    <definedName name="Data_UitloopschaalNatVerloop123">Data!$AY$125</definedName>
    <definedName name="Data_UitloopschaalNatVerloop124">Data!$AY$126</definedName>
    <definedName name="Data_UitloopschaalNatVerloop125">Data!$AY$127</definedName>
    <definedName name="Data_UitloopschaalNatVerloop126">Data!$AY$128</definedName>
    <definedName name="Data_UitloopschaalNatVerloop127">Data!$AY$129</definedName>
    <definedName name="Data_UitloopschaalNatVerloop128">Data!$AY$130</definedName>
    <definedName name="Data_UitloopschaalNatVerloop129">Data!$AY$131</definedName>
    <definedName name="Data_UitloopschaalNatVerloop130">Data!$AY$132</definedName>
    <definedName name="Data_UitloopschaalNatVerloop131">Data!$AY$133</definedName>
    <definedName name="Data_UitloopschaalNatVerloop132">Data!$AY$134</definedName>
    <definedName name="Data_UitloopschaalNatVerloop133">Data!$AY$135</definedName>
    <definedName name="Data_UitloopschaalNatVerloop134">Data!$AY$136</definedName>
    <definedName name="Data_UitloopschaalNatVerloop135">Data!$AY$137</definedName>
    <definedName name="Data_UitloopschaalNatVerloop136">Data!$AY$138</definedName>
    <definedName name="Data_UitloopschaalNatVerloop137">Data!$AY$139</definedName>
    <definedName name="Data_UitloopschaalNatVerloop138">Data!$AY$140</definedName>
    <definedName name="Data_UitloopschaalNatVerloop139">Data!$AY$141</definedName>
    <definedName name="Data_UitloopschaalNatVerloop140">Data!$AY$142</definedName>
    <definedName name="Data_UitloopschaalNatVerloop141">Data!$AY$143</definedName>
    <definedName name="Data_UitloopschaalNatVerloop142">Data!$AY$144</definedName>
    <definedName name="Data_UitloopschaalNatVerloop143">Data!$AY$145</definedName>
    <definedName name="Data_UitloopschaalNatVerloop144">Data!$AY$146</definedName>
    <definedName name="Data_UitloopschaalNatVerloop145">Data!$AY$147</definedName>
    <definedName name="Data_UitloopschaalNatVerloop146">Data!$AY$148</definedName>
    <definedName name="Data_UitloopschaalNatVerloop147">Data!$AY$149</definedName>
    <definedName name="Data_UitloopschaalNatVerloop148">Data!$AY$150</definedName>
    <definedName name="Data_UitloopschaalNatVerloop149">Data!$AY$151</definedName>
    <definedName name="Data_UitloopschaalNatVerloop150">Data!$AY$152</definedName>
    <definedName name="Data_UitloopschaalNatVerloop151">Data!$AY$153</definedName>
    <definedName name="Data_UitloopschaalNatVerloop152">Data!$AY$154</definedName>
    <definedName name="Data_UitloopschaalNatVerloop153">Data!$AY$155</definedName>
    <definedName name="Data_UitloopschaalNatVerloop154">Data!$AY$156</definedName>
    <definedName name="Data_UitloopschaalNatVerloop155">Data!$AY$157</definedName>
    <definedName name="Data_UitloopschaalNatVerloop156">Data!$AY$158</definedName>
    <definedName name="Data_UitloopschaalNatVerloop157">Data!$AY$159</definedName>
    <definedName name="Data_UitloopschaalNatVerloop158">Data!$AY$160</definedName>
    <definedName name="Data_UitloopschaalNatVerloop159">Data!$AY$161</definedName>
    <definedName name="Data_UitloopschaalNatVerloop160">Data!$AY$162</definedName>
    <definedName name="Data_UitloopschaalNatVerloop161">Data!$AY$163</definedName>
    <definedName name="Data_UitloopschaalNatVerloop162">Data!$AY$164</definedName>
    <definedName name="Data_UitloopschaalNatVerloop163">Data!$AY$165</definedName>
    <definedName name="Data_UitloopschaalNatVerloop164">Data!$AY$166</definedName>
    <definedName name="Data_UitloopschaalNatVerloop165">Data!$AY$167</definedName>
    <definedName name="Data_UitloopschaalNatVerloop166">Data!$AY$168</definedName>
    <definedName name="Data_UitloopschaalNatVerloop167">Data!$AY$169</definedName>
    <definedName name="Data_UitloopschaalNatVerloop168">Data!$AY$170</definedName>
    <definedName name="Data_UitloopschaalNatVerloop169">Data!$AY$171</definedName>
    <definedName name="Data_UitloopschaalNatVerloop170">Data!$AY$172</definedName>
    <definedName name="Data_UitloopschaalNatVerloop171">Data!$AY$173</definedName>
    <definedName name="Data_UitloopschaalNatVerloop172">Data!$AY$174</definedName>
    <definedName name="Data_UitloopschaalNatVerloop173">Data!$AY$175</definedName>
    <definedName name="Data_UitloopschaalNatVerloop174">Data!$AY$176</definedName>
    <definedName name="Data_UitloopschaalNatVerloop175">Data!$AY$177</definedName>
    <definedName name="Data_UitloopschaalNatVerloop176">Data!$AY$178</definedName>
    <definedName name="Data_UitloopschaalNatVerloop177">Data!$AY$179</definedName>
    <definedName name="Data_UitloopschaalNatVerloop178">Data!$AY$180</definedName>
    <definedName name="Data_UitloopschaalNatVerloop179">Data!$AY$181</definedName>
    <definedName name="Data_UitloopschaalNatVerloop180">Data!$AY$182</definedName>
    <definedName name="Data_UitloopschaalNatVerloop181">Data!$AY$183</definedName>
    <definedName name="Data_UitloopschaalNatVerloop182">Data!$AY$184</definedName>
    <definedName name="Data_UitloopschaalNatVerloop183">Data!$AY$185</definedName>
    <definedName name="Data_UitloopschaalNatVerloop184">Data!$AY$186</definedName>
    <definedName name="Data_UitloopschaalNatVerloop185">Data!$AY$187</definedName>
    <definedName name="Data_UitloopschaalNatVerloop186">Data!$AY$188</definedName>
    <definedName name="Data_UitloopschaalNatVerloop187">Data!$AY$189</definedName>
    <definedName name="Data_UitloopschaalNatVerloop188">Data!$AY$190</definedName>
    <definedName name="Data_UitloopschaalNatVerloop189">Data!$AY$191</definedName>
    <definedName name="Data_UitloopschaalNatVerloop190">Data!$AY$192</definedName>
    <definedName name="Data_UitloopschaalNatVerloop191">Data!$AY$193</definedName>
    <definedName name="Data_UitloopschaalNatVerloop192">Data!$AY$194</definedName>
    <definedName name="Data_UitloopschaalNatVerloop193">Data!$AY$195</definedName>
    <definedName name="Data_UitloopschaalNatVerloop194">Data!$AY$196</definedName>
    <definedName name="Data_UitloopschaalNatVerloop195">Data!$AY$197</definedName>
    <definedName name="Data_UitloopschaalNatVerloop196">Data!$AY$198</definedName>
    <definedName name="Data_UitloopschaalNatVerloop197">Data!$AY$199</definedName>
    <definedName name="Data_UitloopschaalNatVerloop198">Data!$AY$200</definedName>
    <definedName name="Data_UitloopschaalNatVerloop199">Data!$AY$201</definedName>
    <definedName name="Data_UitloopschaalNatVerloop200">Data!$AY$202</definedName>
    <definedName name="Data_UitloopschaalNatVerloop201">Data!$AY$203</definedName>
    <definedName name="Data_UitloopschaalNatVerloop202">Data!$AY$204</definedName>
    <definedName name="Data_UitloopschaalNatVerloop203">Data!$AY$205</definedName>
    <definedName name="Data_UitloopschaalNatVerloop204">Data!$AY$206</definedName>
    <definedName name="Data_UitloopschaalNatVerloop205">Data!$AY$207</definedName>
    <definedName name="Data_UitloopschaalNatVerloop206">Data!$AY$208</definedName>
    <definedName name="Data_UitloopschaalNatVerloop207">Data!$AY$209</definedName>
    <definedName name="Data_UitloopschaalNatVerloop208">Data!$AY$210</definedName>
    <definedName name="Data_UitloopschaalNatVerloop209">Data!$AY$211</definedName>
    <definedName name="Data_UitloopschaalNatVerloop210">Data!$AY$212</definedName>
    <definedName name="Data_UitloopschaalNatVerloop211">Data!$AY$213</definedName>
    <definedName name="Data_UitloopschaalNatVerloop212">Data!$AY$214</definedName>
    <definedName name="Data_UitloopschaalNatVerloop213">Data!$AY$215</definedName>
    <definedName name="Data_UitloopschaalNatVerloop214">Data!$AY$216</definedName>
    <definedName name="Data_UitloopschaalNatVerloop215">Data!$AY$217</definedName>
    <definedName name="Data_UitloopschaalNatVerloop216">Data!$AY$218</definedName>
    <definedName name="Data_UitloopschaalNatVerloop217">Data!$AY$219</definedName>
    <definedName name="Data_UitloopschaalNatVerloop218">Data!$AY$220</definedName>
    <definedName name="Data_UitloopschaalNatVerloop219">Data!$AY$221</definedName>
    <definedName name="Data_UitloopschaalNatVerloop220">Data!$AY$222</definedName>
    <definedName name="Data_UitloopschaalNatVerloop221">Data!$AY$223</definedName>
    <definedName name="Data_UitloopschaalNatVerloop222">Data!$AY$224</definedName>
    <definedName name="Data_UitloopschaalNatVerloop223">Data!$AY$225</definedName>
    <definedName name="Data_UitloopschaalNatVerloop224">Data!$AY$226</definedName>
    <definedName name="Data_UitloopschaalNatVerloop225">Data!$AY$227</definedName>
    <definedName name="Data_UitloopschaalNatVerloop226">Data!$AY$228</definedName>
    <definedName name="Data_UitloopschaalNatVerloop227">Data!$AY$229</definedName>
    <definedName name="Data_UitloopschaalNatVerloop228">Data!$AY$230</definedName>
    <definedName name="Data_UitloopschaalNatVerloop229">Data!$AY$231</definedName>
    <definedName name="Data_UitloopschaalNatVerloop230">Data!$AY$232</definedName>
    <definedName name="Data_UitloopschaalNatVerloop231">Data!$AY$233</definedName>
    <definedName name="Data_UitloopschaalNatVerloop232">Data!$AY$234</definedName>
    <definedName name="Data_UitloopschaalNatVerloop233">Data!$AY$235</definedName>
    <definedName name="Data_UitloopschaalNatVerloop234">Data!$AY$236</definedName>
    <definedName name="Data_UitloopschaalNatVerloop235">Data!$AY$237</definedName>
    <definedName name="Data_UitloopschaalNatVerloop236">Data!$AY$238</definedName>
    <definedName name="Data_UitloopschaalNatVerloop237">Data!$AY$239</definedName>
    <definedName name="Data_UitloopschaalNatVerloop238">Data!$AY$240</definedName>
    <definedName name="Data_UitloopschaalNatVerloop239">Data!$AY$241</definedName>
    <definedName name="Data_UitloopschaalNatVerloop240">Data!$AY$242</definedName>
    <definedName name="Data_UitloopschaalNatVerloop241">Data!$AY$243</definedName>
    <definedName name="Data_UitloopschaalNatVerloop242">Data!$AY$244</definedName>
    <definedName name="Data_UitloopschaalNatVerloop243">Data!$AY$245</definedName>
    <definedName name="Data_UitloopschaalNatVerloop244">Data!$AY$246</definedName>
    <definedName name="Data_UitloopschaalNatVerloop245">Data!$AY$247</definedName>
    <definedName name="Data_UitloopschaalNatVerloop246">Data!$AY$248</definedName>
    <definedName name="Data_UitloopschaalNatVerloop247">Data!$AY$249</definedName>
    <definedName name="Data_UitloopschaalNatVerloop248">Data!$AY$250</definedName>
    <definedName name="Data_UitloopschaalNatVerloop249">Data!$AY$251</definedName>
    <definedName name="Data_UitloopschaalNatVerloop250">Data!$AY$252</definedName>
    <definedName name="Data_UitloopschaalNatVerloop251">Data!$AY$253</definedName>
    <definedName name="Data_UitloopschaalNatVerloop252">Data!$AY$254</definedName>
    <definedName name="Data_UitloopschaalNatVerloop253">Data!$AY$255</definedName>
    <definedName name="Data_UitloopschaalNatVerloop254">Data!$AY$256</definedName>
    <definedName name="Data_UitloopschaalNatVerloop255">Data!$AY$257</definedName>
    <definedName name="Data_UitloopschaalNatVerloop256">Data!$AY$258</definedName>
    <definedName name="Data_UitloopschaalNatVerloop257">Data!$AY$259</definedName>
    <definedName name="Data_UitloopschaalNatVerloop258">Data!$AY$260</definedName>
    <definedName name="Data_UitloopschaalNatVerloop259">Data!$AY$261</definedName>
    <definedName name="Data_UitloopschaalNatVerloop260">Data!$AY$262</definedName>
    <definedName name="Data_UitloopschaalNatVerloop261">Data!$AY$263</definedName>
    <definedName name="Data_UitloopschaalNatVerloop262">Data!$AY$264</definedName>
    <definedName name="Data_UitloopschaalNatVerloop263">Data!$AY$265</definedName>
    <definedName name="Data_UitloopschaalNatVerloop264">Data!$AY$266</definedName>
    <definedName name="Data_UitloopschaalNatVerloop265">Data!$AY$267</definedName>
    <definedName name="Data_UitloopschaalNatVerloop266">Data!$AY$268</definedName>
    <definedName name="Data_UitloopschaalNatVerloop267">Data!$AY$269</definedName>
    <definedName name="Data_UitloopschaalNatVerloop268">Data!$AY$270</definedName>
    <definedName name="Data_UitloopschaalNatVerloop269">Data!$AY$271</definedName>
    <definedName name="Data_UitloopschaalNatVerloop270">Data!$AY$272</definedName>
    <definedName name="Data_UitloopschaalNatVerloop271">Data!$AY$273</definedName>
    <definedName name="Data_UitloopschaalNatVerloop272">Data!$AY$274</definedName>
    <definedName name="Data_UitloopschaalNatVerloop273">Data!$AY$275</definedName>
    <definedName name="Data_UitloopschaalNatVerloop274">Data!$AY$276</definedName>
    <definedName name="Data_UitloopschaalNatVerloop275">Data!$AY$277</definedName>
    <definedName name="Data_UitloopschaalNatVerloop276">Data!$AY$278</definedName>
    <definedName name="Data_UitloopschaalNatVerloop277">Data!$AY$279</definedName>
    <definedName name="Data_UitloopschaalNatVerloop278">Data!$AY$280</definedName>
    <definedName name="Data_UitloopschaalNatVerloop279">Data!$AY$281</definedName>
    <definedName name="Data_UitloopschaalNatVerloop280">Data!$AY$282</definedName>
    <definedName name="Data_UitloopschaalNatVerloop281">Data!$AY$283</definedName>
    <definedName name="Data_UitloopschaalNatVerloop282">Data!$AY$284</definedName>
    <definedName name="Data_UitloopschaalNatVerloop283">Data!$AY$285</definedName>
    <definedName name="Data_UitloopschaalNatVerloop284">Data!$AY$286</definedName>
    <definedName name="Data_UitloopschaalNatVerloop285">Data!$AY$287</definedName>
    <definedName name="Data_UitloopschaalNatVerloop286">Data!$AY$288</definedName>
    <definedName name="Data_UitloopschaalNatVerloop287">Data!$AY$289</definedName>
    <definedName name="Data_UitloopschaalNatVerloop288">Data!$AY$290</definedName>
    <definedName name="Data_UitloopschaalNatVerloop289">Data!$AY$291</definedName>
    <definedName name="Data_UitloopschaalNatVerloop290">Data!$AY$292</definedName>
    <definedName name="Data_UitloopschaalNatVerloop291">Data!$AY$293</definedName>
    <definedName name="Data_UitloopschaalNatVerloop292">Data!$AY$294</definedName>
    <definedName name="Data_UitloopschaalNatVerloop293">Data!$AY$295</definedName>
    <definedName name="Data_UitloopschaalNatVerloop294">Data!$AY$296</definedName>
    <definedName name="Data_UitloopschaalNatVerloop295">Data!$AY$297</definedName>
    <definedName name="Data_UitloopschaalNatVerloop296">Data!$AY$298</definedName>
    <definedName name="Data_UitloopschaalNatVerloop297">Data!$AY$299</definedName>
    <definedName name="Data_UitloopschaalNatVerloop298">Data!$AY$300</definedName>
    <definedName name="Data_UitloopschaalNatVerloop299">Data!$AY$301</definedName>
    <definedName name="Data_UitloopschaalNatVerloop300">Data!$AY$302</definedName>
    <definedName name="Data_UitloopschaalNatVerloop301">Data!$AY$303</definedName>
    <definedName name="Data_UitloopschaalNatVerloop302">Data!$AY$304</definedName>
    <definedName name="Data_UitloopschaalNatVerloop303">Data!$AY$305</definedName>
    <definedName name="Data_UitloopschaalNatVerloop304">Data!$AY$306</definedName>
    <definedName name="Data_UitloopschaalNatVerloop305">Data!$AY$307</definedName>
    <definedName name="Data_UitloopschaalNatVerloop306">Data!$AY$308</definedName>
    <definedName name="Data_UitloopschaalNatVerloop307">Data!$AY$309</definedName>
    <definedName name="Data_UitloopschaalNatVerloop308">Data!$AY$310</definedName>
    <definedName name="Data_UitloopschaalNatVerloop309">Data!$AY$311</definedName>
    <definedName name="Data_UitloopschaalNatVerloop310">Data!$AY$312</definedName>
    <definedName name="Data_UitloopschaalNatVerloop311">Data!$AY$313</definedName>
    <definedName name="Data_UitloopschaalNatVerloop312">Data!$AY$314</definedName>
    <definedName name="Data_UitloopschaalNatVerloop313">Data!$AY$315</definedName>
    <definedName name="Data_UitloopschaalNatVerloop314">Data!$AY$316</definedName>
    <definedName name="Data_UitloopschaalNatVerloop315">Data!$AY$317</definedName>
    <definedName name="Data_UitloopschaalNatVerloop316">Data!$AY$318</definedName>
    <definedName name="Data_UitloopschaalNatVerloop317">Data!$AY$319</definedName>
    <definedName name="Data_UitloopschaalNatVerloop318">Data!$AY$320</definedName>
    <definedName name="Data_UitloopschaalNatVerloop319">Data!$AY$321</definedName>
    <definedName name="Data_UitloopschaalNatVerloop320">Data!$AY$322</definedName>
    <definedName name="Data_UitloopschaalNatVerloop321">Data!$AY$323</definedName>
    <definedName name="Data_UitloopschaalNatVerloop322">Data!$AY$324</definedName>
    <definedName name="Data_UitloopschaalNatVerloop323">Data!$AY$325</definedName>
    <definedName name="Data_UitloopschaalNatVerloop324">Data!$AY$326</definedName>
    <definedName name="Data_UitloopschaalNatVerloop325">Data!$AY$327</definedName>
    <definedName name="Data_UitloopschaalNatVerloop326">Data!$AY$328</definedName>
    <definedName name="Data_UitloopschaalNatVerloop327">Data!$AY$329</definedName>
    <definedName name="Data_UitloopschaalNatVerloop328">Data!$AY$330</definedName>
    <definedName name="Data_UitloopschaalNatVerloop329">Data!$AY$331</definedName>
    <definedName name="Data_UitloopschaalNatVerloop330">Data!$AY$332</definedName>
    <definedName name="Data_UitloopschaalNatVerloop331">Data!$AY$333</definedName>
    <definedName name="Data_UitloopschaalNatVerloop332">Data!$AY$334</definedName>
    <definedName name="Data_UitloopschaalNatVerloop333">Data!$AY$335</definedName>
    <definedName name="Data_UitloopschaalNatVerloop334">Data!$AY$336</definedName>
    <definedName name="Data_UitloopschaalNatVerloop335">Data!$AY$337</definedName>
    <definedName name="Data_UitloopschaalNatVerloop336">Data!$AY$338</definedName>
    <definedName name="Data_UitloopschaalNatVerloop337">Data!$AY$339</definedName>
    <definedName name="Data_UitloopschaalNatVerloop338">Data!$AY$340</definedName>
    <definedName name="Data_UitloopschaalNatVerloop339">Data!$AY$341</definedName>
    <definedName name="Data_UitloopschaalNatVerloop340">Data!$AY$342</definedName>
    <definedName name="Data_UitloopschaalNatVerloop341">Data!$AY$343</definedName>
    <definedName name="Data_UitloopschaalNatVerloop342">Data!$AY$344</definedName>
    <definedName name="Data_UitloopschaalNatVerloop343">Data!$AY$345</definedName>
    <definedName name="Data_UitloopschaalNatVerloop344">Data!$AY$346</definedName>
    <definedName name="Data_UitloopschaalNatVerloop345">Data!$AY$347</definedName>
    <definedName name="Data_UitloopschaalNatVerloop346">Data!$AY$348</definedName>
    <definedName name="Data_UitloopschaalNatVerloop347">Data!$AY$349</definedName>
    <definedName name="Data_UitloopschaalNatVerloop348">Data!$AY$350</definedName>
    <definedName name="Data_UitloopschaalNatVerloop349">Data!$AY$351</definedName>
    <definedName name="Data_UitloopschaalNatVerloop350">Data!$AY$352</definedName>
    <definedName name="Data_UitloopschaalNatVerloop351">Data!$AY$353</definedName>
    <definedName name="Data_UitloopschaalNatVerloop352">Data!$AY$354</definedName>
    <definedName name="Data_UitloopschaalNatVerloop353">Data!$AY$355</definedName>
    <definedName name="Data_UitloopschaalNatVerloop354">Data!$AY$356</definedName>
    <definedName name="Data_UitloopschaalNatVerloop355">Data!$AY$357</definedName>
    <definedName name="Data_UitloopschaalNatVerloop356">Data!$AY$358</definedName>
    <definedName name="Data_UitloopschaalNatVerloop357">Data!$AY$359</definedName>
    <definedName name="Data_UitloopschaalNatVerloop358">Data!$AY$360</definedName>
    <definedName name="Data_UitloopschaalNatVerloop359">Data!$AY$361</definedName>
    <definedName name="Data_UitloopschaalNatVerloop360">Data!$AY$362</definedName>
    <definedName name="Data_UitloopschaalNatVerloop361">Data!$AY$363</definedName>
    <definedName name="Data_UitloopschaalNatVerloop362">Data!$AY$364</definedName>
    <definedName name="Data_UitloopschaalNatVerloop363">Data!$AY$365</definedName>
    <definedName name="Data_UitloopschaalNatVerloop364">Data!$AY$366</definedName>
    <definedName name="Data_UitloopschaalNatVerloop365">Data!$AY$367</definedName>
    <definedName name="Data_UitloopschaalNatVerloop366">Data!$AY$368</definedName>
    <definedName name="Data_UitloopschaalNatVerloop367">Data!$AY$369</definedName>
    <definedName name="Data_UitloopschaalNatVerloop368">Data!$AY$370</definedName>
    <definedName name="Data_UitloopschaalNatVerloop369">Data!$AY$371</definedName>
    <definedName name="Data_UitloopschaalNatVerloop370">Data!$AY$372</definedName>
    <definedName name="Data_UitloopschaalNatVerloop371">Data!$AY$373</definedName>
    <definedName name="Data_UitloopschaalNatVerloop372">Data!$AY$374</definedName>
    <definedName name="Data_UitloopschaalNatVerloop373">Data!$AY$375</definedName>
    <definedName name="Data_UitloopschaalNatVerloop374">Data!$AY$376</definedName>
    <definedName name="Data_UitloopschaalNatVerloop375">Data!$AY$377</definedName>
    <definedName name="Data_UitloopschaalNatVerloop376">Data!$AY$378</definedName>
    <definedName name="Data_UitloopschaalNatVerloop377">Data!$AY$379</definedName>
    <definedName name="Data_UitloopschaalNatVerloop378">Data!$AY$380</definedName>
    <definedName name="Data_UitloopschaalNatVerloop379">Data!$AY$381</definedName>
    <definedName name="Data_UitloopschaalNatVerloop380">Data!$AY$382</definedName>
    <definedName name="Data_UitloopschaalNatVerloop381">Data!$AY$383</definedName>
    <definedName name="Data_UitloopschaalNatVerloop382">Data!$AY$384</definedName>
    <definedName name="Data_UitloopschaalNatVerloop383">Data!$AY$385</definedName>
    <definedName name="Data_UitloopschaalNatVerloop384">Data!$AY$386</definedName>
    <definedName name="Data_UitloopschaalNatVerloop385">Data!$AY$387</definedName>
    <definedName name="Data_UitloopschaalNatVerloop386">Data!$AY$388</definedName>
    <definedName name="Data_UitloopschaalNatVerloop387">Data!$AY$389</definedName>
    <definedName name="Data_UitloopschaalNatVerloop388">Data!$AY$390</definedName>
    <definedName name="Data_UitloopschaalNatVerloop389">Data!$AY$391</definedName>
    <definedName name="Data_UitloopschaalNatVerloop390">Data!$AY$392</definedName>
    <definedName name="Data_UitloopschaalNatVerloop391">Data!$AY$393</definedName>
    <definedName name="Data_UitloopschaalNatVerloop392">Data!$AY$394</definedName>
    <definedName name="Data_UitloopschaalNatVerloop393">Data!$AY$395</definedName>
    <definedName name="Data_UitloopschaalNatVerloop394">Data!$AY$396</definedName>
    <definedName name="Data_UitloopschaalNatVerloop395">Data!$AY$397</definedName>
    <definedName name="Data_UitloopschaalNatVerloop396">Data!$AY$398</definedName>
    <definedName name="Data_UitloopschaalNatVerloop397">Data!$AY$399</definedName>
    <definedName name="Data_UitloopschaalNatVerloop398">Data!$AY$400</definedName>
    <definedName name="Data_UitloopschaalNatVerloop399">Data!$AY$401</definedName>
    <definedName name="Data_UitloopschaalNatVerloop400">Data!$AY$402</definedName>
    <definedName name="Data_UitloopschaalNatVerloop401">Data!$AY$403</definedName>
    <definedName name="Data_UitloopschaalNatVerloop402">Data!$AY$404</definedName>
    <definedName name="Data_UitloopschaalNatVerloop403">Data!$AY$405</definedName>
    <definedName name="Data_UitloopschaalNatVerloop404">Data!$AY$406</definedName>
    <definedName name="Data_UitloopschaalNatVerloop405">Data!$AY$407</definedName>
    <definedName name="Data_UitloopschaalNatVerloop406">Data!$AY$408</definedName>
    <definedName name="Data_UitloopschaalNatVerloop407">Data!$AY$409</definedName>
    <definedName name="Data_UitloopschaalNatVerloop408">Data!$AY$410</definedName>
    <definedName name="Data_UitloopschaalNatVerloop409">Data!$AY$411</definedName>
    <definedName name="Data_UitloopschaalNatVerloop410">Data!$AY$412</definedName>
    <definedName name="Data_UitloopschaalNatVerloop411">Data!$AY$413</definedName>
    <definedName name="Data_UitloopschaalNatVerloop412">Data!$AY$414</definedName>
    <definedName name="Data_UitloopschaalNatVerloop413">Data!$AY$415</definedName>
    <definedName name="Data_UitloopschaalNatVerloop414">Data!$AY$416</definedName>
    <definedName name="Data_UitloopschaalNatVerloop415">Data!$AY$417</definedName>
    <definedName name="Data_UitloopschaalNatVerloop416">Data!$AY$418</definedName>
    <definedName name="Data_UitloopschaalNatVerloop417">Data!$AY$419</definedName>
    <definedName name="Data_UitloopschaalNatVerloop418">Data!$AY$420</definedName>
    <definedName name="Data_UitloopschaalNatVerloop419">Data!$AY$421</definedName>
    <definedName name="Data_UitloopschaalNatVerloop420">Data!$AY$422</definedName>
    <definedName name="Data_UitloopschaalNatVerloop421">Data!$AY$423</definedName>
    <definedName name="Data_UitloopschaalNatVerloop422">Data!$AY$424</definedName>
    <definedName name="Data_UitloopschaalNatVerloop423">Data!$AY$425</definedName>
    <definedName name="Data_UitloopschaalNatVerloop424">Data!$AY$426</definedName>
    <definedName name="Data_UitloopschaalNatVerloop425">Data!$AY$427</definedName>
    <definedName name="Data_UitloopschaalNatVerloop426">Data!$AY$428</definedName>
    <definedName name="Data_UitloopschaalNatVerloop427">Data!$AY$429</definedName>
    <definedName name="Data_UitloopschaalNatVerloop428">Data!$AY$430</definedName>
    <definedName name="Data_UitloopschaalNatVerloop429">Data!$AY$431</definedName>
    <definedName name="Data_UitloopschaalNatVerloop430">Data!$AY$432</definedName>
    <definedName name="Data_UitloopschaalNatVerloop431">Data!$AY$433</definedName>
    <definedName name="Data_UitloopschaalNatVerloop432">Data!$AY$434</definedName>
    <definedName name="Data_UitloopschaalNatVerloop433">Data!$AY$435</definedName>
    <definedName name="Data_UitloopschaalNatVerloop434">Data!$AY$436</definedName>
    <definedName name="Data_UitloopschaalNatVerloop435">Data!$AY$437</definedName>
    <definedName name="Data_UitloopschaalNatVerloop436">Data!$AY$438</definedName>
    <definedName name="Data_UitloopschaalNatVerloop437">Data!$AY$439</definedName>
    <definedName name="Data_UitloopschaalNatVerloop438">Data!$AY$440</definedName>
    <definedName name="Data_UitloopschaalNatVerloop439">Data!$AY$441</definedName>
    <definedName name="Data_UitloopschaalNatVerloop440">Data!$AY$442</definedName>
    <definedName name="Data_UitloopschaalNatVerloop441">Data!$AY$443</definedName>
    <definedName name="Data_UitloopschaalNatVerloop442">Data!$AY$444</definedName>
    <definedName name="Data_UitloopschaalNatVerloop443">Data!$AY$445</definedName>
    <definedName name="Data_UitloopschaalNatVerloop444">Data!$AY$446</definedName>
    <definedName name="Data_UitloopschaalNatVerloop445">Data!$AY$447</definedName>
    <definedName name="Data_UitloopschaalNatVerloop446">Data!$AY$448</definedName>
    <definedName name="Data_UitloopschaalNatVerloop447">Data!$AY$449</definedName>
    <definedName name="Data_UitloopschaalNatVerloop448">Data!$AY$450</definedName>
    <definedName name="Data_UitloopschaalNatVerloop449">Data!$AY$451</definedName>
    <definedName name="Data_UitloopschaalNatVerloop450">Data!$AY$452</definedName>
    <definedName name="Data_UitloopschaalNatVerloop451">Data!$AY$453</definedName>
    <definedName name="Data_UitloopschaalNatVerloop452">Data!$AY$454</definedName>
    <definedName name="Data_UitloopschaalNatVerloop453">Data!$AY$455</definedName>
    <definedName name="Data_UitloopschaalNatVerloop454">Data!$AY$456</definedName>
    <definedName name="Data_UitloopschaalNatVerloop455">Data!$AY$457</definedName>
    <definedName name="Data_UitloopschaalNatVerloop456">Data!$AY$458</definedName>
    <definedName name="Data_UitloopschaalNatVerloop457">Data!$AY$459</definedName>
    <definedName name="Data_UitloopschaalNatVerloop458">Data!$AY$460</definedName>
    <definedName name="Data_UitloopschaalNatVerloop459">Data!$AY$461</definedName>
    <definedName name="Data_UitloopschaalNatVerloop460">Data!$AY$462</definedName>
    <definedName name="Data_UitloopschaalNatVerloop461">Data!$AY$463</definedName>
    <definedName name="Data_UitloopschaalNatVerloop462">Data!$AY$464</definedName>
    <definedName name="Data_UitloopschaalNatVerloop463">Data!$AY$465</definedName>
    <definedName name="Data_UitloopschaalNatVerloop464">Data!$AY$466</definedName>
    <definedName name="Data_UitloopschaalNatVerloop465">Data!$AY$467</definedName>
    <definedName name="Data_UitloopschaalNatVerloop466">Data!$AY$468</definedName>
    <definedName name="Data_UitloopschaalNatVerloop467">Data!$AY$469</definedName>
    <definedName name="Data_UitloopschaalNatVerloop468">Data!$AY$470</definedName>
    <definedName name="Data_UitloopschaalNatVerloop469">Data!$AY$471</definedName>
    <definedName name="Data_UitloopschaalNatVerloop470">Data!$AY$472</definedName>
    <definedName name="Data_UitloopschaalNatVerloop471">Data!$AY$473</definedName>
    <definedName name="Data_UitloopschaalNatVerloop472">Data!$AY$474</definedName>
    <definedName name="Data_UitloopschaalNatVerloop473">Data!$AY$475</definedName>
    <definedName name="Data_UitloopschaalNatVerloop474">Data!$AY$476</definedName>
    <definedName name="Data_UitloopschaalNatVerloop475">Data!$AY$477</definedName>
    <definedName name="Data_UitloopschaalNatVerloop476">Data!$AY$478</definedName>
    <definedName name="Data_UitloopschaalNatVerloop477">Data!$AY$479</definedName>
    <definedName name="Data_UitloopschaalNatVerloop478">Data!$AY$480</definedName>
    <definedName name="Data_UitloopschaalNatVerloop479">Data!$AY$481</definedName>
    <definedName name="Data_UitloopschaalNatVerloop480">Data!$AY$482</definedName>
    <definedName name="Data_UitloopschaalNatVerloop481">Data!$AY$483</definedName>
    <definedName name="Data_UitloopschaalNatVerloop482">Data!$AY$484</definedName>
    <definedName name="Data_UitloopschaalNatVerloop483">Data!$AY$485</definedName>
    <definedName name="Data_UitloopschaalNatVerloop484">Data!$AY$486</definedName>
    <definedName name="Data_UitloopschaalNatVerloop485">Data!$AY$487</definedName>
    <definedName name="Data_UitloopschaalNatVerloop486">Data!$AY$488</definedName>
    <definedName name="Data_UitloopschaalNatVerloop487">Data!$AY$489</definedName>
    <definedName name="Data_UitloopschaalNatVerloop488">Data!$AY$490</definedName>
    <definedName name="Data_UitloopschaalNatVerloop489">Data!$AY$491</definedName>
    <definedName name="Data_UitloopschaalNatVerloop490">Data!$AY$492</definedName>
    <definedName name="Data_UitloopschaalNatVerloop491">Data!$AY$493</definedName>
    <definedName name="Data_UitloopschaalNatVerloop492">Data!$AY$494</definedName>
    <definedName name="Data_UitloopschaalNatVerloop493">Data!$AY$495</definedName>
    <definedName name="Data_UitloopschaalNatVerloop494">Data!$AY$496</definedName>
    <definedName name="Data_UitloopschaalNatVerloop495">Data!$AY$497</definedName>
    <definedName name="Data_UitloopschaalNatVerloop496">Data!$AY$498</definedName>
    <definedName name="Data_UitloopschaalNatVerloop497">Data!$AY$499</definedName>
    <definedName name="Data_UitloopschaalNatVerloop498">Data!$AY$500</definedName>
    <definedName name="Data_UitloopschaalNatVerloop499">Data!$AY$501</definedName>
    <definedName name="Data_UitloopschaalNatVerloop500">Data!$AY$502</definedName>
    <definedName name="Data_UitloopschaalTijd001">Data!$U$3</definedName>
    <definedName name="Data_UitloopschaalTijd002">Data!$U$4</definedName>
    <definedName name="Data_UitloopschaalTijd003">Data!$U$5</definedName>
    <definedName name="Data_UitloopschaalTijd004">Data!$U$6</definedName>
    <definedName name="Data_UitloopschaalTijd005">Data!$U$7</definedName>
    <definedName name="Data_UitloopschaalTijd006">Data!$U$8</definedName>
    <definedName name="Data_UitloopschaalTijd007">Data!$U$9</definedName>
    <definedName name="Data_UitloopschaalTijd008">Data!$U$10</definedName>
    <definedName name="Data_UitloopschaalTijd009">Data!$U$11</definedName>
    <definedName name="Data_UitloopschaalTijd010">Data!$U$12</definedName>
    <definedName name="Data_UitloopschaalTijd011">Data!$U$13</definedName>
    <definedName name="Data_UitloopschaalTijd012">Data!$U$14</definedName>
    <definedName name="Data_UitloopschaalTijd013">Data!$U$15</definedName>
    <definedName name="Data_UitloopschaalTijd014">Data!$U$16</definedName>
    <definedName name="Data_UitloopschaalTijd015">Data!$U$17</definedName>
    <definedName name="Data_UitloopschaalTijd016">Data!$U$18</definedName>
    <definedName name="Data_UitloopschaalTijd017">Data!$U$19</definedName>
    <definedName name="Data_UitloopschaalTijd018">Data!$U$20</definedName>
    <definedName name="Data_UitloopschaalTijd019">Data!$U$21</definedName>
    <definedName name="Data_UitloopschaalTijd020">Data!$U$22</definedName>
    <definedName name="Data_UitloopschaalTijd021">Data!$U$23</definedName>
    <definedName name="Data_UitloopschaalTijd022">Data!$U$24</definedName>
    <definedName name="Data_UitloopschaalTijd023">Data!$U$25</definedName>
    <definedName name="Data_UitloopschaalTijd024">Data!$U$26</definedName>
    <definedName name="Data_UitloopschaalTijd025">Data!$U$27</definedName>
    <definedName name="Data_UitloopschaalTijd026">Data!$U$28</definedName>
    <definedName name="Data_UitloopschaalTijd027">Data!$U$29</definedName>
    <definedName name="Data_UitloopschaalTijd028">Data!$U$30</definedName>
    <definedName name="Data_UitloopschaalTijd029">Data!$U$31</definedName>
    <definedName name="Data_UitloopschaalTijd030">Data!$U$32</definedName>
    <definedName name="Data_UitloopschaalTijd031">Data!$U$33</definedName>
    <definedName name="Data_UitloopschaalTijd032">Data!$U$34</definedName>
    <definedName name="Data_UitloopschaalTijd033">Data!$U$35</definedName>
    <definedName name="Data_UitloopschaalTijd034">Data!$U$36</definedName>
    <definedName name="Data_UitloopschaalTijd035">Data!$U$37</definedName>
    <definedName name="Data_UitloopschaalTijd036">Data!$U$38</definedName>
    <definedName name="Data_UitloopschaalTijd037">Data!$U$39</definedName>
    <definedName name="Data_UitloopschaalTijd038">Data!$U$40</definedName>
    <definedName name="Data_UitloopschaalTijd039">Data!$U$41</definedName>
    <definedName name="Data_UitloopschaalTijd040">Data!$U$42</definedName>
    <definedName name="Data_UitloopschaalTijd041">Data!$U$43</definedName>
    <definedName name="Data_UitloopschaalTijd042">Data!$U$44</definedName>
    <definedName name="Data_UitloopschaalTijd043">Data!$U$45</definedName>
    <definedName name="Data_UitloopschaalTijd044">Data!$U$46</definedName>
    <definedName name="Data_UitloopschaalTijd045">Data!$U$47</definedName>
    <definedName name="Data_UitloopschaalTijd046">Data!$U$48</definedName>
    <definedName name="Data_UitloopschaalTijd047">Data!$U$49</definedName>
    <definedName name="Data_UitloopschaalTijd048">Data!$U$50</definedName>
    <definedName name="Data_UitloopschaalTijd049">Data!$U$51</definedName>
    <definedName name="Data_UitloopschaalTijd050">Data!$U$52</definedName>
    <definedName name="Data_UitloopschaalTijd051">Data!$U$53</definedName>
    <definedName name="Data_UitloopschaalTijd052">Data!$U$54</definedName>
    <definedName name="Data_UitloopschaalTijd053">Data!$U$55</definedName>
    <definedName name="Data_UitloopschaalTijd054">Data!$U$56</definedName>
    <definedName name="Data_UitloopschaalTijd055">Data!$U$57</definedName>
    <definedName name="Data_UitloopschaalTijd056">Data!$U$58</definedName>
    <definedName name="Data_UitloopschaalTijd057">Data!$U$59</definedName>
    <definedName name="Data_UitloopschaalTijd058">Data!$U$60</definedName>
    <definedName name="Data_UitloopschaalTijd059">Data!$U$61</definedName>
    <definedName name="Data_UitloopschaalTijd060">Data!$U$62</definedName>
    <definedName name="Data_UitloopschaalTijd061">Data!$U$63</definedName>
    <definedName name="Data_UitloopschaalTijd062">Data!$U$64</definedName>
    <definedName name="Data_UitloopschaalTijd063">Data!$U$65</definedName>
    <definedName name="Data_UitloopschaalTijd064">Data!$U$66</definedName>
    <definedName name="Data_UitloopschaalTijd065">Data!$U$67</definedName>
    <definedName name="Data_UitloopschaalTijd066">Data!$U$68</definedName>
    <definedName name="Data_UitloopschaalTijd067">Data!$U$69</definedName>
    <definedName name="Data_UitloopschaalTijd068">Data!$U$70</definedName>
    <definedName name="Data_UitloopschaalTijd069">Data!$U$71</definedName>
    <definedName name="Data_UitloopschaalTijd070">Data!$U$72</definedName>
    <definedName name="Data_UitloopschaalTijd071">Data!$U$73</definedName>
    <definedName name="Data_UitloopschaalTijd072">Data!$U$74</definedName>
    <definedName name="Data_UitloopschaalTijd073">Data!$U$75</definedName>
    <definedName name="Data_UitloopschaalTijd074">Data!$U$76</definedName>
    <definedName name="Data_UitloopschaalTijd075">Data!$U$77</definedName>
    <definedName name="Data_UitloopschaalTijd076">Data!$U$78</definedName>
    <definedName name="Data_UitloopschaalTijd077">Data!$U$79</definedName>
    <definedName name="Data_UitloopschaalTijd078">Data!$U$80</definedName>
    <definedName name="Data_UitloopschaalTijd079">Data!$U$81</definedName>
    <definedName name="Data_UitloopschaalTijd080">Data!$U$82</definedName>
    <definedName name="Data_UitloopschaalTijd081">Data!$U$83</definedName>
    <definedName name="Data_UitloopschaalTijd082">Data!$U$84</definedName>
    <definedName name="Data_UitloopschaalTijd083">Data!$U$85</definedName>
    <definedName name="Data_UitloopschaalTijd084">Data!$U$86</definedName>
    <definedName name="Data_UitloopschaalTijd085">Data!$U$87</definedName>
    <definedName name="Data_UitloopschaalTijd086">Data!$U$88</definedName>
    <definedName name="Data_UitloopschaalTijd087">Data!$U$89</definedName>
    <definedName name="Data_UitloopschaalTijd088">Data!$U$90</definedName>
    <definedName name="Data_UitloopschaalTijd089">Data!$U$91</definedName>
    <definedName name="Data_UitloopschaalTijd090">Data!$U$92</definedName>
    <definedName name="Data_UitloopschaalTijd091">Data!$U$93</definedName>
    <definedName name="Data_UitloopschaalTijd092">Data!$U$94</definedName>
    <definedName name="Data_UitloopschaalTijd093">Data!$U$95</definedName>
    <definedName name="Data_UitloopschaalTijd094">Data!$U$96</definedName>
    <definedName name="Data_UitloopschaalTijd095">Data!$U$97</definedName>
    <definedName name="Data_UitloopschaalTijd096">Data!$U$98</definedName>
    <definedName name="Data_UitloopschaalTijd097">Data!$U$99</definedName>
    <definedName name="Data_UitloopschaalTijd098">Data!$U$100</definedName>
    <definedName name="Data_UitloopschaalTijd099">Data!$U$101</definedName>
    <definedName name="Data_UitloopschaalTijd100">Data!$U$102</definedName>
    <definedName name="Data_UitloopschaalTijd101">Data!$U$103</definedName>
    <definedName name="Data_UitloopschaalTijd102">Data!$U$104</definedName>
    <definedName name="Data_UitloopschaalTijd103">Data!$U$105</definedName>
    <definedName name="Data_UitloopschaalTijd104">Data!$U$106</definedName>
    <definedName name="Data_UitloopschaalTijd105">Data!$U$107</definedName>
    <definedName name="Data_UitloopschaalTijd106">Data!$U$108</definedName>
    <definedName name="Data_UitloopschaalTijd107">Data!$U$109</definedName>
    <definedName name="Data_UitloopschaalTijd108">Data!$U$110</definedName>
    <definedName name="Data_UitloopschaalTijd109">Data!$U$111</definedName>
    <definedName name="Data_UitloopschaalTijd110">Data!$U$112</definedName>
    <definedName name="Data_UitloopschaalTijd111">Data!$U$113</definedName>
    <definedName name="Data_UitloopschaalTijd112">Data!$U$114</definedName>
    <definedName name="Data_UitloopschaalTijd113">Data!$U$115</definedName>
    <definedName name="Data_UitloopschaalTijd114">Data!$U$116</definedName>
    <definedName name="Data_UitloopschaalTijd115">Data!$U$117</definedName>
    <definedName name="Data_UitloopschaalTijd116">Data!$U$118</definedName>
    <definedName name="Data_UitloopschaalTijd117">Data!$U$119</definedName>
    <definedName name="Data_UitloopschaalTijd118">Data!$U$120</definedName>
    <definedName name="Data_UitloopschaalTijd119">Data!$U$121</definedName>
    <definedName name="Data_UitloopschaalTijd120">Data!$U$122</definedName>
    <definedName name="Data_UitloopschaalTijd121">Data!$U$123</definedName>
    <definedName name="Data_UitloopschaalTijd122">Data!$U$124</definedName>
    <definedName name="Data_UitloopschaalTijd123">Data!$U$125</definedName>
    <definedName name="Data_UitloopschaalTijd124">Data!$U$126</definedName>
    <definedName name="Data_UitloopschaalTijd125">Data!$U$127</definedName>
    <definedName name="Data_UitloopschaalTijd126">Data!$U$128</definedName>
    <definedName name="Data_UitloopschaalTijd127">Data!$U$129</definedName>
    <definedName name="Data_UitloopschaalTijd128">Data!$U$130</definedName>
    <definedName name="Data_UitloopschaalTijd129">Data!$U$131</definedName>
    <definedName name="Data_UitloopschaalTijd130">Data!$U$132</definedName>
    <definedName name="Data_UitloopschaalTijd131">Data!$U$133</definedName>
    <definedName name="Data_UitloopschaalTijd132">Data!$U$134</definedName>
    <definedName name="Data_UitloopschaalTijd133">Data!$U$135</definedName>
    <definedName name="Data_UitloopschaalTijd134">Data!$U$136</definedName>
    <definedName name="Data_UitloopschaalTijd135">Data!$U$137</definedName>
    <definedName name="Data_UitloopschaalTijd136">Data!$U$138</definedName>
    <definedName name="Data_UitloopschaalTijd137">Data!$U$139</definedName>
    <definedName name="Data_UitloopschaalTijd138">Data!$U$140</definedName>
    <definedName name="Data_UitloopschaalTijd139">Data!$U$141</definedName>
    <definedName name="Data_UitloopschaalTijd140">Data!$U$142</definedName>
    <definedName name="Data_UitloopschaalTijd141">Data!$U$143</definedName>
    <definedName name="Data_UitloopschaalTijd142">Data!$U$144</definedName>
    <definedName name="Data_UitloopschaalTijd143">Data!$U$145</definedName>
    <definedName name="Data_UitloopschaalTijd144">Data!$U$146</definedName>
    <definedName name="Data_UitloopschaalTijd145">Data!$U$147</definedName>
    <definedName name="Data_UitloopschaalTijd146">Data!$U$148</definedName>
    <definedName name="Data_UitloopschaalTijd147">Data!$U$149</definedName>
    <definedName name="Data_UitloopschaalTijd148">Data!$U$150</definedName>
    <definedName name="Data_UitloopschaalTijd149">Data!$U$151</definedName>
    <definedName name="Data_UitloopschaalTijd150">Data!$U$152</definedName>
    <definedName name="Data_UitloopschaalTijd151">Data!$U$153</definedName>
    <definedName name="Data_UitloopschaalTijd152">Data!$U$154</definedName>
    <definedName name="Data_UitloopschaalTijd153">Data!$U$155</definedName>
    <definedName name="Data_UitloopschaalTijd154">Data!$U$156</definedName>
    <definedName name="Data_UitloopschaalTijd155">Data!$U$157</definedName>
    <definedName name="Data_UitloopschaalTijd156">Data!$U$158</definedName>
    <definedName name="Data_UitloopschaalTijd157">Data!$U$159</definedName>
    <definedName name="Data_UitloopschaalTijd158">Data!$U$160</definedName>
    <definedName name="Data_UitloopschaalTijd159">Data!$U$161</definedName>
    <definedName name="Data_UitloopschaalTijd160">Data!$U$162</definedName>
    <definedName name="Data_UitloopschaalTijd161">Data!$U$163</definedName>
    <definedName name="Data_UitloopschaalTijd162">Data!$U$164</definedName>
    <definedName name="Data_UitloopschaalTijd163">Data!$U$165</definedName>
    <definedName name="Data_UitloopschaalTijd164">Data!$U$166</definedName>
    <definedName name="Data_UitloopschaalTijd165">Data!$U$167</definedName>
    <definedName name="Data_UitloopschaalTijd166">Data!$U$168</definedName>
    <definedName name="Data_UitloopschaalTijd167">Data!$U$169</definedName>
    <definedName name="Data_UitloopschaalTijd168">Data!$U$170</definedName>
    <definedName name="Data_UitloopschaalTijd169">Data!$U$171</definedName>
    <definedName name="Data_UitloopschaalTijd170">Data!$U$172</definedName>
    <definedName name="Data_UitloopschaalTijd171">Data!$U$173</definedName>
    <definedName name="Data_UitloopschaalTijd172">Data!$U$174</definedName>
    <definedName name="Data_UitloopschaalTijd173">Data!$U$175</definedName>
    <definedName name="Data_UitloopschaalTijd174">Data!$U$176</definedName>
    <definedName name="Data_UitloopschaalTijd175">Data!$U$177</definedName>
    <definedName name="Data_UitloopschaalTijd176">Data!$U$178</definedName>
    <definedName name="Data_UitloopschaalTijd177">Data!$U$179</definedName>
    <definedName name="Data_UitloopschaalTijd178">Data!$U$180</definedName>
    <definedName name="Data_UitloopschaalTijd179">Data!$U$181</definedName>
    <definedName name="Data_UitloopschaalTijd180">Data!$U$182</definedName>
    <definedName name="Data_UitloopschaalTijd181">Data!$U$183</definedName>
    <definedName name="Data_UitloopschaalTijd182">Data!$U$184</definedName>
    <definedName name="Data_UitloopschaalTijd183">Data!$U$185</definedName>
    <definedName name="Data_UitloopschaalTijd184">Data!$U$186</definedName>
    <definedName name="Data_UitloopschaalTijd185">Data!$U$187</definedName>
    <definedName name="Data_UitloopschaalTijd186">Data!$U$188</definedName>
    <definedName name="Data_UitloopschaalTijd187">Data!$U$189</definedName>
    <definedName name="Data_UitloopschaalTijd188">Data!$U$190</definedName>
    <definedName name="Data_UitloopschaalTijd189">Data!$U$191</definedName>
    <definedName name="Data_UitloopschaalTijd190">Data!$U$192</definedName>
    <definedName name="Data_UitloopschaalTijd191">Data!$U$193</definedName>
    <definedName name="Data_UitloopschaalTijd192">Data!$U$194</definedName>
    <definedName name="Data_UitloopschaalTijd193">Data!$U$195</definedName>
    <definedName name="Data_UitloopschaalTijd194">Data!$U$196</definedName>
    <definedName name="Data_UitloopschaalTijd195">Data!$U$197</definedName>
    <definedName name="Data_UitloopschaalTijd196">Data!$U$198</definedName>
    <definedName name="Data_UitloopschaalTijd197">Data!$U$199</definedName>
    <definedName name="Data_UitloopschaalTijd198">Data!$U$200</definedName>
    <definedName name="Data_UitloopschaalTijd199">Data!$U$201</definedName>
    <definedName name="Data_UitloopschaalTijd200">Data!$U$202</definedName>
    <definedName name="Data_UitloopschaalTijd201">Data!$U$203</definedName>
    <definedName name="Data_UitloopschaalTijd202">Data!$U$204</definedName>
    <definedName name="Data_UitloopschaalTijd203">Data!$U$205</definedName>
    <definedName name="Data_UitloopschaalTijd204">Data!$U$206</definedName>
    <definedName name="Data_UitloopschaalTijd205">Data!$U$207</definedName>
    <definedName name="Data_UitloopschaalTijd206">Data!$U$208</definedName>
    <definedName name="Data_UitloopschaalTijd207">Data!$U$209</definedName>
    <definedName name="Data_UitloopschaalTijd208">Data!$U$210</definedName>
    <definedName name="Data_UitloopschaalTijd209">Data!$U$211</definedName>
    <definedName name="Data_UitloopschaalTijd210">Data!$U$212</definedName>
    <definedName name="Data_UitloopschaalTijd211">Data!$U$213</definedName>
    <definedName name="Data_UitloopschaalTijd212">Data!$U$214</definedName>
    <definedName name="Data_UitloopschaalTijd213">Data!$U$215</definedName>
    <definedName name="Data_UitloopschaalTijd214">Data!$U$216</definedName>
    <definedName name="Data_UitloopschaalTijd215">Data!$U$217</definedName>
    <definedName name="Data_UitloopschaalTijd216">Data!$U$218</definedName>
    <definedName name="Data_UitloopschaalTijd217">Data!$U$219</definedName>
    <definedName name="Data_UitloopschaalTijd218">Data!$U$220</definedName>
    <definedName name="Data_UitloopschaalTijd219">Data!$U$221</definedName>
    <definedName name="Data_UitloopschaalTijd220">Data!$U$222</definedName>
    <definedName name="Data_UitloopschaalTijd221">Data!$U$223</definedName>
    <definedName name="Data_UitloopschaalTijd222">Data!$U$224</definedName>
    <definedName name="Data_UitloopschaalTijd223">Data!$U$225</definedName>
    <definedName name="Data_UitloopschaalTijd224">Data!$U$226</definedName>
    <definedName name="Data_UitloopschaalTijd225">Data!$U$227</definedName>
    <definedName name="Data_UitloopschaalTijd226">Data!$U$228</definedName>
    <definedName name="Data_UitloopschaalTijd227">Data!$U$229</definedName>
    <definedName name="Data_UitloopschaalTijd228">Data!$U$230</definedName>
    <definedName name="Data_UitloopschaalTijd229">Data!$U$231</definedName>
    <definedName name="Data_UitloopschaalTijd230">Data!$U$232</definedName>
    <definedName name="Data_UitloopschaalTijd231">Data!$U$233</definedName>
    <definedName name="Data_UitloopschaalTijd232">Data!$U$234</definedName>
    <definedName name="Data_UitloopschaalTijd233">Data!$U$235</definedName>
    <definedName name="Data_UitloopschaalTijd234">Data!$U$236</definedName>
    <definedName name="Data_UitloopschaalTijd235">Data!$U$237</definedName>
    <definedName name="Data_UitloopschaalTijd236">Data!$U$238</definedName>
    <definedName name="Data_UitloopschaalTijd237">Data!$U$239</definedName>
    <definedName name="Data_UitloopschaalTijd238">Data!$U$240</definedName>
    <definedName name="Data_UitloopschaalTijd239">Data!$U$241</definedName>
    <definedName name="Data_UitloopschaalTijd240">Data!$U$242</definedName>
    <definedName name="Data_UitloopschaalTijd241">Data!$U$243</definedName>
    <definedName name="Data_UitloopschaalTijd242">Data!$U$244</definedName>
    <definedName name="Data_UitloopschaalTijd243">Data!$U$245</definedName>
    <definedName name="Data_UitloopschaalTijd244">Data!$U$246</definedName>
    <definedName name="Data_UitloopschaalTijd245">Data!$U$247</definedName>
    <definedName name="Data_UitloopschaalTijd246">Data!$U$248</definedName>
    <definedName name="Data_UitloopschaalTijd247">Data!$U$249</definedName>
    <definedName name="Data_UitloopschaalTijd248">Data!$U$250</definedName>
    <definedName name="Data_UitloopschaalTijd249">Data!$U$251</definedName>
    <definedName name="Data_UitloopschaalTijd250">Data!$U$252</definedName>
    <definedName name="Data_UitloopschaalTijd251">Data!$U$253</definedName>
    <definedName name="Data_UitloopschaalTijd252">Data!$U$254</definedName>
    <definedName name="Data_UitloopschaalTijd253">Data!$U$255</definedName>
    <definedName name="Data_UitloopschaalTijd254">Data!$U$256</definedName>
    <definedName name="Data_UitloopschaalTijd255">Data!$U$257</definedName>
    <definedName name="Data_UitloopschaalTijd256">Data!$U$258</definedName>
    <definedName name="Data_UitloopschaalTijd257">Data!$U$259</definedName>
    <definedName name="Data_UitloopschaalTijd258">Data!$U$260</definedName>
    <definedName name="Data_UitloopschaalTijd259">Data!$U$261</definedName>
    <definedName name="Data_UitloopschaalTijd260">Data!$U$262</definedName>
    <definedName name="Data_UitloopschaalTijd261">Data!$U$263</definedName>
    <definedName name="Data_UitloopschaalTijd262">Data!$U$264</definedName>
    <definedName name="Data_UitloopschaalTijd263">Data!$U$265</definedName>
    <definedName name="Data_UitloopschaalTijd264">Data!$U$266</definedName>
    <definedName name="Data_UitloopschaalTijd265">Data!$U$267</definedName>
    <definedName name="Data_UitloopschaalTijd266">Data!$U$268</definedName>
    <definedName name="Data_UitloopschaalTijd267">Data!$U$269</definedName>
    <definedName name="Data_UitloopschaalTijd268">Data!$U$270</definedName>
    <definedName name="Data_UitloopschaalTijd269">Data!$U$271</definedName>
    <definedName name="Data_UitloopschaalTijd270">Data!$U$272</definedName>
    <definedName name="Data_UitloopschaalTijd271">Data!$U$273</definedName>
    <definedName name="Data_UitloopschaalTijd272">Data!$U$274</definedName>
    <definedName name="Data_UitloopschaalTijd273">Data!$U$275</definedName>
    <definedName name="Data_UitloopschaalTijd274">Data!$U$276</definedName>
    <definedName name="Data_UitloopschaalTijd275">Data!$U$277</definedName>
    <definedName name="Data_UitloopschaalTijd276">Data!$U$278</definedName>
    <definedName name="Data_UitloopschaalTijd277">Data!$U$279</definedName>
    <definedName name="Data_UitloopschaalTijd278">Data!$U$280</definedName>
    <definedName name="Data_UitloopschaalTijd279">Data!$U$281</definedName>
    <definedName name="Data_UitloopschaalTijd280">Data!$U$282</definedName>
    <definedName name="Data_UitloopschaalTijd281">Data!$U$283</definedName>
    <definedName name="Data_UitloopschaalTijd282">Data!$U$284</definedName>
    <definedName name="Data_UitloopschaalTijd283">Data!$U$285</definedName>
    <definedName name="Data_UitloopschaalTijd284">Data!$U$286</definedName>
    <definedName name="Data_UitloopschaalTijd285">Data!$U$287</definedName>
    <definedName name="Data_UitloopschaalTijd286">Data!$U$288</definedName>
    <definedName name="Data_UitloopschaalTijd287">Data!$U$289</definedName>
    <definedName name="Data_UitloopschaalTijd288">Data!$U$290</definedName>
    <definedName name="Data_UitloopschaalTijd289">Data!$U$291</definedName>
    <definedName name="Data_UitloopschaalTijd290">Data!$U$292</definedName>
    <definedName name="Data_UitloopschaalTijd291">Data!$U$293</definedName>
    <definedName name="Data_UitloopschaalTijd292">Data!$U$294</definedName>
    <definedName name="Data_UitloopschaalTijd293">Data!$U$295</definedName>
    <definedName name="Data_UitloopschaalTijd294">Data!$U$296</definedName>
    <definedName name="Data_UitloopschaalTijd295">Data!$U$297</definedName>
    <definedName name="Data_UitloopschaalTijd296">Data!$U$298</definedName>
    <definedName name="Data_UitloopschaalTijd297">Data!$U$299</definedName>
    <definedName name="Data_UitloopschaalTijd298">Data!$U$300</definedName>
    <definedName name="Data_UitloopschaalTijd299">Data!$U$301</definedName>
    <definedName name="Data_UitloopschaalTijd300">Data!$U$302</definedName>
    <definedName name="Data_UitloopschaalTijd301">Data!$U$303</definedName>
    <definedName name="Data_UitloopschaalTijd302">Data!$U$304</definedName>
    <definedName name="Data_UitloopschaalTijd303">Data!$U$305</definedName>
    <definedName name="Data_UitloopschaalTijd304">Data!$U$306</definedName>
    <definedName name="Data_UitloopschaalTijd305">Data!$U$307</definedName>
    <definedName name="Data_UitloopschaalTijd306">Data!$U$308</definedName>
    <definedName name="Data_UitloopschaalTijd307">Data!$U$309</definedName>
    <definedName name="Data_UitloopschaalTijd308">Data!$U$310</definedName>
    <definedName name="Data_UitloopschaalTijd309">Data!$U$311</definedName>
    <definedName name="Data_UitloopschaalTijd310">Data!$U$312</definedName>
    <definedName name="Data_UitloopschaalTijd311">Data!$U$313</definedName>
    <definedName name="Data_UitloopschaalTijd312">Data!$U$314</definedName>
    <definedName name="Data_UitloopschaalTijd313">Data!$U$315</definedName>
    <definedName name="Data_UitloopschaalTijd314">Data!$U$316</definedName>
    <definedName name="Data_UitloopschaalTijd315">Data!$U$317</definedName>
    <definedName name="Data_UitloopschaalTijd316">Data!$U$318</definedName>
    <definedName name="Data_UitloopschaalTijd317">Data!$U$319</definedName>
    <definedName name="Data_UitloopschaalTijd318">Data!$U$320</definedName>
    <definedName name="Data_UitloopschaalTijd319">Data!$U$321</definedName>
    <definedName name="Data_UitloopschaalTijd320">Data!$U$322</definedName>
    <definedName name="Data_UitloopschaalTijd321">Data!$U$323</definedName>
    <definedName name="Data_UitloopschaalTijd322">Data!$U$324</definedName>
    <definedName name="Data_UitloopschaalTijd323">Data!$U$325</definedName>
    <definedName name="Data_UitloopschaalTijd324">Data!$U$326</definedName>
    <definedName name="Data_UitloopschaalTijd325">Data!$U$327</definedName>
    <definedName name="Data_UitloopschaalTijd326">Data!$U$328</definedName>
    <definedName name="Data_UitloopschaalTijd327">Data!$U$329</definedName>
    <definedName name="Data_UitloopschaalTijd328">Data!$U$330</definedName>
    <definedName name="Data_UitloopschaalTijd329">Data!$U$331</definedName>
    <definedName name="Data_UitloopschaalTijd330">Data!$U$332</definedName>
    <definedName name="Data_UitloopschaalTijd331">Data!$U$333</definedName>
    <definedName name="Data_UitloopschaalTijd332">Data!$U$334</definedName>
    <definedName name="Data_UitloopschaalTijd333">Data!$U$335</definedName>
    <definedName name="Data_UitloopschaalTijd334">Data!$U$336</definedName>
    <definedName name="Data_UitloopschaalTijd335">Data!$U$337</definedName>
    <definedName name="Data_UitloopschaalTijd336">Data!$U$338</definedName>
    <definedName name="Data_UitloopschaalTijd337">Data!$U$339</definedName>
    <definedName name="Data_UitloopschaalTijd338">Data!$U$340</definedName>
    <definedName name="Data_UitloopschaalTijd339">Data!$U$341</definedName>
    <definedName name="Data_UitloopschaalTijd340">Data!$U$342</definedName>
    <definedName name="Data_UitloopschaalTijd341">Data!$U$343</definedName>
    <definedName name="Data_UitloopschaalTijd342">Data!$U$344</definedName>
    <definedName name="Data_UitloopschaalTijd343">Data!$U$345</definedName>
    <definedName name="Data_UitloopschaalTijd344">Data!$U$346</definedName>
    <definedName name="Data_UitloopschaalTijd345">Data!$U$347</definedName>
    <definedName name="Data_UitloopschaalTijd346">Data!$U$348</definedName>
    <definedName name="Data_UitloopschaalTijd347">Data!$U$349</definedName>
    <definedName name="Data_UitloopschaalTijd348">Data!$U$350</definedName>
    <definedName name="Data_UitloopschaalTijd349">Data!$U$351</definedName>
    <definedName name="Data_UitloopschaalTijd350">Data!$U$352</definedName>
    <definedName name="Data_UitloopschaalTijd351">Data!$U$353</definedName>
    <definedName name="Data_UitloopschaalTijd352">Data!$U$354</definedName>
    <definedName name="Data_UitloopschaalTijd353">Data!$U$355</definedName>
    <definedName name="Data_UitloopschaalTijd354">Data!$U$356</definedName>
    <definedName name="Data_UitloopschaalTijd355">Data!$U$357</definedName>
    <definedName name="Data_UitloopschaalTijd356">Data!$U$358</definedName>
    <definedName name="Data_UitloopschaalTijd357">Data!$U$359</definedName>
    <definedName name="Data_UitloopschaalTijd358">Data!$U$360</definedName>
    <definedName name="Data_UitloopschaalTijd359">Data!$U$361</definedName>
    <definedName name="Data_UitloopschaalTijd360">Data!$U$362</definedName>
    <definedName name="Data_UitloopschaalTijd361">Data!$U$363</definedName>
    <definedName name="Data_UitloopschaalTijd362">Data!$U$364</definedName>
    <definedName name="Data_UitloopschaalTijd363">Data!$U$365</definedName>
    <definedName name="Data_UitloopschaalTijd364">Data!$U$366</definedName>
    <definedName name="Data_UitloopschaalTijd365">Data!$U$367</definedName>
    <definedName name="Data_UitloopschaalTijd366">Data!$U$368</definedName>
    <definedName name="Data_UitloopschaalTijd367">Data!$U$369</definedName>
    <definedName name="Data_UitloopschaalTijd368">Data!$U$370</definedName>
    <definedName name="Data_UitloopschaalTijd369">Data!$U$371</definedName>
    <definedName name="Data_UitloopschaalTijd370">Data!$U$372</definedName>
    <definedName name="Data_UitloopschaalTijd371">Data!$U$373</definedName>
    <definedName name="Data_UitloopschaalTijd372">Data!$U$374</definedName>
    <definedName name="Data_UitloopschaalTijd373">Data!$U$375</definedName>
    <definedName name="Data_UitloopschaalTijd374">Data!$U$376</definedName>
    <definedName name="Data_UitloopschaalTijd375">Data!$U$377</definedName>
    <definedName name="Data_UitloopschaalTijd376">Data!$U$378</definedName>
    <definedName name="Data_UitloopschaalTijd377">Data!$U$379</definedName>
    <definedName name="Data_UitloopschaalTijd378">Data!$U$380</definedName>
    <definedName name="Data_UitloopschaalTijd379">Data!$U$381</definedName>
    <definedName name="Data_UitloopschaalTijd380">Data!$U$382</definedName>
    <definedName name="Data_UitloopschaalTijd381">Data!$U$383</definedName>
    <definedName name="Data_UitloopschaalTijd382">Data!$U$384</definedName>
    <definedName name="Data_UitloopschaalTijd383">Data!$U$385</definedName>
    <definedName name="Data_UitloopschaalTijd384">Data!$U$386</definedName>
    <definedName name="Data_UitloopschaalTijd385">Data!$U$387</definedName>
    <definedName name="Data_UitloopschaalTijd386">Data!$U$388</definedName>
    <definedName name="Data_UitloopschaalTijd387">Data!$U$389</definedName>
    <definedName name="Data_UitloopschaalTijd388">Data!$U$390</definedName>
    <definedName name="Data_UitloopschaalTijd389">Data!$U$391</definedName>
    <definedName name="Data_UitloopschaalTijd390">Data!$U$392</definedName>
    <definedName name="Data_UitloopschaalTijd391">Data!$U$393</definedName>
    <definedName name="Data_UitloopschaalTijd392">Data!$U$394</definedName>
    <definedName name="Data_UitloopschaalTijd393">Data!$U$395</definedName>
    <definedName name="Data_UitloopschaalTijd394">Data!$U$396</definedName>
    <definedName name="Data_UitloopschaalTijd395">Data!$U$397</definedName>
    <definedName name="Data_UitloopschaalTijd396">Data!$U$398</definedName>
    <definedName name="Data_UitloopschaalTijd397">Data!$U$399</definedName>
    <definedName name="Data_UitloopschaalTijd398">Data!$U$400</definedName>
    <definedName name="Data_UitloopschaalTijd399">Data!$U$401</definedName>
    <definedName name="Data_UitloopschaalTijd400">Data!$U$402</definedName>
    <definedName name="Data_UitloopschaalTijd401">Data!$U$403</definedName>
    <definedName name="Data_UitloopschaalTijd402">Data!$U$404</definedName>
    <definedName name="Data_UitloopschaalTijd403">Data!$U$405</definedName>
    <definedName name="Data_UitloopschaalTijd404">Data!$U$406</definedName>
    <definedName name="Data_UitloopschaalTijd405">Data!$U$407</definedName>
    <definedName name="Data_UitloopschaalTijd406">Data!$U$408</definedName>
    <definedName name="Data_UitloopschaalTijd407">Data!$U$409</definedName>
    <definedName name="Data_UitloopschaalTijd408">Data!$U$410</definedName>
    <definedName name="Data_UitloopschaalTijd409">Data!$U$411</definedName>
    <definedName name="Data_UitloopschaalTijd410">Data!$U$412</definedName>
    <definedName name="Data_UitloopschaalTijd411">Data!$U$413</definedName>
    <definedName name="Data_UitloopschaalTijd412">Data!$U$414</definedName>
    <definedName name="Data_UitloopschaalTijd413">Data!$U$415</definedName>
    <definedName name="Data_UitloopschaalTijd414">Data!$U$416</definedName>
    <definedName name="Data_UitloopschaalTijd415">Data!$U$417</definedName>
    <definedName name="Data_UitloopschaalTijd416">Data!$U$418</definedName>
    <definedName name="Data_UitloopschaalTijd417">Data!$U$419</definedName>
    <definedName name="Data_UitloopschaalTijd418">Data!$U$420</definedName>
    <definedName name="Data_UitloopschaalTijd419">Data!$U$421</definedName>
    <definedName name="Data_UitloopschaalTijd420">Data!$U$422</definedName>
    <definedName name="Data_UitloopschaalTijd421">Data!$U$423</definedName>
    <definedName name="Data_UitloopschaalTijd422">Data!$U$424</definedName>
    <definedName name="Data_UitloopschaalTijd423">Data!$U$425</definedName>
    <definedName name="Data_UitloopschaalTijd424">Data!$U$426</definedName>
    <definedName name="Data_UitloopschaalTijd425">Data!$U$427</definedName>
    <definedName name="Data_UitloopschaalTijd426">Data!$U$428</definedName>
    <definedName name="Data_UitloopschaalTijd427">Data!$U$429</definedName>
    <definedName name="Data_UitloopschaalTijd428">Data!$U$430</definedName>
    <definedName name="Data_UitloopschaalTijd429">Data!$U$431</definedName>
    <definedName name="Data_UitloopschaalTijd430">Data!$U$432</definedName>
    <definedName name="Data_UitloopschaalTijd431">Data!$U$433</definedName>
    <definedName name="Data_UitloopschaalTijd432">Data!$U$434</definedName>
    <definedName name="Data_UitloopschaalTijd433">Data!$U$435</definedName>
    <definedName name="Data_UitloopschaalTijd434">Data!$U$436</definedName>
    <definedName name="Data_UitloopschaalTijd435">Data!$U$437</definedName>
    <definedName name="Data_UitloopschaalTijd436">Data!$U$438</definedName>
    <definedName name="Data_UitloopschaalTijd437">Data!$U$439</definedName>
    <definedName name="Data_UitloopschaalTijd438">Data!$U$440</definedName>
    <definedName name="Data_UitloopschaalTijd439">Data!$U$441</definedName>
    <definedName name="Data_UitloopschaalTijd440">Data!$U$442</definedName>
    <definedName name="Data_UitloopschaalTijd441">Data!$U$443</definedName>
    <definedName name="Data_UitloopschaalTijd442">Data!$U$444</definedName>
    <definedName name="Data_UitloopschaalTijd443">Data!$U$445</definedName>
    <definedName name="Data_UitloopschaalTijd444">Data!$U$446</definedName>
    <definedName name="Data_UitloopschaalTijd445">Data!$U$447</definedName>
    <definedName name="Data_UitloopschaalTijd446">Data!$U$448</definedName>
    <definedName name="Data_UitloopschaalTijd447">Data!$U$449</definedName>
    <definedName name="Data_UitloopschaalTijd448">Data!$U$450</definedName>
    <definedName name="Data_UitloopschaalTijd449">Data!$U$451</definedName>
    <definedName name="Data_UitloopschaalTijd450">Data!$U$452</definedName>
    <definedName name="Data_UitloopschaalTijd451">Data!$U$453</definedName>
    <definedName name="Data_UitloopschaalTijd452">Data!$U$454</definedName>
    <definedName name="Data_UitloopschaalTijd453">Data!$U$455</definedName>
    <definedName name="Data_UitloopschaalTijd454">Data!$U$456</definedName>
    <definedName name="Data_UitloopschaalTijd455">Data!$U$457</definedName>
    <definedName name="Data_UitloopschaalTijd456">Data!$U$458</definedName>
    <definedName name="Data_UitloopschaalTijd457">Data!$U$459</definedName>
    <definedName name="Data_UitloopschaalTijd458">Data!$U$460</definedName>
    <definedName name="Data_UitloopschaalTijd459">Data!$U$461</definedName>
    <definedName name="Data_UitloopschaalTijd460">Data!$U$462</definedName>
    <definedName name="Data_UitloopschaalTijd461">Data!$U$463</definedName>
    <definedName name="Data_UitloopschaalTijd462">Data!$U$464</definedName>
    <definedName name="Data_UitloopschaalTijd463">Data!$U$465</definedName>
    <definedName name="Data_UitloopschaalTijd464">Data!$U$466</definedName>
    <definedName name="Data_UitloopschaalTijd465">Data!$U$467</definedName>
    <definedName name="Data_UitloopschaalTijd466">Data!$U$468</definedName>
    <definedName name="Data_UitloopschaalTijd467">Data!$U$469</definedName>
    <definedName name="Data_UitloopschaalTijd468">Data!$U$470</definedName>
    <definedName name="Data_UitloopschaalTijd469">Data!$U$471</definedName>
    <definedName name="Data_UitloopschaalTijd470">Data!$U$472</definedName>
    <definedName name="Data_UitloopschaalTijd471">Data!$U$473</definedName>
    <definedName name="Data_UitloopschaalTijd472">Data!$U$474</definedName>
    <definedName name="Data_UitloopschaalTijd473">Data!$U$475</definedName>
    <definedName name="Data_UitloopschaalTijd474">Data!$U$476</definedName>
    <definedName name="Data_UitloopschaalTijd475">Data!$U$477</definedName>
    <definedName name="Data_UitloopschaalTijd476">Data!$U$478</definedName>
    <definedName name="Data_UitloopschaalTijd477">Data!$U$479</definedName>
    <definedName name="Data_UitloopschaalTijd478">Data!$U$480</definedName>
    <definedName name="Data_UitloopschaalTijd479">Data!$U$481</definedName>
    <definedName name="Data_UitloopschaalTijd480">Data!$U$482</definedName>
    <definedName name="Data_UitloopschaalTijd481">Data!$U$483</definedName>
    <definedName name="Data_UitloopschaalTijd482">Data!$U$484</definedName>
    <definedName name="Data_UitloopschaalTijd483">Data!$U$485</definedName>
    <definedName name="Data_UitloopschaalTijd484">Data!$U$486</definedName>
    <definedName name="Data_UitloopschaalTijd485">Data!$U$487</definedName>
    <definedName name="Data_UitloopschaalTijd486">Data!$U$488</definedName>
    <definedName name="Data_UitloopschaalTijd487">Data!$U$489</definedName>
    <definedName name="Data_UitloopschaalTijd488">Data!$U$490</definedName>
    <definedName name="Data_UitloopschaalTijd489">Data!$U$491</definedName>
    <definedName name="Data_UitloopschaalTijd490">Data!$U$492</definedName>
    <definedName name="Data_UitloopschaalTijd491">Data!$U$493</definedName>
    <definedName name="Data_UitloopschaalTijd492">Data!$U$494</definedName>
    <definedName name="Data_UitloopschaalTijd493">Data!$U$495</definedName>
    <definedName name="Data_UitloopschaalTijd494">Data!$U$496</definedName>
    <definedName name="Data_UitloopschaalTijd495">Data!$U$497</definedName>
    <definedName name="Data_UitloopschaalTijd496">Data!$U$498</definedName>
    <definedName name="Data_UitloopschaalTijd497">Data!$U$499</definedName>
    <definedName name="Data_UitloopschaalTijd498">Data!$U$500</definedName>
    <definedName name="Data_UitloopschaalTijd499">Data!$U$501</definedName>
    <definedName name="Data_UitloopschaalTijd500">Data!$U$502</definedName>
    <definedName name="Data_UitloopschaalVastOntslag001">Data!$AO$3</definedName>
    <definedName name="Data_UitloopschaalVastOntslag002">Data!$AO$4</definedName>
    <definedName name="Data_UitloopschaalVastOntslag003">Data!$AO$5</definedName>
    <definedName name="Data_UitloopschaalVastOntslag004">Data!$AO$6</definedName>
    <definedName name="Data_UitloopschaalVastOntslag005">Data!$AO$7</definedName>
    <definedName name="Data_UitloopschaalVastOntslag006">Data!$AO$8</definedName>
    <definedName name="Data_UitloopschaalVastOntslag007">Data!$AO$9</definedName>
    <definedName name="Data_UitloopschaalVastOntslag008">Data!$AO$10</definedName>
    <definedName name="Data_UitloopschaalVastOntslag009">Data!$AO$11</definedName>
    <definedName name="Data_UitloopschaalVastOntslag010">Data!$AO$12</definedName>
    <definedName name="Data_UitloopschaalVastOntslag011">Data!$AO$13</definedName>
    <definedName name="Data_UitloopschaalVastOntslag012">Data!$AO$14</definedName>
    <definedName name="Data_UitloopschaalVastOntslag013">Data!$AO$15</definedName>
    <definedName name="Data_UitloopschaalVastOntslag014">Data!$AO$16</definedName>
    <definedName name="Data_UitloopschaalVastOntslag015">Data!$AO$17</definedName>
    <definedName name="Data_UitloopschaalVastOntslag016">Data!$AO$18</definedName>
    <definedName name="Data_UitloopschaalVastOntslag017">Data!$AO$19</definedName>
    <definedName name="Data_UitloopschaalVastOntslag018">Data!$AO$20</definedName>
    <definedName name="Data_UitloopschaalVastOntslag019">Data!$AO$21</definedName>
    <definedName name="Data_UitloopschaalVastOntslag020">Data!$AO$22</definedName>
    <definedName name="Data_UitloopschaalVastOntslag021">Data!$AO$23</definedName>
    <definedName name="Data_UitloopschaalVastOntslag022">Data!$AO$24</definedName>
    <definedName name="Data_UitloopschaalVastOntslag023">Data!$AO$25</definedName>
    <definedName name="Data_UitloopschaalVastOntslag024">Data!$AO$26</definedName>
    <definedName name="Data_UitloopschaalVastOntslag025">Data!$AO$27</definedName>
    <definedName name="Data_UitloopschaalVastOntslag026">Data!$AO$28</definedName>
    <definedName name="Data_UitloopschaalVastOntslag027">Data!$AO$29</definedName>
    <definedName name="Data_UitloopschaalVastOntslag028">Data!$AO$30</definedName>
    <definedName name="Data_UitloopschaalVastOntslag029">Data!$AO$31</definedName>
    <definedName name="Data_UitloopschaalVastOntslag030">Data!$AO$32</definedName>
    <definedName name="Data_UitloopschaalVastOntslag031">Data!$AO$33</definedName>
    <definedName name="Data_UitloopschaalVastOntslag032">Data!$AO$34</definedName>
    <definedName name="Data_UitloopschaalVastOntslag033">Data!$AO$35</definedName>
    <definedName name="Data_UitloopschaalVastOntslag034">Data!$AO$36</definedName>
    <definedName name="Data_UitloopschaalVastOntslag035">Data!$AO$37</definedName>
    <definedName name="Data_UitloopschaalVastOntslag036">Data!$AO$38</definedName>
    <definedName name="Data_UitloopschaalVastOntslag037">Data!$AO$39</definedName>
    <definedName name="Data_UitloopschaalVastOntslag038">Data!$AO$40</definedName>
    <definedName name="Data_UitloopschaalVastOntslag039">Data!$AO$41</definedName>
    <definedName name="Data_UitloopschaalVastOntslag040">Data!$AO$42</definedName>
    <definedName name="Data_UitloopschaalVastOntslag041">Data!$AO$43</definedName>
    <definedName name="Data_UitloopschaalVastOntslag042">Data!$AO$44</definedName>
    <definedName name="Data_UitloopschaalVastOntslag043">Data!$AO$45</definedName>
    <definedName name="Data_UitloopschaalVastOntslag044">Data!$AO$46</definedName>
    <definedName name="Data_UitloopschaalVastOntslag045">Data!$AO$47</definedName>
    <definedName name="Data_UitloopschaalVastOntslag046">Data!$AO$48</definedName>
    <definedName name="Data_UitloopschaalVastOntslag047">Data!$AO$49</definedName>
    <definedName name="Data_UitloopschaalVastOntslag048">Data!$AO$50</definedName>
    <definedName name="Data_UitloopschaalVastOntslag049">Data!$AO$51</definedName>
    <definedName name="Data_UitloopschaalVastOntslag050">Data!$AO$52</definedName>
    <definedName name="Data_UitloopschaalVastOntslag051">Data!$AO$53</definedName>
    <definedName name="Data_UitloopschaalVastOntslag052">Data!$AO$54</definedName>
    <definedName name="Data_UitloopschaalVastOntslag053">Data!$AO$55</definedName>
    <definedName name="Data_UitloopschaalVastOntslag054">Data!$AO$56</definedName>
    <definedName name="Data_UitloopschaalVastOntslag055">Data!$AO$57</definedName>
    <definedName name="Data_UitloopschaalVastOntslag056">Data!$AO$58</definedName>
    <definedName name="Data_UitloopschaalVastOntslag057">Data!$AO$59</definedName>
    <definedName name="Data_UitloopschaalVastOntslag058">Data!$AO$60</definedName>
    <definedName name="Data_UitloopschaalVastOntslag059">Data!$AO$61</definedName>
    <definedName name="Data_UitloopschaalVastOntslag060">Data!$AO$62</definedName>
    <definedName name="Data_UitloopschaalVastOntslag061">Data!$AO$63</definedName>
    <definedName name="Data_UitloopschaalVastOntslag062">Data!$AO$64</definedName>
    <definedName name="Data_UitloopschaalVastOntslag063">Data!$AO$65</definedName>
    <definedName name="Data_UitloopschaalVastOntslag064">Data!$AO$66</definedName>
    <definedName name="Data_UitloopschaalVastOntslag065">Data!$AO$67</definedName>
    <definedName name="Data_UitloopschaalVastOntslag066">Data!$AO$68</definedName>
    <definedName name="Data_UitloopschaalVastOntslag067">Data!$AO$69</definedName>
    <definedName name="Data_UitloopschaalVastOntslag068">Data!$AO$70</definedName>
    <definedName name="Data_UitloopschaalVastOntslag069">Data!$AO$71</definedName>
    <definedName name="Data_UitloopschaalVastOntslag070">Data!$AO$72</definedName>
    <definedName name="Data_UitloopschaalVastOntslag071">Data!$AO$73</definedName>
    <definedName name="Data_UitloopschaalVastOntslag072">Data!$AO$74</definedName>
    <definedName name="Data_UitloopschaalVastOntslag073">Data!$AO$75</definedName>
    <definedName name="Data_UitloopschaalVastOntslag074">Data!$AO$76</definedName>
    <definedName name="Data_UitloopschaalVastOntslag075">Data!$AO$77</definedName>
    <definedName name="Data_UitloopschaalVastOntslag076">Data!$AO$78</definedName>
    <definedName name="Data_UitloopschaalVastOntslag077">Data!$AO$79</definedName>
    <definedName name="Data_UitloopschaalVastOntslag078">Data!$AO$80</definedName>
    <definedName name="Data_UitloopschaalVastOntslag079">Data!$AO$81</definedName>
    <definedName name="Data_UitloopschaalVastOntslag080">Data!$AO$82</definedName>
    <definedName name="Data_UitloopschaalVastOntslag081">Data!$AO$83</definedName>
    <definedName name="Data_UitloopschaalVastOntslag082">Data!$AO$84</definedName>
    <definedName name="Data_UitloopschaalVastOntslag083">Data!$AO$85</definedName>
    <definedName name="Data_UitloopschaalVastOntslag084">Data!$AO$86</definedName>
    <definedName name="Data_UitloopschaalVastOntslag085">Data!$AO$87</definedName>
    <definedName name="Data_UitloopschaalVastOntslag086">Data!$AO$88</definedName>
    <definedName name="Data_UitloopschaalVastOntslag087">Data!$AO$89</definedName>
    <definedName name="Data_UitloopschaalVastOntslag088">Data!$AO$90</definedName>
    <definedName name="Data_UitloopschaalVastOntslag089">Data!$AO$91</definedName>
    <definedName name="Data_UitloopschaalVastOntslag090">Data!$AO$92</definedName>
    <definedName name="Data_UitloopschaalVastOntslag091">Data!$AO$93</definedName>
    <definedName name="Data_UitloopschaalVastOntslag092">Data!$AO$94</definedName>
    <definedName name="Data_UitloopschaalVastOntslag093">Data!$AO$95</definedName>
    <definedName name="Data_UitloopschaalVastOntslag094">Data!$AO$96</definedName>
    <definedName name="Data_UitloopschaalVastOntslag095">Data!$AO$97</definedName>
    <definedName name="Data_UitloopschaalVastOntslag096">Data!$AO$98</definedName>
    <definedName name="Data_UitloopschaalVastOntslag097">Data!$AO$99</definedName>
    <definedName name="Data_UitloopschaalVastOntslag098">Data!$AO$100</definedName>
    <definedName name="Data_UitloopschaalVastOntslag099">Data!$AO$101</definedName>
    <definedName name="Data_UitloopschaalVastOntslag100">Data!$AO$102</definedName>
    <definedName name="Data_UitloopschaalVastOntslag101">Data!$AO$103</definedName>
    <definedName name="Data_UitloopschaalVastOntslag102">Data!$AO$104</definedName>
    <definedName name="Data_UitloopschaalVastOntslag103">Data!$AO$105</definedName>
    <definedName name="Data_UitloopschaalVastOntslag104">Data!$AO$106</definedName>
    <definedName name="Data_UitloopschaalVastOntslag105">Data!$AO$107</definedName>
    <definedName name="Data_UitloopschaalVastOntslag106">Data!$AO$108</definedName>
    <definedName name="Data_UitloopschaalVastOntslag107">Data!$AO$109</definedName>
    <definedName name="Data_UitloopschaalVastOntslag108">Data!$AO$110</definedName>
    <definedName name="Data_UitloopschaalVastOntslag109">Data!$AO$111</definedName>
    <definedName name="Data_UitloopschaalVastOntslag110">Data!$AO$112</definedName>
    <definedName name="Data_UitloopschaalVastOntslag111">Data!$AO$113</definedName>
    <definedName name="Data_UitloopschaalVastOntslag112">Data!$AO$114</definedName>
    <definedName name="Data_UitloopschaalVastOntslag113">Data!$AO$115</definedName>
    <definedName name="Data_UitloopschaalVastOntslag114">Data!$AO$116</definedName>
    <definedName name="Data_UitloopschaalVastOntslag115">Data!$AO$117</definedName>
    <definedName name="Data_UitloopschaalVastOntslag116">Data!$AO$118</definedName>
    <definedName name="Data_UitloopschaalVastOntslag117">Data!$AO$119</definedName>
    <definedName name="Data_UitloopschaalVastOntslag118">Data!$AO$120</definedName>
    <definedName name="Data_UitloopschaalVastOntslag119">Data!$AO$121</definedName>
    <definedName name="Data_UitloopschaalVastOntslag120">Data!$AO$122</definedName>
    <definedName name="Data_UitloopschaalVastOntslag121">Data!$AO$123</definedName>
    <definedName name="Data_UitloopschaalVastOntslag122">Data!$AO$124</definedName>
    <definedName name="Data_UitloopschaalVastOntslag123">Data!$AO$125</definedName>
    <definedName name="Data_UitloopschaalVastOntslag124">Data!$AO$126</definedName>
    <definedName name="Data_UitloopschaalVastOntslag125">Data!$AO$127</definedName>
    <definedName name="Data_UitloopschaalVastOntslag126">Data!$AO$128</definedName>
    <definedName name="Data_UitloopschaalVastOntslag127">Data!$AO$129</definedName>
    <definedName name="Data_UitloopschaalVastOntslag128">Data!$AO$130</definedName>
    <definedName name="Data_UitloopschaalVastOntslag129">Data!$AO$131</definedName>
    <definedName name="Data_UitloopschaalVastOntslag130">Data!$AO$132</definedName>
    <definedName name="Data_UitloopschaalVastOntslag131">Data!$AO$133</definedName>
    <definedName name="Data_UitloopschaalVastOntslag132">Data!$AO$134</definedName>
    <definedName name="Data_UitloopschaalVastOntslag133">Data!$AO$135</definedName>
    <definedName name="Data_UitloopschaalVastOntslag134">Data!$AO$136</definedName>
    <definedName name="Data_UitloopschaalVastOntslag135">Data!$AO$137</definedName>
    <definedName name="Data_UitloopschaalVastOntslag136">Data!$AO$138</definedName>
    <definedName name="Data_UitloopschaalVastOntslag137">Data!$AO$139</definedName>
    <definedName name="Data_UitloopschaalVastOntslag138">Data!$AO$140</definedName>
    <definedName name="Data_UitloopschaalVastOntslag139">Data!$AO$141</definedName>
    <definedName name="Data_UitloopschaalVastOntslag140">Data!$AO$142</definedName>
    <definedName name="Data_UitloopschaalVastOntslag141">Data!$AO$143</definedName>
    <definedName name="Data_UitloopschaalVastOntslag142">Data!$AO$144</definedName>
    <definedName name="Data_UitloopschaalVastOntslag143">Data!$AO$145</definedName>
    <definedName name="Data_UitloopschaalVastOntslag144">Data!$AO$146</definedName>
    <definedName name="Data_UitloopschaalVastOntslag145">Data!$AO$147</definedName>
    <definedName name="Data_UitloopschaalVastOntslag146">Data!$AO$148</definedName>
    <definedName name="Data_UitloopschaalVastOntslag147">Data!$AO$149</definedName>
    <definedName name="Data_UitloopschaalVastOntslag148">Data!$AO$150</definedName>
    <definedName name="Data_UitloopschaalVastOntslag149">Data!$AO$151</definedName>
    <definedName name="Data_UitloopschaalVastOntslag150">Data!$AO$152</definedName>
    <definedName name="Data_UitloopschaalVastOntslag151">Data!$AO$153</definedName>
    <definedName name="Data_UitloopschaalVastOntslag152">Data!$AO$154</definedName>
    <definedName name="Data_UitloopschaalVastOntslag153">Data!$AO$155</definedName>
    <definedName name="Data_UitloopschaalVastOntslag154">Data!$AO$156</definedName>
    <definedName name="Data_UitloopschaalVastOntslag155">Data!$AO$157</definedName>
    <definedName name="Data_UitloopschaalVastOntslag156">Data!$AO$158</definedName>
    <definedName name="Data_UitloopschaalVastOntslag157">Data!$AO$159</definedName>
    <definedName name="Data_UitloopschaalVastOntslag158">Data!$AO$160</definedName>
    <definedName name="Data_UitloopschaalVastOntslag159">Data!$AO$161</definedName>
    <definedName name="Data_UitloopschaalVastOntslag160">Data!$AO$162</definedName>
    <definedName name="Data_UitloopschaalVastOntslag161">Data!$AO$163</definedName>
    <definedName name="Data_UitloopschaalVastOntslag162">Data!$AO$164</definedName>
    <definedName name="Data_UitloopschaalVastOntslag163">Data!$AO$165</definedName>
    <definedName name="Data_UitloopschaalVastOntslag164">Data!$AO$166</definedName>
    <definedName name="Data_UitloopschaalVastOntslag165">Data!$AO$167</definedName>
    <definedName name="Data_UitloopschaalVastOntslag166">Data!$AO$168</definedName>
    <definedName name="Data_UitloopschaalVastOntslag167">Data!$AO$169</definedName>
    <definedName name="Data_UitloopschaalVastOntslag168">Data!$AO$170</definedName>
    <definedName name="Data_UitloopschaalVastOntslag169">Data!$AO$171</definedName>
    <definedName name="Data_UitloopschaalVastOntslag170">Data!$AO$172</definedName>
    <definedName name="Data_UitloopschaalVastOntslag171">Data!$AO$173</definedName>
    <definedName name="Data_UitloopschaalVastOntslag172">Data!$AO$174</definedName>
    <definedName name="Data_UitloopschaalVastOntslag173">Data!$AO$175</definedName>
    <definedName name="Data_UitloopschaalVastOntslag174">Data!$AO$176</definedName>
    <definedName name="Data_UitloopschaalVastOntslag175">Data!$AO$177</definedName>
    <definedName name="Data_UitloopschaalVastOntslag176">Data!$AO$178</definedName>
    <definedName name="Data_UitloopschaalVastOntslag177">Data!$AO$179</definedName>
    <definedName name="Data_UitloopschaalVastOntslag178">Data!$AO$180</definedName>
    <definedName name="Data_UitloopschaalVastOntslag179">Data!$AO$181</definedName>
    <definedName name="Data_UitloopschaalVastOntslag180">Data!$AO$182</definedName>
    <definedName name="Data_UitloopschaalVastOntslag181">Data!$AO$183</definedName>
    <definedName name="Data_UitloopschaalVastOntslag182">Data!$AO$184</definedName>
    <definedName name="Data_UitloopschaalVastOntslag183">Data!$AO$185</definedName>
    <definedName name="Data_UitloopschaalVastOntslag184">Data!$AO$186</definedName>
    <definedName name="Data_UitloopschaalVastOntslag185">Data!$AO$187</definedName>
    <definedName name="Data_UitloopschaalVastOntslag186">Data!$AO$188</definedName>
    <definedName name="Data_UitloopschaalVastOntslag187">Data!$AO$189</definedName>
    <definedName name="Data_UitloopschaalVastOntslag188">Data!$AO$190</definedName>
    <definedName name="Data_UitloopschaalVastOntslag189">Data!$AO$191</definedName>
    <definedName name="Data_UitloopschaalVastOntslag190">Data!$AO$192</definedName>
    <definedName name="Data_UitloopschaalVastOntslag191">Data!$AO$193</definedName>
    <definedName name="Data_UitloopschaalVastOntslag192">Data!$AO$194</definedName>
    <definedName name="Data_UitloopschaalVastOntslag193">Data!$AO$195</definedName>
    <definedName name="Data_UitloopschaalVastOntslag194">Data!$AO$196</definedName>
    <definedName name="Data_UitloopschaalVastOntslag195">Data!$AO$197</definedName>
    <definedName name="Data_UitloopschaalVastOntslag196">Data!$AO$198</definedName>
    <definedName name="Data_UitloopschaalVastOntslag197">Data!$AO$199</definedName>
    <definedName name="Data_UitloopschaalVastOntslag198">Data!$AO$200</definedName>
    <definedName name="Data_UitloopschaalVastOntslag199">Data!$AO$201</definedName>
    <definedName name="Data_UitloopschaalVastOntslag200">Data!$AO$202</definedName>
    <definedName name="Data_UitloopschaalVastOntslag201">Data!$AO$203</definedName>
    <definedName name="Data_UitloopschaalVastOntslag202">Data!$AO$204</definedName>
    <definedName name="Data_UitloopschaalVastOntslag203">Data!$AO$205</definedName>
    <definedName name="Data_UitloopschaalVastOntslag204">Data!$AO$206</definedName>
    <definedName name="Data_UitloopschaalVastOntslag205">Data!$AO$207</definedName>
    <definedName name="Data_UitloopschaalVastOntslag206">Data!$AO$208</definedName>
    <definedName name="Data_UitloopschaalVastOntslag207">Data!$AO$209</definedName>
    <definedName name="Data_UitloopschaalVastOntslag208">Data!$AO$210</definedName>
    <definedName name="Data_UitloopschaalVastOntslag209">Data!$AO$211</definedName>
    <definedName name="Data_UitloopschaalVastOntslag210">Data!$AO$212</definedName>
    <definedName name="Data_UitloopschaalVastOntslag211">Data!$AO$213</definedName>
    <definedName name="Data_UitloopschaalVastOntslag212">Data!$AO$214</definedName>
    <definedName name="Data_UitloopschaalVastOntslag213">Data!$AO$215</definedName>
    <definedName name="Data_UitloopschaalVastOntslag214">Data!$AO$216</definedName>
    <definedName name="Data_UitloopschaalVastOntslag215">Data!$AO$217</definedName>
    <definedName name="Data_UitloopschaalVastOntslag216">Data!$AO$218</definedName>
    <definedName name="Data_UitloopschaalVastOntslag217">Data!$AO$219</definedName>
    <definedName name="Data_UitloopschaalVastOntslag218">Data!$AO$220</definedName>
    <definedName name="Data_UitloopschaalVastOntslag219">Data!$AO$221</definedName>
    <definedName name="Data_UitloopschaalVastOntslag220">Data!$AO$222</definedName>
    <definedName name="Data_UitloopschaalVastOntslag221">Data!$AO$223</definedName>
    <definedName name="Data_UitloopschaalVastOntslag222">Data!$AO$224</definedName>
    <definedName name="Data_UitloopschaalVastOntslag223">Data!$AO$225</definedName>
    <definedName name="Data_UitloopschaalVastOntslag224">Data!$AO$226</definedName>
    <definedName name="Data_UitloopschaalVastOntslag225">Data!$AO$227</definedName>
    <definedName name="Data_UitloopschaalVastOntslag226">Data!$AO$228</definedName>
    <definedName name="Data_UitloopschaalVastOntslag227">Data!$AO$229</definedName>
    <definedName name="Data_UitloopschaalVastOntslag228">Data!$AO$230</definedName>
    <definedName name="Data_UitloopschaalVastOntslag229">Data!$AO$231</definedName>
    <definedName name="Data_UitloopschaalVastOntslag230">Data!$AO$232</definedName>
    <definedName name="Data_UitloopschaalVastOntslag231">Data!$AO$233</definedName>
    <definedName name="Data_UitloopschaalVastOntslag232">Data!$AO$234</definedName>
    <definedName name="Data_UitloopschaalVastOntslag233">Data!$AO$235</definedName>
    <definedName name="Data_UitloopschaalVastOntslag234">Data!$AO$236</definedName>
    <definedName name="Data_UitloopschaalVastOntslag235">Data!$AO$237</definedName>
    <definedName name="Data_UitloopschaalVastOntslag236">Data!$AO$238</definedName>
    <definedName name="Data_UitloopschaalVastOntslag237">Data!$AO$239</definedName>
    <definedName name="Data_UitloopschaalVastOntslag238">Data!$AO$240</definedName>
    <definedName name="Data_UitloopschaalVastOntslag239">Data!$AO$241</definedName>
    <definedName name="Data_UitloopschaalVastOntslag240">Data!$AO$242</definedName>
    <definedName name="Data_UitloopschaalVastOntslag241">Data!$AO$243</definedName>
    <definedName name="Data_UitloopschaalVastOntslag242">Data!$AO$244</definedName>
    <definedName name="Data_UitloopschaalVastOntslag243">Data!$AO$245</definedName>
    <definedName name="Data_UitloopschaalVastOntslag244">Data!$AO$246</definedName>
    <definedName name="Data_UitloopschaalVastOntslag245">Data!$AO$247</definedName>
    <definedName name="Data_UitloopschaalVastOntslag246">Data!$AO$248</definedName>
    <definedName name="Data_UitloopschaalVastOntslag247">Data!$AO$249</definedName>
    <definedName name="Data_UitloopschaalVastOntslag248">Data!$AO$250</definedName>
    <definedName name="Data_UitloopschaalVastOntslag249">Data!$AO$251</definedName>
    <definedName name="Data_UitloopschaalVastOntslag250">Data!$AO$252</definedName>
    <definedName name="Data_UitloopschaalVastOntslag251">Data!$AO$253</definedName>
    <definedName name="Data_UitloopschaalVastOntslag252">Data!$AO$254</definedName>
    <definedName name="Data_UitloopschaalVastOntslag253">Data!$AO$255</definedName>
    <definedName name="Data_UitloopschaalVastOntslag254">Data!$AO$256</definedName>
    <definedName name="Data_UitloopschaalVastOntslag255">Data!$AO$257</definedName>
    <definedName name="Data_UitloopschaalVastOntslag256">Data!$AO$258</definedName>
    <definedName name="Data_UitloopschaalVastOntslag257">Data!$AO$259</definedName>
    <definedName name="Data_UitloopschaalVastOntslag258">Data!$AO$260</definedName>
    <definedName name="Data_UitloopschaalVastOntslag259">Data!$AO$261</definedName>
    <definedName name="Data_UitloopschaalVastOntslag260">Data!$AO$262</definedName>
    <definedName name="Data_UitloopschaalVastOntslag261">Data!$AO$263</definedName>
    <definedName name="Data_UitloopschaalVastOntslag262">Data!$AO$264</definedName>
    <definedName name="Data_UitloopschaalVastOntslag263">Data!$AO$265</definedName>
    <definedName name="Data_UitloopschaalVastOntslag264">Data!$AO$266</definedName>
    <definedName name="Data_UitloopschaalVastOntslag265">Data!$AO$267</definedName>
    <definedName name="Data_UitloopschaalVastOntslag266">Data!$AO$268</definedName>
    <definedName name="Data_UitloopschaalVastOntslag267">Data!$AO$269</definedName>
    <definedName name="Data_UitloopschaalVastOntslag268">Data!$AO$270</definedName>
    <definedName name="Data_UitloopschaalVastOntslag269">Data!$AO$271</definedName>
    <definedName name="Data_UitloopschaalVastOntslag270">Data!$AO$272</definedName>
    <definedName name="Data_UitloopschaalVastOntslag271">Data!$AO$273</definedName>
    <definedName name="Data_UitloopschaalVastOntslag272">Data!$AO$274</definedName>
    <definedName name="Data_UitloopschaalVastOntslag273">Data!$AO$275</definedName>
    <definedName name="Data_UitloopschaalVastOntslag274">Data!$AO$276</definedName>
    <definedName name="Data_UitloopschaalVastOntslag275">Data!$AO$277</definedName>
    <definedName name="Data_UitloopschaalVastOntslag276">Data!$AO$278</definedName>
    <definedName name="Data_UitloopschaalVastOntslag277">Data!$AO$279</definedName>
    <definedName name="Data_UitloopschaalVastOntslag278">Data!$AO$280</definedName>
    <definedName name="Data_UitloopschaalVastOntslag279">Data!$AO$281</definedName>
    <definedName name="Data_UitloopschaalVastOntslag280">Data!$AO$282</definedName>
    <definedName name="Data_UitloopschaalVastOntslag281">Data!$AO$283</definedName>
    <definedName name="Data_UitloopschaalVastOntslag282">Data!$AO$284</definedName>
    <definedName name="Data_UitloopschaalVastOntslag283">Data!$AO$285</definedName>
    <definedName name="Data_UitloopschaalVastOntslag284">Data!$AO$286</definedName>
    <definedName name="Data_UitloopschaalVastOntslag285">Data!$AO$287</definedName>
    <definedName name="Data_UitloopschaalVastOntslag286">Data!$AO$288</definedName>
    <definedName name="Data_UitloopschaalVastOntslag287">Data!$AO$289</definedName>
    <definedName name="Data_UitloopschaalVastOntslag288">Data!$AO$290</definedName>
    <definedName name="Data_UitloopschaalVastOntslag289">Data!$AO$291</definedName>
    <definedName name="Data_UitloopschaalVastOntslag290">Data!$AO$292</definedName>
    <definedName name="Data_UitloopschaalVastOntslag291">Data!$AO$293</definedName>
    <definedName name="Data_UitloopschaalVastOntslag292">Data!$AO$294</definedName>
    <definedName name="Data_UitloopschaalVastOntslag293">Data!$AO$295</definedName>
    <definedName name="Data_UitloopschaalVastOntslag294">Data!$AO$296</definedName>
    <definedName name="Data_UitloopschaalVastOntslag295">Data!$AO$297</definedName>
    <definedName name="Data_UitloopschaalVastOntslag296">Data!$AO$298</definedName>
    <definedName name="Data_UitloopschaalVastOntslag297">Data!$AO$299</definedName>
    <definedName name="Data_UitloopschaalVastOntslag298">Data!$AO$300</definedName>
    <definedName name="Data_UitloopschaalVastOntslag299">Data!$AO$301</definedName>
    <definedName name="Data_UitloopschaalVastOntslag300">Data!$AO$302</definedName>
    <definedName name="Data_UitloopschaalVastOntslag301">Data!$AO$303</definedName>
    <definedName name="Data_UitloopschaalVastOntslag302">Data!$AO$304</definedName>
    <definedName name="Data_UitloopschaalVastOntslag303">Data!$AO$305</definedName>
    <definedName name="Data_UitloopschaalVastOntslag304">Data!$AO$306</definedName>
    <definedName name="Data_UitloopschaalVastOntslag305">Data!$AO$307</definedName>
    <definedName name="Data_UitloopschaalVastOntslag306">Data!$AO$308</definedName>
    <definedName name="Data_UitloopschaalVastOntslag307">Data!$AO$309</definedName>
    <definedName name="Data_UitloopschaalVastOntslag308">Data!$AO$310</definedName>
    <definedName name="Data_UitloopschaalVastOntslag309">Data!$AO$311</definedName>
    <definedName name="Data_UitloopschaalVastOntslag310">Data!$AO$312</definedName>
    <definedName name="Data_UitloopschaalVastOntslag311">Data!$AO$313</definedName>
    <definedName name="Data_UitloopschaalVastOntslag312">Data!$AO$314</definedName>
    <definedName name="Data_UitloopschaalVastOntslag313">Data!$AO$315</definedName>
    <definedName name="Data_UitloopschaalVastOntslag314">Data!$AO$316</definedName>
    <definedName name="Data_UitloopschaalVastOntslag315">Data!$AO$317</definedName>
    <definedName name="Data_UitloopschaalVastOntslag316">Data!$AO$318</definedName>
    <definedName name="Data_UitloopschaalVastOntslag317">Data!$AO$319</definedName>
    <definedName name="Data_UitloopschaalVastOntslag318">Data!$AO$320</definedName>
    <definedName name="Data_UitloopschaalVastOntslag319">Data!$AO$321</definedName>
    <definedName name="Data_UitloopschaalVastOntslag320">Data!$AO$322</definedName>
    <definedName name="Data_UitloopschaalVastOntslag321">Data!$AO$323</definedName>
    <definedName name="Data_UitloopschaalVastOntslag322">Data!$AO$324</definedName>
    <definedName name="Data_UitloopschaalVastOntslag323">Data!$AO$325</definedName>
    <definedName name="Data_UitloopschaalVastOntslag324">Data!$AO$326</definedName>
    <definedName name="Data_UitloopschaalVastOntslag325">Data!$AO$327</definedName>
    <definedName name="Data_UitloopschaalVastOntslag326">Data!$AO$328</definedName>
    <definedName name="Data_UitloopschaalVastOntslag327">Data!$AO$329</definedName>
    <definedName name="Data_UitloopschaalVastOntslag328">Data!$AO$330</definedName>
    <definedName name="Data_UitloopschaalVastOntslag329">Data!$AO$331</definedName>
    <definedName name="Data_UitloopschaalVastOntslag330">Data!$AO$332</definedName>
    <definedName name="Data_UitloopschaalVastOntslag331">Data!$AO$333</definedName>
    <definedName name="Data_UitloopschaalVastOntslag332">Data!$AO$334</definedName>
    <definedName name="Data_UitloopschaalVastOntslag333">Data!$AO$335</definedName>
    <definedName name="Data_UitloopschaalVastOntslag334">Data!$AO$336</definedName>
    <definedName name="Data_UitloopschaalVastOntslag335">Data!$AO$337</definedName>
    <definedName name="Data_UitloopschaalVastOntslag336">Data!$AO$338</definedName>
    <definedName name="Data_UitloopschaalVastOntslag337">Data!$AO$339</definedName>
    <definedName name="Data_UitloopschaalVastOntslag338">Data!$AO$340</definedName>
    <definedName name="Data_UitloopschaalVastOntslag339">Data!$AO$341</definedName>
    <definedName name="Data_UitloopschaalVastOntslag340">Data!$AO$342</definedName>
    <definedName name="Data_UitloopschaalVastOntslag341">Data!$AO$343</definedName>
    <definedName name="Data_UitloopschaalVastOntslag342">Data!$AO$344</definedName>
    <definedName name="Data_UitloopschaalVastOntslag343">Data!$AO$345</definedName>
    <definedName name="Data_UitloopschaalVastOntslag344">Data!$AO$346</definedName>
    <definedName name="Data_UitloopschaalVastOntslag345">Data!$AO$347</definedName>
    <definedName name="Data_UitloopschaalVastOntslag346">Data!$AO$348</definedName>
    <definedName name="Data_UitloopschaalVastOntslag347">Data!$AO$349</definedName>
    <definedName name="Data_UitloopschaalVastOntslag348">Data!$AO$350</definedName>
    <definedName name="Data_UitloopschaalVastOntslag349">Data!$AO$351</definedName>
    <definedName name="Data_UitloopschaalVastOntslag350">Data!$AO$352</definedName>
    <definedName name="Data_UitloopschaalVastOntslag351">Data!$AO$353</definedName>
    <definedName name="Data_UitloopschaalVastOntslag352">Data!$AO$354</definedName>
    <definedName name="Data_UitloopschaalVastOntslag353">Data!$AO$355</definedName>
    <definedName name="Data_UitloopschaalVastOntslag354">Data!$AO$356</definedName>
    <definedName name="Data_UitloopschaalVastOntslag355">Data!$AO$357</definedName>
    <definedName name="Data_UitloopschaalVastOntslag356">Data!$AO$358</definedName>
    <definedName name="Data_UitloopschaalVastOntslag357">Data!$AO$359</definedName>
    <definedName name="Data_UitloopschaalVastOntslag358">Data!$AO$360</definedName>
    <definedName name="Data_UitloopschaalVastOntslag359">Data!$AO$361</definedName>
    <definedName name="Data_UitloopschaalVastOntslag360">Data!$AO$362</definedName>
    <definedName name="Data_UitloopschaalVastOntslag361">Data!$AO$363</definedName>
    <definedName name="Data_UitloopschaalVastOntslag362">Data!$AO$364</definedName>
    <definedName name="Data_UitloopschaalVastOntslag363">Data!$AO$365</definedName>
    <definedName name="Data_UitloopschaalVastOntslag364">Data!$AO$366</definedName>
    <definedName name="Data_UitloopschaalVastOntslag365">Data!$AO$367</definedName>
    <definedName name="Data_UitloopschaalVastOntslag366">Data!$AO$368</definedName>
    <definedName name="Data_UitloopschaalVastOntslag367">Data!$AO$369</definedName>
    <definedName name="Data_UitloopschaalVastOntslag368">Data!$AO$370</definedName>
    <definedName name="Data_UitloopschaalVastOntslag369">Data!$AO$371</definedName>
    <definedName name="Data_UitloopschaalVastOntslag370">Data!$AO$372</definedName>
    <definedName name="Data_UitloopschaalVastOntslag371">Data!$AO$373</definedName>
    <definedName name="Data_UitloopschaalVastOntslag372">Data!$AO$374</definedName>
    <definedName name="Data_UitloopschaalVastOntslag373">Data!$AO$375</definedName>
    <definedName name="Data_UitloopschaalVastOntslag374">Data!$AO$376</definedName>
    <definedName name="Data_UitloopschaalVastOntslag375">Data!$AO$377</definedName>
    <definedName name="Data_UitloopschaalVastOntslag376">Data!$AO$378</definedName>
    <definedName name="Data_UitloopschaalVastOntslag377">Data!$AO$379</definedName>
    <definedName name="Data_UitloopschaalVastOntslag378">Data!$AO$380</definedName>
    <definedName name="Data_UitloopschaalVastOntslag379">Data!$AO$381</definedName>
    <definedName name="Data_UitloopschaalVastOntslag380">Data!$AO$382</definedName>
    <definedName name="Data_UitloopschaalVastOntslag381">Data!$AO$383</definedName>
    <definedName name="Data_UitloopschaalVastOntslag382">Data!$AO$384</definedName>
    <definedName name="Data_UitloopschaalVastOntslag383">Data!$AO$385</definedName>
    <definedName name="Data_UitloopschaalVastOntslag384">Data!$AO$386</definedName>
    <definedName name="Data_UitloopschaalVastOntslag385">Data!$AO$387</definedName>
    <definedName name="Data_UitloopschaalVastOntslag386">Data!$AO$388</definedName>
    <definedName name="Data_UitloopschaalVastOntslag387">Data!$AO$389</definedName>
    <definedName name="Data_UitloopschaalVastOntslag388">Data!$AO$390</definedName>
    <definedName name="Data_UitloopschaalVastOntslag389">Data!$AO$391</definedName>
    <definedName name="Data_UitloopschaalVastOntslag390">Data!$AO$392</definedName>
    <definedName name="Data_UitloopschaalVastOntslag391">Data!$AO$393</definedName>
    <definedName name="Data_UitloopschaalVastOntslag392">Data!$AO$394</definedName>
    <definedName name="Data_UitloopschaalVastOntslag393">Data!$AO$395</definedName>
    <definedName name="Data_UitloopschaalVastOntslag394">Data!$AO$396</definedName>
    <definedName name="Data_UitloopschaalVastOntslag395">Data!$AO$397</definedName>
    <definedName name="Data_UitloopschaalVastOntslag396">Data!$AO$398</definedName>
    <definedName name="Data_UitloopschaalVastOntslag397">Data!$AO$399</definedName>
    <definedName name="Data_UitloopschaalVastOntslag398">Data!$AO$400</definedName>
    <definedName name="Data_UitloopschaalVastOntslag399">Data!$AO$401</definedName>
    <definedName name="Data_UitloopschaalVastOntslag400">Data!$AO$402</definedName>
    <definedName name="Data_UitloopschaalVastOntslag401">Data!$AO$403</definedName>
    <definedName name="Data_UitloopschaalVastOntslag402">Data!$AO$404</definedName>
    <definedName name="Data_UitloopschaalVastOntslag403">Data!$AO$405</definedName>
    <definedName name="Data_UitloopschaalVastOntslag404">Data!$AO$406</definedName>
    <definedName name="Data_UitloopschaalVastOntslag405">Data!$AO$407</definedName>
    <definedName name="Data_UitloopschaalVastOntslag406">Data!$AO$408</definedName>
    <definedName name="Data_UitloopschaalVastOntslag407">Data!$AO$409</definedName>
    <definedName name="Data_UitloopschaalVastOntslag408">Data!$AO$410</definedName>
    <definedName name="Data_UitloopschaalVastOntslag409">Data!$AO$411</definedName>
    <definedName name="Data_UitloopschaalVastOntslag410">Data!$AO$412</definedName>
    <definedName name="Data_UitloopschaalVastOntslag411">Data!$AO$413</definedName>
    <definedName name="Data_UitloopschaalVastOntslag412">Data!$AO$414</definedName>
    <definedName name="Data_UitloopschaalVastOntslag413">Data!$AO$415</definedName>
    <definedName name="Data_UitloopschaalVastOntslag414">Data!$AO$416</definedName>
    <definedName name="Data_UitloopschaalVastOntslag415">Data!$AO$417</definedName>
    <definedName name="Data_UitloopschaalVastOntslag416">Data!$AO$418</definedName>
    <definedName name="Data_UitloopschaalVastOntslag417">Data!$AO$419</definedName>
    <definedName name="Data_UitloopschaalVastOntslag418">Data!$AO$420</definedName>
    <definedName name="Data_UitloopschaalVastOntslag419">Data!$AO$421</definedName>
    <definedName name="Data_UitloopschaalVastOntslag420">Data!$AO$422</definedName>
    <definedName name="Data_UitloopschaalVastOntslag421">Data!$AO$423</definedName>
    <definedName name="Data_UitloopschaalVastOntslag422">Data!$AO$424</definedName>
    <definedName name="Data_UitloopschaalVastOntslag423">Data!$AO$425</definedName>
    <definedName name="Data_UitloopschaalVastOntslag424">Data!$AO$426</definedName>
    <definedName name="Data_UitloopschaalVastOntslag425">Data!$AO$427</definedName>
    <definedName name="Data_UitloopschaalVastOntslag426">Data!$AO$428</definedName>
    <definedName name="Data_UitloopschaalVastOntslag427">Data!$AO$429</definedName>
    <definedName name="Data_UitloopschaalVastOntslag428">Data!$AO$430</definedName>
    <definedName name="Data_UitloopschaalVastOntslag429">Data!$AO$431</definedName>
    <definedName name="Data_UitloopschaalVastOntslag430">Data!$AO$432</definedName>
    <definedName name="Data_UitloopschaalVastOntslag431">Data!$AO$433</definedName>
    <definedName name="Data_UitloopschaalVastOntslag432">Data!$AO$434</definedName>
    <definedName name="Data_UitloopschaalVastOntslag433">Data!$AO$435</definedName>
    <definedName name="Data_UitloopschaalVastOntslag434">Data!$AO$436</definedName>
    <definedName name="Data_UitloopschaalVastOntslag435">Data!$AO$437</definedName>
    <definedName name="Data_UitloopschaalVastOntslag436">Data!$AO$438</definedName>
    <definedName name="Data_UitloopschaalVastOntslag437">Data!$AO$439</definedName>
    <definedName name="Data_UitloopschaalVastOntslag438">Data!$AO$440</definedName>
    <definedName name="Data_UitloopschaalVastOntslag439">Data!$AO$441</definedName>
    <definedName name="Data_UitloopschaalVastOntslag440">Data!$AO$442</definedName>
    <definedName name="Data_UitloopschaalVastOntslag441">Data!$AO$443</definedName>
    <definedName name="Data_UitloopschaalVastOntslag442">Data!$AO$444</definedName>
    <definedName name="Data_UitloopschaalVastOntslag443">Data!$AO$445</definedName>
    <definedName name="Data_UitloopschaalVastOntslag444">Data!$AO$446</definedName>
    <definedName name="Data_UitloopschaalVastOntslag445">Data!$AO$447</definedName>
    <definedName name="Data_UitloopschaalVastOntslag446">Data!$AO$448</definedName>
    <definedName name="Data_UitloopschaalVastOntslag447">Data!$AO$449</definedName>
    <definedName name="Data_UitloopschaalVastOntslag448">Data!$AO$450</definedName>
    <definedName name="Data_UitloopschaalVastOntslag449">Data!$AO$451</definedName>
    <definedName name="Data_UitloopschaalVastOntslag450">Data!$AO$452</definedName>
    <definedName name="Data_UitloopschaalVastOntslag451">Data!$AO$453</definedName>
    <definedName name="Data_UitloopschaalVastOntslag452">Data!$AO$454</definedName>
    <definedName name="Data_UitloopschaalVastOntslag453">Data!$AO$455</definedName>
    <definedName name="Data_UitloopschaalVastOntslag454">Data!$AO$456</definedName>
    <definedName name="Data_UitloopschaalVastOntslag455">Data!$AO$457</definedName>
    <definedName name="Data_UitloopschaalVastOntslag456">Data!$AO$458</definedName>
    <definedName name="Data_UitloopschaalVastOntslag457">Data!$AO$459</definedName>
    <definedName name="Data_UitloopschaalVastOntslag458">Data!$AO$460</definedName>
    <definedName name="Data_UitloopschaalVastOntslag459">Data!$AO$461</definedName>
    <definedName name="Data_UitloopschaalVastOntslag460">Data!$AO$462</definedName>
    <definedName name="Data_UitloopschaalVastOntslag461">Data!$AO$463</definedName>
    <definedName name="Data_UitloopschaalVastOntslag462">Data!$AO$464</definedName>
    <definedName name="Data_UitloopschaalVastOntslag463">Data!$AO$465</definedName>
    <definedName name="Data_UitloopschaalVastOntslag464">Data!$AO$466</definedName>
    <definedName name="Data_UitloopschaalVastOntslag465">Data!$AO$467</definedName>
    <definedName name="Data_UitloopschaalVastOntslag466">Data!$AO$468</definedName>
    <definedName name="Data_UitloopschaalVastOntslag467">Data!$AO$469</definedName>
    <definedName name="Data_UitloopschaalVastOntslag468">Data!$AO$470</definedName>
    <definedName name="Data_UitloopschaalVastOntslag469">Data!$AO$471</definedName>
    <definedName name="Data_UitloopschaalVastOntslag470">Data!$AO$472</definedName>
    <definedName name="Data_UitloopschaalVastOntslag471">Data!$AO$473</definedName>
    <definedName name="Data_UitloopschaalVastOntslag472">Data!$AO$474</definedName>
    <definedName name="Data_UitloopschaalVastOntslag473">Data!$AO$475</definedName>
    <definedName name="Data_UitloopschaalVastOntslag474">Data!$AO$476</definedName>
    <definedName name="Data_UitloopschaalVastOntslag475">Data!$AO$477</definedName>
    <definedName name="Data_UitloopschaalVastOntslag476">Data!$AO$478</definedName>
    <definedName name="Data_UitloopschaalVastOntslag477">Data!$AO$479</definedName>
    <definedName name="Data_UitloopschaalVastOntslag478">Data!$AO$480</definedName>
    <definedName name="Data_UitloopschaalVastOntslag479">Data!$AO$481</definedName>
    <definedName name="Data_UitloopschaalVastOntslag480">Data!$AO$482</definedName>
    <definedName name="Data_UitloopschaalVastOntslag481">Data!$AO$483</definedName>
    <definedName name="Data_UitloopschaalVastOntslag482">Data!$AO$484</definedName>
    <definedName name="Data_UitloopschaalVastOntslag483">Data!$AO$485</definedName>
    <definedName name="Data_UitloopschaalVastOntslag484">Data!$AO$486</definedName>
    <definedName name="Data_UitloopschaalVastOntslag485">Data!$AO$487</definedName>
    <definedName name="Data_UitloopschaalVastOntslag486">Data!$AO$488</definedName>
    <definedName name="Data_UitloopschaalVastOntslag487">Data!$AO$489</definedName>
    <definedName name="Data_UitloopschaalVastOntslag488">Data!$AO$490</definedName>
    <definedName name="Data_UitloopschaalVastOntslag489">Data!$AO$491</definedName>
    <definedName name="Data_UitloopschaalVastOntslag490">Data!$AO$492</definedName>
    <definedName name="Data_UitloopschaalVastOntslag491">Data!$AO$493</definedName>
    <definedName name="Data_UitloopschaalVastOntslag492">Data!$AO$494</definedName>
    <definedName name="Data_UitloopschaalVastOntslag493">Data!$AO$495</definedName>
    <definedName name="Data_UitloopschaalVastOntslag494">Data!$AO$496</definedName>
    <definedName name="Data_UitloopschaalVastOntslag495">Data!$AO$497</definedName>
    <definedName name="Data_UitloopschaalVastOntslag496">Data!$AO$498</definedName>
    <definedName name="Data_UitloopschaalVastOntslag497">Data!$AO$499</definedName>
    <definedName name="Data_UitloopschaalVastOntslag498">Data!$AO$500</definedName>
    <definedName name="Data_UitloopschaalVastOntslag499">Data!$AO$501</definedName>
    <definedName name="Data_UitloopschaalVastOntslag500">Data!$AO$502</definedName>
    <definedName name="Data_UitloopschaalVastVrij001">Data!$AE$3</definedName>
    <definedName name="Data_UitloopschaalVastVrij002">Data!$AE$4</definedName>
    <definedName name="Data_UitloopschaalVastVrij003">Data!$AE$5</definedName>
    <definedName name="Data_UitloopschaalVastVrij004">Data!$AE$6</definedName>
    <definedName name="Data_UitloopschaalVastVrij005">Data!$AE$7</definedName>
    <definedName name="Data_UitloopschaalVastVrij006">Data!$AE$8</definedName>
    <definedName name="Data_UitloopschaalVastVrij007">Data!$AE$9</definedName>
    <definedName name="Data_UitloopschaalVastVrij008">Data!$AE$10</definedName>
    <definedName name="Data_UitloopschaalVastVrij009">Data!$AE$11</definedName>
    <definedName name="Data_UitloopschaalVastVrij010">Data!$AE$12</definedName>
    <definedName name="Data_UitloopschaalVastVrij011">Data!$AE$13</definedName>
    <definedName name="Data_UitloopschaalVastVrij012">Data!$AE$14</definedName>
    <definedName name="Data_UitloopschaalVastVrij013">Data!$AE$15</definedName>
    <definedName name="Data_UitloopschaalVastVrij014">Data!$AE$16</definedName>
    <definedName name="Data_UitloopschaalVastVrij015">Data!$AE$17</definedName>
    <definedName name="Data_UitloopschaalVastVrij016">Data!$AE$18</definedName>
    <definedName name="Data_UitloopschaalVastVrij017">Data!$AE$19</definedName>
    <definedName name="Data_UitloopschaalVastVrij018">Data!$AE$20</definedName>
    <definedName name="Data_UitloopschaalVastVrij019">Data!$AE$21</definedName>
    <definedName name="Data_UitloopschaalVastVrij020">Data!$AE$22</definedName>
    <definedName name="Data_UitloopschaalVastVrij021">Data!$AE$23</definedName>
    <definedName name="Data_UitloopschaalVastVrij022">Data!$AE$24</definedName>
    <definedName name="Data_UitloopschaalVastVrij023">Data!$AE$25</definedName>
    <definedName name="Data_UitloopschaalVastVrij024">Data!$AE$26</definedName>
    <definedName name="Data_UitloopschaalVastVrij025">Data!$AE$27</definedName>
    <definedName name="Data_UitloopschaalVastVrij026">Data!$AE$28</definedName>
    <definedName name="Data_UitloopschaalVastVrij027">Data!$AE$29</definedName>
    <definedName name="Data_UitloopschaalVastVrij028">Data!$AE$30</definedName>
    <definedName name="Data_UitloopschaalVastVrij029">Data!$AE$31</definedName>
    <definedName name="Data_UitloopschaalVastVrij030">Data!$AE$32</definedName>
    <definedName name="Data_UitloopschaalVastVrij031">Data!$AE$33</definedName>
    <definedName name="Data_UitloopschaalVastVrij032">Data!$AE$34</definedName>
    <definedName name="Data_UitloopschaalVastVrij033">Data!$AE$35</definedName>
    <definedName name="Data_UitloopschaalVastVrij034">Data!$AE$36</definedName>
    <definedName name="Data_UitloopschaalVastVrij035">Data!$AE$37</definedName>
    <definedName name="Data_UitloopschaalVastVrij036">Data!$AE$38</definedName>
    <definedName name="Data_UitloopschaalVastVrij037">Data!$AE$39</definedName>
    <definedName name="Data_UitloopschaalVastVrij038">Data!$AE$40</definedName>
    <definedName name="Data_UitloopschaalVastVrij039">Data!$AE$41</definedName>
    <definedName name="Data_UitloopschaalVastVrij040">Data!$AE$42</definedName>
    <definedName name="Data_UitloopschaalVastVrij041">Data!$AE$43</definedName>
    <definedName name="Data_UitloopschaalVastVrij042">Data!$AE$44</definedName>
    <definedName name="Data_UitloopschaalVastVrij043">Data!$AE$45</definedName>
    <definedName name="Data_UitloopschaalVastVrij044">Data!$AE$46</definedName>
    <definedName name="Data_UitloopschaalVastVrij045">Data!$AE$47</definedName>
    <definedName name="Data_UitloopschaalVastVrij046">Data!$AE$48</definedName>
    <definedName name="Data_UitloopschaalVastVrij047">Data!$AE$49</definedName>
    <definedName name="Data_UitloopschaalVastVrij048">Data!$AE$50</definedName>
    <definedName name="Data_UitloopschaalVastVrij049">Data!$AE$51</definedName>
    <definedName name="Data_UitloopschaalVastVrij050">Data!$AE$52</definedName>
    <definedName name="Data_UitloopschaalVastVrij051">Data!$AE$53</definedName>
    <definedName name="Data_UitloopschaalVastVrij052">Data!$AE$54</definedName>
    <definedName name="Data_UitloopschaalVastVrij053">Data!$AE$55</definedName>
    <definedName name="Data_UitloopschaalVastVrij054">Data!$AE$56</definedName>
    <definedName name="Data_UitloopschaalVastVrij055">Data!$AE$57</definedName>
    <definedName name="Data_UitloopschaalVastVrij056">Data!$AE$58</definedName>
    <definedName name="Data_UitloopschaalVastVrij057">Data!$AE$59</definedName>
    <definedName name="Data_UitloopschaalVastVrij058">Data!$AE$60</definedName>
    <definedName name="Data_UitloopschaalVastVrij059">Data!$AE$61</definedName>
    <definedName name="Data_UitloopschaalVastVrij060">Data!$AE$62</definedName>
    <definedName name="Data_UitloopschaalVastVrij061">Data!$AE$63</definedName>
    <definedName name="Data_UitloopschaalVastVrij062">Data!$AE$64</definedName>
    <definedName name="Data_UitloopschaalVastVrij063">Data!$AE$65</definedName>
    <definedName name="Data_UitloopschaalVastVrij064">Data!$AE$66</definedName>
    <definedName name="Data_UitloopschaalVastVrij065">Data!$AE$67</definedName>
    <definedName name="Data_UitloopschaalVastVrij066">Data!$AE$68</definedName>
    <definedName name="Data_UitloopschaalVastVrij067">Data!$AE$69</definedName>
    <definedName name="Data_UitloopschaalVastVrij068">Data!$AE$70</definedName>
    <definedName name="Data_UitloopschaalVastVrij069">Data!$AE$71</definedName>
    <definedName name="Data_UitloopschaalVastVrij070">Data!$AE$72</definedName>
    <definedName name="Data_UitloopschaalVastVrij071">Data!$AE$73</definedName>
    <definedName name="Data_UitloopschaalVastVrij072">Data!$AE$74</definedName>
    <definedName name="Data_UitloopschaalVastVrij073">Data!$AE$75</definedName>
    <definedName name="Data_UitloopschaalVastVrij074">Data!$AE$76</definedName>
    <definedName name="Data_UitloopschaalVastVrij075">Data!$AE$77</definedName>
    <definedName name="Data_UitloopschaalVastVrij076">Data!$AE$78</definedName>
    <definedName name="Data_UitloopschaalVastVrij077">Data!$AE$79</definedName>
    <definedName name="Data_UitloopschaalVastVrij078">Data!$AE$80</definedName>
    <definedName name="Data_UitloopschaalVastVrij079">Data!$AE$81</definedName>
    <definedName name="Data_UitloopschaalVastVrij080">Data!$AE$82</definedName>
    <definedName name="Data_UitloopschaalVastVrij081">Data!$AE$83</definedName>
    <definedName name="Data_UitloopschaalVastVrij082">Data!$AE$84</definedName>
    <definedName name="Data_UitloopschaalVastVrij083">Data!$AE$85</definedName>
    <definedName name="Data_UitloopschaalVastVrij084">Data!$AE$86</definedName>
    <definedName name="Data_UitloopschaalVastVrij085">Data!$AE$87</definedName>
    <definedName name="Data_UitloopschaalVastVrij086">Data!$AE$88</definedName>
    <definedName name="Data_UitloopschaalVastVrij087">Data!$AE$89</definedName>
    <definedName name="Data_UitloopschaalVastVrij088">Data!$AE$90</definedName>
    <definedName name="Data_UitloopschaalVastVrij089">Data!$AE$91</definedName>
    <definedName name="Data_UitloopschaalVastVrij090">Data!$AE$92</definedName>
    <definedName name="Data_UitloopschaalVastVrij091">Data!$AE$93</definedName>
    <definedName name="Data_UitloopschaalVastVrij092">Data!$AE$94</definedName>
    <definedName name="Data_UitloopschaalVastVrij093">Data!$AE$95</definedName>
    <definedName name="Data_UitloopschaalVastVrij094">Data!$AE$96</definedName>
    <definedName name="Data_UitloopschaalVastVrij095">Data!$AE$97</definedName>
    <definedName name="Data_UitloopschaalVastVrij096">Data!$AE$98</definedName>
    <definedName name="Data_UitloopschaalVastVrij097">Data!$AE$99</definedName>
    <definedName name="Data_UitloopschaalVastVrij098">Data!$AE$100</definedName>
    <definedName name="Data_UitloopschaalVastVrij099">Data!$AE$101</definedName>
    <definedName name="Data_UitloopschaalVastVrij100">Data!$AE$102</definedName>
    <definedName name="Data_UitloopschaalVastVrij101">Data!$AE$103</definedName>
    <definedName name="Data_UitloopschaalVastVrij102">Data!$AE$104</definedName>
    <definedName name="Data_UitloopschaalVastVrij103">Data!$AE$105</definedName>
    <definedName name="Data_UitloopschaalVastVrij104">Data!$AE$106</definedName>
    <definedName name="Data_UitloopschaalVastVrij105">Data!$AE$107</definedName>
    <definedName name="Data_UitloopschaalVastVrij106">Data!$AE$108</definedName>
    <definedName name="Data_UitloopschaalVastVrij107">Data!$AE$109</definedName>
    <definedName name="Data_UitloopschaalVastVrij108">Data!$AE$110</definedName>
    <definedName name="Data_UitloopschaalVastVrij109">Data!$AE$111</definedName>
    <definedName name="Data_UitloopschaalVastVrij110">Data!$AE$112</definedName>
    <definedName name="Data_UitloopschaalVastVrij111">Data!$AE$113</definedName>
    <definedName name="Data_UitloopschaalVastVrij112">Data!$AE$114</definedName>
    <definedName name="Data_UitloopschaalVastVrij113">Data!$AE$115</definedName>
    <definedName name="Data_UitloopschaalVastVrij114">Data!$AE$116</definedName>
    <definedName name="Data_UitloopschaalVastVrij115">Data!$AE$117</definedName>
    <definedName name="Data_UitloopschaalVastVrij116">Data!$AE$118</definedName>
    <definedName name="Data_UitloopschaalVastVrij117">Data!$AE$119</definedName>
    <definedName name="Data_UitloopschaalVastVrij118">Data!$AE$120</definedName>
    <definedName name="Data_UitloopschaalVastVrij119">Data!$AE$121</definedName>
    <definedName name="Data_UitloopschaalVastVrij120">Data!$AE$122</definedName>
    <definedName name="Data_UitloopschaalVastVrij121">Data!$AE$123</definedName>
    <definedName name="Data_UitloopschaalVastVrij122">Data!$AE$124</definedName>
    <definedName name="Data_UitloopschaalVastVrij123">Data!$AE$125</definedName>
    <definedName name="Data_UitloopschaalVastVrij124">Data!$AE$126</definedName>
    <definedName name="Data_UitloopschaalVastVrij125">Data!$AE$127</definedName>
    <definedName name="Data_UitloopschaalVastVrij126">Data!$AE$128</definedName>
    <definedName name="Data_UitloopschaalVastVrij127">Data!$AE$129</definedName>
    <definedName name="Data_UitloopschaalVastVrij128">Data!$AE$130</definedName>
    <definedName name="Data_UitloopschaalVastVrij129">Data!$AE$131</definedName>
    <definedName name="Data_UitloopschaalVastVrij130">Data!$AE$132</definedName>
    <definedName name="Data_UitloopschaalVastVrij131">Data!$AE$133</definedName>
    <definedName name="Data_UitloopschaalVastVrij132">Data!$AE$134</definedName>
    <definedName name="Data_UitloopschaalVastVrij133">Data!$AE$135</definedName>
    <definedName name="Data_UitloopschaalVastVrij134">Data!$AE$136</definedName>
    <definedName name="Data_UitloopschaalVastVrij135">Data!$AE$137</definedName>
    <definedName name="Data_UitloopschaalVastVrij136">Data!$AE$138</definedName>
    <definedName name="Data_UitloopschaalVastVrij137">Data!$AE$139</definedName>
    <definedName name="Data_UitloopschaalVastVrij138">Data!$AE$140</definedName>
    <definedName name="Data_UitloopschaalVastVrij139">Data!$AE$141</definedName>
    <definedName name="Data_UitloopschaalVastVrij140">Data!$AE$142</definedName>
    <definedName name="Data_UitloopschaalVastVrij141">Data!$AE$143</definedName>
    <definedName name="Data_UitloopschaalVastVrij142">Data!$AE$144</definedName>
    <definedName name="Data_UitloopschaalVastVrij143">Data!$AE$145</definedName>
    <definedName name="Data_UitloopschaalVastVrij144">Data!$AE$146</definedName>
    <definedName name="Data_UitloopschaalVastVrij145">Data!$AE$147</definedName>
    <definedName name="Data_UitloopschaalVastVrij146">Data!$AE$148</definedName>
    <definedName name="Data_UitloopschaalVastVrij147">Data!$AE$149</definedName>
    <definedName name="Data_UitloopschaalVastVrij148">Data!$AE$150</definedName>
    <definedName name="Data_UitloopschaalVastVrij149">Data!$AE$151</definedName>
    <definedName name="Data_UitloopschaalVastVrij150">Data!$AE$152</definedName>
    <definedName name="Data_UitloopschaalVastVrij151">Data!$AE$153</definedName>
    <definedName name="Data_UitloopschaalVastVrij152">Data!$AE$154</definedName>
    <definedName name="Data_UitloopschaalVastVrij153">Data!$AE$155</definedName>
    <definedName name="Data_UitloopschaalVastVrij154">Data!$AE$156</definedName>
    <definedName name="Data_UitloopschaalVastVrij155">Data!$AE$157</definedName>
    <definedName name="Data_UitloopschaalVastVrij156">Data!$AE$158</definedName>
    <definedName name="Data_UitloopschaalVastVrij157">Data!$AE$159</definedName>
    <definedName name="Data_UitloopschaalVastVrij158">Data!$AE$160</definedName>
    <definedName name="Data_UitloopschaalVastVrij159">Data!$AE$161</definedName>
    <definedName name="Data_UitloopschaalVastVrij160">Data!$AE$162</definedName>
    <definedName name="Data_UitloopschaalVastVrij161">Data!$AE$163</definedName>
    <definedName name="Data_UitloopschaalVastVrij162">Data!$AE$164</definedName>
    <definedName name="Data_UitloopschaalVastVrij163">Data!$AE$165</definedName>
    <definedName name="Data_UitloopschaalVastVrij164">Data!$AE$166</definedName>
    <definedName name="Data_UitloopschaalVastVrij165">Data!$AE$167</definedName>
    <definedName name="Data_UitloopschaalVastVrij166">Data!$AE$168</definedName>
    <definedName name="Data_UitloopschaalVastVrij167">Data!$AE$169</definedName>
    <definedName name="Data_UitloopschaalVastVrij168">Data!$AE$170</definedName>
    <definedName name="Data_UitloopschaalVastVrij169">Data!$AE$171</definedName>
    <definedName name="Data_UitloopschaalVastVrij170">Data!$AE$172</definedName>
    <definedName name="Data_UitloopschaalVastVrij171">Data!$AE$173</definedName>
    <definedName name="Data_UitloopschaalVastVrij172">Data!$AE$174</definedName>
    <definedName name="Data_UitloopschaalVastVrij173">Data!$AE$175</definedName>
    <definedName name="Data_UitloopschaalVastVrij174">Data!$AE$176</definedName>
    <definedName name="Data_UitloopschaalVastVrij175">Data!$AE$177</definedName>
    <definedName name="Data_UitloopschaalVastVrij176">Data!$AE$178</definedName>
    <definedName name="Data_UitloopschaalVastVrij177">Data!$AE$179</definedName>
    <definedName name="Data_UitloopschaalVastVrij178">Data!$AE$180</definedName>
    <definedName name="Data_UitloopschaalVastVrij179">Data!$AE$181</definedName>
    <definedName name="Data_UitloopschaalVastVrij180">Data!$AE$182</definedName>
    <definedName name="Data_UitloopschaalVastVrij181">Data!$AE$183</definedName>
    <definedName name="Data_UitloopschaalVastVrij182">Data!$AE$184</definedName>
    <definedName name="Data_UitloopschaalVastVrij183">Data!$AE$185</definedName>
    <definedName name="Data_UitloopschaalVastVrij184">Data!$AE$186</definedName>
    <definedName name="Data_UitloopschaalVastVrij185">Data!$AE$187</definedName>
    <definedName name="Data_UitloopschaalVastVrij186">Data!$AE$188</definedName>
    <definedName name="Data_UitloopschaalVastVrij187">Data!$AE$189</definedName>
    <definedName name="Data_UitloopschaalVastVrij188">Data!$AE$190</definedName>
    <definedName name="Data_UitloopschaalVastVrij189">Data!$AE$191</definedName>
    <definedName name="Data_UitloopschaalVastVrij190">Data!$AE$192</definedName>
    <definedName name="Data_UitloopschaalVastVrij191">Data!$AE$193</definedName>
    <definedName name="Data_UitloopschaalVastVrij192">Data!$AE$194</definedName>
    <definedName name="Data_UitloopschaalVastVrij193">Data!$AE$195</definedName>
    <definedName name="Data_UitloopschaalVastVrij194">Data!$AE$196</definedName>
    <definedName name="Data_UitloopschaalVastVrij195">Data!$AE$197</definedName>
    <definedName name="Data_UitloopschaalVastVrij196">Data!$AE$198</definedName>
    <definedName name="Data_UitloopschaalVastVrij197">Data!$AE$199</definedName>
    <definedName name="Data_UitloopschaalVastVrij198">Data!$AE$200</definedName>
    <definedName name="Data_UitloopschaalVastVrij199">Data!$AE$201</definedName>
    <definedName name="Data_UitloopschaalVastVrij200">Data!$AE$202</definedName>
    <definedName name="Data_UitloopschaalVastVrij201">Data!$AE$203</definedName>
    <definedName name="Data_UitloopschaalVastVrij202">Data!$AE$204</definedName>
    <definedName name="Data_UitloopschaalVastVrij203">Data!$AE$205</definedName>
    <definedName name="Data_UitloopschaalVastVrij204">Data!$AE$206</definedName>
    <definedName name="Data_UitloopschaalVastVrij205">Data!$AE$207</definedName>
    <definedName name="Data_UitloopschaalVastVrij206">Data!$AE$208</definedName>
    <definedName name="Data_UitloopschaalVastVrij207">Data!$AE$209</definedName>
    <definedName name="Data_UitloopschaalVastVrij208">Data!$AE$210</definedName>
    <definedName name="Data_UitloopschaalVastVrij209">Data!$AE$211</definedName>
    <definedName name="Data_UitloopschaalVastVrij210">Data!$AE$212</definedName>
    <definedName name="Data_UitloopschaalVastVrij211">Data!$AE$213</definedName>
    <definedName name="Data_UitloopschaalVastVrij212">Data!$AE$214</definedName>
    <definedName name="Data_UitloopschaalVastVrij213">Data!$AE$215</definedName>
    <definedName name="Data_UitloopschaalVastVrij214">Data!$AE$216</definedName>
    <definedName name="Data_UitloopschaalVastVrij215">Data!$AE$217</definedName>
    <definedName name="Data_UitloopschaalVastVrij216">Data!$AE$218</definedName>
    <definedName name="Data_UitloopschaalVastVrij217">Data!$AE$219</definedName>
    <definedName name="Data_UitloopschaalVastVrij218">Data!$AE$220</definedName>
    <definedName name="Data_UitloopschaalVastVrij219">Data!$AE$221</definedName>
    <definedName name="Data_UitloopschaalVastVrij220">Data!$AE$222</definedName>
    <definedName name="Data_UitloopschaalVastVrij221">Data!$AE$223</definedName>
    <definedName name="Data_UitloopschaalVastVrij222">Data!$AE$224</definedName>
    <definedName name="Data_UitloopschaalVastVrij223">Data!$AE$225</definedName>
    <definedName name="Data_UitloopschaalVastVrij224">Data!$AE$226</definedName>
    <definedName name="Data_UitloopschaalVastVrij225">Data!$AE$227</definedName>
    <definedName name="Data_UitloopschaalVastVrij226">Data!$AE$228</definedName>
    <definedName name="Data_UitloopschaalVastVrij227">Data!$AE$229</definedName>
    <definedName name="Data_UitloopschaalVastVrij228">Data!$AE$230</definedName>
    <definedName name="Data_UitloopschaalVastVrij229">Data!$AE$231</definedName>
    <definedName name="Data_UitloopschaalVastVrij230">Data!$AE$232</definedName>
    <definedName name="Data_UitloopschaalVastVrij231">Data!$AE$233</definedName>
    <definedName name="Data_UitloopschaalVastVrij232">Data!$AE$234</definedName>
    <definedName name="Data_UitloopschaalVastVrij233">Data!$AE$235</definedName>
    <definedName name="Data_UitloopschaalVastVrij234">Data!$AE$236</definedName>
    <definedName name="Data_UitloopschaalVastVrij235">Data!$AE$237</definedName>
    <definedName name="Data_UitloopschaalVastVrij236">Data!$AE$238</definedName>
    <definedName name="Data_UitloopschaalVastVrij237">Data!$AE$239</definedName>
    <definedName name="Data_UitloopschaalVastVrij238">Data!$AE$240</definedName>
    <definedName name="Data_UitloopschaalVastVrij239">Data!$AE$241</definedName>
    <definedName name="Data_UitloopschaalVastVrij240">Data!$AE$242</definedName>
    <definedName name="Data_UitloopschaalVastVrij241">Data!$AE$243</definedName>
    <definedName name="Data_UitloopschaalVastVrij242">Data!$AE$244</definedName>
    <definedName name="Data_UitloopschaalVastVrij243">Data!$AE$245</definedName>
    <definedName name="Data_UitloopschaalVastVrij244">Data!$AE$246</definedName>
    <definedName name="Data_UitloopschaalVastVrij245">Data!$AE$247</definedName>
    <definedName name="Data_UitloopschaalVastVrij246">Data!$AE$248</definedName>
    <definedName name="Data_UitloopschaalVastVrij247">Data!$AE$249</definedName>
    <definedName name="Data_UitloopschaalVastVrij248">Data!$AE$250</definedName>
    <definedName name="Data_UitloopschaalVastVrij249">Data!$AE$251</definedName>
    <definedName name="Data_UitloopschaalVastVrij250">Data!$AE$252</definedName>
    <definedName name="Data_UitloopschaalVastVrij251">Data!$AE$253</definedName>
    <definedName name="Data_UitloopschaalVastVrij252">Data!$AE$254</definedName>
    <definedName name="Data_UitloopschaalVastVrij253">Data!$AE$255</definedName>
    <definedName name="Data_UitloopschaalVastVrij254">Data!$AE$256</definedName>
    <definedName name="Data_UitloopschaalVastVrij255">Data!$AE$257</definedName>
    <definedName name="Data_UitloopschaalVastVrij256">Data!$AE$258</definedName>
    <definedName name="Data_UitloopschaalVastVrij257">Data!$AE$259</definedName>
    <definedName name="Data_UitloopschaalVastVrij258">Data!$AE$260</definedName>
    <definedName name="Data_UitloopschaalVastVrij259">Data!$AE$261</definedName>
    <definedName name="Data_UitloopschaalVastVrij260">Data!$AE$262</definedName>
    <definedName name="Data_UitloopschaalVastVrij261">Data!$AE$263</definedName>
    <definedName name="Data_UitloopschaalVastVrij262">Data!$AE$264</definedName>
    <definedName name="Data_UitloopschaalVastVrij263">Data!$AE$265</definedName>
    <definedName name="Data_UitloopschaalVastVrij264">Data!$AE$266</definedName>
    <definedName name="Data_UitloopschaalVastVrij265">Data!$AE$267</definedName>
    <definedName name="Data_UitloopschaalVastVrij266">Data!$AE$268</definedName>
    <definedName name="Data_UitloopschaalVastVrij267">Data!$AE$269</definedName>
    <definedName name="Data_UitloopschaalVastVrij268">Data!$AE$270</definedName>
    <definedName name="Data_UitloopschaalVastVrij269">Data!$AE$271</definedName>
    <definedName name="Data_UitloopschaalVastVrij270">Data!$AE$272</definedName>
    <definedName name="Data_UitloopschaalVastVrij271">Data!$AE$273</definedName>
    <definedName name="Data_UitloopschaalVastVrij272">Data!$AE$274</definedName>
    <definedName name="Data_UitloopschaalVastVrij273">Data!$AE$275</definedName>
    <definedName name="Data_UitloopschaalVastVrij274">Data!$AE$276</definedName>
    <definedName name="Data_UitloopschaalVastVrij275">Data!$AE$277</definedName>
    <definedName name="Data_UitloopschaalVastVrij276">Data!$AE$278</definedName>
    <definedName name="Data_UitloopschaalVastVrij277">Data!$AE$279</definedName>
    <definedName name="Data_UitloopschaalVastVrij278">Data!$AE$280</definedName>
    <definedName name="Data_UitloopschaalVastVrij279">Data!$AE$281</definedName>
    <definedName name="Data_UitloopschaalVastVrij280">Data!$AE$282</definedName>
    <definedName name="Data_UitloopschaalVastVrij281">Data!$AE$283</definedName>
    <definedName name="Data_UitloopschaalVastVrij282">Data!$AE$284</definedName>
    <definedName name="Data_UitloopschaalVastVrij283">Data!$AE$285</definedName>
    <definedName name="Data_UitloopschaalVastVrij284">Data!$AE$286</definedName>
    <definedName name="Data_UitloopschaalVastVrij285">Data!$AE$287</definedName>
    <definedName name="Data_UitloopschaalVastVrij286">Data!$AE$288</definedName>
    <definedName name="Data_UitloopschaalVastVrij287">Data!$AE$289</definedName>
    <definedName name="Data_UitloopschaalVastVrij288">Data!$AE$290</definedName>
    <definedName name="Data_UitloopschaalVastVrij289">Data!$AE$291</definedName>
    <definedName name="Data_UitloopschaalVastVrij290">Data!$AE$292</definedName>
    <definedName name="Data_UitloopschaalVastVrij291">Data!$AE$293</definedName>
    <definedName name="Data_UitloopschaalVastVrij292">Data!$AE$294</definedName>
    <definedName name="Data_UitloopschaalVastVrij293">Data!$AE$295</definedName>
    <definedName name="Data_UitloopschaalVastVrij294">Data!$AE$296</definedName>
    <definedName name="Data_UitloopschaalVastVrij295">Data!$AE$297</definedName>
    <definedName name="Data_UitloopschaalVastVrij296">Data!$AE$298</definedName>
    <definedName name="Data_UitloopschaalVastVrij297">Data!$AE$299</definedName>
    <definedName name="Data_UitloopschaalVastVrij298">Data!$AE$300</definedName>
    <definedName name="Data_UitloopschaalVastVrij299">Data!$AE$301</definedName>
    <definedName name="Data_UitloopschaalVastVrij300">Data!$AE$302</definedName>
    <definedName name="Data_UitloopschaalVastVrij301">Data!$AE$303</definedName>
    <definedName name="Data_UitloopschaalVastVrij302">Data!$AE$304</definedName>
    <definedName name="Data_UitloopschaalVastVrij303">Data!$AE$305</definedName>
    <definedName name="Data_UitloopschaalVastVrij304">Data!$AE$306</definedName>
    <definedName name="Data_UitloopschaalVastVrij305">Data!$AE$307</definedName>
    <definedName name="Data_UitloopschaalVastVrij306">Data!$AE$308</definedName>
    <definedName name="Data_UitloopschaalVastVrij307">Data!$AE$309</definedName>
    <definedName name="Data_UitloopschaalVastVrij308">Data!$AE$310</definedName>
    <definedName name="Data_UitloopschaalVastVrij309">Data!$AE$311</definedName>
    <definedName name="Data_UitloopschaalVastVrij310">Data!$AE$312</definedName>
    <definedName name="Data_UitloopschaalVastVrij311">Data!$AE$313</definedName>
    <definedName name="Data_UitloopschaalVastVrij312">Data!$AE$314</definedName>
    <definedName name="Data_UitloopschaalVastVrij313">Data!$AE$315</definedName>
    <definedName name="Data_UitloopschaalVastVrij314">Data!$AE$316</definedName>
    <definedName name="Data_UitloopschaalVastVrij315">Data!$AE$317</definedName>
    <definedName name="Data_UitloopschaalVastVrij316">Data!$AE$318</definedName>
    <definedName name="Data_UitloopschaalVastVrij317">Data!$AE$319</definedName>
    <definedName name="Data_UitloopschaalVastVrij318">Data!$AE$320</definedName>
    <definedName name="Data_UitloopschaalVastVrij319">Data!$AE$321</definedName>
    <definedName name="Data_UitloopschaalVastVrij320">Data!$AE$322</definedName>
    <definedName name="Data_UitloopschaalVastVrij321">Data!$AE$323</definedName>
    <definedName name="Data_UitloopschaalVastVrij322">Data!$AE$324</definedName>
    <definedName name="Data_UitloopschaalVastVrij323">Data!$AE$325</definedName>
    <definedName name="Data_UitloopschaalVastVrij324">Data!$AE$326</definedName>
    <definedName name="Data_UitloopschaalVastVrij325">Data!$AE$327</definedName>
    <definedName name="Data_UitloopschaalVastVrij326">Data!$AE$328</definedName>
    <definedName name="Data_UitloopschaalVastVrij327">Data!$AE$329</definedName>
    <definedName name="Data_UitloopschaalVastVrij328">Data!$AE$330</definedName>
    <definedName name="Data_UitloopschaalVastVrij329">Data!$AE$331</definedName>
    <definedName name="Data_UitloopschaalVastVrij330">Data!$AE$332</definedName>
    <definedName name="Data_UitloopschaalVastVrij331">Data!$AE$333</definedName>
    <definedName name="Data_UitloopschaalVastVrij332">Data!$AE$334</definedName>
    <definedName name="Data_UitloopschaalVastVrij333">Data!$AE$335</definedName>
    <definedName name="Data_UitloopschaalVastVrij334">Data!$AE$336</definedName>
    <definedName name="Data_UitloopschaalVastVrij335">Data!$AE$337</definedName>
    <definedName name="Data_UitloopschaalVastVrij336">Data!$AE$338</definedName>
    <definedName name="Data_UitloopschaalVastVrij337">Data!$AE$339</definedName>
    <definedName name="Data_UitloopschaalVastVrij338">Data!$AE$340</definedName>
    <definedName name="Data_UitloopschaalVastVrij339">Data!$AE$341</definedName>
    <definedName name="Data_UitloopschaalVastVrij340">Data!$AE$342</definedName>
    <definedName name="Data_UitloopschaalVastVrij341">Data!$AE$343</definedName>
    <definedName name="Data_UitloopschaalVastVrij342">Data!$AE$344</definedName>
    <definedName name="Data_UitloopschaalVastVrij343">Data!$AE$345</definedName>
    <definedName name="Data_UitloopschaalVastVrij344">Data!$AE$346</definedName>
    <definedName name="Data_UitloopschaalVastVrij345">Data!$AE$347</definedName>
    <definedName name="Data_UitloopschaalVastVrij346">Data!$AE$348</definedName>
    <definedName name="Data_UitloopschaalVastVrij347">Data!$AE$349</definedName>
    <definedName name="Data_UitloopschaalVastVrij348">Data!$AE$350</definedName>
    <definedName name="Data_UitloopschaalVastVrij349">Data!$AE$351</definedName>
    <definedName name="Data_UitloopschaalVastVrij350">Data!$AE$352</definedName>
    <definedName name="Data_UitloopschaalVastVrij351">Data!$AE$353</definedName>
    <definedName name="Data_UitloopschaalVastVrij352">Data!$AE$354</definedName>
    <definedName name="Data_UitloopschaalVastVrij353">Data!$AE$355</definedName>
    <definedName name="Data_UitloopschaalVastVrij354">Data!$AE$356</definedName>
    <definedName name="Data_UitloopschaalVastVrij355">Data!$AE$357</definedName>
    <definedName name="Data_UitloopschaalVastVrij356">Data!$AE$358</definedName>
    <definedName name="Data_UitloopschaalVastVrij357">Data!$AE$359</definedName>
    <definedName name="Data_UitloopschaalVastVrij358">Data!$AE$360</definedName>
    <definedName name="Data_UitloopschaalVastVrij359">Data!$AE$361</definedName>
    <definedName name="Data_UitloopschaalVastVrij360">Data!$AE$362</definedName>
    <definedName name="Data_UitloopschaalVastVrij361">Data!$AE$363</definedName>
    <definedName name="Data_UitloopschaalVastVrij362">Data!$AE$364</definedName>
    <definedName name="Data_UitloopschaalVastVrij363">Data!$AE$365</definedName>
    <definedName name="Data_UitloopschaalVastVrij364">Data!$AE$366</definedName>
    <definedName name="Data_UitloopschaalVastVrij365">Data!$AE$367</definedName>
    <definedName name="Data_UitloopschaalVastVrij366">Data!$AE$368</definedName>
    <definedName name="Data_UitloopschaalVastVrij367">Data!$AE$369</definedName>
    <definedName name="Data_UitloopschaalVastVrij368">Data!$AE$370</definedName>
    <definedName name="Data_UitloopschaalVastVrij369">Data!$AE$371</definedName>
    <definedName name="Data_UitloopschaalVastVrij370">Data!$AE$372</definedName>
    <definedName name="Data_UitloopschaalVastVrij371">Data!$AE$373</definedName>
    <definedName name="Data_UitloopschaalVastVrij372">Data!$AE$374</definedName>
    <definedName name="Data_UitloopschaalVastVrij373">Data!$AE$375</definedName>
    <definedName name="Data_UitloopschaalVastVrij374">Data!$AE$376</definedName>
    <definedName name="Data_UitloopschaalVastVrij375">Data!$AE$377</definedName>
    <definedName name="Data_UitloopschaalVastVrij376">Data!$AE$378</definedName>
    <definedName name="Data_UitloopschaalVastVrij377">Data!$AE$379</definedName>
    <definedName name="Data_UitloopschaalVastVrij378">Data!$AE$380</definedName>
    <definedName name="Data_UitloopschaalVastVrij379">Data!$AE$381</definedName>
    <definedName name="Data_UitloopschaalVastVrij380">Data!$AE$382</definedName>
    <definedName name="Data_UitloopschaalVastVrij381">Data!$AE$383</definedName>
    <definedName name="Data_UitloopschaalVastVrij382">Data!$AE$384</definedName>
    <definedName name="Data_UitloopschaalVastVrij383">Data!$AE$385</definedName>
    <definedName name="Data_UitloopschaalVastVrij384">Data!$AE$386</definedName>
    <definedName name="Data_UitloopschaalVastVrij385">Data!$AE$387</definedName>
    <definedName name="Data_UitloopschaalVastVrij386">Data!$AE$388</definedName>
    <definedName name="Data_UitloopschaalVastVrij387">Data!$AE$389</definedName>
    <definedName name="Data_UitloopschaalVastVrij388">Data!$AE$390</definedName>
    <definedName name="Data_UitloopschaalVastVrij389">Data!$AE$391</definedName>
    <definedName name="Data_UitloopschaalVastVrij390">Data!$AE$392</definedName>
    <definedName name="Data_UitloopschaalVastVrij391">Data!$AE$393</definedName>
    <definedName name="Data_UitloopschaalVastVrij392">Data!$AE$394</definedName>
    <definedName name="Data_UitloopschaalVastVrij393">Data!$AE$395</definedName>
    <definedName name="Data_UitloopschaalVastVrij394">Data!$AE$396</definedName>
    <definedName name="Data_UitloopschaalVastVrij395">Data!$AE$397</definedName>
    <definedName name="Data_UitloopschaalVastVrij396">Data!$AE$398</definedName>
    <definedName name="Data_UitloopschaalVastVrij397">Data!$AE$399</definedName>
    <definedName name="Data_UitloopschaalVastVrij398">Data!$AE$400</definedName>
    <definedName name="Data_UitloopschaalVastVrij399">Data!$AE$401</definedName>
    <definedName name="Data_UitloopschaalVastVrij400">Data!$AE$402</definedName>
    <definedName name="Data_UitloopschaalVastVrij401">Data!$AE$403</definedName>
    <definedName name="Data_UitloopschaalVastVrij402">Data!$AE$404</definedName>
    <definedName name="Data_UitloopschaalVastVrij403">Data!$AE$405</definedName>
    <definedName name="Data_UitloopschaalVastVrij404">Data!$AE$406</definedName>
    <definedName name="Data_UitloopschaalVastVrij405">Data!$AE$407</definedName>
    <definedName name="Data_UitloopschaalVastVrij406">Data!$AE$408</definedName>
    <definedName name="Data_UitloopschaalVastVrij407">Data!$AE$409</definedName>
    <definedName name="Data_UitloopschaalVastVrij408">Data!$AE$410</definedName>
    <definedName name="Data_UitloopschaalVastVrij409">Data!$AE$411</definedName>
    <definedName name="Data_UitloopschaalVastVrij410">Data!$AE$412</definedName>
    <definedName name="Data_UitloopschaalVastVrij411">Data!$AE$413</definedName>
    <definedName name="Data_UitloopschaalVastVrij412">Data!$AE$414</definedName>
    <definedName name="Data_UitloopschaalVastVrij413">Data!$AE$415</definedName>
    <definedName name="Data_UitloopschaalVastVrij414">Data!$AE$416</definedName>
    <definedName name="Data_UitloopschaalVastVrij415">Data!$AE$417</definedName>
    <definedName name="Data_UitloopschaalVastVrij416">Data!$AE$418</definedName>
    <definedName name="Data_UitloopschaalVastVrij417">Data!$AE$419</definedName>
    <definedName name="Data_UitloopschaalVastVrij418">Data!$AE$420</definedName>
    <definedName name="Data_UitloopschaalVastVrij419">Data!$AE$421</definedName>
    <definedName name="Data_UitloopschaalVastVrij420">Data!$AE$422</definedName>
    <definedName name="Data_UitloopschaalVastVrij421">Data!$AE$423</definedName>
    <definedName name="Data_UitloopschaalVastVrij422">Data!$AE$424</definedName>
    <definedName name="Data_UitloopschaalVastVrij423">Data!$AE$425</definedName>
    <definedName name="Data_UitloopschaalVastVrij424">Data!$AE$426</definedName>
    <definedName name="Data_UitloopschaalVastVrij425">Data!$AE$427</definedName>
    <definedName name="Data_UitloopschaalVastVrij426">Data!$AE$428</definedName>
    <definedName name="Data_UitloopschaalVastVrij427">Data!$AE$429</definedName>
    <definedName name="Data_UitloopschaalVastVrij428">Data!$AE$430</definedName>
    <definedName name="Data_UitloopschaalVastVrij429">Data!$AE$431</definedName>
    <definedName name="Data_UitloopschaalVastVrij430">Data!$AE$432</definedName>
    <definedName name="Data_UitloopschaalVastVrij431">Data!$AE$433</definedName>
    <definedName name="Data_UitloopschaalVastVrij432">Data!$AE$434</definedName>
    <definedName name="Data_UitloopschaalVastVrij433">Data!$AE$435</definedName>
    <definedName name="Data_UitloopschaalVastVrij434">Data!$AE$436</definedName>
    <definedName name="Data_UitloopschaalVastVrij435">Data!$AE$437</definedName>
    <definedName name="Data_UitloopschaalVastVrij436">Data!$AE$438</definedName>
    <definedName name="Data_UitloopschaalVastVrij437">Data!$AE$439</definedName>
    <definedName name="Data_UitloopschaalVastVrij438">Data!$AE$440</definedName>
    <definedName name="Data_UitloopschaalVastVrij439">Data!$AE$441</definedName>
    <definedName name="Data_UitloopschaalVastVrij440">Data!$AE$442</definedName>
    <definedName name="Data_UitloopschaalVastVrij441">Data!$AE$443</definedName>
    <definedName name="Data_UitloopschaalVastVrij442">Data!$AE$444</definedName>
    <definedName name="Data_UitloopschaalVastVrij443">Data!$AE$445</definedName>
    <definedName name="Data_UitloopschaalVastVrij444">Data!$AE$446</definedName>
    <definedName name="Data_UitloopschaalVastVrij445">Data!$AE$447</definedName>
    <definedName name="Data_UitloopschaalVastVrij446">Data!$AE$448</definedName>
    <definedName name="Data_UitloopschaalVastVrij447">Data!$AE$449</definedName>
    <definedName name="Data_UitloopschaalVastVrij448">Data!$AE$450</definedName>
    <definedName name="Data_UitloopschaalVastVrij449">Data!$AE$451</definedName>
    <definedName name="Data_UitloopschaalVastVrij450">Data!$AE$452</definedName>
    <definedName name="Data_UitloopschaalVastVrij451">Data!$AE$453</definedName>
    <definedName name="Data_UitloopschaalVastVrij452">Data!$AE$454</definedName>
    <definedName name="Data_UitloopschaalVastVrij453">Data!$AE$455</definedName>
    <definedName name="Data_UitloopschaalVastVrij454">Data!$AE$456</definedName>
    <definedName name="Data_UitloopschaalVastVrij455">Data!$AE$457</definedName>
    <definedName name="Data_UitloopschaalVastVrij456">Data!$AE$458</definedName>
    <definedName name="Data_UitloopschaalVastVrij457">Data!$AE$459</definedName>
    <definedName name="Data_UitloopschaalVastVrij458">Data!$AE$460</definedName>
    <definedName name="Data_UitloopschaalVastVrij459">Data!$AE$461</definedName>
    <definedName name="Data_UitloopschaalVastVrij460">Data!$AE$462</definedName>
    <definedName name="Data_UitloopschaalVastVrij461">Data!$AE$463</definedName>
    <definedName name="Data_UitloopschaalVastVrij462">Data!$AE$464</definedName>
    <definedName name="Data_UitloopschaalVastVrij463">Data!$AE$465</definedName>
    <definedName name="Data_UitloopschaalVastVrij464">Data!$AE$466</definedName>
    <definedName name="Data_UitloopschaalVastVrij465">Data!$AE$467</definedName>
    <definedName name="Data_UitloopschaalVastVrij466">Data!$AE$468</definedName>
    <definedName name="Data_UitloopschaalVastVrij467">Data!$AE$469</definedName>
    <definedName name="Data_UitloopschaalVastVrij468">Data!$AE$470</definedName>
    <definedName name="Data_UitloopschaalVastVrij469">Data!$AE$471</definedName>
    <definedName name="Data_UitloopschaalVastVrij470">Data!$AE$472</definedName>
    <definedName name="Data_UitloopschaalVastVrij471">Data!$AE$473</definedName>
    <definedName name="Data_UitloopschaalVastVrij472">Data!$AE$474</definedName>
    <definedName name="Data_UitloopschaalVastVrij473">Data!$AE$475</definedName>
    <definedName name="Data_UitloopschaalVastVrij474">Data!$AE$476</definedName>
    <definedName name="Data_UitloopschaalVastVrij475">Data!$AE$477</definedName>
    <definedName name="Data_UitloopschaalVastVrij476">Data!$AE$478</definedName>
    <definedName name="Data_UitloopschaalVastVrij477">Data!$AE$479</definedName>
    <definedName name="Data_UitloopschaalVastVrij478">Data!$AE$480</definedName>
    <definedName name="Data_UitloopschaalVastVrij479">Data!$AE$481</definedName>
    <definedName name="Data_UitloopschaalVastVrij480">Data!$AE$482</definedName>
    <definedName name="Data_UitloopschaalVastVrij481">Data!$AE$483</definedName>
    <definedName name="Data_UitloopschaalVastVrij482">Data!$AE$484</definedName>
    <definedName name="Data_UitloopschaalVastVrij483">Data!$AE$485</definedName>
    <definedName name="Data_UitloopschaalVastVrij484">Data!$AE$486</definedName>
    <definedName name="Data_UitloopschaalVastVrij485">Data!$AE$487</definedName>
    <definedName name="Data_UitloopschaalVastVrij486">Data!$AE$488</definedName>
    <definedName name="Data_UitloopschaalVastVrij487">Data!$AE$489</definedName>
    <definedName name="Data_UitloopschaalVastVrij488">Data!$AE$490</definedName>
    <definedName name="Data_UitloopschaalVastVrij489">Data!$AE$491</definedName>
    <definedName name="Data_UitloopschaalVastVrij490">Data!$AE$492</definedName>
    <definedName name="Data_UitloopschaalVastVrij491">Data!$AE$493</definedName>
    <definedName name="Data_UitloopschaalVastVrij492">Data!$AE$494</definedName>
    <definedName name="Data_UitloopschaalVastVrij493">Data!$AE$495</definedName>
    <definedName name="Data_UitloopschaalVastVrij494">Data!$AE$496</definedName>
    <definedName name="Data_UitloopschaalVastVrij495">Data!$AE$497</definedName>
    <definedName name="Data_UitloopschaalVastVrij496">Data!$AE$498</definedName>
    <definedName name="Data_UitloopschaalVastVrij497">Data!$AE$499</definedName>
    <definedName name="Data_UitloopschaalVastVrij498">Data!$AE$500</definedName>
    <definedName name="Data_UitloopschaalVastVrij499">Data!$AE$501</definedName>
    <definedName name="Data_UitloopschaalVastVrij500">Data!$AE$502</definedName>
    <definedName name="Data_WerkgeverAfwijkendeDatum">Data!$B$7</definedName>
    <definedName name="Data_WerkgeverCheckAfwijkendeDatum">Data!$B$8</definedName>
    <definedName name="Data_WerkgeverNaam">Data!$B$4</definedName>
    <definedName name="Data_WerkgeverNummer">Data!$B$3</definedName>
    <definedName name="Data_WerkgeverVestigingsplaats">Data!$B$5</definedName>
    <definedName name="Data_WerkgeverWEC_WPO">Data!$B$6</definedName>
    <definedName name="Data_WerktijdfactorNatVerloop001">Data!$AZ$3</definedName>
    <definedName name="Data_WerktijdfactorNatVerloop002">Data!$AZ$4</definedName>
    <definedName name="Data_WerktijdfactorNatVerloop003">Data!$AZ$5</definedName>
    <definedName name="Data_WerktijdfactorNatVerloop004">Data!$AZ$6</definedName>
    <definedName name="Data_WerktijdfactorNatVerloop005">Data!$AZ$7</definedName>
    <definedName name="Data_WerktijdfactorNatVerloop006">Data!$AZ$8</definedName>
    <definedName name="Data_WerktijdfactorNatVerloop007">Data!$AZ$9</definedName>
    <definedName name="Data_WerktijdfactorNatVerloop008">Data!$AZ$10</definedName>
    <definedName name="Data_WerktijdfactorNatVerloop009">Data!$AZ$11</definedName>
    <definedName name="Data_WerktijdfactorNatVerloop010">Data!$AZ$12</definedName>
    <definedName name="Data_WerktijdfactorNatVerloop011">Data!$AZ$13</definedName>
    <definedName name="Data_WerktijdfactorNatVerloop012">Data!$AZ$14</definedName>
    <definedName name="Data_WerktijdfactorNatVerloop013">Data!$AZ$15</definedName>
    <definedName name="Data_WerktijdfactorNatVerloop014">Data!$AZ$16</definedName>
    <definedName name="Data_WerktijdfactorNatVerloop015">Data!$AZ$17</definedName>
    <definedName name="Data_WerktijdfactorNatVerloop016">Data!$AZ$18</definedName>
    <definedName name="Data_WerktijdfactorNatVerloop017">Data!$AZ$19</definedName>
    <definedName name="Data_WerktijdfactorNatVerloop018">Data!$AZ$20</definedName>
    <definedName name="Data_WerktijdfactorNatVerloop019">Data!$AZ$21</definedName>
    <definedName name="Data_WerktijdfactorNatVerloop020">Data!$AZ$22</definedName>
    <definedName name="Data_WerktijdfactorNatVerloop021">Data!$AZ$23</definedName>
    <definedName name="Data_WerktijdfactorNatVerloop022">Data!$AZ$24</definedName>
    <definedName name="Data_WerktijdfactorNatVerloop023">Data!$AZ$25</definedName>
    <definedName name="Data_WerktijdfactorNatVerloop024">Data!$AZ$26</definedName>
    <definedName name="Data_WerktijdfactorNatVerloop025">Data!$AZ$27</definedName>
    <definedName name="Data_WerktijdfactorNatVerloop026">Data!$AZ$28</definedName>
    <definedName name="Data_WerktijdfactorNatVerloop027">Data!$AZ$29</definedName>
    <definedName name="Data_WerktijdfactorNatVerloop028">Data!$AZ$30</definedName>
    <definedName name="Data_WerktijdfactorNatVerloop029">Data!$AZ$31</definedName>
    <definedName name="Data_WerktijdfactorNatVerloop030">Data!$AZ$32</definedName>
    <definedName name="Data_WerktijdfactorNatVerloop031">Data!$AZ$33</definedName>
    <definedName name="Data_WerktijdfactorNatVerloop032">Data!$AZ$34</definedName>
    <definedName name="Data_WerktijdfactorNatVerloop033">Data!$AZ$35</definedName>
    <definedName name="Data_WerktijdfactorNatVerloop034">Data!$AZ$36</definedName>
    <definedName name="Data_WerktijdfactorNatVerloop035">Data!$AZ$37</definedName>
    <definedName name="Data_WerktijdfactorNatVerloop036">Data!$AZ$38</definedName>
    <definedName name="Data_WerktijdfactorNatVerloop037">Data!$AZ$39</definedName>
    <definedName name="Data_WerktijdfactorNatVerloop038">Data!$AZ$40</definedName>
    <definedName name="Data_WerktijdfactorNatVerloop039">Data!$AZ$41</definedName>
    <definedName name="Data_WerktijdfactorNatVerloop040">Data!$AZ$42</definedName>
    <definedName name="Data_WerktijdfactorNatVerloop041">Data!$AZ$43</definedName>
    <definedName name="Data_WerktijdfactorNatVerloop042">Data!$AZ$44</definedName>
    <definedName name="Data_WerktijdfactorNatVerloop043">Data!$AZ$45</definedName>
    <definedName name="Data_WerktijdfactorNatVerloop044">Data!$AZ$46</definedName>
    <definedName name="Data_WerktijdfactorNatVerloop045">Data!$AZ$47</definedName>
    <definedName name="Data_WerktijdfactorNatVerloop046">Data!$AZ$48</definedName>
    <definedName name="Data_WerktijdfactorNatVerloop047">Data!$AZ$49</definedName>
    <definedName name="Data_WerktijdfactorNatVerloop048">Data!$AZ$50</definedName>
    <definedName name="Data_WerktijdfactorNatVerloop049">Data!$AZ$51</definedName>
    <definedName name="Data_WerktijdfactorNatVerloop050">Data!$AZ$52</definedName>
    <definedName name="Data_WerktijdfactorNatVerloop051">Data!$AZ$53</definedName>
    <definedName name="Data_WerktijdfactorNatVerloop052">Data!$AZ$54</definedName>
    <definedName name="Data_WerktijdfactorNatVerloop053">Data!$AZ$55</definedName>
    <definedName name="Data_WerktijdfactorNatVerloop054">Data!$AZ$56</definedName>
    <definedName name="Data_WerktijdfactorNatVerloop055">Data!$AZ$57</definedName>
    <definedName name="Data_WerktijdfactorNatVerloop056">Data!$AZ$58</definedName>
    <definedName name="Data_WerktijdfactorNatVerloop057">Data!$AZ$59</definedName>
    <definedName name="Data_WerktijdfactorNatVerloop058">Data!$AZ$60</definedName>
    <definedName name="Data_WerktijdfactorNatVerloop059">Data!$AZ$61</definedName>
    <definedName name="Data_WerktijdfactorNatVerloop060">Data!$AZ$62</definedName>
    <definedName name="Data_WerktijdfactorNatVerloop061">Data!$AZ$63</definedName>
    <definedName name="Data_WerktijdfactorNatVerloop062">Data!$AZ$64</definedName>
    <definedName name="Data_WerktijdfactorNatVerloop063">Data!$AZ$65</definedName>
    <definedName name="Data_WerktijdfactorNatVerloop064">Data!$AZ$66</definedName>
    <definedName name="Data_WerktijdfactorNatVerloop065">Data!$AZ$67</definedName>
    <definedName name="Data_WerktijdfactorNatVerloop066">Data!$AZ$68</definedName>
    <definedName name="Data_WerktijdfactorNatVerloop067">Data!$AZ$69</definedName>
    <definedName name="Data_WerktijdfactorNatVerloop068">Data!$AZ$70</definedName>
    <definedName name="Data_WerktijdfactorNatVerloop069">Data!$AZ$71</definedName>
    <definedName name="Data_WerktijdfactorNatVerloop070">Data!$AZ$72</definedName>
    <definedName name="Data_WerktijdfactorNatVerloop071">Data!$AZ$73</definedName>
    <definedName name="Data_WerktijdfactorNatVerloop072">Data!$AZ$74</definedName>
    <definedName name="Data_WerktijdfactorNatVerloop073">Data!$AZ$75</definedName>
    <definedName name="Data_WerktijdfactorNatVerloop074">Data!$AZ$76</definedName>
    <definedName name="Data_WerktijdfactorNatVerloop075">Data!$AZ$77</definedName>
    <definedName name="Data_WerktijdfactorNatVerloop076">Data!$AZ$78</definedName>
    <definedName name="Data_WerktijdfactorNatVerloop077">Data!$AZ$79</definedName>
    <definedName name="Data_WerktijdfactorNatVerloop078">Data!$AZ$80</definedName>
    <definedName name="Data_WerktijdfactorNatVerloop079">Data!$AZ$81</definedName>
    <definedName name="Data_WerktijdfactorNatVerloop080">Data!$AZ$82</definedName>
    <definedName name="Data_WerktijdfactorNatVerloop081">Data!$AZ$83</definedName>
    <definedName name="Data_WerktijdfactorNatVerloop082">Data!$AZ$84</definedName>
    <definedName name="Data_WerktijdfactorNatVerloop083">Data!$AZ$85</definedName>
    <definedName name="Data_WerktijdfactorNatVerloop084">Data!$AZ$86</definedName>
    <definedName name="Data_WerktijdfactorNatVerloop085">Data!$AZ$87</definedName>
    <definedName name="Data_WerktijdfactorNatVerloop086">Data!$AZ$88</definedName>
    <definedName name="Data_WerktijdfactorNatVerloop087">Data!$AZ$89</definedName>
    <definedName name="Data_WerktijdfactorNatVerloop088">Data!$AZ$90</definedName>
    <definedName name="Data_WerktijdfactorNatVerloop089">Data!$AZ$91</definedName>
    <definedName name="Data_WerktijdfactorNatVerloop090">Data!$AZ$92</definedName>
    <definedName name="Data_WerktijdfactorNatVerloop091">Data!$AZ$93</definedName>
    <definedName name="Data_WerktijdfactorNatVerloop092">Data!$AZ$94</definedName>
    <definedName name="Data_WerktijdfactorNatVerloop093">Data!$AZ$95</definedName>
    <definedName name="Data_WerktijdfactorNatVerloop094">Data!$AZ$96</definedName>
    <definedName name="Data_WerktijdfactorNatVerloop095">Data!$AZ$97</definedName>
    <definedName name="Data_WerktijdfactorNatVerloop096">Data!$AZ$98</definedName>
    <definedName name="Data_WerktijdfactorNatVerloop097">Data!$AZ$99</definedName>
    <definedName name="Data_WerktijdfactorNatVerloop098">Data!$AZ$100</definedName>
    <definedName name="Data_WerktijdfactorNatVerloop099">Data!$AZ$101</definedName>
    <definedName name="Data_WerktijdfactorNatVerloop100">Data!$AZ$102</definedName>
    <definedName name="Data_WerktijdfactorNatVerloop101">Data!$AZ$103</definedName>
    <definedName name="Data_WerktijdfactorNatVerloop102">Data!$AZ$104</definedName>
    <definedName name="Data_WerktijdfactorNatVerloop103">Data!$AZ$105</definedName>
    <definedName name="Data_WerktijdfactorNatVerloop104">Data!$AZ$106</definedName>
    <definedName name="Data_WerktijdfactorNatVerloop105">Data!$AZ$107</definedName>
    <definedName name="Data_WerktijdfactorNatVerloop106">Data!$AZ$108</definedName>
    <definedName name="Data_WerktijdfactorNatVerloop107">Data!$AZ$109</definedName>
    <definedName name="Data_WerktijdfactorNatVerloop108">Data!$AZ$110</definedName>
    <definedName name="Data_WerktijdfactorNatVerloop109">Data!$AZ$111</definedName>
    <definedName name="Data_WerktijdfactorNatVerloop110">Data!$AZ$112</definedName>
    <definedName name="Data_WerktijdfactorNatVerloop111">Data!$AZ$113</definedName>
    <definedName name="Data_WerktijdfactorNatVerloop112">Data!$AZ$114</definedName>
    <definedName name="Data_WerktijdfactorNatVerloop113">Data!$AZ$115</definedName>
    <definedName name="Data_WerktijdfactorNatVerloop114">Data!$AZ$116</definedName>
    <definedName name="Data_WerktijdfactorNatVerloop115">Data!$AZ$117</definedName>
    <definedName name="Data_WerktijdfactorNatVerloop116">Data!$AZ$118</definedName>
    <definedName name="Data_WerktijdfactorNatVerloop117">Data!$AZ$119</definedName>
    <definedName name="Data_WerktijdfactorNatVerloop118">Data!$AZ$120</definedName>
    <definedName name="Data_WerktijdfactorNatVerloop119">Data!$AZ$121</definedName>
    <definedName name="Data_WerktijdfactorNatVerloop120">Data!$AZ$122</definedName>
    <definedName name="Data_WerktijdfactorNatVerloop121">Data!$AZ$123</definedName>
    <definedName name="Data_WerktijdfactorNatVerloop122">Data!$AZ$124</definedName>
    <definedName name="Data_WerktijdfactorNatVerloop123">Data!$AZ$125</definedName>
    <definedName name="Data_WerktijdfactorNatVerloop124">Data!$AZ$126</definedName>
    <definedName name="Data_WerktijdfactorNatVerloop125">Data!$AZ$127</definedName>
    <definedName name="Data_WerktijdfactorNatVerloop126">Data!$AZ$128</definedName>
    <definedName name="Data_WerktijdfactorNatVerloop127">Data!$AZ$129</definedName>
    <definedName name="Data_WerktijdfactorNatVerloop128">Data!$AZ$130</definedName>
    <definedName name="Data_WerktijdfactorNatVerloop129">Data!$AZ$131</definedName>
    <definedName name="Data_WerktijdfactorNatVerloop130">Data!$AZ$132</definedName>
    <definedName name="Data_WerktijdfactorNatVerloop131">Data!$AZ$133</definedName>
    <definedName name="Data_WerktijdfactorNatVerloop132">Data!$AZ$134</definedName>
    <definedName name="Data_WerktijdfactorNatVerloop133">Data!$AZ$135</definedName>
    <definedName name="Data_WerktijdfactorNatVerloop134">Data!$AZ$136</definedName>
    <definedName name="Data_WerktijdfactorNatVerloop135">Data!$AZ$137</definedName>
    <definedName name="Data_WerktijdfactorNatVerloop136">Data!$AZ$138</definedName>
    <definedName name="Data_WerktijdfactorNatVerloop137">Data!$AZ$139</definedName>
    <definedName name="Data_WerktijdfactorNatVerloop138">Data!$AZ$140</definedName>
    <definedName name="Data_WerktijdfactorNatVerloop139">Data!$AZ$141</definedName>
    <definedName name="Data_WerktijdfactorNatVerloop140">Data!$AZ$142</definedName>
    <definedName name="Data_WerktijdfactorNatVerloop141">Data!$AZ$143</definedName>
    <definedName name="Data_WerktijdfactorNatVerloop142">Data!$AZ$144</definedName>
    <definedName name="Data_WerktijdfactorNatVerloop143">Data!$AZ$145</definedName>
    <definedName name="Data_WerktijdfactorNatVerloop144">Data!$AZ$146</definedName>
    <definedName name="Data_WerktijdfactorNatVerloop145">Data!$AZ$147</definedName>
    <definedName name="Data_WerktijdfactorNatVerloop146">Data!$AZ$148</definedName>
    <definedName name="Data_WerktijdfactorNatVerloop147">Data!$AZ$149</definedName>
    <definedName name="Data_WerktijdfactorNatVerloop148">Data!$AZ$150</definedName>
    <definedName name="Data_WerktijdfactorNatVerloop149">Data!$AZ$151</definedName>
    <definedName name="Data_WerktijdfactorNatVerloop150">Data!$AZ$152</definedName>
    <definedName name="Data_WerktijdfactorNatVerloop151">Data!$AZ$153</definedName>
    <definedName name="Data_WerktijdfactorNatVerloop152">Data!$AZ$154</definedName>
    <definedName name="Data_WerktijdfactorNatVerloop153">Data!$AZ$155</definedName>
    <definedName name="Data_WerktijdfactorNatVerloop154">Data!$AZ$156</definedName>
    <definedName name="Data_WerktijdfactorNatVerloop155">Data!$AZ$157</definedName>
    <definedName name="Data_WerktijdfactorNatVerloop156">Data!$AZ$158</definedName>
    <definedName name="Data_WerktijdfactorNatVerloop157">Data!$AZ$159</definedName>
    <definedName name="Data_WerktijdfactorNatVerloop158">Data!$AZ$160</definedName>
    <definedName name="Data_WerktijdfactorNatVerloop159">Data!$AZ$161</definedName>
    <definedName name="Data_WerktijdfactorNatVerloop160">Data!$AZ$162</definedName>
    <definedName name="Data_WerktijdfactorNatVerloop161">Data!$AZ$163</definedName>
    <definedName name="Data_WerktijdfactorNatVerloop162">Data!$AZ$164</definedName>
    <definedName name="Data_WerktijdfactorNatVerloop163">Data!$AZ$165</definedName>
    <definedName name="Data_WerktijdfactorNatVerloop164">Data!$AZ$166</definedName>
    <definedName name="Data_WerktijdfactorNatVerloop165">Data!$AZ$167</definedName>
    <definedName name="Data_WerktijdfactorNatVerloop166">Data!$AZ$168</definedName>
    <definedName name="Data_WerktijdfactorNatVerloop167">Data!$AZ$169</definedName>
    <definedName name="Data_WerktijdfactorNatVerloop168">Data!$AZ$170</definedName>
    <definedName name="Data_WerktijdfactorNatVerloop169">Data!$AZ$171</definedName>
    <definedName name="Data_WerktijdfactorNatVerloop170">Data!$AZ$172</definedName>
    <definedName name="Data_WerktijdfactorNatVerloop171">Data!$AZ$173</definedName>
    <definedName name="Data_WerktijdfactorNatVerloop172">Data!$AZ$174</definedName>
    <definedName name="Data_WerktijdfactorNatVerloop173">Data!$AZ$175</definedName>
    <definedName name="Data_WerktijdfactorNatVerloop174">Data!$AZ$176</definedName>
    <definedName name="Data_WerktijdfactorNatVerloop175">Data!$AZ$177</definedName>
    <definedName name="Data_WerktijdfactorNatVerloop176">Data!$AZ$178</definedName>
    <definedName name="Data_WerktijdfactorNatVerloop177">Data!$AZ$179</definedName>
    <definedName name="Data_WerktijdfactorNatVerloop178">Data!$AZ$180</definedName>
    <definedName name="Data_WerktijdfactorNatVerloop179">Data!$AZ$181</definedName>
    <definedName name="Data_WerktijdfactorNatVerloop180">Data!$AZ$182</definedName>
    <definedName name="Data_WerktijdfactorNatVerloop181">Data!$AZ$183</definedName>
    <definedName name="Data_WerktijdfactorNatVerloop182">Data!$AZ$184</definedName>
    <definedName name="Data_WerktijdfactorNatVerloop183">Data!$AZ$185</definedName>
    <definedName name="Data_WerktijdfactorNatVerloop184">Data!$AZ$186</definedName>
    <definedName name="Data_WerktijdfactorNatVerloop185">Data!$AZ$187</definedName>
    <definedName name="Data_WerktijdfactorNatVerloop186">Data!$AZ$188</definedName>
    <definedName name="Data_WerktijdfactorNatVerloop187">Data!$AZ$189</definedName>
    <definedName name="Data_WerktijdfactorNatVerloop188">Data!$AZ$190</definedName>
    <definedName name="Data_WerktijdfactorNatVerloop189">Data!$AZ$191</definedName>
    <definedName name="Data_WerktijdfactorNatVerloop190">Data!$AZ$192</definedName>
    <definedName name="Data_WerktijdfactorNatVerloop191">Data!$AZ$193</definedName>
    <definedName name="Data_WerktijdfactorNatVerloop192">Data!$AZ$194</definedName>
    <definedName name="Data_WerktijdfactorNatVerloop193">Data!$AZ$195</definedName>
    <definedName name="Data_WerktijdfactorNatVerloop194">Data!$AZ$196</definedName>
    <definedName name="Data_WerktijdfactorNatVerloop195">Data!$AZ$197</definedName>
    <definedName name="Data_WerktijdfactorNatVerloop196">Data!$AZ$198</definedName>
    <definedName name="Data_WerktijdfactorNatVerloop197">Data!$AZ$199</definedName>
    <definedName name="Data_WerktijdfactorNatVerloop198">Data!$AZ$200</definedName>
    <definedName name="Data_WerktijdfactorNatVerloop199">Data!$AZ$201</definedName>
    <definedName name="Data_WerktijdfactorNatVerloop200">Data!$AZ$202</definedName>
    <definedName name="Data_WerktijdfactorNatVerloop201">Data!$AZ$203</definedName>
    <definedName name="Data_WerktijdfactorNatVerloop202">Data!$AZ$204</definedName>
    <definedName name="Data_WerktijdfactorNatVerloop203">Data!$AZ$205</definedName>
    <definedName name="Data_WerktijdfactorNatVerloop204">Data!$AZ$206</definedName>
    <definedName name="Data_WerktijdfactorNatVerloop205">Data!$AZ$207</definedName>
    <definedName name="Data_WerktijdfactorNatVerloop206">Data!$AZ$208</definedName>
    <definedName name="Data_WerktijdfactorNatVerloop207">Data!$AZ$209</definedName>
    <definedName name="Data_WerktijdfactorNatVerloop208">Data!$AZ$210</definedName>
    <definedName name="Data_WerktijdfactorNatVerloop209">Data!$AZ$211</definedName>
    <definedName name="Data_WerktijdfactorNatVerloop210">Data!$AZ$212</definedName>
    <definedName name="Data_WerktijdfactorNatVerloop211">Data!$AZ$213</definedName>
    <definedName name="Data_WerktijdfactorNatVerloop212">Data!$AZ$214</definedName>
    <definedName name="Data_WerktijdfactorNatVerloop213">Data!$AZ$215</definedName>
    <definedName name="Data_WerktijdfactorNatVerloop214">Data!$AZ$216</definedName>
    <definedName name="Data_WerktijdfactorNatVerloop215">Data!$AZ$217</definedName>
    <definedName name="Data_WerktijdfactorNatVerloop216">Data!$AZ$218</definedName>
    <definedName name="Data_WerktijdfactorNatVerloop217">Data!$AZ$219</definedName>
    <definedName name="Data_WerktijdfactorNatVerloop218">Data!$AZ$220</definedName>
    <definedName name="Data_WerktijdfactorNatVerloop219">Data!$AZ$221</definedName>
    <definedName name="Data_WerktijdfactorNatVerloop220">Data!$AZ$222</definedName>
    <definedName name="Data_WerktijdfactorNatVerloop221">Data!$AZ$223</definedName>
    <definedName name="Data_WerktijdfactorNatVerloop222">Data!$AZ$224</definedName>
    <definedName name="Data_WerktijdfactorNatVerloop223">Data!$AZ$225</definedName>
    <definedName name="Data_WerktijdfactorNatVerloop224">Data!$AZ$226</definedName>
    <definedName name="Data_WerktijdfactorNatVerloop225">Data!$AZ$227</definedName>
    <definedName name="Data_WerktijdfactorNatVerloop226">Data!$AZ$228</definedName>
    <definedName name="Data_WerktijdfactorNatVerloop227">Data!$AZ$229</definedName>
    <definedName name="Data_WerktijdfactorNatVerloop228">Data!$AZ$230</definedName>
    <definedName name="Data_WerktijdfactorNatVerloop229">Data!$AZ$231</definedName>
    <definedName name="Data_WerktijdfactorNatVerloop230">Data!$AZ$232</definedName>
    <definedName name="Data_WerktijdfactorNatVerloop231">Data!$AZ$233</definedName>
    <definedName name="Data_WerktijdfactorNatVerloop232">Data!$AZ$234</definedName>
    <definedName name="Data_WerktijdfactorNatVerloop233">Data!$AZ$235</definedName>
    <definedName name="Data_WerktijdfactorNatVerloop234">Data!$AZ$236</definedName>
    <definedName name="Data_WerktijdfactorNatVerloop235">Data!$AZ$237</definedName>
    <definedName name="Data_WerktijdfactorNatVerloop236">Data!$AZ$238</definedName>
    <definedName name="Data_WerktijdfactorNatVerloop237">Data!$AZ$239</definedName>
    <definedName name="Data_WerktijdfactorNatVerloop238">Data!$AZ$240</definedName>
    <definedName name="Data_WerktijdfactorNatVerloop239">Data!$AZ$241</definedName>
    <definedName name="Data_WerktijdfactorNatVerloop240">Data!$AZ$242</definedName>
    <definedName name="Data_WerktijdfactorNatVerloop241">Data!$AZ$243</definedName>
    <definedName name="Data_WerktijdfactorNatVerloop242">Data!$AZ$244</definedName>
    <definedName name="Data_WerktijdfactorNatVerloop243">Data!$AZ$245</definedName>
    <definedName name="Data_WerktijdfactorNatVerloop244">Data!$AZ$246</definedName>
    <definedName name="Data_WerktijdfactorNatVerloop245">Data!$AZ$247</definedName>
    <definedName name="Data_WerktijdfactorNatVerloop246">Data!$AZ$248</definedName>
    <definedName name="Data_WerktijdfactorNatVerloop247">Data!$AZ$249</definedName>
    <definedName name="Data_WerktijdfactorNatVerloop248">Data!$AZ$250</definedName>
    <definedName name="Data_WerktijdfactorNatVerloop249">Data!$AZ$251</definedName>
    <definedName name="Data_WerktijdfactorNatVerloop250">Data!$AZ$252</definedName>
    <definedName name="Data_WerktijdfactorNatVerloop251">Data!$AZ$253</definedName>
    <definedName name="Data_WerktijdfactorNatVerloop252">Data!$AZ$254</definedName>
    <definedName name="Data_WerktijdfactorNatVerloop253">Data!$AZ$255</definedName>
    <definedName name="Data_WerktijdfactorNatVerloop254">Data!$AZ$256</definedName>
    <definedName name="Data_WerktijdfactorNatVerloop255">Data!$AZ$257</definedName>
    <definedName name="Data_WerktijdfactorNatVerloop256">Data!$AZ$258</definedName>
    <definedName name="Data_WerktijdfactorNatVerloop257">Data!$AZ$259</definedName>
    <definedName name="Data_WerktijdfactorNatVerloop258">Data!$AZ$260</definedName>
    <definedName name="Data_WerktijdfactorNatVerloop259">Data!$AZ$261</definedName>
    <definedName name="Data_WerktijdfactorNatVerloop260">Data!$AZ$262</definedName>
    <definedName name="Data_WerktijdfactorNatVerloop261">Data!$AZ$263</definedName>
    <definedName name="Data_WerktijdfactorNatVerloop262">Data!$AZ$264</definedName>
    <definedName name="Data_WerktijdfactorNatVerloop263">Data!$AZ$265</definedName>
    <definedName name="Data_WerktijdfactorNatVerloop264">Data!$AZ$266</definedName>
    <definedName name="Data_WerktijdfactorNatVerloop265">Data!$AZ$267</definedName>
    <definedName name="Data_WerktijdfactorNatVerloop266">Data!$AZ$268</definedName>
    <definedName name="Data_WerktijdfactorNatVerloop267">Data!$AZ$269</definedName>
    <definedName name="Data_WerktijdfactorNatVerloop268">Data!$AZ$270</definedName>
    <definedName name="Data_WerktijdfactorNatVerloop269">Data!$AZ$271</definedName>
    <definedName name="Data_WerktijdfactorNatVerloop270">Data!$AZ$272</definedName>
    <definedName name="Data_WerktijdfactorNatVerloop271">Data!$AZ$273</definedName>
    <definedName name="Data_WerktijdfactorNatVerloop272">Data!$AZ$274</definedName>
    <definedName name="Data_WerktijdfactorNatVerloop273">Data!$AZ$275</definedName>
    <definedName name="Data_WerktijdfactorNatVerloop274">Data!$AZ$276</definedName>
    <definedName name="Data_WerktijdfactorNatVerloop275">Data!$AZ$277</definedName>
    <definedName name="Data_WerktijdfactorNatVerloop276">Data!$AZ$278</definedName>
    <definedName name="Data_WerktijdfactorNatVerloop277">Data!$AZ$279</definedName>
    <definedName name="Data_WerktijdfactorNatVerloop278">Data!$AZ$280</definedName>
    <definedName name="Data_WerktijdfactorNatVerloop279">Data!$AZ$281</definedName>
    <definedName name="Data_WerktijdfactorNatVerloop280">Data!$AZ$282</definedName>
    <definedName name="Data_WerktijdfactorNatVerloop281">Data!$AZ$283</definedName>
    <definedName name="Data_WerktijdfactorNatVerloop282">Data!$AZ$284</definedName>
    <definedName name="Data_WerktijdfactorNatVerloop283">Data!$AZ$285</definedName>
    <definedName name="Data_WerktijdfactorNatVerloop284">Data!$AZ$286</definedName>
    <definedName name="Data_WerktijdfactorNatVerloop285">Data!$AZ$287</definedName>
    <definedName name="Data_WerktijdfactorNatVerloop286">Data!$AZ$288</definedName>
    <definedName name="Data_WerktijdfactorNatVerloop287">Data!$AZ$289</definedName>
    <definedName name="Data_WerktijdfactorNatVerloop288">Data!$AZ$290</definedName>
    <definedName name="Data_WerktijdfactorNatVerloop289">Data!$AZ$291</definedName>
    <definedName name="Data_WerktijdfactorNatVerloop290">Data!$AZ$292</definedName>
    <definedName name="Data_WerktijdfactorNatVerloop291">Data!$AZ$293</definedName>
    <definedName name="Data_WerktijdfactorNatVerloop292">Data!$AZ$294</definedName>
    <definedName name="Data_WerktijdfactorNatVerloop293">Data!$AZ$295</definedName>
    <definedName name="Data_WerktijdfactorNatVerloop294">Data!$AZ$296</definedName>
    <definedName name="Data_WerktijdfactorNatVerloop295">Data!$AZ$297</definedName>
    <definedName name="Data_WerktijdfactorNatVerloop296">Data!$AZ$298</definedName>
    <definedName name="Data_WerktijdfactorNatVerloop297">Data!$AZ$299</definedName>
    <definedName name="Data_WerktijdfactorNatVerloop298">Data!$AZ$300</definedName>
    <definedName name="Data_WerktijdfactorNatVerloop299">Data!$AZ$301</definedName>
    <definedName name="Data_WerktijdfactorNatVerloop300">Data!$AZ$302</definedName>
    <definedName name="Data_WerktijdfactorNatVerloop301">Data!$AZ$303</definedName>
    <definedName name="Data_WerktijdfactorNatVerloop302">Data!$AZ$304</definedName>
    <definedName name="Data_WerktijdfactorNatVerloop303">Data!$AZ$305</definedName>
    <definedName name="Data_WerktijdfactorNatVerloop304">Data!$AZ$306</definedName>
    <definedName name="Data_WerktijdfactorNatVerloop305">Data!$AZ$307</definedName>
    <definedName name="Data_WerktijdfactorNatVerloop306">Data!$AZ$308</definedName>
    <definedName name="Data_WerktijdfactorNatVerloop307">Data!$AZ$309</definedName>
    <definedName name="Data_WerktijdfactorNatVerloop308">Data!$AZ$310</definedName>
    <definedName name="Data_WerktijdfactorNatVerloop309">Data!$AZ$311</definedName>
    <definedName name="Data_WerktijdfactorNatVerloop310">Data!$AZ$312</definedName>
    <definedName name="Data_WerktijdfactorNatVerloop311">Data!$AZ$313</definedName>
    <definedName name="Data_WerktijdfactorNatVerloop312">Data!$AZ$314</definedName>
    <definedName name="Data_WerktijdfactorNatVerloop313">Data!$AZ$315</definedName>
    <definedName name="Data_WerktijdfactorNatVerloop314">Data!$AZ$316</definedName>
    <definedName name="Data_WerktijdfactorNatVerloop315">Data!$AZ$317</definedName>
    <definedName name="Data_WerktijdfactorNatVerloop316">Data!$AZ$318</definedName>
    <definedName name="Data_WerktijdfactorNatVerloop317">Data!$AZ$319</definedName>
    <definedName name="Data_WerktijdfactorNatVerloop318">Data!$AZ$320</definedName>
    <definedName name="Data_WerktijdfactorNatVerloop319">Data!$AZ$321</definedName>
    <definedName name="Data_WerktijdfactorNatVerloop320">Data!$AZ$322</definedName>
    <definedName name="Data_WerktijdfactorNatVerloop321">Data!$AZ$323</definedName>
    <definedName name="Data_WerktijdfactorNatVerloop322">Data!$AZ$324</definedName>
    <definedName name="Data_WerktijdfactorNatVerloop323">Data!$AZ$325</definedName>
    <definedName name="Data_WerktijdfactorNatVerloop324">Data!$AZ$326</definedName>
    <definedName name="Data_WerktijdfactorNatVerloop325">Data!$AZ$327</definedName>
    <definedName name="Data_WerktijdfactorNatVerloop326">Data!$AZ$328</definedName>
    <definedName name="Data_WerktijdfactorNatVerloop327">Data!$AZ$329</definedName>
    <definedName name="Data_WerktijdfactorNatVerloop328">Data!$AZ$330</definedName>
    <definedName name="Data_WerktijdfactorNatVerloop329">Data!$AZ$331</definedName>
    <definedName name="Data_WerktijdfactorNatVerloop330">Data!$AZ$332</definedName>
    <definedName name="Data_WerktijdfactorNatVerloop331">Data!$AZ$333</definedName>
    <definedName name="Data_WerktijdfactorNatVerloop332">Data!$AZ$334</definedName>
    <definedName name="Data_WerktijdfactorNatVerloop333">Data!$AZ$335</definedName>
    <definedName name="Data_WerktijdfactorNatVerloop334">Data!$AZ$336</definedName>
    <definedName name="Data_WerktijdfactorNatVerloop335">Data!$AZ$337</definedName>
    <definedName name="Data_WerktijdfactorNatVerloop336">Data!$AZ$338</definedName>
    <definedName name="Data_WerktijdfactorNatVerloop337">Data!$AZ$339</definedName>
    <definedName name="Data_WerktijdfactorNatVerloop338">Data!$AZ$340</definedName>
    <definedName name="Data_WerktijdfactorNatVerloop339">Data!$AZ$341</definedName>
    <definedName name="Data_WerktijdfactorNatVerloop340">Data!$AZ$342</definedName>
    <definedName name="Data_WerktijdfactorNatVerloop341">Data!$AZ$343</definedName>
    <definedName name="Data_WerktijdfactorNatVerloop342">Data!$AZ$344</definedName>
    <definedName name="Data_WerktijdfactorNatVerloop343">Data!$AZ$345</definedName>
    <definedName name="Data_WerktijdfactorNatVerloop344">Data!$AZ$346</definedName>
    <definedName name="Data_WerktijdfactorNatVerloop345">Data!$AZ$347</definedName>
    <definedName name="Data_WerktijdfactorNatVerloop346">Data!$AZ$348</definedName>
    <definedName name="Data_WerktijdfactorNatVerloop347">Data!$AZ$349</definedName>
    <definedName name="Data_WerktijdfactorNatVerloop348">Data!$AZ$350</definedName>
    <definedName name="Data_WerktijdfactorNatVerloop349">Data!$AZ$351</definedName>
    <definedName name="Data_WerktijdfactorNatVerloop350">Data!$AZ$352</definedName>
    <definedName name="Data_WerktijdfactorNatVerloop351">Data!$AZ$353</definedName>
    <definedName name="Data_WerktijdfactorNatVerloop352">Data!$AZ$354</definedName>
    <definedName name="Data_WerktijdfactorNatVerloop353">Data!$AZ$355</definedName>
    <definedName name="Data_WerktijdfactorNatVerloop354">Data!$AZ$356</definedName>
    <definedName name="Data_WerktijdfactorNatVerloop355">Data!$AZ$357</definedName>
    <definedName name="Data_WerktijdfactorNatVerloop356">Data!$AZ$358</definedName>
    <definedName name="Data_WerktijdfactorNatVerloop357">Data!$AZ$359</definedName>
    <definedName name="Data_WerktijdfactorNatVerloop358">Data!$AZ$360</definedName>
    <definedName name="Data_WerktijdfactorNatVerloop359">Data!$AZ$361</definedName>
    <definedName name="Data_WerktijdfactorNatVerloop360">Data!$AZ$362</definedName>
    <definedName name="Data_WerktijdfactorNatVerloop361">Data!$AZ$363</definedName>
    <definedName name="Data_WerktijdfactorNatVerloop362">Data!$AZ$364</definedName>
    <definedName name="Data_WerktijdfactorNatVerloop363">Data!$AZ$365</definedName>
    <definedName name="Data_WerktijdfactorNatVerloop364">Data!$AZ$366</definedName>
    <definedName name="Data_WerktijdfactorNatVerloop365">Data!$AZ$367</definedName>
    <definedName name="Data_WerktijdfactorNatVerloop366">Data!$AZ$368</definedName>
    <definedName name="Data_WerktijdfactorNatVerloop367">Data!$AZ$369</definedName>
    <definedName name="Data_WerktijdfactorNatVerloop368">Data!$AZ$370</definedName>
    <definedName name="Data_WerktijdfactorNatVerloop369">Data!$AZ$371</definedName>
    <definedName name="Data_WerktijdfactorNatVerloop370">Data!$AZ$372</definedName>
    <definedName name="Data_WerktijdfactorNatVerloop371">Data!$AZ$373</definedName>
    <definedName name="Data_WerktijdfactorNatVerloop372">Data!$AZ$374</definedName>
    <definedName name="Data_WerktijdfactorNatVerloop373">Data!$AZ$375</definedName>
    <definedName name="Data_WerktijdfactorNatVerloop374">Data!$AZ$376</definedName>
    <definedName name="Data_WerktijdfactorNatVerloop375">Data!$AZ$377</definedName>
    <definedName name="Data_WerktijdfactorNatVerloop376">Data!$AZ$378</definedName>
    <definedName name="Data_WerktijdfactorNatVerloop377">Data!$AZ$379</definedName>
    <definedName name="Data_WerktijdfactorNatVerloop378">Data!$AZ$380</definedName>
    <definedName name="Data_WerktijdfactorNatVerloop379">Data!$AZ$381</definedName>
    <definedName name="Data_WerktijdfactorNatVerloop380">Data!$AZ$382</definedName>
    <definedName name="Data_WerktijdfactorNatVerloop381">Data!$AZ$383</definedName>
    <definedName name="Data_WerktijdfactorNatVerloop382">Data!$AZ$384</definedName>
    <definedName name="Data_WerktijdfactorNatVerloop383">Data!$AZ$385</definedName>
    <definedName name="Data_WerktijdfactorNatVerloop384">Data!$AZ$386</definedName>
    <definedName name="Data_WerktijdfactorNatVerloop385">Data!$AZ$387</definedName>
    <definedName name="Data_WerktijdfactorNatVerloop386">Data!$AZ$388</definedName>
    <definedName name="Data_WerktijdfactorNatVerloop387">Data!$AZ$389</definedName>
    <definedName name="Data_WerktijdfactorNatVerloop388">Data!$AZ$390</definedName>
    <definedName name="Data_WerktijdfactorNatVerloop389">Data!$AZ$391</definedName>
    <definedName name="Data_WerktijdfactorNatVerloop390">Data!$AZ$392</definedName>
    <definedName name="Data_WerktijdfactorNatVerloop391">Data!$AZ$393</definedName>
    <definedName name="Data_WerktijdfactorNatVerloop392">Data!$AZ$394</definedName>
    <definedName name="Data_WerktijdfactorNatVerloop393">Data!$AZ$395</definedName>
    <definedName name="Data_WerktijdfactorNatVerloop394">Data!$AZ$396</definedName>
    <definedName name="Data_WerktijdfactorNatVerloop395">Data!$AZ$397</definedName>
    <definedName name="Data_WerktijdfactorNatVerloop396">Data!$AZ$398</definedName>
    <definedName name="Data_WerktijdfactorNatVerloop397">Data!$AZ$399</definedName>
    <definedName name="Data_WerktijdfactorNatVerloop398">Data!$AZ$400</definedName>
    <definedName name="Data_WerktijdfactorNatVerloop399">Data!$AZ$401</definedName>
    <definedName name="Data_WerktijdfactorNatVerloop400">Data!$AZ$402</definedName>
    <definedName name="Data_WerktijdfactorNatVerloop401">Data!$AZ$403</definedName>
    <definedName name="Data_WerktijdfactorNatVerloop402">Data!$AZ$404</definedName>
    <definedName name="Data_WerktijdfactorNatVerloop403">Data!$AZ$405</definedName>
    <definedName name="Data_WerktijdfactorNatVerloop404">Data!$AZ$406</definedName>
    <definedName name="Data_WerktijdfactorNatVerloop405">Data!$AZ$407</definedName>
    <definedName name="Data_WerktijdfactorNatVerloop406">Data!$AZ$408</definedName>
    <definedName name="Data_WerktijdfactorNatVerloop407">Data!$AZ$409</definedName>
    <definedName name="Data_WerktijdfactorNatVerloop408">Data!$AZ$410</definedName>
    <definedName name="Data_WerktijdfactorNatVerloop409">Data!$AZ$411</definedName>
    <definedName name="Data_WerktijdfactorNatVerloop410">Data!$AZ$412</definedName>
    <definedName name="Data_WerktijdfactorNatVerloop411">Data!$AZ$413</definedName>
    <definedName name="Data_WerktijdfactorNatVerloop412">Data!$AZ$414</definedName>
    <definedName name="Data_WerktijdfactorNatVerloop413">Data!$AZ$415</definedName>
    <definedName name="Data_WerktijdfactorNatVerloop414">Data!$AZ$416</definedName>
    <definedName name="Data_WerktijdfactorNatVerloop415">Data!$AZ$417</definedName>
    <definedName name="Data_WerktijdfactorNatVerloop416">Data!$AZ$418</definedName>
    <definedName name="Data_WerktijdfactorNatVerloop417">Data!$AZ$419</definedName>
    <definedName name="Data_WerktijdfactorNatVerloop418">Data!$AZ$420</definedName>
    <definedName name="Data_WerktijdfactorNatVerloop419">Data!$AZ$421</definedName>
    <definedName name="Data_WerktijdfactorNatVerloop420">Data!$AZ$422</definedName>
    <definedName name="Data_WerktijdfactorNatVerloop421">Data!$AZ$423</definedName>
    <definedName name="Data_WerktijdfactorNatVerloop422">Data!$AZ$424</definedName>
    <definedName name="Data_WerktijdfactorNatVerloop423">Data!$AZ$425</definedName>
    <definedName name="Data_WerktijdfactorNatVerloop424">Data!$AZ$426</definedName>
    <definedName name="Data_WerktijdfactorNatVerloop425">Data!$AZ$427</definedName>
    <definedName name="Data_WerktijdfactorNatVerloop426">Data!$AZ$428</definedName>
    <definedName name="Data_WerktijdfactorNatVerloop427">Data!$AZ$429</definedName>
    <definedName name="Data_WerktijdfactorNatVerloop428">Data!$AZ$430</definedName>
    <definedName name="Data_WerktijdfactorNatVerloop429">Data!$AZ$431</definedName>
    <definedName name="Data_WerktijdfactorNatVerloop430">Data!$AZ$432</definedName>
    <definedName name="Data_WerktijdfactorNatVerloop431">Data!$AZ$433</definedName>
    <definedName name="Data_WerktijdfactorNatVerloop432">Data!$AZ$434</definedName>
    <definedName name="Data_WerktijdfactorNatVerloop433">Data!$AZ$435</definedName>
    <definedName name="Data_WerktijdfactorNatVerloop434">Data!$AZ$436</definedName>
    <definedName name="Data_WerktijdfactorNatVerloop435">Data!$AZ$437</definedName>
    <definedName name="Data_WerktijdfactorNatVerloop436">Data!$AZ$438</definedName>
    <definedName name="Data_WerktijdfactorNatVerloop437">Data!$AZ$439</definedName>
    <definedName name="Data_WerktijdfactorNatVerloop438">Data!$AZ$440</definedName>
    <definedName name="Data_WerktijdfactorNatVerloop439">Data!$AZ$441</definedName>
    <definedName name="Data_WerktijdfactorNatVerloop440">Data!$AZ$442</definedName>
    <definedName name="Data_WerktijdfactorNatVerloop441">Data!$AZ$443</definedName>
    <definedName name="Data_WerktijdfactorNatVerloop442">Data!$AZ$444</definedName>
    <definedName name="Data_WerktijdfactorNatVerloop443">Data!$AZ$445</definedName>
    <definedName name="Data_WerktijdfactorNatVerloop444">Data!$AZ$446</definedName>
    <definedName name="Data_WerktijdfactorNatVerloop445">Data!$AZ$447</definedName>
    <definedName name="Data_WerktijdfactorNatVerloop446">Data!$AZ$448</definedName>
    <definedName name="Data_WerktijdfactorNatVerloop447">Data!$AZ$449</definedName>
    <definedName name="Data_WerktijdfactorNatVerloop448">Data!$AZ$450</definedName>
    <definedName name="Data_WerktijdfactorNatVerloop449">Data!$AZ$451</definedName>
    <definedName name="Data_WerktijdfactorNatVerloop450">Data!$AZ$452</definedName>
    <definedName name="Data_WerktijdfactorNatVerloop451">Data!$AZ$453</definedName>
    <definedName name="Data_WerktijdfactorNatVerloop452">Data!$AZ$454</definedName>
    <definedName name="Data_WerktijdfactorNatVerloop453">Data!$AZ$455</definedName>
    <definedName name="Data_WerktijdfactorNatVerloop454">Data!$AZ$456</definedName>
    <definedName name="Data_WerktijdfactorNatVerloop455">Data!$AZ$457</definedName>
    <definedName name="Data_WerktijdfactorNatVerloop456">Data!$AZ$458</definedName>
    <definedName name="Data_WerktijdfactorNatVerloop457">Data!$AZ$459</definedName>
    <definedName name="Data_WerktijdfactorNatVerloop458">Data!$AZ$460</definedName>
    <definedName name="Data_WerktijdfactorNatVerloop459">Data!$AZ$461</definedName>
    <definedName name="Data_WerktijdfactorNatVerloop460">Data!$AZ$462</definedName>
    <definedName name="Data_WerktijdfactorNatVerloop461">Data!$AZ$463</definedName>
    <definedName name="Data_WerktijdfactorNatVerloop462">Data!$AZ$464</definedName>
    <definedName name="Data_WerktijdfactorNatVerloop463">Data!$AZ$465</definedName>
    <definedName name="Data_WerktijdfactorNatVerloop464">Data!$AZ$466</definedName>
    <definedName name="Data_WerktijdfactorNatVerloop465">Data!$AZ$467</definedName>
    <definedName name="Data_WerktijdfactorNatVerloop466">Data!$AZ$468</definedName>
    <definedName name="Data_WerktijdfactorNatVerloop467">Data!$AZ$469</definedName>
    <definedName name="Data_WerktijdfactorNatVerloop468">Data!$AZ$470</definedName>
    <definedName name="Data_WerktijdfactorNatVerloop469">Data!$AZ$471</definedName>
    <definedName name="Data_WerktijdfactorNatVerloop470">Data!$AZ$472</definedName>
    <definedName name="Data_WerktijdfactorNatVerloop471">Data!$AZ$473</definedName>
    <definedName name="Data_WerktijdfactorNatVerloop472">Data!$AZ$474</definedName>
    <definedName name="Data_WerktijdfactorNatVerloop473">Data!$AZ$475</definedName>
    <definedName name="Data_WerktijdfactorNatVerloop474">Data!$AZ$476</definedName>
    <definedName name="Data_WerktijdfactorNatVerloop475">Data!$AZ$477</definedName>
    <definedName name="Data_WerktijdfactorNatVerloop476">Data!$AZ$478</definedName>
    <definedName name="Data_WerktijdfactorNatVerloop477">Data!$AZ$479</definedName>
    <definedName name="Data_WerktijdfactorNatVerloop478">Data!$AZ$480</definedName>
    <definedName name="Data_WerktijdfactorNatVerloop479">Data!$AZ$481</definedName>
    <definedName name="Data_WerktijdfactorNatVerloop480">Data!$AZ$482</definedName>
    <definedName name="Data_WerktijdfactorNatVerloop481">Data!$AZ$483</definedName>
    <definedName name="Data_WerktijdfactorNatVerloop482">Data!$AZ$484</definedName>
    <definedName name="Data_WerktijdfactorNatVerloop483">Data!$AZ$485</definedName>
    <definedName name="Data_WerktijdfactorNatVerloop484">Data!$AZ$486</definedName>
    <definedName name="Data_WerktijdfactorNatVerloop485">Data!$AZ$487</definedName>
    <definedName name="Data_WerktijdfactorNatVerloop486">Data!$AZ$488</definedName>
    <definedName name="Data_WerktijdfactorNatVerloop487">Data!$AZ$489</definedName>
    <definedName name="Data_WerktijdfactorNatVerloop488">Data!$AZ$490</definedName>
    <definedName name="Data_WerktijdfactorNatVerloop489">Data!$AZ$491</definedName>
    <definedName name="Data_WerktijdfactorNatVerloop490">Data!$AZ$492</definedName>
    <definedName name="Data_WerktijdfactorNatVerloop491">Data!$AZ$493</definedName>
    <definedName name="Data_WerktijdfactorNatVerloop492">Data!$AZ$494</definedName>
    <definedName name="Data_WerktijdfactorNatVerloop493">Data!$AZ$495</definedName>
    <definedName name="Data_WerktijdfactorNatVerloop494">Data!$AZ$496</definedName>
    <definedName name="Data_WerktijdfactorNatVerloop495">Data!$AZ$497</definedName>
    <definedName name="Data_WerktijdfactorNatVerloop496">Data!$AZ$498</definedName>
    <definedName name="Data_WerktijdfactorNatVerloop497">Data!$AZ$499</definedName>
    <definedName name="Data_WerktijdfactorNatVerloop498">Data!$AZ$500</definedName>
    <definedName name="Data_WerktijdfactorNatVerloop499">Data!$AZ$501</definedName>
    <definedName name="Data_WerktijdfactorNatVerloop500">Data!$AZ$502</definedName>
    <definedName name="Data_WerktijdfactorTijd001">Data!$V$3</definedName>
    <definedName name="Data_WerktijdfactorTijd002">Data!$V$4</definedName>
    <definedName name="Data_WerktijdfactorTijd003">Data!$V$5</definedName>
    <definedName name="Data_WerktijdfactorTijd004">Data!$V$6</definedName>
    <definedName name="Data_WerktijdfactorTijd005">Data!$V$7</definedName>
    <definedName name="Data_WerktijdfactorTijd006">Data!$V$8</definedName>
    <definedName name="Data_WerktijdfactorTijd007">Data!$V$9</definedName>
    <definedName name="Data_WerktijdfactorTijd008">Data!$V$10</definedName>
    <definedName name="Data_WerktijdfactorTijd009">Data!$V$11</definedName>
    <definedName name="Data_WerktijdfactorTijd010">Data!$V$12</definedName>
    <definedName name="Data_WerktijdfactorTijd011">Data!$V$13</definedName>
    <definedName name="Data_WerktijdfactorTijd012">Data!$V$14</definedName>
    <definedName name="Data_WerktijdfactorTijd013">Data!$V$15</definedName>
    <definedName name="Data_WerktijdfactorTijd014">Data!$V$16</definedName>
    <definedName name="Data_WerktijdfactorTijd015">Data!$V$17</definedName>
    <definedName name="Data_WerktijdfactorTijd016">Data!$V$18</definedName>
    <definedName name="Data_WerktijdfactorTijd017">Data!$V$19</definedName>
    <definedName name="Data_WerktijdfactorTijd018">Data!$V$20</definedName>
    <definedName name="Data_WerktijdfactorTijd019">Data!$V$21</definedName>
    <definedName name="Data_WerktijdfactorTijd020">Data!$V$22</definedName>
    <definedName name="Data_WerktijdfactorTijd021">Data!$V$23</definedName>
    <definedName name="Data_WerktijdfactorTijd022">Data!$V$24</definedName>
    <definedName name="Data_WerktijdfactorTijd023">Data!$V$25</definedName>
    <definedName name="Data_WerktijdfactorTijd024">Data!$V$26</definedName>
    <definedName name="Data_WerktijdfactorTijd025">Data!$V$27</definedName>
    <definedName name="Data_WerktijdfactorTijd026">Data!$V$28</definedName>
    <definedName name="Data_WerktijdfactorTijd027">Data!$V$29</definedName>
    <definedName name="Data_WerktijdfactorTijd028">Data!$V$30</definedName>
    <definedName name="Data_WerktijdfactorTijd029">Data!$V$31</definedName>
    <definedName name="Data_WerktijdfactorTijd030">Data!$V$32</definedName>
    <definedName name="Data_WerktijdfactorTijd031">Data!$V$33</definedName>
    <definedName name="Data_WerktijdfactorTijd032">Data!$V$34</definedName>
    <definedName name="Data_WerktijdfactorTijd033">Data!$V$35</definedName>
    <definedName name="Data_WerktijdfactorTijd034">Data!$V$36</definedName>
    <definedName name="Data_WerktijdfactorTijd035">Data!$V$37</definedName>
    <definedName name="Data_WerktijdfactorTijd036">Data!$V$38</definedName>
    <definedName name="Data_WerktijdfactorTijd037">Data!$V$39</definedName>
    <definedName name="Data_WerktijdfactorTijd038">Data!$V$40</definedName>
    <definedName name="Data_WerktijdfactorTijd039">Data!$V$41</definedName>
    <definedName name="Data_WerktijdfactorTijd040">Data!$V$42</definedName>
    <definedName name="Data_WerktijdfactorTijd041">Data!$V$43</definedName>
    <definedName name="Data_WerktijdfactorTijd042">Data!$V$44</definedName>
    <definedName name="Data_WerktijdfactorTijd043">Data!$V$45</definedName>
    <definedName name="Data_WerktijdfactorTijd044">Data!$V$46</definedName>
    <definedName name="Data_WerktijdfactorTijd045">Data!$V$47</definedName>
    <definedName name="Data_WerktijdfactorTijd046">Data!$V$48</definedName>
    <definedName name="Data_WerktijdfactorTijd047">Data!$V$49</definedName>
    <definedName name="Data_WerktijdfactorTijd048">Data!$V$50</definedName>
    <definedName name="Data_WerktijdfactorTijd049">Data!$V$51</definedName>
    <definedName name="Data_WerktijdfactorTijd050">Data!$V$52</definedName>
    <definedName name="Data_WerktijdfactorTijd051">Data!$V$53</definedName>
    <definedName name="Data_WerktijdfactorTijd052">Data!$V$54</definedName>
    <definedName name="Data_WerktijdfactorTijd053">Data!$V$55</definedName>
    <definedName name="Data_WerktijdfactorTijd054">Data!$V$56</definedName>
    <definedName name="Data_WerktijdfactorTijd055">Data!$V$57</definedName>
    <definedName name="Data_WerktijdfactorTijd056">Data!$V$58</definedName>
    <definedName name="Data_WerktijdfactorTijd057">Data!$V$59</definedName>
    <definedName name="Data_WerktijdfactorTijd058">Data!$V$60</definedName>
    <definedName name="Data_WerktijdfactorTijd059">Data!$V$61</definedName>
    <definedName name="Data_WerktijdfactorTijd060">Data!$V$62</definedName>
    <definedName name="Data_WerktijdfactorTijd061">Data!$V$63</definedName>
    <definedName name="Data_WerktijdfactorTijd062">Data!$V$64</definedName>
    <definedName name="Data_WerktijdfactorTijd063">Data!$V$65</definedName>
    <definedName name="Data_WerktijdfactorTijd064">Data!$V$66</definedName>
    <definedName name="Data_WerktijdfactorTijd065">Data!$V$67</definedName>
    <definedName name="Data_WerktijdfactorTijd066">Data!$V$68</definedName>
    <definedName name="Data_WerktijdfactorTijd067">Data!$V$69</definedName>
    <definedName name="Data_WerktijdfactorTijd068">Data!$V$70</definedName>
    <definedName name="Data_WerktijdfactorTijd069">Data!$V$71</definedName>
    <definedName name="Data_WerktijdfactorTijd070">Data!$V$72</definedName>
    <definedName name="Data_WerktijdfactorTijd071">Data!$V$73</definedName>
    <definedName name="Data_WerktijdfactorTijd072">Data!$V$74</definedName>
    <definedName name="Data_WerktijdfactorTijd073">Data!$V$75</definedName>
    <definedName name="Data_WerktijdfactorTijd074">Data!$V$76</definedName>
    <definedName name="Data_WerktijdfactorTijd075">Data!$V$77</definedName>
    <definedName name="Data_WerktijdfactorTijd076">Data!$V$78</definedName>
    <definedName name="Data_WerktijdfactorTijd077">Data!$V$79</definedName>
    <definedName name="Data_WerktijdfactorTijd078">Data!$V$80</definedName>
    <definedName name="Data_WerktijdfactorTijd079">Data!$V$81</definedName>
    <definedName name="Data_WerktijdfactorTijd080">Data!$V$82</definedName>
    <definedName name="Data_WerktijdfactorTijd081">Data!$V$83</definedName>
    <definedName name="Data_WerktijdfactorTijd082">Data!$V$84</definedName>
    <definedName name="Data_WerktijdfactorTijd083">Data!$V$85</definedName>
    <definedName name="Data_WerktijdfactorTijd084">Data!$V$86</definedName>
    <definedName name="Data_WerktijdfactorTijd085">Data!$V$87</definedName>
    <definedName name="Data_WerktijdfactorTijd086">Data!$V$88</definedName>
    <definedName name="Data_WerktijdfactorTijd087">Data!$V$89</definedName>
    <definedName name="Data_WerktijdfactorTijd088">Data!$V$90</definedName>
    <definedName name="Data_WerktijdfactorTijd089">Data!$V$91</definedName>
    <definedName name="Data_WerktijdfactorTijd090">Data!$V$92</definedName>
    <definedName name="Data_WerktijdfactorTijd091">Data!$V$93</definedName>
    <definedName name="Data_WerktijdfactorTijd092">Data!$V$94</definedName>
    <definedName name="Data_WerktijdfactorTijd093">Data!$V$95</definedName>
    <definedName name="Data_WerktijdfactorTijd094">Data!$V$96</definedName>
    <definedName name="Data_WerktijdfactorTijd095">Data!$V$97</definedName>
    <definedName name="Data_WerktijdfactorTijd096">Data!$V$98</definedName>
    <definedName name="Data_WerktijdfactorTijd097">Data!$V$99</definedName>
    <definedName name="Data_WerktijdfactorTijd098">Data!$V$100</definedName>
    <definedName name="Data_WerktijdfactorTijd099">Data!$V$101</definedName>
    <definedName name="Data_WerktijdfactorTijd100">Data!$V$102</definedName>
    <definedName name="Data_WerktijdfactorTijd101">Data!$V$103</definedName>
    <definedName name="Data_WerktijdfactorTijd102">Data!$V$104</definedName>
    <definedName name="Data_WerktijdfactorTijd103">Data!$V$105</definedName>
    <definedName name="Data_WerktijdfactorTijd104">Data!$V$106</definedName>
    <definedName name="Data_WerktijdfactorTijd105">Data!$V$107</definedName>
    <definedName name="Data_WerktijdfactorTijd106">Data!$V$108</definedName>
    <definedName name="Data_WerktijdfactorTijd107">Data!$V$109</definedName>
    <definedName name="Data_WerktijdfactorTijd108">Data!$V$110</definedName>
    <definedName name="Data_WerktijdfactorTijd109">Data!$V$111</definedName>
    <definedName name="Data_WerktijdfactorTijd110">Data!$V$112</definedName>
    <definedName name="Data_WerktijdfactorTijd111">Data!$V$113</definedName>
    <definedName name="Data_WerktijdfactorTijd112">Data!$V$114</definedName>
    <definedName name="Data_WerktijdfactorTijd113">Data!$V$115</definedName>
    <definedName name="Data_WerktijdfactorTijd114">Data!$V$116</definedName>
    <definedName name="Data_WerktijdfactorTijd115">Data!$V$117</definedName>
    <definedName name="Data_WerktijdfactorTijd116">Data!$V$118</definedName>
    <definedName name="Data_WerktijdfactorTijd117">Data!$V$119</definedName>
    <definedName name="Data_WerktijdfactorTijd118">Data!$V$120</definedName>
    <definedName name="Data_WerktijdfactorTijd119">Data!$V$121</definedName>
    <definedName name="Data_WerktijdfactorTijd120">Data!$V$122</definedName>
    <definedName name="Data_WerktijdfactorTijd121">Data!$V$123</definedName>
    <definedName name="Data_WerktijdfactorTijd122">Data!$V$124</definedName>
    <definedName name="Data_WerktijdfactorTijd123">Data!$V$125</definedName>
    <definedName name="Data_WerktijdfactorTijd124">Data!$V$126</definedName>
    <definedName name="Data_WerktijdfactorTijd125">Data!$V$127</definedName>
    <definedName name="Data_WerktijdfactorTijd126">Data!$V$128</definedName>
    <definedName name="Data_WerktijdfactorTijd127">Data!$V$129</definedName>
    <definedName name="Data_WerktijdfactorTijd128">Data!$V$130</definedName>
    <definedName name="Data_WerktijdfactorTijd129">Data!$V$131</definedName>
    <definedName name="Data_WerktijdfactorTijd130">Data!$V$132</definedName>
    <definedName name="Data_WerktijdfactorTijd131">Data!$V$133</definedName>
    <definedName name="Data_WerktijdfactorTijd132">Data!$V$134</definedName>
    <definedName name="Data_WerktijdfactorTijd133">Data!$V$135</definedName>
    <definedName name="Data_WerktijdfactorTijd134">Data!$V$136</definedName>
    <definedName name="Data_WerktijdfactorTijd135">Data!$V$137</definedName>
    <definedName name="Data_WerktijdfactorTijd136">Data!$V$138</definedName>
    <definedName name="Data_WerktijdfactorTijd137">Data!$V$139</definedName>
    <definedName name="Data_WerktijdfactorTijd138">Data!$V$140</definedName>
    <definedName name="Data_WerktijdfactorTijd139">Data!$V$141</definedName>
    <definedName name="Data_WerktijdfactorTijd140">Data!$V$142</definedName>
    <definedName name="Data_WerktijdfactorTijd141">Data!$V$143</definedName>
    <definedName name="Data_WerktijdfactorTijd142">Data!$V$144</definedName>
    <definedName name="Data_WerktijdfactorTijd143">Data!$V$145</definedName>
    <definedName name="Data_WerktijdfactorTijd144">Data!$V$146</definedName>
    <definedName name="Data_WerktijdfactorTijd145">Data!$V$147</definedName>
    <definedName name="Data_WerktijdfactorTijd146">Data!$V$148</definedName>
    <definedName name="Data_WerktijdfactorTijd147">Data!$V$149</definedName>
    <definedName name="Data_WerktijdfactorTijd148">Data!$V$150</definedName>
    <definedName name="Data_WerktijdfactorTijd149">Data!$V$151</definedName>
    <definedName name="Data_WerktijdfactorTijd150">Data!$V$152</definedName>
    <definedName name="Data_WerktijdfactorTijd151">Data!$V$153</definedName>
    <definedName name="Data_WerktijdfactorTijd152">Data!$V$154</definedName>
    <definedName name="Data_WerktijdfactorTijd153">Data!$V$155</definedName>
    <definedName name="Data_WerktijdfactorTijd154">Data!$V$156</definedName>
    <definedName name="Data_WerktijdfactorTijd155">Data!$V$157</definedName>
    <definedName name="Data_WerktijdfactorTijd156">Data!$V$158</definedName>
    <definedName name="Data_WerktijdfactorTijd157">Data!$V$159</definedName>
    <definedName name="Data_WerktijdfactorTijd158">Data!$V$160</definedName>
    <definedName name="Data_WerktijdfactorTijd159">Data!$V$161</definedName>
    <definedName name="Data_WerktijdfactorTijd160">Data!$V$162</definedName>
    <definedName name="Data_WerktijdfactorTijd161">Data!$V$163</definedName>
    <definedName name="Data_WerktijdfactorTijd162">Data!$V$164</definedName>
    <definedName name="Data_WerktijdfactorTijd163">Data!$V$165</definedName>
    <definedName name="Data_WerktijdfactorTijd164">Data!$V$166</definedName>
    <definedName name="Data_WerktijdfactorTijd165">Data!$V$167</definedName>
    <definedName name="Data_WerktijdfactorTijd166">Data!$V$168</definedName>
    <definedName name="Data_WerktijdfactorTijd167">Data!$V$169</definedName>
    <definedName name="Data_WerktijdfactorTijd168">Data!$V$170</definedName>
    <definedName name="Data_WerktijdfactorTijd169">Data!$V$171</definedName>
    <definedName name="Data_WerktijdfactorTijd170">Data!$V$172</definedName>
    <definedName name="Data_WerktijdfactorTijd171">Data!$V$173</definedName>
    <definedName name="Data_WerktijdfactorTijd172">Data!$V$174</definedName>
    <definedName name="Data_WerktijdfactorTijd173">Data!$V$175</definedName>
    <definedName name="Data_WerktijdfactorTijd174">Data!$V$176</definedName>
    <definedName name="Data_WerktijdfactorTijd175">Data!$V$177</definedName>
    <definedName name="Data_WerktijdfactorTijd176">Data!$V$178</definedName>
    <definedName name="Data_WerktijdfactorTijd177">Data!$V$179</definedName>
    <definedName name="Data_WerktijdfactorTijd178">Data!$V$180</definedName>
    <definedName name="Data_WerktijdfactorTijd179">Data!$V$181</definedName>
    <definedName name="Data_WerktijdfactorTijd180">Data!$V$182</definedName>
    <definedName name="Data_WerktijdfactorTijd181">Data!$V$183</definedName>
    <definedName name="Data_WerktijdfactorTijd182">Data!$V$184</definedName>
    <definedName name="Data_WerktijdfactorTijd183">Data!$V$185</definedName>
    <definedName name="Data_WerktijdfactorTijd184">Data!$V$186</definedName>
    <definedName name="Data_WerktijdfactorTijd185">Data!$V$187</definedName>
    <definedName name="Data_WerktijdfactorTijd186">Data!$V$188</definedName>
    <definedName name="Data_WerktijdfactorTijd187">Data!$V$189</definedName>
    <definedName name="Data_WerktijdfactorTijd188">Data!$V$190</definedName>
    <definedName name="Data_WerktijdfactorTijd189">Data!$V$191</definedName>
    <definedName name="Data_WerktijdfactorTijd190">Data!$V$192</definedName>
    <definedName name="Data_WerktijdfactorTijd191">Data!$V$193</definedName>
    <definedName name="Data_WerktijdfactorTijd192">Data!$V$194</definedName>
    <definedName name="Data_WerktijdfactorTijd193">Data!$V$195</definedName>
    <definedName name="Data_WerktijdfactorTijd194">Data!$V$196</definedName>
    <definedName name="Data_WerktijdfactorTijd195">Data!$V$197</definedName>
    <definedName name="Data_WerktijdfactorTijd196">Data!$V$198</definedName>
    <definedName name="Data_WerktijdfactorTijd197">Data!$V$199</definedName>
    <definedName name="Data_WerktijdfactorTijd198">Data!$V$200</definedName>
    <definedName name="Data_WerktijdfactorTijd199">Data!$V$201</definedName>
    <definedName name="Data_WerktijdfactorTijd200">Data!$V$202</definedName>
    <definedName name="Data_WerktijdfactorTijd201">Data!$V$203</definedName>
    <definedName name="Data_WerktijdfactorTijd202">Data!$V$204</definedName>
    <definedName name="Data_WerktijdfactorTijd203">Data!$V$205</definedName>
    <definedName name="Data_WerktijdfactorTijd204">Data!$V$206</definedName>
    <definedName name="Data_WerktijdfactorTijd205">Data!$V$207</definedName>
    <definedName name="Data_WerktijdfactorTijd206">Data!$V$208</definedName>
    <definedName name="Data_WerktijdfactorTijd207">Data!$V$209</definedName>
    <definedName name="Data_WerktijdfactorTijd208">Data!$V$210</definedName>
    <definedName name="Data_WerktijdfactorTijd209">Data!$V$211</definedName>
    <definedName name="Data_WerktijdfactorTijd210">Data!$V$212</definedName>
    <definedName name="Data_WerktijdfactorTijd211">Data!$V$213</definedName>
    <definedName name="Data_WerktijdfactorTijd212">Data!$V$214</definedName>
    <definedName name="Data_WerktijdfactorTijd213">Data!$V$215</definedName>
    <definedName name="Data_WerktijdfactorTijd214">Data!$V$216</definedName>
    <definedName name="Data_WerktijdfactorTijd215">Data!$V$217</definedName>
    <definedName name="Data_WerktijdfactorTijd216">Data!$V$218</definedName>
    <definedName name="Data_WerktijdfactorTijd217">Data!$V$219</definedName>
    <definedName name="Data_WerktijdfactorTijd218">Data!$V$220</definedName>
    <definedName name="Data_WerktijdfactorTijd219">Data!$V$221</definedName>
    <definedName name="Data_WerktijdfactorTijd220">Data!$V$222</definedName>
    <definedName name="Data_WerktijdfactorTijd221">Data!$V$223</definedName>
    <definedName name="Data_WerktijdfactorTijd222">Data!$V$224</definedName>
    <definedName name="Data_WerktijdfactorTijd223">Data!$V$225</definedName>
    <definedName name="Data_WerktijdfactorTijd224">Data!$V$226</definedName>
    <definedName name="Data_WerktijdfactorTijd225">Data!$V$227</definedName>
    <definedName name="Data_WerktijdfactorTijd226">Data!$V$228</definedName>
    <definedName name="Data_WerktijdfactorTijd227">Data!$V$229</definedName>
    <definedName name="Data_WerktijdfactorTijd228">Data!$V$230</definedName>
    <definedName name="Data_WerktijdfactorTijd229">Data!$V$231</definedName>
    <definedName name="Data_WerktijdfactorTijd230">Data!$V$232</definedName>
    <definedName name="Data_WerktijdfactorTijd231">Data!$V$233</definedName>
    <definedName name="Data_WerktijdfactorTijd232">Data!$V$234</definedName>
    <definedName name="Data_WerktijdfactorTijd233">Data!$V$235</definedName>
    <definedName name="Data_WerktijdfactorTijd234">Data!$V$236</definedName>
    <definedName name="Data_WerktijdfactorTijd235">Data!$V$237</definedName>
    <definedName name="Data_WerktijdfactorTijd236">Data!$V$238</definedName>
    <definedName name="Data_WerktijdfactorTijd237">Data!$V$239</definedName>
    <definedName name="Data_WerktijdfactorTijd238">Data!$V$240</definedName>
    <definedName name="Data_WerktijdfactorTijd239">Data!$V$241</definedName>
    <definedName name="Data_WerktijdfactorTijd240">Data!$V$242</definedName>
    <definedName name="Data_WerktijdfactorTijd241">Data!$V$243</definedName>
    <definedName name="Data_WerktijdfactorTijd242">Data!$V$244</definedName>
    <definedName name="Data_WerktijdfactorTijd243">Data!$V$245</definedName>
    <definedName name="Data_WerktijdfactorTijd244">Data!$V$246</definedName>
    <definedName name="Data_WerktijdfactorTijd245">Data!$V$247</definedName>
    <definedName name="Data_WerktijdfactorTijd246">Data!$V$248</definedName>
    <definedName name="Data_WerktijdfactorTijd247">Data!$V$249</definedName>
    <definedName name="Data_WerktijdfactorTijd248">Data!$V$250</definedName>
    <definedName name="Data_WerktijdfactorTijd249">Data!$V$251</definedName>
    <definedName name="Data_WerktijdfactorTijd250">Data!$V$252</definedName>
    <definedName name="Data_WerktijdfactorTijd251">Data!$V$253</definedName>
    <definedName name="Data_WerktijdfactorTijd252">Data!$V$254</definedName>
    <definedName name="Data_WerktijdfactorTijd253">Data!$V$255</definedName>
    <definedName name="Data_WerktijdfactorTijd254">Data!$V$256</definedName>
    <definedName name="Data_WerktijdfactorTijd255">Data!$V$257</definedName>
    <definedName name="Data_WerktijdfactorTijd256">Data!$V$258</definedName>
    <definedName name="Data_WerktijdfactorTijd257">Data!$V$259</definedName>
    <definedName name="Data_WerktijdfactorTijd258">Data!$V$260</definedName>
    <definedName name="Data_WerktijdfactorTijd259">Data!$V$261</definedName>
    <definedName name="Data_WerktijdfactorTijd260">Data!$V$262</definedName>
    <definedName name="Data_WerktijdfactorTijd261">Data!$V$263</definedName>
    <definedName name="Data_WerktijdfactorTijd262">Data!$V$264</definedName>
    <definedName name="Data_WerktijdfactorTijd263">Data!$V$265</definedName>
    <definedName name="Data_WerktijdfactorTijd264">Data!$V$266</definedName>
    <definedName name="Data_WerktijdfactorTijd265">Data!$V$267</definedName>
    <definedName name="Data_WerktijdfactorTijd266">Data!$V$268</definedName>
    <definedName name="Data_WerktijdfactorTijd267">Data!$V$269</definedName>
    <definedName name="Data_WerktijdfactorTijd268">Data!$V$270</definedName>
    <definedName name="Data_WerktijdfactorTijd269">Data!$V$271</definedName>
    <definedName name="Data_WerktijdfactorTijd270">Data!$V$272</definedName>
    <definedName name="Data_WerktijdfactorTijd271">Data!$V$273</definedName>
    <definedName name="Data_WerktijdfactorTijd272">Data!$V$274</definedName>
    <definedName name="Data_WerktijdfactorTijd273">Data!$V$275</definedName>
    <definedName name="Data_WerktijdfactorTijd274">Data!$V$276</definedName>
    <definedName name="Data_WerktijdfactorTijd275">Data!$V$277</definedName>
    <definedName name="Data_WerktijdfactorTijd276">Data!$V$278</definedName>
    <definedName name="Data_WerktijdfactorTijd277">Data!$V$279</definedName>
    <definedName name="Data_WerktijdfactorTijd278">Data!$V$280</definedName>
    <definedName name="Data_WerktijdfactorTijd279">Data!$V$281</definedName>
    <definedName name="Data_WerktijdfactorTijd280">Data!$V$282</definedName>
    <definedName name="Data_WerktijdfactorTijd281">Data!$V$283</definedName>
    <definedName name="Data_WerktijdfactorTijd282">Data!$V$284</definedName>
    <definedName name="Data_WerktijdfactorTijd283">Data!$V$285</definedName>
    <definedName name="Data_WerktijdfactorTijd284">Data!$V$286</definedName>
    <definedName name="Data_WerktijdfactorTijd285">Data!$V$287</definedName>
    <definedName name="Data_WerktijdfactorTijd286">Data!$V$288</definedName>
    <definedName name="Data_WerktijdfactorTijd287">Data!$V$289</definedName>
    <definedName name="Data_WerktijdfactorTijd288">Data!$V$290</definedName>
    <definedName name="Data_WerktijdfactorTijd289">Data!$V$291</definedName>
    <definedName name="Data_WerktijdfactorTijd290">Data!$V$292</definedName>
    <definedName name="Data_WerktijdfactorTijd291">Data!$V$293</definedName>
    <definedName name="Data_WerktijdfactorTijd292">Data!$V$294</definedName>
    <definedName name="Data_WerktijdfactorTijd293">Data!$V$295</definedName>
    <definedName name="Data_WerktijdfactorTijd294">Data!$V$296</definedName>
    <definedName name="Data_WerktijdfactorTijd295">Data!$V$297</definedName>
    <definedName name="Data_WerktijdfactorTijd296">Data!$V$298</definedName>
    <definedName name="Data_WerktijdfactorTijd297">Data!$V$299</definedName>
    <definedName name="Data_WerktijdfactorTijd298">Data!$V$300</definedName>
    <definedName name="Data_WerktijdfactorTijd299">Data!$V$301</definedName>
    <definedName name="Data_WerktijdfactorTijd300">Data!$V$302</definedName>
    <definedName name="Data_WerktijdfactorTijd301">Data!$V$303</definedName>
    <definedName name="Data_WerktijdfactorTijd302">Data!$V$304</definedName>
    <definedName name="Data_WerktijdfactorTijd303">Data!$V$305</definedName>
    <definedName name="Data_WerktijdfactorTijd304">Data!$V$306</definedName>
    <definedName name="Data_WerktijdfactorTijd305">Data!$V$307</definedName>
    <definedName name="Data_WerktijdfactorTijd306">Data!$V$308</definedName>
    <definedName name="Data_WerktijdfactorTijd307">Data!$V$309</definedName>
    <definedName name="Data_WerktijdfactorTijd308">Data!$V$310</definedName>
    <definedName name="Data_WerktijdfactorTijd309">Data!$V$311</definedName>
    <definedName name="Data_WerktijdfactorTijd310">Data!$V$312</definedName>
    <definedName name="Data_WerktijdfactorTijd311">Data!$V$313</definedName>
    <definedName name="Data_WerktijdfactorTijd312">Data!$V$314</definedName>
    <definedName name="Data_WerktijdfactorTijd313">Data!$V$315</definedName>
    <definedName name="Data_WerktijdfactorTijd314">Data!$V$316</definedName>
    <definedName name="Data_WerktijdfactorTijd315">Data!$V$317</definedName>
    <definedName name="Data_WerktijdfactorTijd316">Data!$V$318</definedName>
    <definedName name="Data_WerktijdfactorTijd317">Data!$V$319</definedName>
    <definedName name="Data_WerktijdfactorTijd318">Data!$V$320</definedName>
    <definedName name="Data_WerktijdfactorTijd319">Data!$V$321</definedName>
    <definedName name="Data_WerktijdfactorTijd320">Data!$V$322</definedName>
    <definedName name="Data_WerktijdfactorTijd321">Data!$V$323</definedName>
    <definedName name="Data_WerktijdfactorTijd322">Data!$V$324</definedName>
    <definedName name="Data_WerktijdfactorTijd323">Data!$V$325</definedName>
    <definedName name="Data_WerktijdfactorTijd324">Data!$V$326</definedName>
    <definedName name="Data_WerktijdfactorTijd325">Data!$V$327</definedName>
    <definedName name="Data_WerktijdfactorTijd326">Data!$V$328</definedName>
    <definedName name="Data_WerktijdfactorTijd327">Data!$V$329</definedName>
    <definedName name="Data_WerktijdfactorTijd328">Data!$V$330</definedName>
    <definedName name="Data_WerktijdfactorTijd329">Data!$V$331</definedName>
    <definedName name="Data_WerktijdfactorTijd330">Data!$V$332</definedName>
    <definedName name="Data_WerktijdfactorTijd331">Data!$V$333</definedName>
    <definedName name="Data_WerktijdfactorTijd332">Data!$V$334</definedName>
    <definedName name="Data_WerktijdfactorTijd333">Data!$V$335</definedName>
    <definedName name="Data_WerktijdfactorTijd334">Data!$V$336</definedName>
    <definedName name="Data_WerktijdfactorTijd335">Data!$V$337</definedName>
    <definedName name="Data_WerktijdfactorTijd336">Data!$V$338</definedName>
    <definedName name="Data_WerktijdfactorTijd337">Data!$V$339</definedName>
    <definedName name="Data_WerktijdfactorTijd338">Data!$V$340</definedName>
    <definedName name="Data_WerktijdfactorTijd339">Data!$V$341</definedName>
    <definedName name="Data_WerktijdfactorTijd340">Data!$V$342</definedName>
    <definedName name="Data_WerktijdfactorTijd341">Data!$V$343</definedName>
    <definedName name="Data_WerktijdfactorTijd342">Data!$V$344</definedName>
    <definedName name="Data_WerktijdfactorTijd343">Data!$V$345</definedName>
    <definedName name="Data_WerktijdfactorTijd344">Data!$V$346</definedName>
    <definedName name="Data_WerktijdfactorTijd345">Data!$V$347</definedName>
    <definedName name="Data_WerktijdfactorTijd346">Data!$V$348</definedName>
    <definedName name="Data_WerktijdfactorTijd347">Data!$V$349</definedName>
    <definedName name="Data_WerktijdfactorTijd348">Data!$V$350</definedName>
    <definedName name="Data_WerktijdfactorTijd349">Data!$V$351</definedName>
    <definedName name="Data_WerktijdfactorTijd350">Data!$V$352</definedName>
    <definedName name="Data_WerktijdfactorTijd351">Data!$V$353</definedName>
    <definedName name="Data_WerktijdfactorTijd352">Data!$V$354</definedName>
    <definedName name="Data_WerktijdfactorTijd353">Data!$V$355</definedName>
    <definedName name="Data_WerktijdfactorTijd354">Data!$V$356</definedName>
    <definedName name="Data_WerktijdfactorTijd355">Data!$V$357</definedName>
    <definedName name="Data_WerktijdfactorTijd356">Data!$V$358</definedName>
    <definedName name="Data_WerktijdfactorTijd357">Data!$V$359</definedName>
    <definedName name="Data_WerktijdfactorTijd358">Data!$V$360</definedName>
    <definedName name="Data_WerktijdfactorTijd359">Data!$V$361</definedName>
    <definedName name="Data_WerktijdfactorTijd360">Data!$V$362</definedName>
    <definedName name="Data_WerktijdfactorTijd361">Data!$V$363</definedName>
    <definedName name="Data_WerktijdfactorTijd362">Data!$V$364</definedName>
    <definedName name="Data_WerktijdfactorTijd363">Data!$V$365</definedName>
    <definedName name="Data_WerktijdfactorTijd364">Data!$V$366</definedName>
    <definedName name="Data_WerktijdfactorTijd365">Data!$V$367</definedName>
    <definedName name="Data_WerktijdfactorTijd366">Data!$V$368</definedName>
    <definedName name="Data_WerktijdfactorTijd367">Data!$V$369</definedName>
    <definedName name="Data_WerktijdfactorTijd368">Data!$V$370</definedName>
    <definedName name="Data_WerktijdfactorTijd369">Data!$V$371</definedName>
    <definedName name="Data_WerktijdfactorTijd370">Data!$V$372</definedName>
    <definedName name="Data_WerktijdfactorTijd371">Data!$V$373</definedName>
    <definedName name="Data_WerktijdfactorTijd372">Data!$V$374</definedName>
    <definedName name="Data_WerktijdfactorTijd373">Data!$V$375</definedName>
    <definedName name="Data_WerktijdfactorTijd374">Data!$V$376</definedName>
    <definedName name="Data_WerktijdfactorTijd375">Data!$V$377</definedName>
    <definedName name="Data_WerktijdfactorTijd376">Data!$V$378</definedName>
    <definedName name="Data_WerktijdfactorTijd377">Data!$V$379</definedName>
    <definedName name="Data_WerktijdfactorTijd378">Data!$V$380</definedName>
    <definedName name="Data_WerktijdfactorTijd379">Data!$V$381</definedName>
    <definedName name="Data_WerktijdfactorTijd380">Data!$V$382</definedName>
    <definedName name="Data_WerktijdfactorTijd381">Data!$V$383</definedName>
    <definedName name="Data_WerktijdfactorTijd382">Data!$V$384</definedName>
    <definedName name="Data_WerktijdfactorTijd383">Data!$V$385</definedName>
    <definedName name="Data_WerktijdfactorTijd384">Data!$V$386</definedName>
    <definedName name="Data_WerktijdfactorTijd385">Data!$V$387</definedName>
    <definedName name="Data_WerktijdfactorTijd386">Data!$V$388</definedName>
    <definedName name="Data_WerktijdfactorTijd387">Data!$V$389</definedName>
    <definedName name="Data_WerktijdfactorTijd388">Data!$V$390</definedName>
    <definedName name="Data_WerktijdfactorTijd389">Data!$V$391</definedName>
    <definedName name="Data_WerktijdfactorTijd390">Data!$V$392</definedName>
    <definedName name="Data_WerktijdfactorTijd391">Data!$V$393</definedName>
    <definedName name="Data_WerktijdfactorTijd392">Data!$V$394</definedName>
    <definedName name="Data_WerktijdfactorTijd393">Data!$V$395</definedName>
    <definedName name="Data_WerktijdfactorTijd394">Data!$V$396</definedName>
    <definedName name="Data_WerktijdfactorTijd395">Data!$V$397</definedName>
    <definedName name="Data_WerktijdfactorTijd396">Data!$V$398</definedName>
    <definedName name="Data_WerktijdfactorTijd397">Data!$V$399</definedName>
    <definedName name="Data_WerktijdfactorTijd398">Data!$V$400</definedName>
    <definedName name="Data_WerktijdfactorTijd399">Data!$V$401</definedName>
    <definedName name="Data_WerktijdfactorTijd400">Data!$V$402</definedName>
    <definedName name="Data_WerktijdfactorTijd401">Data!$V$403</definedName>
    <definedName name="Data_WerktijdfactorTijd402">Data!$V$404</definedName>
    <definedName name="Data_WerktijdfactorTijd403">Data!$V$405</definedName>
    <definedName name="Data_WerktijdfactorTijd404">Data!$V$406</definedName>
    <definedName name="Data_WerktijdfactorTijd405">Data!$V$407</definedName>
    <definedName name="Data_WerktijdfactorTijd406">Data!$V$408</definedName>
    <definedName name="Data_WerktijdfactorTijd407">Data!$V$409</definedName>
    <definedName name="Data_WerktijdfactorTijd408">Data!$V$410</definedName>
    <definedName name="Data_WerktijdfactorTijd409">Data!$V$411</definedName>
    <definedName name="Data_WerktijdfactorTijd410">Data!$V$412</definedName>
    <definedName name="Data_WerktijdfactorTijd411">Data!$V$413</definedName>
    <definedName name="Data_WerktijdfactorTijd412">Data!$V$414</definedName>
    <definedName name="Data_WerktijdfactorTijd413">Data!$V$415</definedName>
    <definedName name="Data_WerktijdfactorTijd414">Data!$V$416</definedName>
    <definedName name="Data_WerktijdfactorTijd415">Data!$V$417</definedName>
    <definedName name="Data_WerktijdfactorTijd416">Data!$V$418</definedName>
    <definedName name="Data_WerktijdfactorTijd417">Data!$V$419</definedName>
    <definedName name="Data_WerktijdfactorTijd418">Data!$V$420</definedName>
    <definedName name="Data_WerktijdfactorTijd419">Data!$V$421</definedName>
    <definedName name="Data_WerktijdfactorTijd420">Data!$V$422</definedName>
    <definedName name="Data_WerktijdfactorTijd421">Data!$V$423</definedName>
    <definedName name="Data_WerktijdfactorTijd422">Data!$V$424</definedName>
    <definedName name="Data_WerktijdfactorTijd423">Data!$V$425</definedName>
    <definedName name="Data_WerktijdfactorTijd424">Data!$V$426</definedName>
    <definedName name="Data_WerktijdfactorTijd425">Data!$V$427</definedName>
    <definedName name="Data_WerktijdfactorTijd426">Data!$V$428</definedName>
    <definedName name="Data_WerktijdfactorTijd427">Data!$V$429</definedName>
    <definedName name="Data_WerktijdfactorTijd428">Data!$V$430</definedName>
    <definedName name="Data_WerktijdfactorTijd429">Data!$V$431</definedName>
    <definedName name="Data_WerktijdfactorTijd430">Data!$V$432</definedName>
    <definedName name="Data_WerktijdfactorTijd431">Data!$V$433</definedName>
    <definedName name="Data_WerktijdfactorTijd432">Data!$V$434</definedName>
    <definedName name="Data_WerktijdfactorTijd433">Data!$V$435</definedName>
    <definedName name="Data_WerktijdfactorTijd434">Data!$V$436</definedName>
    <definedName name="Data_WerktijdfactorTijd435">Data!$V$437</definedName>
    <definedName name="Data_WerktijdfactorTijd436">Data!$V$438</definedName>
    <definedName name="Data_WerktijdfactorTijd437">Data!$V$439</definedName>
    <definedName name="Data_WerktijdfactorTijd438">Data!$V$440</definedName>
    <definedName name="Data_WerktijdfactorTijd439">Data!$V$441</definedName>
    <definedName name="Data_WerktijdfactorTijd440">Data!$V$442</definedName>
    <definedName name="Data_WerktijdfactorTijd441">Data!$V$443</definedName>
    <definedName name="Data_WerktijdfactorTijd442">Data!$V$444</definedName>
    <definedName name="Data_WerktijdfactorTijd443">Data!$V$445</definedName>
    <definedName name="Data_WerktijdfactorTijd444">Data!$V$446</definedName>
    <definedName name="Data_WerktijdfactorTijd445">Data!$V$447</definedName>
    <definedName name="Data_WerktijdfactorTijd446">Data!$V$448</definedName>
    <definedName name="Data_WerktijdfactorTijd447">Data!$V$449</definedName>
    <definedName name="Data_WerktijdfactorTijd448">Data!$V$450</definedName>
    <definedName name="Data_WerktijdfactorTijd449">Data!$V$451</definedName>
    <definedName name="Data_WerktijdfactorTijd450">Data!$V$452</definedName>
    <definedName name="Data_WerktijdfactorTijd451">Data!$V$453</definedName>
    <definedName name="Data_WerktijdfactorTijd452">Data!$V$454</definedName>
    <definedName name="Data_WerktijdfactorTijd453">Data!$V$455</definedName>
    <definedName name="Data_WerktijdfactorTijd454">Data!$V$456</definedName>
    <definedName name="Data_WerktijdfactorTijd455">Data!$V$457</definedName>
    <definedName name="Data_WerktijdfactorTijd456">Data!$V$458</definedName>
    <definedName name="Data_WerktijdfactorTijd457">Data!$V$459</definedName>
    <definedName name="Data_WerktijdfactorTijd458">Data!$V$460</definedName>
    <definedName name="Data_WerktijdfactorTijd459">Data!$V$461</definedName>
    <definedName name="Data_WerktijdfactorTijd460">Data!$V$462</definedName>
    <definedName name="Data_WerktijdfactorTijd461">Data!$V$463</definedName>
    <definedName name="Data_WerktijdfactorTijd462">Data!$V$464</definedName>
    <definedName name="Data_WerktijdfactorTijd463">Data!$V$465</definedName>
    <definedName name="Data_WerktijdfactorTijd464">Data!$V$466</definedName>
    <definedName name="Data_WerktijdfactorTijd465">Data!$V$467</definedName>
    <definedName name="Data_WerktijdfactorTijd466">Data!$V$468</definedName>
    <definedName name="Data_WerktijdfactorTijd467">Data!$V$469</definedName>
    <definedName name="Data_WerktijdfactorTijd468">Data!$V$470</definedName>
    <definedName name="Data_WerktijdfactorTijd469">Data!$V$471</definedName>
    <definedName name="Data_WerktijdfactorTijd470">Data!$V$472</definedName>
    <definedName name="Data_WerktijdfactorTijd471">Data!$V$473</definedName>
    <definedName name="Data_WerktijdfactorTijd472">Data!$V$474</definedName>
    <definedName name="Data_WerktijdfactorTijd473">Data!$V$475</definedName>
    <definedName name="Data_WerktijdfactorTijd474">Data!$V$476</definedName>
    <definedName name="Data_WerktijdfactorTijd475">Data!$V$477</definedName>
    <definedName name="Data_WerktijdfactorTijd476">Data!$V$478</definedName>
    <definedName name="Data_WerktijdfactorTijd477">Data!$V$479</definedName>
    <definedName name="Data_WerktijdfactorTijd478">Data!$V$480</definedName>
    <definedName name="Data_WerktijdfactorTijd479">Data!$V$481</definedName>
    <definedName name="Data_WerktijdfactorTijd480">Data!$V$482</definedName>
    <definedName name="Data_WerktijdfactorTijd481">Data!$V$483</definedName>
    <definedName name="Data_WerktijdfactorTijd482">Data!$V$484</definedName>
    <definedName name="Data_WerktijdfactorTijd483">Data!$V$485</definedName>
    <definedName name="Data_WerktijdfactorTijd484">Data!$V$486</definedName>
    <definedName name="Data_WerktijdfactorTijd485">Data!$V$487</definedName>
    <definedName name="Data_WerktijdfactorTijd486">Data!$V$488</definedName>
    <definedName name="Data_WerktijdfactorTijd487">Data!$V$489</definedName>
    <definedName name="Data_WerktijdfactorTijd488">Data!$V$490</definedName>
    <definedName name="Data_WerktijdfactorTijd489">Data!$V$491</definedName>
    <definedName name="Data_WerktijdfactorTijd490">Data!$V$492</definedName>
    <definedName name="Data_WerktijdfactorTijd491">Data!$V$493</definedName>
    <definedName name="Data_WerktijdfactorTijd492">Data!$V$494</definedName>
    <definedName name="Data_WerktijdfactorTijd493">Data!$V$495</definedName>
    <definedName name="Data_WerktijdfactorTijd494">Data!$V$496</definedName>
    <definedName name="Data_WerktijdfactorTijd495">Data!$V$497</definedName>
    <definedName name="Data_WerktijdfactorTijd496">Data!$V$498</definedName>
    <definedName name="Data_WerktijdfactorTijd497">Data!$V$499</definedName>
    <definedName name="Data_WerktijdfactorTijd498">Data!$V$500</definedName>
    <definedName name="Data_WerktijdfactorTijd499">Data!$V$501</definedName>
    <definedName name="Data_WerktijdfactorTijd500">Data!$V$502</definedName>
    <definedName name="Data_WerktijdfactorVastOntslag001">Data!$AP$3</definedName>
    <definedName name="Data_WerktijdfactorVastOntslag002">Data!$AP$4</definedName>
    <definedName name="Data_WerktijdfactorVastOntslag003">Data!$AP$5</definedName>
    <definedName name="Data_WerktijdfactorVastOntslag004">Data!$AP$6</definedName>
    <definedName name="Data_WerktijdfactorVastOntslag005">Data!$AP$7</definedName>
    <definedName name="Data_WerktijdfactorVastOntslag006">Data!$AP$8</definedName>
    <definedName name="Data_WerktijdfactorVastOntslag007">Data!$AP$9</definedName>
    <definedName name="Data_WerktijdfactorVastOntslag008">Data!$AP$10</definedName>
    <definedName name="Data_WerktijdfactorVastOntslag009">Data!$AP$11</definedName>
    <definedName name="Data_WerktijdfactorVastOntslag010">Data!$AP$12</definedName>
    <definedName name="Data_WerktijdfactorVastOntslag011">Data!$AP$13</definedName>
    <definedName name="Data_WerktijdfactorVastOntslag012">Data!$AP$14</definedName>
    <definedName name="Data_WerktijdfactorVastOntslag013">Data!$AP$15</definedName>
    <definedName name="Data_WerktijdfactorVastOntslag014">Data!$AP$16</definedName>
    <definedName name="Data_WerktijdfactorVastOntslag015">Data!$AP$17</definedName>
    <definedName name="Data_WerktijdfactorVastOntslag016">Data!$AP$18</definedName>
    <definedName name="Data_WerktijdfactorVastOntslag017">Data!$AP$19</definedName>
    <definedName name="Data_WerktijdfactorVastOntslag018">Data!$AP$20</definedName>
    <definedName name="Data_WerktijdfactorVastOntslag019">Data!$AP$21</definedName>
    <definedName name="Data_WerktijdfactorVastOntslag020">Data!$AP$22</definedName>
    <definedName name="Data_WerktijdfactorVastOntslag021">Data!$AP$23</definedName>
    <definedName name="Data_WerktijdfactorVastOntslag022">Data!$AP$24</definedName>
    <definedName name="Data_WerktijdfactorVastOntslag023">Data!$AP$25</definedName>
    <definedName name="Data_WerktijdfactorVastOntslag024">Data!$AP$26</definedName>
    <definedName name="Data_WerktijdfactorVastOntslag025">Data!$AP$27</definedName>
    <definedName name="Data_WerktijdfactorVastOntslag026">Data!$AP$28</definedName>
    <definedName name="Data_WerktijdfactorVastOntslag027">Data!$AP$29</definedName>
    <definedName name="Data_WerktijdfactorVastOntslag028">Data!$AP$30</definedName>
    <definedName name="Data_WerktijdfactorVastOntslag029">Data!$AP$31</definedName>
    <definedName name="Data_WerktijdfactorVastOntslag030">Data!$AP$32</definedName>
    <definedName name="Data_WerktijdfactorVastOntslag031">Data!$AP$33</definedName>
    <definedName name="Data_WerktijdfactorVastOntslag032">Data!$AP$34</definedName>
    <definedName name="Data_WerktijdfactorVastOntslag033">Data!$AP$35</definedName>
    <definedName name="Data_WerktijdfactorVastOntslag034">Data!$AP$36</definedName>
    <definedName name="Data_WerktijdfactorVastOntslag035">Data!$AP$37</definedName>
    <definedName name="Data_WerktijdfactorVastOntslag036">Data!$AP$38</definedName>
    <definedName name="Data_WerktijdfactorVastOntslag037">Data!$AP$39</definedName>
    <definedName name="Data_WerktijdfactorVastOntslag038">Data!$AP$40</definedName>
    <definedName name="Data_WerktijdfactorVastOntslag039">Data!$AP$41</definedName>
    <definedName name="Data_WerktijdfactorVastOntslag040">Data!$AP$42</definedName>
    <definedName name="Data_WerktijdfactorVastOntslag041">Data!$AP$43</definedName>
    <definedName name="Data_WerktijdfactorVastOntslag042">Data!$AP$44</definedName>
    <definedName name="Data_WerktijdfactorVastOntslag043">Data!$AP$45</definedName>
    <definedName name="Data_WerktijdfactorVastOntslag044">Data!$AP$46</definedName>
    <definedName name="Data_WerktijdfactorVastOntslag045">Data!$AP$47</definedName>
    <definedName name="Data_WerktijdfactorVastOntslag046">Data!$AP$48</definedName>
    <definedName name="Data_WerktijdfactorVastOntslag047">Data!$AP$49</definedName>
    <definedName name="Data_WerktijdfactorVastOntslag048">Data!$AP$50</definedName>
    <definedName name="Data_WerktijdfactorVastOntslag049">Data!$AP$51</definedName>
    <definedName name="Data_WerktijdfactorVastOntslag050">Data!$AP$52</definedName>
    <definedName name="Data_WerktijdfactorVastOntslag051">Data!$AP$53</definedName>
    <definedName name="Data_WerktijdfactorVastOntslag052">Data!$AP$54</definedName>
    <definedName name="Data_WerktijdfactorVastOntslag053">Data!$AP$55</definedName>
    <definedName name="Data_WerktijdfactorVastOntslag054">Data!$AP$56</definedName>
    <definedName name="Data_WerktijdfactorVastOntslag055">Data!$AP$57</definedName>
    <definedName name="Data_WerktijdfactorVastOntslag056">Data!$AP$58</definedName>
    <definedName name="Data_WerktijdfactorVastOntslag057">Data!$AP$59</definedName>
    <definedName name="Data_WerktijdfactorVastOntslag058">Data!$AP$60</definedName>
    <definedName name="Data_WerktijdfactorVastOntslag059">Data!$AP$61</definedName>
    <definedName name="Data_WerktijdfactorVastOntslag060">Data!$AP$62</definedName>
    <definedName name="Data_WerktijdfactorVastOntslag061">Data!$AP$63</definedName>
    <definedName name="Data_WerktijdfactorVastOntslag062">Data!$AP$64</definedName>
    <definedName name="Data_WerktijdfactorVastOntslag063">Data!$AP$65</definedName>
    <definedName name="Data_WerktijdfactorVastOntslag064">Data!$AP$66</definedName>
    <definedName name="Data_WerktijdfactorVastOntslag065">Data!$AP$67</definedName>
    <definedName name="Data_WerktijdfactorVastOntslag066">Data!$AP$68</definedName>
    <definedName name="Data_WerktijdfactorVastOntslag067">Data!$AP$69</definedName>
    <definedName name="Data_WerktijdfactorVastOntslag068">Data!$AP$70</definedName>
    <definedName name="Data_WerktijdfactorVastOntslag069">Data!$AP$71</definedName>
    <definedName name="Data_WerktijdfactorVastOntslag070">Data!$AP$72</definedName>
    <definedName name="Data_WerktijdfactorVastOntslag071">Data!$AP$73</definedName>
    <definedName name="Data_WerktijdfactorVastOntslag072">Data!$AP$74</definedName>
    <definedName name="Data_WerktijdfactorVastOntslag073">Data!$AP$75</definedName>
    <definedName name="Data_WerktijdfactorVastOntslag074">Data!$AP$76</definedName>
    <definedName name="Data_WerktijdfactorVastOntslag075">Data!$AP$77</definedName>
    <definedName name="Data_WerktijdfactorVastOntslag076">Data!$AP$78</definedName>
    <definedName name="Data_WerktijdfactorVastOntslag077">Data!$AP$79</definedName>
    <definedName name="Data_WerktijdfactorVastOntslag078">Data!$AP$80</definedName>
    <definedName name="Data_WerktijdfactorVastOntslag079">Data!$AP$81</definedName>
    <definedName name="Data_WerktijdfactorVastOntslag080">Data!$AP$82</definedName>
    <definedName name="Data_WerktijdfactorVastOntslag081">Data!$AP$83</definedName>
    <definedName name="Data_WerktijdfactorVastOntslag082">Data!$AP$84</definedName>
    <definedName name="Data_WerktijdfactorVastOntslag083">Data!$AP$85</definedName>
    <definedName name="Data_WerktijdfactorVastOntslag084">Data!$AP$86</definedName>
    <definedName name="Data_WerktijdfactorVastOntslag085">Data!$AP$87</definedName>
    <definedName name="Data_WerktijdfactorVastOntslag086">Data!$AP$88</definedName>
    <definedName name="Data_WerktijdfactorVastOntslag087">Data!$AP$89</definedName>
    <definedName name="Data_WerktijdfactorVastOntslag088">Data!$AP$90</definedName>
    <definedName name="Data_WerktijdfactorVastOntslag089">Data!$AP$91</definedName>
    <definedName name="Data_WerktijdfactorVastOntslag090">Data!$AP$92</definedName>
    <definedName name="Data_WerktijdfactorVastOntslag091">Data!$AP$93</definedName>
    <definedName name="Data_WerktijdfactorVastOntslag092">Data!$AP$94</definedName>
    <definedName name="Data_WerktijdfactorVastOntslag093">Data!$AP$95</definedName>
    <definedName name="Data_WerktijdfactorVastOntslag094">Data!$AP$96</definedName>
    <definedName name="Data_WerktijdfactorVastOntslag095">Data!$AP$97</definedName>
    <definedName name="Data_WerktijdfactorVastOntslag096">Data!$AP$98</definedName>
    <definedName name="Data_WerktijdfactorVastOntslag097">Data!$AP$99</definedName>
    <definedName name="Data_WerktijdfactorVastOntslag098">Data!$AP$100</definedName>
    <definedName name="Data_WerktijdfactorVastOntslag099">Data!$AP$101</definedName>
    <definedName name="Data_WerktijdfactorVastOntslag100">Data!$AP$102</definedName>
    <definedName name="Data_WerktijdfactorVastOntslag101">Data!$AP$103</definedName>
    <definedName name="Data_WerktijdfactorVastOntslag102">Data!$AP$104</definedName>
    <definedName name="Data_WerktijdfactorVastOntslag103">Data!$AP$105</definedName>
    <definedName name="Data_WerktijdfactorVastOntslag104">Data!$AP$106</definedName>
    <definedName name="Data_WerktijdfactorVastOntslag105">Data!$AP$107</definedName>
    <definedName name="Data_WerktijdfactorVastOntslag106">Data!$AP$108</definedName>
    <definedName name="Data_WerktijdfactorVastOntslag107">Data!$AP$109</definedName>
    <definedName name="Data_WerktijdfactorVastOntslag108">Data!$AP$110</definedName>
    <definedName name="Data_WerktijdfactorVastOntslag109">Data!$AP$111</definedName>
    <definedName name="Data_WerktijdfactorVastOntslag110">Data!$AP$112</definedName>
    <definedName name="Data_WerktijdfactorVastOntslag111">Data!$AP$113</definedName>
    <definedName name="Data_WerktijdfactorVastOntslag112">Data!$AP$114</definedName>
    <definedName name="Data_WerktijdfactorVastOntslag113">Data!$AP$115</definedName>
    <definedName name="Data_WerktijdfactorVastOntslag114">Data!$AP$116</definedName>
    <definedName name="Data_WerktijdfactorVastOntslag115">Data!$AP$117</definedName>
    <definedName name="Data_WerktijdfactorVastOntslag116">Data!$AP$118</definedName>
    <definedName name="Data_WerktijdfactorVastOntslag117">Data!$AP$119</definedName>
    <definedName name="Data_WerktijdfactorVastOntslag118">Data!$AP$120</definedName>
    <definedName name="Data_WerktijdfactorVastOntslag119">Data!$AP$121</definedName>
    <definedName name="Data_WerktijdfactorVastOntslag120">Data!$AP$122</definedName>
    <definedName name="Data_WerktijdfactorVastOntslag121">Data!$AP$123</definedName>
    <definedName name="Data_WerktijdfactorVastOntslag122">Data!$AP$124</definedName>
    <definedName name="Data_WerktijdfactorVastOntslag123">Data!$AP$125</definedName>
    <definedName name="Data_WerktijdfactorVastOntslag124">Data!$AP$126</definedName>
    <definedName name="Data_WerktijdfactorVastOntslag125">Data!$AP$127</definedName>
    <definedName name="Data_WerktijdfactorVastOntslag126">Data!$AP$128</definedName>
    <definedName name="Data_WerktijdfactorVastOntslag127">Data!$AP$129</definedName>
    <definedName name="Data_WerktijdfactorVastOntslag128">Data!$AP$130</definedName>
    <definedName name="Data_WerktijdfactorVastOntslag129">Data!$AP$131</definedName>
    <definedName name="Data_WerktijdfactorVastOntslag130">Data!$AP$132</definedName>
    <definedName name="Data_WerktijdfactorVastOntslag131">Data!$AP$133</definedName>
    <definedName name="Data_WerktijdfactorVastOntslag132">Data!$AP$134</definedName>
    <definedName name="Data_WerktijdfactorVastOntslag133">Data!$AP$135</definedName>
    <definedName name="Data_WerktijdfactorVastOntslag134">Data!$AP$136</definedName>
    <definedName name="Data_WerktijdfactorVastOntslag135">Data!$AP$137</definedName>
    <definedName name="Data_WerktijdfactorVastOntslag136">Data!$AP$138</definedName>
    <definedName name="Data_WerktijdfactorVastOntslag137">Data!$AP$139</definedName>
    <definedName name="Data_WerktijdfactorVastOntslag138">Data!$AP$140</definedName>
    <definedName name="Data_WerktijdfactorVastOntslag139">Data!$AP$141</definedName>
    <definedName name="Data_WerktijdfactorVastOntslag140">Data!$AP$142</definedName>
    <definedName name="Data_WerktijdfactorVastOntslag141">Data!$AP$143</definedName>
    <definedName name="Data_WerktijdfactorVastOntslag142">Data!$AP$144</definedName>
    <definedName name="Data_WerktijdfactorVastOntslag143">Data!$AP$145</definedName>
    <definedName name="Data_WerktijdfactorVastOntslag144">Data!$AP$146</definedName>
    <definedName name="Data_WerktijdfactorVastOntslag145">Data!$AP$147</definedName>
    <definedName name="Data_WerktijdfactorVastOntslag146">Data!$AP$148</definedName>
    <definedName name="Data_WerktijdfactorVastOntslag147">Data!$AP$149</definedName>
    <definedName name="Data_WerktijdfactorVastOntslag148">Data!$AP$150</definedName>
    <definedName name="Data_WerktijdfactorVastOntslag149">Data!$AP$151</definedName>
    <definedName name="Data_WerktijdfactorVastOntslag150">Data!$AP$152</definedName>
    <definedName name="Data_WerktijdfactorVastOntslag151">Data!$AP$153</definedName>
    <definedName name="Data_WerktijdfactorVastOntslag152">Data!$AP$154</definedName>
    <definedName name="Data_WerktijdfactorVastOntslag153">Data!$AP$155</definedName>
    <definedName name="Data_WerktijdfactorVastOntslag154">Data!$AP$156</definedName>
    <definedName name="Data_WerktijdfactorVastOntslag155">Data!$AP$157</definedName>
    <definedName name="Data_WerktijdfactorVastOntslag156">Data!$AP$158</definedName>
    <definedName name="Data_WerktijdfactorVastOntslag157">Data!$AP$159</definedName>
    <definedName name="Data_WerktijdfactorVastOntslag158">Data!$AP$160</definedName>
    <definedName name="Data_WerktijdfactorVastOntslag159">Data!$AP$161</definedName>
    <definedName name="Data_WerktijdfactorVastOntslag160">Data!$AP$162</definedName>
    <definedName name="Data_WerktijdfactorVastOntslag161">Data!$AP$163</definedName>
    <definedName name="Data_WerktijdfactorVastOntslag162">Data!$AP$164</definedName>
    <definedName name="Data_WerktijdfactorVastOntslag163">Data!$AP$165</definedName>
    <definedName name="Data_WerktijdfactorVastOntslag164">Data!$AP$166</definedName>
    <definedName name="Data_WerktijdfactorVastOntslag165">Data!$AP$167</definedName>
    <definedName name="Data_WerktijdfactorVastOntslag166">Data!$AP$168</definedName>
    <definedName name="Data_WerktijdfactorVastOntslag167">Data!$AP$169</definedName>
    <definedName name="Data_WerktijdfactorVastOntslag168">Data!$AP$170</definedName>
    <definedName name="Data_WerktijdfactorVastOntslag169">Data!$AP$171</definedName>
    <definedName name="Data_WerktijdfactorVastOntslag170">Data!$AP$172</definedName>
    <definedName name="Data_WerktijdfactorVastOntslag171">Data!$AP$173</definedName>
    <definedName name="Data_WerktijdfactorVastOntslag172">Data!$AP$174</definedName>
    <definedName name="Data_WerktijdfactorVastOntslag173">Data!$AP$175</definedName>
    <definedName name="Data_WerktijdfactorVastOntslag174">Data!$AP$176</definedName>
    <definedName name="Data_WerktijdfactorVastOntslag175">Data!$AP$177</definedName>
    <definedName name="Data_WerktijdfactorVastOntslag176">Data!$AP$178</definedName>
    <definedName name="Data_WerktijdfactorVastOntslag177">Data!$AP$179</definedName>
    <definedName name="Data_WerktijdfactorVastOntslag178">Data!$AP$180</definedName>
    <definedName name="Data_WerktijdfactorVastOntslag179">Data!$AP$181</definedName>
    <definedName name="Data_WerktijdfactorVastOntslag180">Data!$AP$182</definedName>
    <definedName name="Data_WerktijdfactorVastOntslag181">Data!$AP$183</definedName>
    <definedName name="Data_WerktijdfactorVastOntslag182">Data!$AP$184</definedName>
    <definedName name="Data_WerktijdfactorVastOntslag183">Data!$AP$185</definedName>
    <definedName name="Data_WerktijdfactorVastOntslag184">Data!$AP$186</definedName>
    <definedName name="Data_WerktijdfactorVastOntslag185">Data!$AP$187</definedName>
    <definedName name="Data_WerktijdfactorVastOntslag186">Data!$AP$188</definedName>
    <definedName name="Data_WerktijdfactorVastOntslag187">Data!$AP$189</definedName>
    <definedName name="Data_WerktijdfactorVastOntslag188">Data!$AP$190</definedName>
    <definedName name="Data_WerktijdfactorVastOntslag189">Data!$AP$191</definedName>
    <definedName name="Data_WerktijdfactorVastOntslag190">Data!$AP$192</definedName>
    <definedName name="Data_WerktijdfactorVastOntslag191">Data!$AP$193</definedName>
    <definedName name="Data_WerktijdfactorVastOntslag192">Data!$AP$194</definedName>
    <definedName name="Data_WerktijdfactorVastOntslag193">Data!$AP$195</definedName>
    <definedName name="Data_WerktijdfactorVastOntslag194">Data!$AP$196</definedName>
    <definedName name="Data_WerktijdfactorVastOntslag195">Data!$AP$197</definedName>
    <definedName name="Data_WerktijdfactorVastOntslag196">Data!$AP$198</definedName>
    <definedName name="Data_WerktijdfactorVastOntslag197">Data!$AP$199</definedName>
    <definedName name="Data_WerktijdfactorVastOntslag198">Data!$AP$200</definedName>
    <definedName name="Data_WerktijdfactorVastOntslag199">Data!$AP$201</definedName>
    <definedName name="Data_WerktijdfactorVastOntslag200">Data!$AP$202</definedName>
    <definedName name="Data_WerktijdfactorVastOntslag201">Data!$AP$203</definedName>
    <definedName name="Data_WerktijdfactorVastOntslag202">Data!$AP$204</definedName>
    <definedName name="Data_WerktijdfactorVastOntslag203">Data!$AP$205</definedName>
    <definedName name="Data_WerktijdfactorVastOntslag204">Data!$AP$206</definedName>
    <definedName name="Data_WerktijdfactorVastOntslag205">Data!$AP$207</definedName>
    <definedName name="Data_WerktijdfactorVastOntslag206">Data!$AP$208</definedName>
    <definedName name="Data_WerktijdfactorVastOntslag207">Data!$AP$209</definedName>
    <definedName name="Data_WerktijdfactorVastOntslag208">Data!$AP$210</definedName>
    <definedName name="Data_WerktijdfactorVastOntslag209">Data!$AP$211</definedName>
    <definedName name="Data_WerktijdfactorVastOntslag210">Data!$AP$212</definedName>
    <definedName name="Data_WerktijdfactorVastOntslag211">Data!$AP$213</definedName>
    <definedName name="Data_WerktijdfactorVastOntslag212">Data!$AP$214</definedName>
    <definedName name="Data_WerktijdfactorVastOntslag213">Data!$AP$215</definedName>
    <definedName name="Data_WerktijdfactorVastOntslag214">Data!$AP$216</definedName>
    <definedName name="Data_WerktijdfactorVastOntslag215">Data!$AP$217</definedName>
    <definedName name="Data_WerktijdfactorVastOntslag216">Data!$AP$218</definedName>
    <definedName name="Data_WerktijdfactorVastOntslag217">Data!$AP$219</definedName>
    <definedName name="Data_WerktijdfactorVastOntslag218">Data!$AP$220</definedName>
    <definedName name="Data_WerktijdfactorVastOntslag219">Data!$AP$221</definedName>
    <definedName name="Data_WerktijdfactorVastOntslag220">Data!$AP$222</definedName>
    <definedName name="Data_WerktijdfactorVastOntslag221">Data!$AP$223</definedName>
    <definedName name="Data_WerktijdfactorVastOntslag222">Data!$AP$224</definedName>
    <definedName name="Data_WerktijdfactorVastOntslag223">Data!$AP$225</definedName>
    <definedName name="Data_WerktijdfactorVastOntslag224">Data!$AP$226</definedName>
    <definedName name="Data_WerktijdfactorVastOntslag225">Data!$AP$227</definedName>
    <definedName name="Data_WerktijdfactorVastOntslag226">Data!$AP$228</definedName>
    <definedName name="Data_WerktijdfactorVastOntslag227">Data!$AP$229</definedName>
    <definedName name="Data_WerktijdfactorVastOntslag228">Data!$AP$230</definedName>
    <definedName name="Data_WerktijdfactorVastOntslag229">Data!$AP$231</definedName>
    <definedName name="Data_WerktijdfactorVastOntslag230">Data!$AP$232</definedName>
    <definedName name="Data_WerktijdfactorVastOntslag231">Data!$AP$233</definedName>
    <definedName name="Data_WerktijdfactorVastOntslag232">Data!$AP$234</definedName>
    <definedName name="Data_WerktijdfactorVastOntslag233">Data!$AP$235</definedName>
    <definedName name="Data_WerktijdfactorVastOntslag234">Data!$AP$236</definedName>
    <definedName name="Data_WerktijdfactorVastOntslag235">Data!$AP$237</definedName>
    <definedName name="Data_WerktijdfactorVastOntslag236">Data!$AP$238</definedName>
    <definedName name="Data_WerktijdfactorVastOntslag237">Data!$AP$239</definedName>
    <definedName name="Data_WerktijdfactorVastOntslag238">Data!$AP$240</definedName>
    <definedName name="Data_WerktijdfactorVastOntslag239">Data!$AP$241</definedName>
    <definedName name="Data_WerktijdfactorVastOntslag240">Data!$AP$242</definedName>
    <definedName name="Data_WerktijdfactorVastOntslag241">Data!$AP$243</definedName>
    <definedName name="Data_WerktijdfactorVastOntslag242">Data!$AP$244</definedName>
    <definedName name="Data_WerktijdfactorVastOntslag243">Data!$AP$245</definedName>
    <definedName name="Data_WerktijdfactorVastOntslag244">Data!$AP$246</definedName>
    <definedName name="Data_WerktijdfactorVastOntslag245">Data!$AP$247</definedName>
    <definedName name="Data_WerktijdfactorVastOntslag246">Data!$AP$248</definedName>
    <definedName name="Data_WerktijdfactorVastOntslag247">Data!$AP$249</definedName>
    <definedName name="Data_WerktijdfactorVastOntslag248">Data!$AP$250</definedName>
    <definedName name="Data_WerktijdfactorVastOntslag249">Data!$AP$251</definedName>
    <definedName name="Data_WerktijdfactorVastOntslag250">Data!$AP$252</definedName>
    <definedName name="Data_WerktijdfactorVastOntslag251">Data!$AP$253</definedName>
    <definedName name="Data_WerktijdfactorVastOntslag252">Data!$AP$254</definedName>
    <definedName name="Data_WerktijdfactorVastOntslag253">Data!$AP$255</definedName>
    <definedName name="Data_WerktijdfactorVastOntslag254">Data!$AP$256</definedName>
    <definedName name="Data_WerktijdfactorVastOntslag255">Data!$AP$257</definedName>
    <definedName name="Data_WerktijdfactorVastOntslag256">Data!$AP$258</definedName>
    <definedName name="Data_WerktijdfactorVastOntslag257">Data!$AP$259</definedName>
    <definedName name="Data_WerktijdfactorVastOntslag258">Data!$AP$260</definedName>
    <definedName name="Data_WerktijdfactorVastOntslag259">Data!$AP$261</definedName>
    <definedName name="Data_WerktijdfactorVastOntslag260">Data!$AP$262</definedName>
    <definedName name="Data_WerktijdfactorVastOntslag261">Data!$AP$263</definedName>
    <definedName name="Data_WerktijdfactorVastOntslag262">Data!$AP$264</definedName>
    <definedName name="Data_WerktijdfactorVastOntslag263">Data!$AP$265</definedName>
    <definedName name="Data_WerktijdfactorVastOntslag264">Data!$AP$266</definedName>
    <definedName name="Data_WerktijdfactorVastOntslag265">Data!$AP$267</definedName>
    <definedName name="Data_WerktijdfactorVastOntslag266">Data!$AP$268</definedName>
    <definedName name="Data_WerktijdfactorVastOntslag267">Data!$AP$269</definedName>
    <definedName name="Data_WerktijdfactorVastOntslag268">Data!$AP$270</definedName>
    <definedName name="Data_WerktijdfactorVastOntslag269">Data!$AP$271</definedName>
    <definedName name="Data_WerktijdfactorVastOntslag270">Data!$AP$272</definedName>
    <definedName name="Data_WerktijdfactorVastOntslag271">Data!$AP$273</definedName>
    <definedName name="Data_WerktijdfactorVastOntslag272">Data!$AP$274</definedName>
    <definedName name="Data_WerktijdfactorVastOntslag273">Data!$AP$275</definedName>
    <definedName name="Data_WerktijdfactorVastOntslag274">Data!$AP$276</definedName>
    <definedName name="Data_WerktijdfactorVastOntslag275">Data!$AP$277</definedName>
    <definedName name="Data_WerktijdfactorVastOntslag276">Data!$AP$278</definedName>
    <definedName name="Data_WerktijdfactorVastOntslag277">Data!$AP$279</definedName>
    <definedName name="Data_WerktijdfactorVastOntslag278">Data!$AP$280</definedName>
    <definedName name="Data_WerktijdfactorVastOntslag279">Data!$AP$281</definedName>
    <definedName name="Data_WerktijdfactorVastOntslag280">Data!$AP$282</definedName>
    <definedName name="Data_WerktijdfactorVastOntslag281">Data!$AP$283</definedName>
    <definedName name="Data_WerktijdfactorVastOntslag282">Data!$AP$284</definedName>
    <definedName name="Data_WerktijdfactorVastOntslag283">Data!$AP$285</definedName>
    <definedName name="Data_WerktijdfactorVastOntslag284">Data!$AP$286</definedName>
    <definedName name="Data_WerktijdfactorVastOntslag285">Data!$AP$287</definedName>
    <definedName name="Data_WerktijdfactorVastOntslag286">Data!$AP$288</definedName>
    <definedName name="Data_WerktijdfactorVastOntslag287">Data!$AP$289</definedName>
    <definedName name="Data_WerktijdfactorVastOntslag288">Data!$AP$290</definedName>
    <definedName name="Data_WerktijdfactorVastOntslag289">Data!$AP$291</definedName>
    <definedName name="Data_WerktijdfactorVastOntslag290">Data!$AP$292</definedName>
    <definedName name="Data_WerktijdfactorVastOntslag291">Data!$AP$293</definedName>
    <definedName name="Data_WerktijdfactorVastOntslag292">Data!$AP$294</definedName>
    <definedName name="Data_WerktijdfactorVastOntslag293">Data!$AP$295</definedName>
    <definedName name="Data_WerktijdfactorVastOntslag294">Data!$AP$296</definedName>
    <definedName name="Data_WerktijdfactorVastOntslag295">Data!$AP$297</definedName>
    <definedName name="Data_WerktijdfactorVastOntslag296">Data!$AP$298</definedName>
    <definedName name="Data_WerktijdfactorVastOntslag297">Data!$AP$299</definedName>
    <definedName name="Data_WerktijdfactorVastOntslag298">Data!$AP$300</definedName>
    <definedName name="Data_WerktijdfactorVastOntslag299">Data!$AP$301</definedName>
    <definedName name="Data_WerktijdfactorVastOntslag300">Data!$AP$302</definedName>
    <definedName name="Data_WerktijdfactorVastOntslag301">Data!$AP$303</definedName>
    <definedName name="Data_WerktijdfactorVastOntslag302">Data!$AP$304</definedName>
    <definedName name="Data_WerktijdfactorVastOntslag303">Data!$AP$305</definedName>
    <definedName name="Data_WerktijdfactorVastOntslag304">Data!$AP$306</definedName>
    <definedName name="Data_WerktijdfactorVastOntslag305">Data!$AP$307</definedName>
    <definedName name="Data_WerktijdfactorVastOntslag306">Data!$AP$308</definedName>
    <definedName name="Data_WerktijdfactorVastOntslag307">Data!$AP$309</definedName>
    <definedName name="Data_WerktijdfactorVastOntslag308">Data!$AP$310</definedName>
    <definedName name="Data_WerktijdfactorVastOntslag309">Data!$AP$311</definedName>
    <definedName name="Data_WerktijdfactorVastOntslag310">Data!$AP$312</definedName>
    <definedName name="Data_WerktijdfactorVastOntslag311">Data!$AP$313</definedName>
    <definedName name="Data_WerktijdfactorVastOntslag312">Data!$AP$314</definedName>
    <definedName name="Data_WerktijdfactorVastOntslag313">Data!$AP$315</definedName>
    <definedName name="Data_WerktijdfactorVastOntslag314">Data!$AP$316</definedName>
    <definedName name="Data_WerktijdfactorVastOntslag315">Data!$AP$317</definedName>
    <definedName name="Data_WerktijdfactorVastOntslag316">Data!$AP$318</definedName>
    <definedName name="Data_WerktijdfactorVastOntslag317">Data!$AP$319</definedName>
    <definedName name="Data_WerktijdfactorVastOntslag318">Data!$AP$320</definedName>
    <definedName name="Data_WerktijdfactorVastOntslag319">Data!$AP$321</definedName>
    <definedName name="Data_WerktijdfactorVastOntslag320">Data!$AP$322</definedName>
    <definedName name="Data_WerktijdfactorVastOntslag321">Data!$AP$323</definedName>
    <definedName name="Data_WerktijdfactorVastOntslag322">Data!$AP$324</definedName>
    <definedName name="Data_WerktijdfactorVastOntslag323">Data!$AP$325</definedName>
    <definedName name="Data_WerktijdfactorVastOntslag324">Data!$AP$326</definedName>
    <definedName name="Data_WerktijdfactorVastOntslag325">Data!$AP$327</definedName>
    <definedName name="Data_WerktijdfactorVastOntslag326">Data!$AP$328</definedName>
    <definedName name="Data_WerktijdfactorVastOntslag327">Data!$AP$329</definedName>
    <definedName name="Data_WerktijdfactorVastOntslag328">Data!$AP$330</definedName>
    <definedName name="Data_WerktijdfactorVastOntslag329">Data!$AP$331</definedName>
    <definedName name="Data_WerktijdfactorVastOntslag330">Data!$AP$332</definedName>
    <definedName name="Data_WerktijdfactorVastOntslag331">Data!$AP$333</definedName>
    <definedName name="Data_WerktijdfactorVastOntslag332">Data!$AP$334</definedName>
    <definedName name="Data_WerktijdfactorVastOntslag333">Data!$AP$335</definedName>
    <definedName name="Data_WerktijdfactorVastOntslag334">Data!$AP$336</definedName>
    <definedName name="Data_WerktijdfactorVastOntslag335">Data!$AP$337</definedName>
    <definedName name="Data_WerktijdfactorVastOntslag336">Data!$AP$338</definedName>
    <definedName name="Data_WerktijdfactorVastOntslag337">Data!$AP$339</definedName>
    <definedName name="Data_WerktijdfactorVastOntslag338">Data!$AP$340</definedName>
    <definedName name="Data_WerktijdfactorVastOntslag339">Data!$AP$341</definedName>
    <definedName name="Data_WerktijdfactorVastOntslag340">Data!$AP$342</definedName>
    <definedName name="Data_WerktijdfactorVastOntslag341">Data!$AP$343</definedName>
    <definedName name="Data_WerktijdfactorVastOntslag342">Data!$AP$344</definedName>
    <definedName name="Data_WerktijdfactorVastOntslag343">Data!$AP$345</definedName>
    <definedName name="Data_WerktijdfactorVastOntslag344">Data!$AP$346</definedName>
    <definedName name="Data_WerktijdfactorVastOntslag345">Data!$AP$347</definedName>
    <definedName name="Data_WerktijdfactorVastOntslag346">Data!$AP$348</definedName>
    <definedName name="Data_WerktijdfactorVastOntslag347">Data!$AP$349</definedName>
    <definedName name="Data_WerktijdfactorVastOntslag348">Data!$AP$350</definedName>
    <definedName name="Data_WerktijdfactorVastOntslag349">Data!$AP$351</definedName>
    <definedName name="Data_WerktijdfactorVastOntslag350">Data!$AP$352</definedName>
    <definedName name="Data_WerktijdfactorVastOntslag351">Data!$AP$353</definedName>
    <definedName name="Data_WerktijdfactorVastOntslag352">Data!$AP$354</definedName>
    <definedName name="Data_WerktijdfactorVastOntslag353">Data!$AP$355</definedName>
    <definedName name="Data_WerktijdfactorVastOntslag354">Data!$AP$356</definedName>
    <definedName name="Data_WerktijdfactorVastOntslag355">Data!$AP$357</definedName>
    <definedName name="Data_WerktijdfactorVastOntslag356">Data!$AP$358</definedName>
    <definedName name="Data_WerktijdfactorVastOntslag357">Data!$AP$359</definedName>
    <definedName name="Data_WerktijdfactorVastOntslag358">Data!$AP$360</definedName>
    <definedName name="Data_WerktijdfactorVastOntslag359">Data!$AP$361</definedName>
    <definedName name="Data_WerktijdfactorVastOntslag360">Data!$AP$362</definedName>
    <definedName name="Data_WerktijdfactorVastOntslag361">Data!$AP$363</definedName>
    <definedName name="Data_WerktijdfactorVastOntslag362">Data!$AP$364</definedName>
    <definedName name="Data_WerktijdfactorVastOntslag363">Data!$AP$365</definedName>
    <definedName name="Data_WerktijdfactorVastOntslag364">Data!$AP$366</definedName>
    <definedName name="Data_WerktijdfactorVastOntslag365">Data!$AP$367</definedName>
    <definedName name="Data_WerktijdfactorVastOntslag366">Data!$AP$368</definedName>
    <definedName name="Data_WerktijdfactorVastOntslag367">Data!$AP$369</definedName>
    <definedName name="Data_WerktijdfactorVastOntslag368">Data!$AP$370</definedName>
    <definedName name="Data_WerktijdfactorVastOntslag369">Data!$AP$371</definedName>
    <definedName name="Data_WerktijdfactorVastOntslag370">Data!$AP$372</definedName>
    <definedName name="Data_WerktijdfactorVastOntslag371">Data!$AP$373</definedName>
    <definedName name="Data_WerktijdfactorVastOntslag372">Data!$AP$374</definedName>
    <definedName name="Data_WerktijdfactorVastOntslag373">Data!$AP$375</definedName>
    <definedName name="Data_WerktijdfactorVastOntslag374">Data!$AP$376</definedName>
    <definedName name="Data_WerktijdfactorVastOntslag375">Data!$AP$377</definedName>
    <definedName name="Data_WerktijdfactorVastOntslag376">Data!$AP$378</definedName>
    <definedName name="Data_WerktijdfactorVastOntslag377">Data!$AP$379</definedName>
    <definedName name="Data_WerktijdfactorVastOntslag378">Data!$AP$380</definedName>
    <definedName name="Data_WerktijdfactorVastOntslag379">Data!$AP$381</definedName>
    <definedName name="Data_WerktijdfactorVastOntslag380">Data!$AP$382</definedName>
    <definedName name="Data_WerktijdfactorVastOntslag381">Data!$AP$383</definedName>
    <definedName name="Data_WerktijdfactorVastOntslag382">Data!$AP$384</definedName>
    <definedName name="Data_WerktijdfactorVastOntslag383">Data!$AP$385</definedName>
    <definedName name="Data_WerktijdfactorVastOntslag384">Data!$AP$386</definedName>
    <definedName name="Data_WerktijdfactorVastOntslag385">Data!$AP$387</definedName>
    <definedName name="Data_WerktijdfactorVastOntslag386">Data!$AP$388</definedName>
    <definedName name="Data_WerktijdfactorVastOntslag387">Data!$AP$389</definedName>
    <definedName name="Data_WerktijdfactorVastOntslag388">Data!$AP$390</definedName>
    <definedName name="Data_WerktijdfactorVastOntslag389">Data!$AP$391</definedName>
    <definedName name="Data_WerktijdfactorVastOntslag390">Data!$AP$392</definedName>
    <definedName name="Data_WerktijdfactorVastOntslag391">Data!$AP$393</definedName>
    <definedName name="Data_WerktijdfactorVastOntslag392">Data!$AP$394</definedName>
    <definedName name="Data_WerktijdfactorVastOntslag393">Data!$AP$395</definedName>
    <definedName name="Data_WerktijdfactorVastOntslag394">Data!$AP$396</definedName>
    <definedName name="Data_WerktijdfactorVastOntslag395">Data!$AP$397</definedName>
    <definedName name="Data_WerktijdfactorVastOntslag396">Data!$AP$398</definedName>
    <definedName name="Data_WerktijdfactorVastOntslag397">Data!$AP$399</definedName>
    <definedName name="Data_WerktijdfactorVastOntslag398">Data!$AP$400</definedName>
    <definedName name="Data_WerktijdfactorVastOntslag399">Data!$AP$401</definedName>
    <definedName name="Data_WerktijdfactorVastOntslag400">Data!$AP$402</definedName>
    <definedName name="Data_WerktijdfactorVastOntslag401">Data!$AP$403</definedName>
    <definedName name="Data_WerktijdfactorVastOntslag402">Data!$AP$404</definedName>
    <definedName name="Data_WerktijdfactorVastOntslag403">Data!$AP$405</definedName>
    <definedName name="Data_WerktijdfactorVastOntslag404">Data!$AP$406</definedName>
    <definedName name="Data_WerktijdfactorVastOntslag405">Data!$AP$407</definedName>
    <definedName name="Data_WerktijdfactorVastOntslag406">Data!$AP$408</definedName>
    <definedName name="Data_WerktijdfactorVastOntslag407">Data!$AP$409</definedName>
    <definedName name="Data_WerktijdfactorVastOntslag408">Data!$AP$410</definedName>
    <definedName name="Data_WerktijdfactorVastOntslag409">Data!$AP$411</definedName>
    <definedName name="Data_WerktijdfactorVastOntslag410">Data!$AP$412</definedName>
    <definedName name="Data_WerktijdfactorVastOntslag411">Data!$AP$413</definedName>
    <definedName name="Data_WerktijdfactorVastOntslag412">Data!$AP$414</definedName>
    <definedName name="Data_WerktijdfactorVastOntslag413">Data!$AP$415</definedName>
    <definedName name="Data_WerktijdfactorVastOntslag414">Data!$AP$416</definedName>
    <definedName name="Data_WerktijdfactorVastOntslag415">Data!$AP$417</definedName>
    <definedName name="Data_WerktijdfactorVastOntslag416">Data!$AP$418</definedName>
    <definedName name="Data_WerktijdfactorVastOntslag417">Data!$AP$419</definedName>
    <definedName name="Data_WerktijdfactorVastOntslag418">Data!$AP$420</definedName>
    <definedName name="Data_WerktijdfactorVastOntslag419">Data!$AP$421</definedName>
    <definedName name="Data_WerktijdfactorVastOntslag420">Data!$AP$422</definedName>
    <definedName name="Data_WerktijdfactorVastOntslag421">Data!$AP$423</definedName>
    <definedName name="Data_WerktijdfactorVastOntslag422">Data!$AP$424</definedName>
    <definedName name="Data_WerktijdfactorVastOntslag423">Data!$AP$425</definedName>
    <definedName name="Data_WerktijdfactorVastOntslag424">Data!$AP$426</definedName>
    <definedName name="Data_WerktijdfactorVastOntslag425">Data!$AP$427</definedName>
    <definedName name="Data_WerktijdfactorVastOntslag426">Data!$AP$428</definedName>
    <definedName name="Data_WerktijdfactorVastOntslag427">Data!$AP$429</definedName>
    <definedName name="Data_WerktijdfactorVastOntslag428">Data!$AP$430</definedName>
    <definedName name="Data_WerktijdfactorVastOntslag429">Data!$AP$431</definedName>
    <definedName name="Data_WerktijdfactorVastOntslag430">Data!$AP$432</definedName>
    <definedName name="Data_WerktijdfactorVastOntslag431">Data!$AP$433</definedName>
    <definedName name="Data_WerktijdfactorVastOntslag432">Data!$AP$434</definedName>
    <definedName name="Data_WerktijdfactorVastOntslag433">Data!$AP$435</definedName>
    <definedName name="Data_WerktijdfactorVastOntslag434">Data!$AP$436</definedName>
    <definedName name="Data_WerktijdfactorVastOntslag435">Data!$AP$437</definedName>
    <definedName name="Data_WerktijdfactorVastOntslag436">Data!$AP$438</definedName>
    <definedName name="Data_WerktijdfactorVastOntslag437">Data!$AP$439</definedName>
    <definedName name="Data_WerktijdfactorVastOntslag438">Data!$AP$440</definedName>
    <definedName name="Data_WerktijdfactorVastOntslag439">Data!$AP$441</definedName>
    <definedName name="Data_WerktijdfactorVastOntslag440">Data!$AP$442</definedName>
    <definedName name="Data_WerktijdfactorVastOntslag441">Data!$AP$443</definedName>
    <definedName name="Data_WerktijdfactorVastOntslag442">Data!$AP$444</definedName>
    <definedName name="Data_WerktijdfactorVastOntslag443">Data!$AP$445</definedName>
    <definedName name="Data_WerktijdfactorVastOntslag444">Data!$AP$446</definedName>
    <definedName name="Data_WerktijdfactorVastOntslag445">Data!$AP$447</definedName>
    <definedName name="Data_WerktijdfactorVastOntslag446">Data!$AP$448</definedName>
    <definedName name="Data_WerktijdfactorVastOntslag447">Data!$AP$449</definedName>
    <definedName name="Data_WerktijdfactorVastOntslag448">Data!$AP$450</definedName>
    <definedName name="Data_WerktijdfactorVastOntslag449">Data!$AP$451</definedName>
    <definedName name="Data_WerktijdfactorVastOntslag450">Data!$AP$452</definedName>
    <definedName name="Data_WerktijdfactorVastOntslag451">Data!$AP$453</definedName>
    <definedName name="Data_WerktijdfactorVastOntslag452">Data!$AP$454</definedName>
    <definedName name="Data_WerktijdfactorVastOntslag453">Data!$AP$455</definedName>
    <definedName name="Data_WerktijdfactorVastOntslag454">Data!$AP$456</definedName>
    <definedName name="Data_WerktijdfactorVastOntslag455">Data!$AP$457</definedName>
    <definedName name="Data_WerktijdfactorVastOntslag456">Data!$AP$458</definedName>
    <definedName name="Data_WerktijdfactorVastOntslag457">Data!$AP$459</definedName>
    <definedName name="Data_WerktijdfactorVastOntslag458">Data!$AP$460</definedName>
    <definedName name="Data_WerktijdfactorVastOntslag459">Data!$AP$461</definedName>
    <definedName name="Data_WerktijdfactorVastOntslag460">Data!$AP$462</definedName>
    <definedName name="Data_WerktijdfactorVastOntslag461">Data!$AP$463</definedName>
    <definedName name="Data_WerktijdfactorVastOntslag462">Data!$AP$464</definedName>
    <definedName name="Data_WerktijdfactorVastOntslag463">Data!$AP$465</definedName>
    <definedName name="Data_WerktijdfactorVastOntslag464">Data!$AP$466</definedName>
    <definedName name="Data_WerktijdfactorVastOntslag465">Data!$AP$467</definedName>
    <definedName name="Data_WerktijdfactorVastOntslag466">Data!$AP$468</definedName>
    <definedName name="Data_WerktijdfactorVastOntslag467">Data!$AP$469</definedName>
    <definedName name="Data_WerktijdfactorVastOntslag468">Data!$AP$470</definedName>
    <definedName name="Data_WerktijdfactorVastOntslag469">Data!$AP$471</definedName>
    <definedName name="Data_WerktijdfactorVastOntslag470">Data!$AP$472</definedName>
    <definedName name="Data_WerktijdfactorVastOntslag471">Data!$AP$473</definedName>
    <definedName name="Data_WerktijdfactorVastOntslag472">Data!$AP$474</definedName>
    <definedName name="Data_WerktijdfactorVastOntslag473">Data!$AP$475</definedName>
    <definedName name="Data_WerktijdfactorVastOntslag474">Data!$AP$476</definedName>
    <definedName name="Data_WerktijdfactorVastOntslag475">Data!$AP$477</definedName>
    <definedName name="Data_WerktijdfactorVastOntslag476">Data!$AP$478</definedName>
    <definedName name="Data_WerktijdfactorVastOntslag477">Data!$AP$479</definedName>
    <definedName name="Data_WerktijdfactorVastOntslag478">Data!$AP$480</definedName>
    <definedName name="Data_WerktijdfactorVastOntslag479">Data!$AP$481</definedName>
    <definedName name="Data_WerktijdfactorVastOntslag480">Data!$AP$482</definedName>
    <definedName name="Data_WerktijdfactorVastOntslag481">Data!$AP$483</definedName>
    <definedName name="Data_WerktijdfactorVastOntslag482">Data!$AP$484</definedName>
    <definedName name="Data_WerktijdfactorVastOntslag483">Data!$AP$485</definedName>
    <definedName name="Data_WerktijdfactorVastOntslag484">Data!$AP$486</definedName>
    <definedName name="Data_WerktijdfactorVastOntslag485">Data!$AP$487</definedName>
    <definedName name="Data_WerktijdfactorVastOntslag486">Data!$AP$488</definedName>
    <definedName name="Data_WerktijdfactorVastOntslag487">Data!$AP$489</definedName>
    <definedName name="Data_WerktijdfactorVastOntslag488">Data!$AP$490</definedName>
    <definedName name="Data_WerktijdfactorVastOntslag489">Data!$AP$491</definedName>
    <definedName name="Data_WerktijdfactorVastOntslag490">Data!$AP$492</definedName>
    <definedName name="Data_WerktijdfactorVastOntslag491">Data!$AP$493</definedName>
    <definedName name="Data_WerktijdfactorVastOntslag492">Data!$AP$494</definedName>
    <definedName name="Data_WerktijdfactorVastOntslag493">Data!$AP$495</definedName>
    <definedName name="Data_WerktijdfactorVastOntslag494">Data!$AP$496</definedName>
    <definedName name="Data_WerktijdfactorVastOntslag495">Data!$AP$497</definedName>
    <definedName name="Data_WerktijdfactorVastOntslag496">Data!$AP$498</definedName>
    <definedName name="Data_WerktijdfactorVastOntslag497">Data!$AP$499</definedName>
    <definedName name="Data_WerktijdfactorVastOntslag498">Data!$AP$500</definedName>
    <definedName name="Data_WerktijdfactorVastOntslag499">Data!$AP$501</definedName>
    <definedName name="Data_WerktijdfactorVastOntslag500">Data!$AP$502</definedName>
    <definedName name="Data_WerktijdfactorVastVrij001">Data!$AF$3</definedName>
    <definedName name="Data_WerktijdfactorVastVrij002">Data!$AF$4</definedName>
    <definedName name="Data_WerktijdfactorVastVrij003">Data!$AF$5</definedName>
    <definedName name="Data_WerktijdfactorVastVrij004">Data!$AF$6</definedName>
    <definedName name="Data_WerktijdfactorVastVrij005">Data!$AF$7</definedName>
    <definedName name="Data_WerktijdfactorVastVrij006">Data!$AF$8</definedName>
    <definedName name="Data_WerktijdfactorVastVrij007">Data!$AF$9</definedName>
    <definedName name="Data_WerktijdfactorVastVrij008">Data!$AF$10</definedName>
    <definedName name="Data_WerktijdfactorVastVrij009">Data!$AF$11</definedName>
    <definedName name="Data_WerktijdfactorVastVrij010">Data!$AF$12</definedName>
    <definedName name="Data_WerktijdfactorVastVrij011">Data!$AF$13</definedName>
    <definedName name="Data_WerktijdfactorVastVrij012">Data!$AF$14</definedName>
    <definedName name="Data_WerktijdfactorVastVrij013">Data!$AF$15</definedName>
    <definedName name="Data_WerktijdfactorVastVrij014">Data!$AF$16</definedName>
    <definedName name="Data_WerktijdfactorVastVrij015">Data!$AF$17</definedName>
    <definedName name="Data_WerktijdfactorVastVrij016">Data!$AF$18</definedName>
    <definedName name="Data_WerktijdfactorVastVrij017">Data!$AF$19</definedName>
    <definedName name="Data_WerktijdfactorVastVrij018">Data!$AF$20</definedName>
    <definedName name="Data_WerktijdfactorVastVrij019">Data!$AF$21</definedName>
    <definedName name="Data_WerktijdfactorVastVrij020">Data!$AF$22</definedName>
    <definedName name="Data_WerktijdfactorVastVrij021">Data!$AF$23</definedName>
    <definedName name="Data_WerktijdfactorVastVrij022">Data!$AF$24</definedName>
    <definedName name="Data_WerktijdfactorVastVrij023">Data!$AF$25</definedName>
    <definedName name="Data_WerktijdfactorVastVrij024">Data!$AF$26</definedName>
    <definedName name="Data_WerktijdfactorVastVrij025">Data!$AF$27</definedName>
    <definedName name="Data_WerktijdfactorVastVrij026">Data!$AF$28</definedName>
    <definedName name="Data_WerktijdfactorVastVrij027">Data!$AF$29</definedName>
    <definedName name="Data_WerktijdfactorVastVrij028">Data!$AF$30</definedName>
    <definedName name="Data_WerktijdfactorVastVrij029">Data!$AF$31</definedName>
    <definedName name="Data_WerktijdfactorVastVrij030">Data!$AF$32</definedName>
    <definedName name="Data_WerktijdfactorVastVrij031">Data!$AF$33</definedName>
    <definedName name="Data_WerktijdfactorVastVrij032">Data!$AF$34</definedName>
    <definedName name="Data_WerktijdfactorVastVrij033">Data!$AF$35</definedName>
    <definedName name="Data_WerktijdfactorVastVrij034">Data!$AF$36</definedName>
    <definedName name="Data_WerktijdfactorVastVrij035">Data!$AF$37</definedName>
    <definedName name="Data_WerktijdfactorVastVrij036">Data!$AF$38</definedName>
    <definedName name="Data_WerktijdfactorVastVrij037">Data!$AF$39</definedName>
    <definedName name="Data_WerktijdfactorVastVrij038">Data!$AF$40</definedName>
    <definedName name="Data_WerktijdfactorVastVrij039">Data!$AF$41</definedName>
    <definedName name="Data_WerktijdfactorVastVrij040">Data!$AF$42</definedName>
    <definedName name="Data_WerktijdfactorVastVrij041">Data!$AF$43</definedName>
    <definedName name="Data_WerktijdfactorVastVrij042">Data!$AF$44</definedName>
    <definedName name="Data_WerktijdfactorVastVrij043">Data!$AF$45</definedName>
    <definedName name="Data_WerktijdfactorVastVrij044">Data!$AF$46</definedName>
    <definedName name="Data_WerktijdfactorVastVrij045">Data!$AF$47</definedName>
    <definedName name="Data_WerktijdfactorVastVrij046">Data!$AF$48</definedName>
    <definedName name="Data_WerktijdfactorVastVrij047">Data!$AF$49</definedName>
    <definedName name="Data_WerktijdfactorVastVrij048">Data!$AF$50</definedName>
    <definedName name="Data_WerktijdfactorVastVrij049">Data!$AF$51</definedName>
    <definedName name="Data_WerktijdfactorVastVrij050">Data!$AF$52</definedName>
    <definedName name="Data_WerktijdfactorVastVrij051">Data!$AF$53</definedName>
    <definedName name="Data_WerktijdfactorVastVrij052">Data!$AF$54</definedName>
    <definedName name="Data_WerktijdfactorVastVrij053">Data!$AF$55</definedName>
    <definedName name="Data_WerktijdfactorVastVrij054">Data!$AF$56</definedName>
    <definedName name="Data_WerktijdfactorVastVrij055">Data!$AF$57</definedName>
    <definedName name="Data_WerktijdfactorVastVrij056">Data!$AF$58</definedName>
    <definedName name="Data_WerktijdfactorVastVrij057">Data!$AF$59</definedName>
    <definedName name="Data_WerktijdfactorVastVrij058">Data!$AF$60</definedName>
    <definedName name="Data_WerktijdfactorVastVrij059">Data!$AF$61</definedName>
    <definedName name="Data_WerktijdfactorVastVrij060">Data!$AF$62</definedName>
    <definedName name="Data_WerktijdfactorVastVrij061">Data!$AF$63</definedName>
    <definedName name="Data_WerktijdfactorVastVrij062">Data!$AF$64</definedName>
    <definedName name="Data_WerktijdfactorVastVrij063">Data!$AF$65</definedName>
    <definedName name="Data_WerktijdfactorVastVrij064">Data!$AF$66</definedName>
    <definedName name="Data_WerktijdfactorVastVrij065">Data!$AF$67</definedName>
    <definedName name="Data_WerktijdfactorVastVrij066">Data!$AF$68</definedName>
    <definedName name="Data_WerktijdfactorVastVrij067">Data!$AF$69</definedName>
    <definedName name="Data_WerktijdfactorVastVrij068">Data!$AF$70</definedName>
    <definedName name="Data_WerktijdfactorVastVrij069">Data!$AF$71</definedName>
    <definedName name="Data_WerktijdfactorVastVrij070">Data!$AF$72</definedName>
    <definedName name="Data_WerktijdfactorVastVrij071">Data!$AF$73</definedName>
    <definedName name="Data_WerktijdfactorVastVrij072">Data!$AF$74</definedName>
    <definedName name="Data_WerktijdfactorVastVrij073">Data!$AF$75</definedName>
    <definedName name="Data_WerktijdfactorVastVrij074">Data!$AF$76</definedName>
    <definedName name="Data_WerktijdfactorVastVrij075">Data!$AF$77</definedName>
    <definedName name="Data_WerktijdfactorVastVrij076">Data!$AF$78</definedName>
    <definedName name="Data_WerktijdfactorVastVrij077">Data!$AF$79</definedName>
    <definedName name="Data_WerktijdfactorVastVrij078">Data!$AF$80</definedName>
    <definedName name="Data_WerktijdfactorVastVrij079">Data!$AF$81</definedName>
    <definedName name="Data_WerktijdfactorVastVrij080">Data!$AF$82</definedName>
    <definedName name="Data_WerktijdfactorVastVrij081">Data!$AF$83</definedName>
    <definedName name="Data_WerktijdfactorVastVrij082">Data!$AF$84</definedName>
    <definedName name="Data_WerktijdfactorVastVrij083">Data!$AF$85</definedName>
    <definedName name="Data_WerktijdfactorVastVrij084">Data!$AF$86</definedName>
    <definedName name="Data_WerktijdfactorVastVrij085">Data!$AF$87</definedName>
    <definedName name="Data_WerktijdfactorVastVrij086">Data!$AF$88</definedName>
    <definedName name="Data_WerktijdfactorVastVrij087">Data!$AF$89</definedName>
    <definedName name="Data_WerktijdfactorVastVrij088">Data!$AF$90</definedName>
    <definedName name="Data_WerktijdfactorVastVrij089">Data!$AF$91</definedName>
    <definedName name="Data_WerktijdfactorVastVrij090">Data!$AF$92</definedName>
    <definedName name="Data_WerktijdfactorVastVrij091">Data!$AF$93</definedName>
    <definedName name="Data_WerktijdfactorVastVrij092">Data!$AF$94</definedName>
    <definedName name="Data_WerktijdfactorVastVrij093">Data!$AF$95</definedName>
    <definedName name="Data_WerktijdfactorVastVrij094">Data!$AF$96</definedName>
    <definedName name="Data_WerktijdfactorVastVrij095">Data!$AF$97</definedName>
    <definedName name="Data_WerktijdfactorVastVrij096">Data!$AF$98</definedName>
    <definedName name="Data_WerktijdfactorVastVrij097">Data!$AF$99</definedName>
    <definedName name="Data_WerktijdfactorVastVrij098">Data!$AF$100</definedName>
    <definedName name="Data_WerktijdfactorVastVrij099">Data!$AF$101</definedName>
    <definedName name="Data_WerktijdfactorVastVrij100">Data!$AF$102</definedName>
    <definedName name="Data_WerktijdfactorVastVrij101">Data!$AF$103</definedName>
    <definedName name="Data_WerktijdfactorVastVrij102">Data!$AF$104</definedName>
    <definedName name="Data_WerktijdfactorVastVrij103">Data!$AF$105</definedName>
    <definedName name="Data_WerktijdfactorVastVrij104">Data!$AF$106</definedName>
    <definedName name="Data_WerktijdfactorVastVrij105">Data!$AF$107</definedName>
    <definedName name="Data_WerktijdfactorVastVrij106">Data!$AF$108</definedName>
    <definedName name="Data_WerktijdfactorVastVrij107">Data!$AF$109</definedName>
    <definedName name="Data_WerktijdfactorVastVrij108">Data!$AF$110</definedName>
    <definedName name="Data_WerktijdfactorVastVrij109">Data!$AF$111</definedName>
    <definedName name="Data_WerktijdfactorVastVrij110">Data!$AF$112</definedName>
    <definedName name="Data_WerktijdfactorVastVrij111">Data!$AF$113</definedName>
    <definedName name="Data_WerktijdfactorVastVrij112">Data!$AF$114</definedName>
    <definedName name="Data_WerktijdfactorVastVrij113">Data!$AF$115</definedName>
    <definedName name="Data_WerktijdfactorVastVrij114">Data!$AF$116</definedName>
    <definedName name="Data_WerktijdfactorVastVrij115">Data!$AF$117</definedName>
    <definedName name="Data_WerktijdfactorVastVrij116">Data!$AF$118</definedName>
    <definedName name="Data_WerktijdfactorVastVrij117">Data!$AF$119</definedName>
    <definedName name="Data_WerktijdfactorVastVrij118">Data!$AF$120</definedName>
    <definedName name="Data_WerktijdfactorVastVrij119">Data!$AF$121</definedName>
    <definedName name="Data_WerktijdfactorVastVrij120">Data!$AF$122</definedName>
    <definedName name="Data_WerktijdfactorVastVrij121">Data!$AF$123</definedName>
    <definedName name="Data_WerktijdfactorVastVrij122">Data!$AF$124</definedName>
    <definedName name="Data_WerktijdfactorVastVrij123">Data!$AF$125</definedName>
    <definedName name="Data_WerktijdfactorVastVrij124">Data!$AF$126</definedName>
    <definedName name="Data_WerktijdfactorVastVrij125">Data!$AF$127</definedName>
    <definedName name="Data_WerktijdfactorVastVrij126">Data!$AF$128</definedName>
    <definedName name="Data_WerktijdfactorVastVrij127">Data!$AF$129</definedName>
    <definedName name="Data_WerktijdfactorVastVrij128">Data!$AF$130</definedName>
    <definedName name="Data_WerktijdfactorVastVrij129">Data!$AF$131</definedName>
    <definedName name="Data_WerktijdfactorVastVrij130">Data!$AF$132</definedName>
    <definedName name="Data_WerktijdfactorVastVrij131">Data!$AF$133</definedName>
    <definedName name="Data_WerktijdfactorVastVrij132">Data!$AF$134</definedName>
    <definedName name="Data_WerktijdfactorVastVrij133">Data!$AF$135</definedName>
    <definedName name="Data_WerktijdfactorVastVrij134">Data!$AF$136</definedName>
    <definedName name="Data_WerktijdfactorVastVrij135">Data!$AF$137</definedName>
    <definedName name="Data_WerktijdfactorVastVrij136">Data!$AF$138</definedName>
    <definedName name="Data_WerktijdfactorVastVrij137">Data!$AF$139</definedName>
    <definedName name="Data_WerktijdfactorVastVrij138">Data!$AF$140</definedName>
    <definedName name="Data_WerktijdfactorVastVrij139">Data!$AF$141</definedName>
    <definedName name="Data_WerktijdfactorVastVrij140">Data!$AF$142</definedName>
    <definedName name="Data_WerktijdfactorVastVrij141">Data!$AF$143</definedName>
    <definedName name="Data_WerktijdfactorVastVrij142">Data!$AF$144</definedName>
    <definedName name="Data_WerktijdfactorVastVrij143">Data!$AF$145</definedName>
    <definedName name="Data_WerktijdfactorVastVrij144">Data!$AF$146</definedName>
    <definedName name="Data_WerktijdfactorVastVrij145">Data!$AF$147</definedName>
    <definedName name="Data_WerktijdfactorVastVrij146">Data!$AF$148</definedName>
    <definedName name="Data_WerktijdfactorVastVrij147">Data!$AF$149</definedName>
    <definedName name="Data_WerktijdfactorVastVrij148">Data!$AF$150</definedName>
    <definedName name="Data_WerktijdfactorVastVrij149">Data!$AF$151</definedName>
    <definedName name="Data_WerktijdfactorVastVrij150">Data!$AF$152</definedName>
    <definedName name="Data_WerktijdfactorVastVrij151">Data!$AF$153</definedName>
    <definedName name="Data_WerktijdfactorVastVrij152">Data!$AF$154</definedName>
    <definedName name="Data_WerktijdfactorVastVrij153">Data!$AF$155</definedName>
    <definedName name="Data_WerktijdfactorVastVrij154">Data!$AF$156</definedName>
    <definedName name="Data_WerktijdfactorVastVrij155">Data!$AF$157</definedName>
    <definedName name="Data_WerktijdfactorVastVrij156">Data!$AF$158</definedName>
    <definedName name="Data_WerktijdfactorVastVrij157">Data!$AF$159</definedName>
    <definedName name="Data_WerktijdfactorVastVrij158">Data!$AF$160</definedName>
    <definedName name="Data_WerktijdfactorVastVrij159">Data!$AF$161</definedName>
    <definedName name="Data_WerktijdfactorVastVrij160">Data!$AF$162</definedName>
    <definedName name="Data_WerktijdfactorVastVrij161">Data!$AF$163</definedName>
    <definedName name="Data_WerktijdfactorVastVrij162">Data!$AF$164</definedName>
    <definedName name="Data_WerktijdfactorVastVrij163">Data!$AF$165</definedName>
    <definedName name="Data_WerktijdfactorVastVrij164">Data!$AF$166</definedName>
    <definedName name="Data_WerktijdfactorVastVrij165">Data!$AF$167</definedName>
    <definedName name="Data_WerktijdfactorVastVrij166">Data!$AF$168</definedName>
    <definedName name="Data_WerktijdfactorVastVrij167">Data!$AF$169</definedName>
    <definedName name="Data_WerktijdfactorVastVrij168">Data!$AF$170</definedName>
    <definedName name="Data_WerktijdfactorVastVrij169">Data!$AF$171</definedName>
    <definedName name="Data_WerktijdfactorVastVrij170">Data!$AF$172</definedName>
    <definedName name="Data_WerktijdfactorVastVrij171">Data!$AF$173</definedName>
    <definedName name="Data_WerktijdfactorVastVrij172">Data!$AF$174</definedName>
    <definedName name="Data_WerktijdfactorVastVrij173">Data!$AF$175</definedName>
    <definedName name="Data_WerktijdfactorVastVrij174">Data!$AF$176</definedName>
    <definedName name="Data_WerktijdfactorVastVrij175">Data!$AF$177</definedName>
    <definedName name="Data_WerktijdfactorVastVrij176">Data!$AF$178</definedName>
    <definedName name="Data_WerktijdfactorVastVrij177">Data!$AF$179</definedName>
    <definedName name="Data_WerktijdfactorVastVrij178">Data!$AF$180</definedName>
    <definedName name="Data_WerktijdfactorVastVrij179">Data!$AF$181</definedName>
    <definedName name="Data_WerktijdfactorVastVrij180">Data!$AF$182</definedName>
    <definedName name="Data_WerktijdfactorVastVrij181">Data!$AF$183</definedName>
    <definedName name="Data_WerktijdfactorVastVrij182">Data!$AF$184</definedName>
    <definedName name="Data_WerktijdfactorVastVrij183">Data!$AF$185</definedName>
    <definedName name="Data_WerktijdfactorVastVrij184">Data!$AF$186</definedName>
    <definedName name="Data_WerktijdfactorVastVrij185">Data!$AF$187</definedName>
    <definedName name="Data_WerktijdfactorVastVrij186">Data!$AF$188</definedName>
    <definedName name="Data_WerktijdfactorVastVrij187">Data!$AF$189</definedName>
    <definedName name="Data_WerktijdfactorVastVrij188">Data!$AF$190</definedName>
    <definedName name="Data_WerktijdfactorVastVrij189">Data!$AF$191</definedName>
    <definedName name="Data_WerktijdfactorVastVrij190">Data!$AF$192</definedName>
    <definedName name="Data_WerktijdfactorVastVrij191">Data!$AF$193</definedName>
    <definedName name="Data_WerktijdfactorVastVrij192">Data!$AF$194</definedName>
    <definedName name="Data_WerktijdfactorVastVrij193">Data!$AF$195</definedName>
    <definedName name="Data_WerktijdfactorVastVrij194">Data!$AF$196</definedName>
    <definedName name="Data_WerktijdfactorVastVrij195">Data!$AF$197</definedName>
    <definedName name="Data_WerktijdfactorVastVrij196">Data!$AF$198</definedName>
    <definedName name="Data_WerktijdfactorVastVrij197">Data!$AF$199</definedName>
    <definedName name="Data_WerktijdfactorVastVrij198">Data!$AF$200</definedName>
    <definedName name="Data_WerktijdfactorVastVrij199">Data!$AF$201</definedName>
    <definedName name="Data_WerktijdfactorVastVrij200">Data!$AF$202</definedName>
    <definedName name="Data_WerktijdfactorVastVrij201">Data!$AF$203</definedName>
    <definedName name="Data_WerktijdfactorVastVrij202">Data!$AF$204</definedName>
    <definedName name="Data_WerktijdfactorVastVrij203">Data!$AF$205</definedName>
    <definedName name="Data_WerktijdfactorVastVrij204">Data!$AF$206</definedName>
    <definedName name="Data_WerktijdfactorVastVrij205">Data!$AF$207</definedName>
    <definedName name="Data_WerktijdfactorVastVrij206">Data!$AF$208</definedName>
    <definedName name="Data_WerktijdfactorVastVrij207">Data!$AF$209</definedName>
    <definedName name="Data_WerktijdfactorVastVrij208">Data!$AF$210</definedName>
    <definedName name="Data_WerktijdfactorVastVrij209">Data!$AF$211</definedName>
    <definedName name="Data_WerktijdfactorVastVrij210">Data!$AF$212</definedName>
    <definedName name="Data_WerktijdfactorVastVrij211">Data!$AF$213</definedName>
    <definedName name="Data_WerktijdfactorVastVrij212">Data!$AF$214</definedName>
    <definedName name="Data_WerktijdfactorVastVrij213">Data!$AF$215</definedName>
    <definedName name="Data_WerktijdfactorVastVrij214">Data!$AF$216</definedName>
    <definedName name="Data_WerktijdfactorVastVrij215">Data!$AF$217</definedName>
    <definedName name="Data_WerktijdfactorVastVrij216">Data!$AF$218</definedName>
    <definedName name="Data_WerktijdfactorVastVrij217">Data!$AF$219</definedName>
    <definedName name="Data_WerktijdfactorVastVrij218">Data!$AF$220</definedName>
    <definedName name="Data_WerktijdfactorVastVrij219">Data!$AF$221</definedName>
    <definedName name="Data_WerktijdfactorVastVrij220">Data!$AF$222</definedName>
    <definedName name="Data_WerktijdfactorVastVrij221">Data!$AF$223</definedName>
    <definedName name="Data_WerktijdfactorVastVrij222">Data!$AF$224</definedName>
    <definedName name="Data_WerktijdfactorVastVrij223">Data!$AF$225</definedName>
    <definedName name="Data_WerktijdfactorVastVrij224">Data!$AF$226</definedName>
    <definedName name="Data_WerktijdfactorVastVrij225">Data!$AF$227</definedName>
    <definedName name="Data_WerktijdfactorVastVrij226">Data!$AF$228</definedName>
    <definedName name="Data_WerktijdfactorVastVrij227">Data!$AF$229</definedName>
    <definedName name="Data_WerktijdfactorVastVrij228">Data!$AF$230</definedName>
    <definedName name="Data_WerktijdfactorVastVrij229">Data!$AF$231</definedName>
    <definedName name="Data_WerktijdfactorVastVrij230">Data!$AF$232</definedName>
    <definedName name="Data_WerktijdfactorVastVrij231">Data!$AF$233</definedName>
    <definedName name="Data_WerktijdfactorVastVrij232">Data!$AF$234</definedName>
    <definedName name="Data_WerktijdfactorVastVrij233">Data!$AF$235</definedName>
    <definedName name="Data_WerktijdfactorVastVrij234">Data!$AF$236</definedName>
    <definedName name="Data_WerktijdfactorVastVrij235">Data!$AF$237</definedName>
    <definedName name="Data_WerktijdfactorVastVrij236">Data!$AF$238</definedName>
    <definedName name="Data_WerktijdfactorVastVrij237">Data!$AF$239</definedName>
    <definedName name="Data_WerktijdfactorVastVrij238">Data!$AF$240</definedName>
    <definedName name="Data_WerktijdfactorVastVrij239">Data!$AF$241</definedName>
    <definedName name="Data_WerktijdfactorVastVrij240">Data!$AF$242</definedName>
    <definedName name="Data_WerktijdfactorVastVrij241">Data!$AF$243</definedName>
    <definedName name="Data_WerktijdfactorVastVrij242">Data!$AF$244</definedName>
    <definedName name="Data_WerktijdfactorVastVrij243">Data!$AF$245</definedName>
    <definedName name="Data_WerktijdfactorVastVrij244">Data!$AF$246</definedName>
    <definedName name="Data_WerktijdfactorVastVrij245">Data!$AF$247</definedName>
    <definedName name="Data_WerktijdfactorVastVrij246">Data!$AF$248</definedName>
    <definedName name="Data_WerktijdfactorVastVrij247">Data!$AF$249</definedName>
    <definedName name="Data_WerktijdfactorVastVrij248">Data!$AF$250</definedName>
    <definedName name="Data_WerktijdfactorVastVrij249">Data!$AF$251</definedName>
    <definedName name="Data_WerktijdfactorVastVrij250">Data!$AF$252</definedName>
    <definedName name="Data_WerktijdfactorVastVrij251">Data!$AF$253</definedName>
    <definedName name="Data_WerktijdfactorVastVrij252">Data!$AF$254</definedName>
    <definedName name="Data_WerktijdfactorVastVrij253">Data!$AF$255</definedName>
    <definedName name="Data_WerktijdfactorVastVrij254">Data!$AF$256</definedName>
    <definedName name="Data_WerktijdfactorVastVrij255">Data!$AF$257</definedName>
    <definedName name="Data_WerktijdfactorVastVrij256">Data!$AF$258</definedName>
    <definedName name="Data_WerktijdfactorVastVrij257">Data!$AF$259</definedName>
    <definedName name="Data_WerktijdfactorVastVrij258">Data!$AF$260</definedName>
    <definedName name="Data_WerktijdfactorVastVrij259">Data!$AF$261</definedName>
    <definedName name="Data_WerktijdfactorVastVrij260">Data!$AF$262</definedName>
    <definedName name="Data_WerktijdfactorVastVrij261">Data!$AF$263</definedName>
    <definedName name="Data_WerktijdfactorVastVrij262">Data!$AF$264</definedName>
    <definedName name="Data_WerktijdfactorVastVrij263">Data!$AF$265</definedName>
    <definedName name="Data_WerktijdfactorVastVrij264">Data!$AF$266</definedName>
    <definedName name="Data_WerktijdfactorVastVrij265">Data!$AF$267</definedName>
    <definedName name="Data_WerktijdfactorVastVrij266">Data!$AF$268</definedName>
    <definedName name="Data_WerktijdfactorVastVrij267">Data!$AF$269</definedName>
    <definedName name="Data_WerktijdfactorVastVrij268">Data!$AF$270</definedName>
    <definedName name="Data_WerktijdfactorVastVrij269">Data!$AF$271</definedName>
    <definedName name="Data_WerktijdfactorVastVrij270">Data!$AF$272</definedName>
    <definedName name="Data_WerktijdfactorVastVrij271">Data!$AF$273</definedName>
    <definedName name="Data_WerktijdfactorVastVrij272">Data!$AF$274</definedName>
    <definedName name="Data_WerktijdfactorVastVrij273">Data!$AF$275</definedName>
    <definedName name="Data_WerktijdfactorVastVrij274">Data!$AF$276</definedName>
    <definedName name="Data_WerktijdfactorVastVrij275">Data!$AF$277</definedName>
    <definedName name="Data_WerktijdfactorVastVrij276">Data!$AF$278</definedName>
    <definedName name="Data_WerktijdfactorVastVrij277">Data!$AF$279</definedName>
    <definedName name="Data_WerktijdfactorVastVrij278">Data!$AF$280</definedName>
    <definedName name="Data_WerktijdfactorVastVrij279">Data!$AF$281</definedName>
    <definedName name="Data_WerktijdfactorVastVrij280">Data!$AF$282</definedName>
    <definedName name="Data_WerktijdfactorVastVrij281">Data!$AF$283</definedName>
    <definedName name="Data_WerktijdfactorVastVrij282">Data!$AF$284</definedName>
    <definedName name="Data_WerktijdfactorVastVrij283">Data!$AF$285</definedName>
    <definedName name="Data_WerktijdfactorVastVrij284">Data!$AF$286</definedName>
    <definedName name="Data_WerktijdfactorVastVrij285">Data!$AF$287</definedName>
    <definedName name="Data_WerktijdfactorVastVrij286">Data!$AF$288</definedName>
    <definedName name="Data_WerktijdfactorVastVrij287">Data!$AF$289</definedName>
    <definedName name="Data_WerktijdfactorVastVrij288">Data!$AF$290</definedName>
    <definedName name="Data_WerktijdfactorVastVrij289">Data!$AF$291</definedName>
    <definedName name="Data_WerktijdfactorVastVrij290">Data!$AF$292</definedName>
    <definedName name="Data_WerktijdfactorVastVrij291">Data!$AF$293</definedName>
    <definedName name="Data_WerktijdfactorVastVrij292">Data!$AF$294</definedName>
    <definedName name="Data_WerktijdfactorVastVrij293">Data!$AF$295</definedName>
    <definedName name="Data_WerktijdfactorVastVrij294">Data!$AF$296</definedName>
    <definedName name="Data_WerktijdfactorVastVrij295">Data!$AF$297</definedName>
    <definedName name="Data_WerktijdfactorVastVrij296">Data!$AF$298</definedName>
    <definedName name="Data_WerktijdfactorVastVrij297">Data!$AF$299</definedName>
    <definedName name="Data_WerktijdfactorVastVrij298">Data!$AF$300</definedName>
    <definedName name="Data_WerktijdfactorVastVrij299">Data!$AF$301</definedName>
    <definedName name="Data_WerktijdfactorVastVrij300">Data!$AF$302</definedName>
    <definedName name="Data_WerktijdfactorVastVrij301">Data!$AF$303</definedName>
    <definedName name="Data_WerktijdfactorVastVrij302">Data!$AF$304</definedName>
    <definedName name="Data_WerktijdfactorVastVrij303">Data!$AF$305</definedName>
    <definedName name="Data_WerktijdfactorVastVrij304">Data!$AF$306</definedName>
    <definedName name="Data_WerktijdfactorVastVrij305">Data!$AF$307</definedName>
    <definedName name="Data_WerktijdfactorVastVrij306">Data!$AF$308</definedName>
    <definedName name="Data_WerktijdfactorVastVrij307">Data!$AF$309</definedName>
    <definedName name="Data_WerktijdfactorVastVrij308">Data!$AF$310</definedName>
    <definedName name="Data_WerktijdfactorVastVrij309">Data!$AF$311</definedName>
    <definedName name="Data_WerktijdfactorVastVrij310">Data!$AF$312</definedName>
    <definedName name="Data_WerktijdfactorVastVrij311">Data!$AF$313</definedName>
    <definedName name="Data_WerktijdfactorVastVrij312">Data!$AF$314</definedName>
    <definedName name="Data_WerktijdfactorVastVrij313">Data!$AF$315</definedName>
    <definedName name="Data_WerktijdfactorVastVrij314">Data!$AF$316</definedName>
    <definedName name="Data_WerktijdfactorVastVrij315">Data!$AF$317</definedName>
    <definedName name="Data_WerktijdfactorVastVrij316">Data!$AF$318</definedName>
    <definedName name="Data_WerktijdfactorVastVrij317">Data!$AF$319</definedName>
    <definedName name="Data_WerktijdfactorVastVrij318">Data!$AF$320</definedName>
    <definedName name="Data_WerktijdfactorVastVrij319">Data!$AF$321</definedName>
    <definedName name="Data_WerktijdfactorVastVrij320">Data!$AF$322</definedName>
    <definedName name="Data_WerktijdfactorVastVrij321">Data!$AF$323</definedName>
    <definedName name="Data_WerktijdfactorVastVrij322">Data!$AF$324</definedName>
    <definedName name="Data_WerktijdfactorVastVrij323">Data!$AF$325</definedName>
    <definedName name="Data_WerktijdfactorVastVrij324">Data!$AF$326</definedName>
    <definedName name="Data_WerktijdfactorVastVrij325">Data!$AF$327</definedName>
    <definedName name="Data_WerktijdfactorVastVrij326">Data!$AF$328</definedName>
    <definedName name="Data_WerktijdfactorVastVrij327">Data!$AF$329</definedName>
    <definedName name="Data_WerktijdfactorVastVrij328">Data!$AF$330</definedName>
    <definedName name="Data_WerktijdfactorVastVrij329">Data!$AF$331</definedName>
    <definedName name="Data_WerktijdfactorVastVrij330">Data!$AF$332</definedName>
    <definedName name="Data_WerktijdfactorVastVrij331">Data!$AF$333</definedName>
    <definedName name="Data_WerktijdfactorVastVrij332">Data!$AF$334</definedName>
    <definedName name="Data_WerktijdfactorVastVrij333">Data!$AF$335</definedName>
    <definedName name="Data_WerktijdfactorVastVrij334">Data!$AF$336</definedName>
    <definedName name="Data_WerktijdfactorVastVrij335">Data!$AF$337</definedName>
    <definedName name="Data_WerktijdfactorVastVrij336">Data!$AF$338</definedName>
    <definedName name="Data_WerktijdfactorVastVrij337">Data!$AF$339</definedName>
    <definedName name="Data_WerktijdfactorVastVrij338">Data!$AF$340</definedName>
    <definedName name="Data_WerktijdfactorVastVrij339">Data!$AF$341</definedName>
    <definedName name="Data_WerktijdfactorVastVrij340">Data!$AF$342</definedName>
    <definedName name="Data_WerktijdfactorVastVrij341">Data!$AF$343</definedName>
    <definedName name="Data_WerktijdfactorVastVrij342">Data!$AF$344</definedName>
    <definedName name="Data_WerktijdfactorVastVrij343">Data!$AF$345</definedName>
    <definedName name="Data_WerktijdfactorVastVrij344">Data!$AF$346</definedName>
    <definedName name="Data_WerktijdfactorVastVrij345">Data!$AF$347</definedName>
    <definedName name="Data_WerktijdfactorVastVrij346">Data!$AF$348</definedName>
    <definedName name="Data_WerktijdfactorVastVrij347">Data!$AF$349</definedName>
    <definedName name="Data_WerktijdfactorVastVrij348">Data!$AF$350</definedName>
    <definedName name="Data_WerktijdfactorVastVrij349">Data!$AF$351</definedName>
    <definedName name="Data_WerktijdfactorVastVrij350">Data!$AF$352</definedName>
    <definedName name="Data_WerktijdfactorVastVrij351">Data!$AF$353</definedName>
    <definedName name="Data_WerktijdfactorVastVrij352">Data!$AF$354</definedName>
    <definedName name="Data_WerktijdfactorVastVrij353">Data!$AF$355</definedName>
    <definedName name="Data_WerktijdfactorVastVrij354">Data!$AF$356</definedName>
    <definedName name="Data_WerktijdfactorVastVrij355">Data!$AF$357</definedName>
    <definedName name="Data_WerktijdfactorVastVrij356">Data!$AF$358</definedName>
    <definedName name="Data_WerktijdfactorVastVrij357">Data!$AF$359</definedName>
    <definedName name="Data_WerktijdfactorVastVrij358">Data!$AF$360</definedName>
    <definedName name="Data_WerktijdfactorVastVrij359">Data!$AF$361</definedName>
    <definedName name="Data_WerktijdfactorVastVrij360">Data!$AF$362</definedName>
    <definedName name="Data_WerktijdfactorVastVrij361">Data!$AF$363</definedName>
    <definedName name="Data_WerktijdfactorVastVrij362">Data!$AF$364</definedName>
    <definedName name="Data_WerktijdfactorVastVrij363">Data!$AF$365</definedName>
    <definedName name="Data_WerktijdfactorVastVrij364">Data!$AF$366</definedName>
    <definedName name="Data_WerktijdfactorVastVrij365">Data!$AF$367</definedName>
    <definedName name="Data_WerktijdfactorVastVrij366">Data!$AF$368</definedName>
    <definedName name="Data_WerktijdfactorVastVrij367">Data!$AF$369</definedName>
    <definedName name="Data_WerktijdfactorVastVrij368">Data!$AF$370</definedName>
    <definedName name="Data_WerktijdfactorVastVrij369">Data!$AF$371</definedName>
    <definedName name="Data_WerktijdfactorVastVrij370">Data!$AF$372</definedName>
    <definedName name="Data_WerktijdfactorVastVrij371">Data!$AF$373</definedName>
    <definedName name="Data_WerktijdfactorVastVrij372">Data!$AF$374</definedName>
    <definedName name="Data_WerktijdfactorVastVrij373">Data!$AF$375</definedName>
    <definedName name="Data_WerktijdfactorVastVrij374">Data!$AF$376</definedName>
    <definedName name="Data_WerktijdfactorVastVrij375">Data!$AF$377</definedName>
    <definedName name="Data_WerktijdfactorVastVrij376">Data!$AF$378</definedName>
    <definedName name="Data_WerktijdfactorVastVrij377">Data!$AF$379</definedName>
    <definedName name="Data_WerktijdfactorVastVrij378">Data!$AF$380</definedName>
    <definedName name="Data_WerktijdfactorVastVrij379">Data!$AF$381</definedName>
    <definedName name="Data_WerktijdfactorVastVrij380">Data!$AF$382</definedName>
    <definedName name="Data_WerktijdfactorVastVrij381">Data!$AF$383</definedName>
    <definedName name="Data_WerktijdfactorVastVrij382">Data!$AF$384</definedName>
    <definedName name="Data_WerktijdfactorVastVrij383">Data!$AF$385</definedName>
    <definedName name="Data_WerktijdfactorVastVrij384">Data!$AF$386</definedName>
    <definedName name="Data_WerktijdfactorVastVrij385">Data!$AF$387</definedName>
    <definedName name="Data_WerktijdfactorVastVrij386">Data!$AF$388</definedName>
    <definedName name="Data_WerktijdfactorVastVrij387">Data!$AF$389</definedName>
    <definedName name="Data_WerktijdfactorVastVrij388">Data!$AF$390</definedName>
    <definedName name="Data_WerktijdfactorVastVrij389">Data!$AF$391</definedName>
    <definedName name="Data_WerktijdfactorVastVrij390">Data!$AF$392</definedName>
    <definedName name="Data_WerktijdfactorVastVrij391">Data!$AF$393</definedName>
    <definedName name="Data_WerktijdfactorVastVrij392">Data!$AF$394</definedName>
    <definedName name="Data_WerktijdfactorVastVrij393">Data!$AF$395</definedName>
    <definedName name="Data_WerktijdfactorVastVrij394">Data!$AF$396</definedName>
    <definedName name="Data_WerktijdfactorVastVrij395">Data!$AF$397</definedName>
    <definedName name="Data_WerktijdfactorVastVrij396">Data!$AF$398</definedName>
    <definedName name="Data_WerktijdfactorVastVrij397">Data!$AF$399</definedName>
    <definedName name="Data_WerktijdfactorVastVrij398">Data!$AF$400</definedName>
    <definedName name="Data_WerktijdfactorVastVrij399">Data!$AF$401</definedName>
    <definedName name="Data_WerktijdfactorVastVrij400">Data!$AF$402</definedName>
    <definedName name="Data_WerktijdfactorVastVrij401">Data!$AF$403</definedName>
    <definedName name="Data_WerktijdfactorVastVrij402">Data!$AF$404</definedName>
    <definedName name="Data_WerktijdfactorVastVrij403">Data!$AF$405</definedName>
    <definedName name="Data_WerktijdfactorVastVrij404">Data!$AF$406</definedName>
    <definedName name="Data_WerktijdfactorVastVrij405">Data!$AF$407</definedName>
    <definedName name="Data_WerktijdfactorVastVrij406">Data!$AF$408</definedName>
    <definedName name="Data_WerktijdfactorVastVrij407">Data!$AF$409</definedName>
    <definedName name="Data_WerktijdfactorVastVrij408">Data!$AF$410</definedName>
    <definedName name="Data_WerktijdfactorVastVrij409">Data!$AF$411</definedName>
    <definedName name="Data_WerktijdfactorVastVrij410">Data!$AF$412</definedName>
    <definedName name="Data_WerktijdfactorVastVrij411">Data!$AF$413</definedName>
    <definedName name="Data_WerktijdfactorVastVrij412">Data!$AF$414</definedName>
    <definedName name="Data_WerktijdfactorVastVrij413">Data!$AF$415</definedName>
    <definedName name="Data_WerktijdfactorVastVrij414">Data!$AF$416</definedName>
    <definedName name="Data_WerktijdfactorVastVrij415">Data!$AF$417</definedName>
    <definedName name="Data_WerktijdfactorVastVrij416">Data!$AF$418</definedName>
    <definedName name="Data_WerktijdfactorVastVrij417">Data!$AF$419</definedName>
    <definedName name="Data_WerktijdfactorVastVrij418">Data!$AF$420</definedName>
    <definedName name="Data_WerktijdfactorVastVrij419">Data!$AF$421</definedName>
    <definedName name="Data_WerktijdfactorVastVrij420">Data!$AF$422</definedName>
    <definedName name="Data_WerktijdfactorVastVrij421">Data!$AF$423</definedName>
    <definedName name="Data_WerktijdfactorVastVrij422">Data!$AF$424</definedName>
    <definedName name="Data_WerktijdfactorVastVrij423">Data!$AF$425</definedName>
    <definedName name="Data_WerktijdfactorVastVrij424">Data!$AF$426</definedName>
    <definedName name="Data_WerktijdfactorVastVrij425">Data!$AF$427</definedName>
    <definedName name="Data_WerktijdfactorVastVrij426">Data!$AF$428</definedName>
    <definedName name="Data_WerktijdfactorVastVrij427">Data!$AF$429</definedName>
    <definedName name="Data_WerktijdfactorVastVrij428">Data!$AF$430</definedName>
    <definedName name="Data_WerktijdfactorVastVrij429">Data!$AF$431</definedName>
    <definedName name="Data_WerktijdfactorVastVrij430">Data!$AF$432</definedName>
    <definedName name="Data_WerktijdfactorVastVrij431">Data!$AF$433</definedName>
    <definedName name="Data_WerktijdfactorVastVrij432">Data!$AF$434</definedName>
    <definedName name="Data_WerktijdfactorVastVrij433">Data!$AF$435</definedName>
    <definedName name="Data_WerktijdfactorVastVrij434">Data!$AF$436</definedName>
    <definedName name="Data_WerktijdfactorVastVrij435">Data!$AF$437</definedName>
    <definedName name="Data_WerktijdfactorVastVrij436">Data!$AF$438</definedName>
    <definedName name="Data_WerktijdfactorVastVrij437">Data!$AF$439</definedName>
    <definedName name="Data_WerktijdfactorVastVrij438">Data!$AF$440</definedName>
    <definedName name="Data_WerktijdfactorVastVrij439">Data!$AF$441</definedName>
    <definedName name="Data_WerktijdfactorVastVrij440">Data!$AF$442</definedName>
    <definedName name="Data_WerktijdfactorVastVrij441">Data!$AF$443</definedName>
    <definedName name="Data_WerktijdfactorVastVrij442">Data!$AF$444</definedName>
    <definedName name="Data_WerktijdfactorVastVrij443">Data!$AF$445</definedName>
    <definedName name="Data_WerktijdfactorVastVrij444">Data!$AF$446</definedName>
    <definedName name="Data_WerktijdfactorVastVrij445">Data!$AF$447</definedName>
    <definedName name="Data_WerktijdfactorVastVrij446">Data!$AF$448</definedName>
    <definedName name="Data_WerktijdfactorVastVrij447">Data!$AF$449</definedName>
    <definedName name="Data_WerktijdfactorVastVrij448">Data!$AF$450</definedName>
    <definedName name="Data_WerktijdfactorVastVrij449">Data!$AF$451</definedName>
    <definedName name="Data_WerktijdfactorVastVrij450">Data!$AF$452</definedName>
    <definedName name="Data_WerktijdfactorVastVrij451">Data!$AF$453</definedName>
    <definedName name="Data_WerktijdfactorVastVrij452">Data!$AF$454</definedName>
    <definedName name="Data_WerktijdfactorVastVrij453">Data!$AF$455</definedName>
    <definedName name="Data_WerktijdfactorVastVrij454">Data!$AF$456</definedName>
    <definedName name="Data_WerktijdfactorVastVrij455">Data!$AF$457</definedName>
    <definedName name="Data_WerktijdfactorVastVrij456">Data!$AF$458</definedName>
    <definedName name="Data_WerktijdfactorVastVrij457">Data!$AF$459</definedName>
    <definedName name="Data_WerktijdfactorVastVrij458">Data!$AF$460</definedName>
    <definedName name="Data_WerktijdfactorVastVrij459">Data!$AF$461</definedName>
    <definedName name="Data_WerktijdfactorVastVrij460">Data!$AF$462</definedName>
    <definedName name="Data_WerktijdfactorVastVrij461">Data!$AF$463</definedName>
    <definedName name="Data_WerktijdfactorVastVrij462">Data!$AF$464</definedName>
    <definedName name="Data_WerktijdfactorVastVrij463">Data!$AF$465</definedName>
    <definedName name="Data_WerktijdfactorVastVrij464">Data!$AF$466</definedName>
    <definedName name="Data_WerktijdfactorVastVrij465">Data!$AF$467</definedName>
    <definedName name="Data_WerktijdfactorVastVrij466">Data!$AF$468</definedName>
    <definedName name="Data_WerktijdfactorVastVrij467">Data!$AF$469</definedName>
    <definedName name="Data_WerktijdfactorVastVrij468">Data!$AF$470</definedName>
    <definedName name="Data_WerktijdfactorVastVrij469">Data!$AF$471</definedName>
    <definedName name="Data_WerktijdfactorVastVrij470">Data!$AF$472</definedName>
    <definedName name="Data_WerktijdfactorVastVrij471">Data!$AF$473</definedName>
    <definedName name="Data_WerktijdfactorVastVrij472">Data!$AF$474</definedName>
    <definedName name="Data_WerktijdfactorVastVrij473">Data!$AF$475</definedName>
    <definedName name="Data_WerktijdfactorVastVrij474">Data!$AF$476</definedName>
    <definedName name="Data_WerktijdfactorVastVrij475">Data!$AF$477</definedName>
    <definedName name="Data_WerktijdfactorVastVrij476">Data!$AF$478</definedName>
    <definedName name="Data_WerktijdfactorVastVrij477">Data!$AF$479</definedName>
    <definedName name="Data_WerktijdfactorVastVrij478">Data!$AF$480</definedName>
    <definedName name="Data_WerktijdfactorVastVrij479">Data!$AF$481</definedName>
    <definedName name="Data_WerktijdfactorVastVrij480">Data!$AF$482</definedName>
    <definedName name="Data_WerktijdfactorVastVrij481">Data!$AF$483</definedName>
    <definedName name="Data_WerktijdfactorVastVrij482">Data!$AF$484</definedName>
    <definedName name="Data_WerktijdfactorVastVrij483">Data!$AF$485</definedName>
    <definedName name="Data_WerktijdfactorVastVrij484">Data!$AF$486</definedName>
    <definedName name="Data_WerktijdfactorVastVrij485">Data!$AF$487</definedName>
    <definedName name="Data_WerktijdfactorVastVrij486">Data!$AF$488</definedName>
    <definedName name="Data_WerktijdfactorVastVrij487">Data!$AF$489</definedName>
    <definedName name="Data_WerktijdfactorVastVrij488">Data!$AF$490</definedName>
    <definedName name="Data_WerktijdfactorVastVrij489">Data!$AF$491</definedName>
    <definedName name="Data_WerktijdfactorVastVrij490">Data!$AF$492</definedName>
    <definedName name="Data_WerktijdfactorVastVrij491">Data!$AF$493</definedName>
    <definedName name="Data_WerktijdfactorVastVrij492">Data!$AF$494</definedName>
    <definedName name="Data_WerktijdfactorVastVrij493">Data!$AF$495</definedName>
    <definedName name="Data_WerktijdfactorVastVrij494">Data!$AF$496</definedName>
    <definedName name="Data_WerktijdfactorVastVrij495">Data!$AF$497</definedName>
    <definedName name="Data_WerktijdfactorVastVrij496">Data!$AF$498</definedName>
    <definedName name="Data_WerktijdfactorVastVrij497">Data!$AF$499</definedName>
    <definedName name="Data_WerktijdfactorVastVrij498">Data!$AF$500</definedName>
    <definedName name="Data_WerktijdfactorVastVrij499">Data!$AF$501</definedName>
    <definedName name="Data_WerktijdfactorVastVrij500">Data!$AF$502</definedName>
    <definedName name="LeerlingAantalCalc">Leerlingaantallen!$H$5</definedName>
    <definedName name="Peildatum">Consolidatie!$O$3</definedName>
    <definedName name="PrestatieBox1213">Prestatiebox!$C$20</definedName>
    <definedName name="PrestatieBox1314">Prestatiebox!$C$49</definedName>
    <definedName name="RangeToClear">Data!$BK$3:$BK$10</definedName>
    <definedName name="Read_D1_01_01_01">Consolidatie!$O$10</definedName>
    <definedName name="Read_D1_01_01_02">Consolidatie!$O$11</definedName>
    <definedName name="Read_D1_01_01_03">Consolidatie!$O$12</definedName>
    <definedName name="Read_D1_01_01_04">Consolidatie!$O$13</definedName>
    <definedName name="Read_D1_01_02_01">Consolidatie!$O$16</definedName>
    <definedName name="Read_D1_01_02_02">Consolidatie!$O$17</definedName>
    <definedName name="Read_D1_01_02_03">Consolidatie!$O$18</definedName>
    <definedName name="Read_D1_01_02_04">Consolidatie!$O$19</definedName>
    <definedName name="Read_D1_01_02_05">Consolidatie!$O$20</definedName>
    <definedName name="Read_D1_01_02_06">Consolidatie!$O$21</definedName>
    <definedName name="Read_D1_01_02_07">Consolidatie!$O$22</definedName>
    <definedName name="Read_D1_01_02_08">Consolidatie!$O$23</definedName>
    <definedName name="Read_D1_01_02_09">Consolidatie!$O$24</definedName>
    <definedName name="Read_D1_01_02_10">Consolidatie!$O$25</definedName>
    <definedName name="Read_D1_01_02_11">Consolidatie!$O$26</definedName>
    <definedName name="Read_D1_01_02_12">Consolidatie!$O$27</definedName>
    <definedName name="Read_D1_01_02_13">Consolidatie!$O$28</definedName>
    <definedName name="Read_D1_01_02_14">Consolidatie!$O$29</definedName>
    <definedName name="Read_D1_01_02_15">Consolidatie!$O$30</definedName>
    <definedName name="Read_D1_01_02_16">Consolidatie!$O$31</definedName>
    <definedName name="Read_D1_01_02_17">Consolidatie!$O$32</definedName>
    <definedName name="Read_D1_01_02_18">Consolidatie!$O$33</definedName>
    <definedName name="Read_D1_01_02_19">Consolidatie!$O$34</definedName>
    <definedName name="Read_D1_01_02_20">Consolidatie!$O$35</definedName>
    <definedName name="Read_D1_01_03">Consolidatie!$O$37</definedName>
    <definedName name="Read_D1_01_04">Consolidatie!$O$39</definedName>
    <definedName name="Read_D1_01_05">Consolidatie!$O$41</definedName>
    <definedName name="Read_D1_01_06">Consolidatie!$O$43</definedName>
    <definedName name="Read_D1_02_01">Consolidatie!$O$46</definedName>
    <definedName name="Read_D1_02_02">Consolidatie!$O$47</definedName>
    <definedName name="Read_D1_02_03">Consolidatie!$O$48</definedName>
    <definedName name="Read_D1_02_04">Consolidatie!$O$49</definedName>
    <definedName name="Read_D1_02_05">Consolidatie!$O$51</definedName>
    <definedName name="Read_D1_03">Consolidatie!$O$53</definedName>
    <definedName name="Read_D2_01_01_01">Consolidatie!$Q$10</definedName>
    <definedName name="Read_D2_01_01_02">Consolidatie!$Q$11</definedName>
    <definedName name="Read_D2_01_01_03">Consolidatie!$Q$12</definedName>
    <definedName name="Read_D2_01_01_04">Consolidatie!$Q$13</definedName>
    <definedName name="Read_D2_01_02_01">Consolidatie!$Q$16</definedName>
    <definedName name="Read_D2_01_02_02">Consolidatie!$Q$17</definedName>
    <definedName name="Read_D2_01_02_03">Consolidatie!$Q$18</definedName>
    <definedName name="Read_D2_01_02_04">Consolidatie!$Q$19</definedName>
    <definedName name="Read_D2_01_02_05">Consolidatie!$Q$20</definedName>
    <definedName name="Read_D2_01_02_06">Consolidatie!$Q$21</definedName>
    <definedName name="Read_D2_01_02_07">Consolidatie!$Q$22</definedName>
    <definedName name="Read_D2_01_02_08">Consolidatie!$Q$23</definedName>
    <definedName name="Read_D2_01_02_09">Consolidatie!$Q$24</definedName>
    <definedName name="Read_D2_01_02_10">Consolidatie!$Q$25</definedName>
    <definedName name="Read_D2_01_02_11">Consolidatie!$Q$26</definedName>
    <definedName name="Read_D2_01_02_12">Consolidatie!$Q$27</definedName>
    <definedName name="Read_D2_01_02_13">Consolidatie!$Q$28</definedName>
    <definedName name="Read_D2_01_02_14">Consolidatie!$Q$29</definedName>
    <definedName name="Read_D2_01_02_15">Consolidatie!$Q$30</definedName>
    <definedName name="Read_D2_01_02_16">Consolidatie!$Q$31</definedName>
    <definedName name="Read_D2_01_02_17">Consolidatie!$Q$32</definedName>
    <definedName name="Read_D2_01_02_18">Consolidatie!$Q$33</definedName>
    <definedName name="Read_D2_01_02_19">Consolidatie!$Q$34</definedName>
    <definedName name="Read_D2_01_02_20">Consolidatie!$Q$35</definedName>
    <definedName name="Read_D2_01_03">Consolidatie!$Q$37</definedName>
    <definedName name="Read_D2_01_04">Consolidatie!$Q$39</definedName>
    <definedName name="Read_D2_01_05">Consolidatie!$Q$41</definedName>
    <definedName name="Read_D2_01_06">Consolidatie!$Q$43</definedName>
    <definedName name="Read_D2_02_01">Consolidatie!$Q$46</definedName>
    <definedName name="Read_D2_02_02">Consolidatie!$Q$47</definedName>
    <definedName name="Read_D2_02_03">Consolidatie!$Q$48</definedName>
    <definedName name="Read_D2_02_04">Consolidatie!$Q$49</definedName>
    <definedName name="Read_D2_02_05">Consolidatie!$Q$51</definedName>
    <definedName name="Read_D2_03">Consolidatie!$Q$53</definedName>
    <definedName name="Read_L_01">Consolidatie!$D$8</definedName>
    <definedName name="Read_L_01_01">Consolidatie!$E$9</definedName>
    <definedName name="Read_L_01_01_01">Consolidatie!$F$10</definedName>
    <definedName name="Read_L_01_01_02">Consolidatie!$F$11</definedName>
    <definedName name="Read_L_01_01_03">Consolidatie!$F$12</definedName>
    <definedName name="Read_L_01_01_04">Consolidatie!$F$13</definedName>
    <definedName name="Read_L_01_02">Consolidatie!$E$15</definedName>
    <definedName name="Read_L_01_02_01">Consolidatie!$F$16</definedName>
    <definedName name="Read_L_01_02_02">Consolidatie!$F$17</definedName>
    <definedName name="Read_L_01_02_03">Consolidatie!$F$18</definedName>
    <definedName name="Read_L_01_02_04">Consolidatie!$F$19</definedName>
    <definedName name="Read_L_01_02_05">Consolidatie!$F$20</definedName>
    <definedName name="Read_L_01_02_06">Consolidatie!$F$21</definedName>
    <definedName name="Read_L_01_02_07">Consolidatie!$F$22</definedName>
    <definedName name="Read_L_01_02_08">Consolidatie!$F$23</definedName>
    <definedName name="Read_L_01_02_09">Consolidatie!$F$24</definedName>
    <definedName name="Read_L_01_02_10">Consolidatie!$F$25</definedName>
    <definedName name="Read_L_01_02_11">Consolidatie!$F$26</definedName>
    <definedName name="Read_L_01_02_12">Consolidatie!$F$27</definedName>
    <definedName name="Read_L_01_02_13">Consolidatie!$F$28</definedName>
    <definedName name="Read_L_01_02_14">Consolidatie!$F$29</definedName>
    <definedName name="Read_L_01_02_15">Consolidatie!$F$30</definedName>
    <definedName name="Read_L_01_02_16">Consolidatie!$F$31</definedName>
    <definedName name="Read_L_01_02_17">Consolidatie!$F$32</definedName>
    <definedName name="Read_L_01_02_18">Consolidatie!$F$33</definedName>
    <definedName name="Read_L_01_02_19">Consolidatie!$F$34</definedName>
    <definedName name="Read_L_01_02_20">Consolidatie!$F$35</definedName>
    <definedName name="Read_L_01_03">Consolidatie!$E$37</definedName>
    <definedName name="Read_L_01_04">Consolidatie!$E$39</definedName>
    <definedName name="Read_L_01_05">Consolidatie!$E$41</definedName>
    <definedName name="Read_L_01_06">Consolidatie!$E$43</definedName>
    <definedName name="Read_L_02">Consolidatie!$D$45</definedName>
    <definedName name="Read_L_02_01">Consolidatie!$F$46</definedName>
    <definedName name="Read_L_02_02">Consolidatie!$F$47</definedName>
    <definedName name="Read_L_02_03">Consolidatie!$F$48</definedName>
    <definedName name="Read_L_02_04">Consolidatie!$F$49</definedName>
    <definedName name="Read_L_02_05">Consolidatie!$F$51</definedName>
    <definedName name="Read_L_03">Consolidatie!$D$53</definedName>
    <definedName name="Read_Ontslagruimte">Data!$BE$3</definedName>
    <definedName name="Read_OntslagruimteVerschil">Data!$BE$4</definedName>
    <definedName name="Read_PerformanceBoxPanel1213">Data!$E$31</definedName>
    <definedName name="Read_PerformanceBoxPanel1314">Data!$E$34</definedName>
    <definedName name="Read_PersonPanelLoonkosten">Data!$BE$11</definedName>
    <definedName name="Schaalcodes">Schalen_ineengeschoven!$A$11:$A$45</definedName>
    <definedName name="Schaaltreden">Schalen_ineengeschoven!$C$14:$C$33</definedName>
    <definedName name="Werkdrukbedrag">Leerlingaantallen!$H$6</definedName>
    <definedName name="WerkdrukbedragPerLeerling">Leerlingaantallen!#REF!</definedName>
    <definedName name="WerkdrukbedragPerLeerlingBo">Leerlingaantallen!$H$9</definedName>
    <definedName name="WerkdrukbedragPerLeerlingSbo">Leerlingaantallen!$H$10</definedName>
    <definedName name="WerkdrukbedragPerLeerlingSo">Leerlingaantallen!$H$11</definedName>
    <definedName name="WerkdrukbedragPerLeerlingVso">Leerlingaantallen!$H$12</definedName>
    <definedName name="WerkgeverNaam">Leerlingaantallen!$H$4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" i="23" l="1"/>
  <c r="H4" i="23"/>
  <c r="D859" i="24" l="1"/>
  <c r="D860" i="24"/>
  <c r="D861" i="24"/>
  <c r="D862" i="24"/>
  <c r="D863" i="24"/>
  <c r="D864" i="24"/>
  <c r="D865" i="24"/>
  <c r="D866" i="24"/>
  <c r="D867" i="24"/>
  <c r="D868" i="24"/>
  <c r="D869" i="24"/>
  <c r="D870" i="24"/>
  <c r="D871" i="24"/>
  <c r="D872" i="24"/>
  <c r="D873" i="24"/>
  <c r="D874" i="24"/>
  <c r="D875" i="24"/>
  <c r="D876" i="24"/>
  <c r="D877" i="24"/>
  <c r="D878" i="24"/>
  <c r="D879" i="24"/>
  <c r="D880" i="24"/>
  <c r="D881" i="24"/>
  <c r="D882" i="24"/>
  <c r="D883" i="24"/>
  <c r="D884" i="24"/>
  <c r="D885" i="24"/>
  <c r="D886" i="24"/>
  <c r="D887" i="24"/>
  <c r="D888" i="24"/>
  <c r="D889" i="24"/>
  <c r="D890" i="24"/>
  <c r="D891" i="24"/>
  <c r="D892" i="24"/>
  <c r="D893" i="24"/>
  <c r="D894" i="24"/>
  <c r="D895" i="24"/>
  <c r="D896" i="24"/>
  <c r="D897" i="24"/>
  <c r="D898" i="24"/>
  <c r="D899" i="24"/>
  <c r="D900" i="24"/>
  <c r="D901" i="24"/>
  <c r="D902" i="24"/>
  <c r="D903" i="24"/>
  <c r="D904" i="24"/>
  <c r="D905" i="24"/>
  <c r="D906" i="24"/>
  <c r="D907" i="24"/>
  <c r="D908" i="24"/>
  <c r="D909" i="24"/>
  <c r="D910" i="24"/>
  <c r="D911" i="24"/>
  <c r="D912" i="24"/>
  <c r="D913" i="24"/>
  <c r="D914" i="24"/>
  <c r="D915" i="24"/>
  <c r="D916" i="24"/>
  <c r="D917" i="24"/>
  <c r="D918" i="24"/>
  <c r="D919" i="24"/>
  <c r="D920" i="24"/>
  <c r="D921" i="24"/>
  <c r="D922" i="24"/>
  <c r="D923" i="24"/>
  <c r="D924" i="24"/>
  <c r="D925" i="24"/>
  <c r="D926" i="24"/>
  <c r="D927" i="24"/>
  <c r="D928" i="24"/>
  <c r="D929" i="24"/>
  <c r="D930" i="24"/>
  <c r="D931" i="24"/>
  <c r="D932" i="24"/>
  <c r="D933" i="24"/>
  <c r="D934" i="24"/>
  <c r="D935" i="24"/>
  <c r="D936" i="24"/>
  <c r="D937" i="24"/>
  <c r="D938" i="24"/>
  <c r="D939" i="24"/>
  <c r="D940" i="24"/>
  <c r="D941" i="24"/>
  <c r="D942" i="24"/>
  <c r="D943" i="24"/>
  <c r="D944" i="24"/>
  <c r="D945" i="24"/>
  <c r="D946" i="24"/>
  <c r="D947" i="24"/>
  <c r="D948" i="24"/>
  <c r="D949" i="24"/>
  <c r="D950" i="24"/>
  <c r="D951" i="24"/>
  <c r="D952" i="24"/>
  <c r="D953" i="24"/>
  <c r="D954" i="24"/>
  <c r="D955" i="24"/>
  <c r="D956" i="24"/>
  <c r="H3" i="23" l="1"/>
  <c r="D210" i="24" l="1"/>
  <c r="D381" i="24"/>
  <c r="D568" i="24"/>
  <c r="D577" i="24"/>
  <c r="D578" i="24"/>
  <c r="E3" i="23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D6" i="24" s="1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D11" i="24" s="1"/>
  <c r="E103" i="23"/>
  <c r="E104" i="23"/>
  <c r="E105" i="23"/>
  <c r="E106" i="23"/>
  <c r="E107" i="23"/>
  <c r="E108" i="23"/>
  <c r="E109" i="23"/>
  <c r="E110" i="23"/>
  <c r="D14" i="24" s="1"/>
  <c r="E111" i="23"/>
  <c r="E112" i="23"/>
  <c r="E113" i="23"/>
  <c r="E114" i="23"/>
  <c r="E115" i="23"/>
  <c r="D16" i="24" s="1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D19" i="24" s="1"/>
  <c r="E188" i="23"/>
  <c r="D20" i="24" s="1"/>
  <c r="E189" i="23"/>
  <c r="D21" i="24" s="1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D22" i="24" s="1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D24" i="24" s="1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D27" i="24" s="1"/>
  <c r="E247" i="23"/>
  <c r="D28" i="24" s="1"/>
  <c r="E248" i="23"/>
  <c r="E249" i="23"/>
  <c r="E250" i="23"/>
  <c r="E251" i="23"/>
  <c r="E252" i="23"/>
  <c r="D31" i="24" s="1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D33" i="24" s="1"/>
  <c r="E269" i="23"/>
  <c r="E270" i="23"/>
  <c r="E271" i="23"/>
  <c r="D35" i="24" s="1"/>
  <c r="E272" i="23"/>
  <c r="D36" i="24" s="1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E316" i="23"/>
  <c r="E317" i="23"/>
  <c r="E318" i="23"/>
  <c r="E319" i="23"/>
  <c r="E320" i="23"/>
  <c r="E321" i="23"/>
  <c r="E322" i="23"/>
  <c r="E323" i="23"/>
  <c r="E324" i="23"/>
  <c r="E325" i="23"/>
  <c r="E326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E341" i="23"/>
  <c r="E342" i="23"/>
  <c r="E343" i="23"/>
  <c r="E344" i="23"/>
  <c r="E345" i="23"/>
  <c r="E346" i="23"/>
  <c r="E347" i="23"/>
  <c r="E348" i="23"/>
  <c r="E349" i="23"/>
  <c r="E350" i="23"/>
  <c r="E351" i="23"/>
  <c r="D41" i="24" s="1"/>
  <c r="E352" i="23"/>
  <c r="E353" i="23"/>
  <c r="E354" i="23"/>
  <c r="E355" i="23"/>
  <c r="E356" i="23"/>
  <c r="E357" i="23"/>
  <c r="E358" i="23"/>
  <c r="E359" i="23"/>
  <c r="E360" i="23"/>
  <c r="E361" i="23"/>
  <c r="E362" i="23"/>
  <c r="E363" i="23"/>
  <c r="D42" i="24" s="1"/>
  <c r="E364" i="23"/>
  <c r="E365" i="23"/>
  <c r="E366" i="23"/>
  <c r="E367" i="23"/>
  <c r="E368" i="23"/>
  <c r="E369" i="23"/>
  <c r="E370" i="23"/>
  <c r="E371" i="23"/>
  <c r="E372" i="23"/>
  <c r="E373" i="23"/>
  <c r="E374" i="23"/>
  <c r="E375" i="23"/>
  <c r="E376" i="23"/>
  <c r="E377" i="23"/>
  <c r="E378" i="23"/>
  <c r="E379" i="23"/>
  <c r="E380" i="23"/>
  <c r="E381" i="23"/>
  <c r="E382" i="23"/>
  <c r="E383" i="23"/>
  <c r="E384" i="23"/>
  <c r="D45" i="24" s="1"/>
  <c r="E385" i="23"/>
  <c r="D46" i="24" s="1"/>
  <c r="E386" i="23"/>
  <c r="E387" i="23"/>
  <c r="E388" i="23"/>
  <c r="E389" i="23"/>
  <c r="E390" i="23"/>
  <c r="E391" i="23"/>
  <c r="E392" i="23"/>
  <c r="E393" i="23"/>
  <c r="E394" i="23"/>
  <c r="E395" i="23"/>
  <c r="E396" i="23"/>
  <c r="E397" i="23"/>
  <c r="E398" i="23"/>
  <c r="E399" i="23"/>
  <c r="E400" i="23"/>
  <c r="E401" i="23"/>
  <c r="E402" i="23"/>
  <c r="E403" i="23"/>
  <c r="E404" i="23"/>
  <c r="E405" i="23"/>
  <c r="E406" i="23"/>
  <c r="E407" i="23"/>
  <c r="E408" i="23"/>
  <c r="E409" i="23"/>
  <c r="E410" i="23"/>
  <c r="E411" i="23"/>
  <c r="E412" i="23"/>
  <c r="E413" i="23"/>
  <c r="E414" i="23"/>
  <c r="E415" i="23"/>
  <c r="E416" i="23"/>
  <c r="E417" i="23"/>
  <c r="E418" i="23"/>
  <c r="E419" i="23"/>
  <c r="E420" i="23"/>
  <c r="E421" i="23"/>
  <c r="E422" i="23"/>
  <c r="D48" i="24" s="1"/>
  <c r="E423" i="23"/>
  <c r="D49" i="24" s="1"/>
  <c r="E424" i="23"/>
  <c r="E425" i="23"/>
  <c r="E426" i="23"/>
  <c r="E427" i="23"/>
  <c r="E428" i="23"/>
  <c r="E429" i="23"/>
  <c r="E430" i="23"/>
  <c r="E431" i="23"/>
  <c r="E432" i="23"/>
  <c r="E433" i="23"/>
  <c r="E434" i="23"/>
  <c r="D52" i="24" s="1"/>
  <c r="E435" i="23"/>
  <c r="D53" i="24" s="1"/>
  <c r="E436" i="23"/>
  <c r="E437" i="23"/>
  <c r="E438" i="23"/>
  <c r="E439" i="23"/>
  <c r="E440" i="23"/>
  <c r="E441" i="23"/>
  <c r="E442" i="23"/>
  <c r="E443" i="23"/>
  <c r="E444" i="23"/>
  <c r="E445" i="23"/>
  <c r="E446" i="23"/>
  <c r="E447" i="23"/>
  <c r="E448" i="23"/>
  <c r="E449" i="23"/>
  <c r="E450" i="23"/>
  <c r="E451" i="23"/>
  <c r="E452" i="23"/>
  <c r="E453" i="23"/>
  <c r="E454" i="23"/>
  <c r="E455" i="23"/>
  <c r="E456" i="23"/>
  <c r="E457" i="23"/>
  <c r="E458" i="23"/>
  <c r="E459" i="23"/>
  <c r="E460" i="23"/>
  <c r="E461" i="23"/>
  <c r="E462" i="23"/>
  <c r="E463" i="23"/>
  <c r="E464" i="23"/>
  <c r="E465" i="23"/>
  <c r="E466" i="23"/>
  <c r="E467" i="23"/>
  <c r="E468" i="23"/>
  <c r="E469" i="23"/>
  <c r="E470" i="23"/>
  <c r="E471" i="23"/>
  <c r="E472" i="23"/>
  <c r="E473" i="23"/>
  <c r="E474" i="23"/>
  <c r="E475" i="23"/>
  <c r="E476" i="23"/>
  <c r="E477" i="23"/>
  <c r="E478" i="23"/>
  <c r="E479" i="23"/>
  <c r="E480" i="23"/>
  <c r="E481" i="23"/>
  <c r="E482" i="23"/>
  <c r="E483" i="23"/>
  <c r="E484" i="23"/>
  <c r="E485" i="23"/>
  <c r="E486" i="23"/>
  <c r="E487" i="23"/>
  <c r="E488" i="23"/>
  <c r="E489" i="23"/>
  <c r="E490" i="23"/>
  <c r="E491" i="23"/>
  <c r="E492" i="23"/>
  <c r="E493" i="23"/>
  <c r="E494" i="23"/>
  <c r="E495" i="23"/>
  <c r="E496" i="23"/>
  <c r="E497" i="23"/>
  <c r="E498" i="23"/>
  <c r="E499" i="23"/>
  <c r="E500" i="23"/>
  <c r="E501" i="23"/>
  <c r="D62" i="24" s="1"/>
  <c r="E502" i="23"/>
  <c r="D63" i="24" s="1"/>
  <c r="E503" i="23"/>
  <c r="E504" i="23"/>
  <c r="E505" i="23"/>
  <c r="E506" i="23"/>
  <c r="E507" i="23"/>
  <c r="E508" i="23"/>
  <c r="E509" i="23"/>
  <c r="E510" i="23"/>
  <c r="E511" i="23"/>
  <c r="E512" i="23"/>
  <c r="E513" i="23"/>
  <c r="E514" i="23"/>
  <c r="E515" i="23"/>
  <c r="E516" i="23"/>
  <c r="E517" i="23"/>
  <c r="E518" i="23"/>
  <c r="E519" i="23"/>
  <c r="E520" i="23"/>
  <c r="E521" i="23"/>
  <c r="E522" i="23"/>
  <c r="E523" i="23"/>
  <c r="E524" i="23"/>
  <c r="E525" i="23"/>
  <c r="E526" i="23"/>
  <c r="E527" i="23"/>
  <c r="E528" i="23"/>
  <c r="E529" i="23"/>
  <c r="E530" i="23"/>
  <c r="E531" i="23"/>
  <c r="E532" i="23"/>
  <c r="E533" i="23"/>
  <c r="E534" i="23"/>
  <c r="E535" i="23"/>
  <c r="E536" i="23"/>
  <c r="E537" i="23"/>
  <c r="D66" i="24" s="1"/>
  <c r="E538" i="23"/>
  <c r="E539" i="23"/>
  <c r="E540" i="23"/>
  <c r="E541" i="23"/>
  <c r="E542" i="23"/>
  <c r="E543" i="23"/>
  <c r="E544" i="23"/>
  <c r="E545" i="23"/>
  <c r="E546" i="23"/>
  <c r="E547" i="23"/>
  <c r="E548" i="23"/>
  <c r="E549" i="23"/>
  <c r="E550" i="23"/>
  <c r="D68" i="24" s="1"/>
  <c r="E551" i="23"/>
  <c r="E552" i="23"/>
  <c r="D69" i="24" s="1"/>
  <c r="E553" i="23"/>
  <c r="D70" i="24" s="1"/>
  <c r="E554" i="23"/>
  <c r="D71" i="24" s="1"/>
  <c r="E555" i="23"/>
  <c r="E556" i="23"/>
  <c r="E557" i="23"/>
  <c r="E558" i="23"/>
  <c r="E559" i="23"/>
  <c r="E560" i="23"/>
  <c r="D72" i="24" s="1"/>
  <c r="E561" i="23"/>
  <c r="D73" i="24" s="1"/>
  <c r="E562" i="23"/>
  <c r="E563" i="23"/>
  <c r="E564" i="23"/>
  <c r="E565" i="23"/>
  <c r="E566" i="23"/>
  <c r="E567" i="23"/>
  <c r="D75" i="24" s="1"/>
  <c r="E568" i="23"/>
  <c r="E569" i="23"/>
  <c r="D76" i="24" s="1"/>
  <c r="E570" i="23"/>
  <c r="E571" i="23"/>
  <c r="E572" i="23"/>
  <c r="E573" i="23"/>
  <c r="E574" i="23"/>
  <c r="E575" i="23"/>
  <c r="E576" i="23"/>
  <c r="E577" i="23"/>
  <c r="E578" i="23"/>
  <c r="E579" i="23"/>
  <c r="E580" i="23"/>
  <c r="E581" i="23"/>
  <c r="E582" i="23"/>
  <c r="D78" i="24" s="1"/>
  <c r="E583" i="23"/>
  <c r="D79" i="24" s="1"/>
  <c r="E584" i="23"/>
  <c r="D80" i="24" s="1"/>
  <c r="E585" i="23"/>
  <c r="D81" i="24" s="1"/>
  <c r="E586" i="23"/>
  <c r="E587" i="23"/>
  <c r="E588" i="23"/>
  <c r="E589" i="23"/>
  <c r="E590" i="23"/>
  <c r="E591" i="23"/>
  <c r="E592" i="23"/>
  <c r="E593" i="23"/>
  <c r="E594" i="23"/>
  <c r="E595" i="23"/>
  <c r="E596" i="23"/>
  <c r="E597" i="23"/>
  <c r="E598" i="23"/>
  <c r="E599" i="23"/>
  <c r="E600" i="23"/>
  <c r="E601" i="23"/>
  <c r="D84" i="24" s="1"/>
  <c r="E602" i="23"/>
  <c r="D85" i="24" s="1"/>
  <c r="E603" i="23"/>
  <c r="E604" i="23"/>
  <c r="E605" i="23"/>
  <c r="E606" i="23"/>
  <c r="E607" i="23"/>
  <c r="E608" i="23"/>
  <c r="E609" i="23"/>
  <c r="D87" i="24" s="1"/>
  <c r="E610" i="23"/>
  <c r="E611" i="23"/>
  <c r="E612" i="23"/>
  <c r="E613" i="23"/>
  <c r="E614" i="23"/>
  <c r="E615" i="23"/>
  <c r="E616" i="23"/>
  <c r="E617" i="23"/>
  <c r="E618" i="23"/>
  <c r="E619" i="23"/>
  <c r="E620" i="23"/>
  <c r="E621" i="23"/>
  <c r="E622" i="23"/>
  <c r="E623" i="23"/>
  <c r="E624" i="23"/>
  <c r="E625" i="23"/>
  <c r="E626" i="23"/>
  <c r="E627" i="23"/>
  <c r="D90" i="24" s="1"/>
  <c r="E628" i="23"/>
  <c r="D91" i="24" s="1"/>
  <c r="E629" i="23"/>
  <c r="E630" i="23"/>
  <c r="E631" i="23"/>
  <c r="E632" i="23"/>
  <c r="D93" i="24" s="1"/>
  <c r="E633" i="23"/>
  <c r="E634" i="23"/>
  <c r="E635" i="23"/>
  <c r="E636" i="23"/>
  <c r="E637" i="23"/>
  <c r="E638" i="23"/>
  <c r="E639" i="23"/>
  <c r="E640" i="23"/>
  <c r="E641" i="23"/>
  <c r="E642" i="23"/>
  <c r="E643" i="23"/>
  <c r="D95" i="24" s="1"/>
  <c r="E644" i="23"/>
  <c r="D96" i="24" s="1"/>
  <c r="E645" i="23"/>
  <c r="E646" i="23"/>
  <c r="E647" i="23"/>
  <c r="E648" i="23"/>
  <c r="E649" i="23"/>
  <c r="E650" i="23"/>
  <c r="E651" i="23"/>
  <c r="E652" i="23"/>
  <c r="E653" i="23"/>
  <c r="E654" i="23"/>
  <c r="E655" i="23"/>
  <c r="E656" i="23"/>
  <c r="E657" i="23"/>
  <c r="E658" i="23"/>
  <c r="E659" i="23"/>
  <c r="E660" i="23"/>
  <c r="E661" i="23"/>
  <c r="E662" i="23"/>
  <c r="E663" i="23"/>
  <c r="E664" i="23"/>
  <c r="E665" i="23"/>
  <c r="E666" i="23"/>
  <c r="E667" i="23"/>
  <c r="D98" i="24" s="1"/>
  <c r="E668" i="23"/>
  <c r="D99" i="24" s="1"/>
  <c r="E669" i="23"/>
  <c r="D100" i="24" s="1"/>
  <c r="E670" i="23"/>
  <c r="E671" i="23"/>
  <c r="E672" i="23"/>
  <c r="E673" i="23"/>
  <c r="E674" i="23"/>
  <c r="E675" i="23"/>
  <c r="E676" i="23"/>
  <c r="E677" i="23"/>
  <c r="E678" i="23"/>
  <c r="E679" i="23"/>
  <c r="E680" i="23"/>
  <c r="E681" i="23"/>
  <c r="E682" i="23"/>
  <c r="E683" i="23"/>
  <c r="E684" i="23"/>
  <c r="D104" i="24" s="1"/>
  <c r="E685" i="23"/>
  <c r="E686" i="23"/>
  <c r="E687" i="23"/>
  <c r="E688" i="23"/>
  <c r="D106" i="24" s="1"/>
  <c r="E689" i="23"/>
  <c r="D107" i="24" s="1"/>
  <c r="E690" i="23"/>
  <c r="E691" i="23"/>
  <c r="D108" i="24" s="1"/>
  <c r="E692" i="23"/>
  <c r="D109" i="24" s="1"/>
  <c r="E693" i="23"/>
  <c r="E694" i="23"/>
  <c r="E695" i="23"/>
  <c r="E696" i="23"/>
  <c r="E697" i="23"/>
  <c r="E698" i="23"/>
  <c r="E699" i="23"/>
  <c r="E700" i="23"/>
  <c r="E701" i="23"/>
  <c r="E702" i="23"/>
  <c r="E703" i="23"/>
  <c r="E704" i="23"/>
  <c r="E705" i="23"/>
  <c r="E706" i="23"/>
  <c r="E707" i="23"/>
  <c r="E708" i="23"/>
  <c r="E709" i="23"/>
  <c r="E710" i="23"/>
  <c r="D112" i="24" s="1"/>
  <c r="E711" i="23"/>
  <c r="E712" i="23"/>
  <c r="E713" i="23"/>
  <c r="E714" i="23"/>
  <c r="E715" i="23"/>
  <c r="E716" i="23"/>
  <c r="E717" i="23"/>
  <c r="E718" i="23"/>
  <c r="E719" i="23"/>
  <c r="E720" i="23"/>
  <c r="E721" i="23"/>
  <c r="E722" i="23"/>
  <c r="E723" i="23"/>
  <c r="E724" i="23"/>
  <c r="E725" i="23"/>
  <c r="E726" i="23"/>
  <c r="E727" i="23"/>
  <c r="E728" i="23"/>
  <c r="E729" i="23"/>
  <c r="E730" i="23"/>
  <c r="E731" i="23"/>
  <c r="E732" i="23"/>
  <c r="E733" i="23"/>
  <c r="E734" i="23"/>
  <c r="E735" i="23"/>
  <c r="E736" i="23"/>
  <c r="E737" i="23"/>
  <c r="E738" i="23"/>
  <c r="E739" i="23"/>
  <c r="E740" i="23"/>
  <c r="E741" i="23"/>
  <c r="D114" i="24" s="1"/>
  <c r="E742" i="23"/>
  <c r="E743" i="23"/>
  <c r="E744" i="23"/>
  <c r="E745" i="23"/>
  <c r="E746" i="23"/>
  <c r="E747" i="23"/>
  <c r="E748" i="23"/>
  <c r="E749" i="23"/>
  <c r="E750" i="23"/>
  <c r="E751" i="23"/>
  <c r="E752" i="23"/>
  <c r="E753" i="23"/>
  <c r="E754" i="23"/>
  <c r="D116" i="24" s="1"/>
  <c r="E755" i="23"/>
  <c r="D117" i="24" s="1"/>
  <c r="E756" i="23"/>
  <c r="E757" i="23"/>
  <c r="E758" i="23"/>
  <c r="E759" i="23"/>
  <c r="E760" i="23"/>
  <c r="E761" i="23"/>
  <c r="E762" i="23"/>
  <c r="E763" i="23"/>
  <c r="D119" i="24" s="1"/>
  <c r="E764" i="23"/>
  <c r="E765" i="23"/>
  <c r="E766" i="23"/>
  <c r="E767" i="23"/>
  <c r="E768" i="23"/>
  <c r="E769" i="23"/>
  <c r="E770" i="23"/>
  <c r="E771" i="23"/>
  <c r="E772" i="23"/>
  <c r="E773" i="23"/>
  <c r="E774" i="23"/>
  <c r="E775" i="23"/>
  <c r="E776" i="23"/>
  <c r="E777" i="23"/>
  <c r="E778" i="23"/>
  <c r="E779" i="23"/>
  <c r="E780" i="23"/>
  <c r="E781" i="23"/>
  <c r="E782" i="23"/>
  <c r="E783" i="23"/>
  <c r="E784" i="23"/>
  <c r="E785" i="23"/>
  <c r="E786" i="23"/>
  <c r="E787" i="23"/>
  <c r="E788" i="23"/>
  <c r="E789" i="23"/>
  <c r="E790" i="23"/>
  <c r="E791" i="23"/>
  <c r="E792" i="23"/>
  <c r="E793" i="23"/>
  <c r="E794" i="23"/>
  <c r="E795" i="23"/>
  <c r="E796" i="23"/>
  <c r="E797" i="23"/>
  <c r="E798" i="23"/>
  <c r="E799" i="23"/>
  <c r="E800" i="23"/>
  <c r="E801" i="23"/>
  <c r="E802" i="23"/>
  <c r="E803" i="23"/>
  <c r="E804" i="23"/>
  <c r="E805" i="23"/>
  <c r="E806" i="23"/>
  <c r="E807" i="23"/>
  <c r="E808" i="23"/>
  <c r="E809" i="23"/>
  <c r="E810" i="23"/>
  <c r="E811" i="23"/>
  <c r="E812" i="23"/>
  <c r="E813" i="23"/>
  <c r="D123" i="24" s="1"/>
  <c r="E814" i="23"/>
  <c r="D124" i="24" s="1"/>
  <c r="E815" i="23"/>
  <c r="E816" i="23"/>
  <c r="E817" i="23"/>
  <c r="E818" i="23"/>
  <c r="E819" i="23"/>
  <c r="D125" i="24" s="1"/>
  <c r="E820" i="23"/>
  <c r="E821" i="23"/>
  <c r="E822" i="23"/>
  <c r="E823" i="23"/>
  <c r="E824" i="23"/>
  <c r="E825" i="23"/>
  <c r="E826" i="23"/>
  <c r="E827" i="23"/>
  <c r="E828" i="23"/>
  <c r="E829" i="23"/>
  <c r="E830" i="23"/>
  <c r="E831" i="23"/>
  <c r="E832" i="23"/>
  <c r="E833" i="23"/>
  <c r="E834" i="23"/>
  <c r="E835" i="23"/>
  <c r="E836" i="23"/>
  <c r="E837" i="23"/>
  <c r="E838" i="23"/>
  <c r="E839" i="23"/>
  <c r="D128" i="24" s="1"/>
  <c r="E840" i="23"/>
  <c r="D129" i="24" s="1"/>
  <c r="E841" i="23"/>
  <c r="D130" i="24" s="1"/>
  <c r="E842" i="23"/>
  <c r="D131" i="24" s="1"/>
  <c r="E843" i="23"/>
  <c r="D132" i="24" s="1"/>
  <c r="E844" i="23"/>
  <c r="D133" i="24" s="1"/>
  <c r="E845" i="23"/>
  <c r="D134" i="24" s="1"/>
  <c r="E846" i="23"/>
  <c r="D135" i="24" s="1"/>
  <c r="E847" i="23"/>
  <c r="E848" i="23"/>
  <c r="E849" i="23"/>
  <c r="D137" i="24" s="1"/>
  <c r="E850" i="23"/>
  <c r="D138" i="24" s="1"/>
  <c r="E851" i="23"/>
  <c r="D139" i="24" s="1"/>
  <c r="E852" i="23"/>
  <c r="D140" i="24" s="1"/>
  <c r="E853" i="23"/>
  <c r="E854" i="23"/>
  <c r="E855" i="23"/>
  <c r="D142" i="24" s="1"/>
  <c r="E856" i="23"/>
  <c r="D143" i="24" s="1"/>
  <c r="E857" i="23"/>
  <c r="E858" i="23"/>
  <c r="E859" i="23"/>
  <c r="E860" i="23"/>
  <c r="E861" i="23"/>
  <c r="E862" i="23"/>
  <c r="E863" i="23"/>
  <c r="E864" i="23"/>
  <c r="D145" i="24" s="1"/>
  <c r="E865" i="23"/>
  <c r="D146" i="24" s="1"/>
  <c r="E866" i="23"/>
  <c r="D147" i="24" s="1"/>
  <c r="E867" i="23"/>
  <c r="D148" i="24" s="1"/>
  <c r="E868" i="23"/>
  <c r="D149" i="24" s="1"/>
  <c r="E869" i="23"/>
  <c r="E870" i="23"/>
  <c r="E871" i="23"/>
  <c r="E872" i="23"/>
  <c r="E873" i="23"/>
  <c r="E874" i="23"/>
  <c r="D151" i="24" s="1"/>
  <c r="E875" i="23"/>
  <c r="D152" i="24" s="1"/>
  <c r="E876" i="23"/>
  <c r="D153" i="24" s="1"/>
  <c r="E877" i="23"/>
  <c r="D154" i="24" s="1"/>
  <c r="E878" i="23"/>
  <c r="D155" i="24" s="1"/>
  <c r="E879" i="23"/>
  <c r="D156" i="24" s="1"/>
  <c r="E880" i="23"/>
  <c r="E881" i="23"/>
  <c r="E882" i="23"/>
  <c r="E883" i="23"/>
  <c r="E884" i="23"/>
  <c r="E885" i="23"/>
  <c r="E886" i="23"/>
  <c r="D158" i="24" s="1"/>
  <c r="E887" i="23"/>
  <c r="D159" i="24" s="1"/>
  <c r="E888" i="23"/>
  <c r="D160" i="24" s="1"/>
  <c r="E889" i="23"/>
  <c r="E890" i="23"/>
  <c r="E891" i="23"/>
  <c r="E892" i="23"/>
  <c r="E893" i="23"/>
  <c r="E894" i="23"/>
  <c r="E895" i="23"/>
  <c r="E896" i="23"/>
  <c r="E897" i="23"/>
  <c r="E898" i="23"/>
  <c r="E899" i="23"/>
  <c r="E900" i="23"/>
  <c r="E901" i="23"/>
  <c r="E902" i="23"/>
  <c r="E903" i="23"/>
  <c r="E904" i="23"/>
  <c r="D162" i="24" s="1"/>
  <c r="E905" i="23"/>
  <c r="E906" i="23"/>
  <c r="E907" i="23"/>
  <c r="E908" i="23"/>
  <c r="E909" i="23"/>
  <c r="E910" i="23"/>
  <c r="E911" i="23"/>
  <c r="E912" i="23"/>
  <c r="E913" i="23"/>
  <c r="E914" i="23"/>
  <c r="E915" i="23"/>
  <c r="E916" i="23"/>
  <c r="E917" i="23"/>
  <c r="E918" i="23"/>
  <c r="E919" i="23"/>
  <c r="E920" i="23"/>
  <c r="E921" i="23"/>
  <c r="E922" i="23"/>
  <c r="E923" i="23"/>
  <c r="E924" i="23"/>
  <c r="E925" i="23"/>
  <c r="E926" i="23"/>
  <c r="E927" i="23"/>
  <c r="E928" i="23"/>
  <c r="E929" i="23"/>
  <c r="E930" i="23"/>
  <c r="D165" i="24" s="1"/>
  <c r="E931" i="23"/>
  <c r="D166" i="24" s="1"/>
  <c r="E932" i="23"/>
  <c r="E933" i="23"/>
  <c r="E934" i="23"/>
  <c r="E935" i="23"/>
  <c r="E936" i="23"/>
  <c r="E937" i="23"/>
  <c r="D167" i="24" s="1"/>
  <c r="E938" i="23"/>
  <c r="D168" i="24" s="1"/>
  <c r="E939" i="23"/>
  <c r="D169" i="24" s="1"/>
  <c r="E940" i="23"/>
  <c r="D170" i="24" s="1"/>
  <c r="E941" i="23"/>
  <c r="E942" i="23"/>
  <c r="E943" i="23"/>
  <c r="E944" i="23"/>
  <c r="E945" i="23"/>
  <c r="D173" i="24" s="1"/>
  <c r="E946" i="23"/>
  <c r="D174" i="24" s="1"/>
  <c r="E947" i="23"/>
  <c r="E948" i="23"/>
  <c r="E949" i="23"/>
  <c r="E950" i="23"/>
  <c r="D176" i="24" s="1"/>
  <c r="E951" i="23"/>
  <c r="E952" i="23"/>
  <c r="E953" i="23"/>
  <c r="E954" i="23"/>
  <c r="E955" i="23"/>
  <c r="E956" i="23"/>
  <c r="E957" i="23"/>
  <c r="E958" i="23"/>
  <c r="E959" i="23"/>
  <c r="D178" i="24" s="1"/>
  <c r="E960" i="23"/>
  <c r="D179" i="24" s="1"/>
  <c r="E961" i="23"/>
  <c r="E962" i="23"/>
  <c r="E963" i="23"/>
  <c r="E964" i="23"/>
  <c r="E965" i="23"/>
  <c r="E966" i="23"/>
  <c r="E967" i="23"/>
  <c r="E968" i="23"/>
  <c r="E969" i="23"/>
  <c r="E970" i="23"/>
  <c r="E971" i="23"/>
  <c r="E972" i="23"/>
  <c r="D181" i="24" s="1"/>
  <c r="E973" i="23"/>
  <c r="E974" i="23"/>
  <c r="E975" i="23"/>
  <c r="E976" i="23"/>
  <c r="E977" i="23"/>
  <c r="E978" i="23"/>
  <c r="E979" i="23"/>
  <c r="E980" i="23"/>
  <c r="E981" i="23"/>
  <c r="E982" i="23"/>
  <c r="E983" i="23"/>
  <c r="E984" i="23"/>
  <c r="E985" i="23"/>
  <c r="E986" i="23"/>
  <c r="E987" i="23"/>
  <c r="E988" i="23"/>
  <c r="E989" i="23"/>
  <c r="E990" i="23"/>
  <c r="E991" i="23"/>
  <c r="E992" i="23"/>
  <c r="E993" i="23"/>
  <c r="E994" i="23"/>
  <c r="E995" i="23"/>
  <c r="E996" i="23"/>
  <c r="E997" i="23"/>
  <c r="D184" i="24" s="1"/>
  <c r="E998" i="23"/>
  <c r="D185" i="24" s="1"/>
  <c r="E999" i="23"/>
  <c r="D186" i="24" s="1"/>
  <c r="E1000" i="23"/>
  <c r="E1001" i="23"/>
  <c r="E1002" i="23"/>
  <c r="E1003" i="23"/>
  <c r="E1004" i="23"/>
  <c r="E1005" i="23"/>
  <c r="E1006" i="23"/>
  <c r="E1007" i="23"/>
  <c r="E1008" i="23"/>
  <c r="D188" i="24" s="1"/>
  <c r="E1009" i="23"/>
  <c r="E1010" i="23"/>
  <c r="E1011" i="23"/>
  <c r="E1012" i="23"/>
  <c r="E1013" i="23"/>
  <c r="E1014" i="23"/>
  <c r="E1015" i="23"/>
  <c r="E1016" i="23"/>
  <c r="E1017" i="23"/>
  <c r="E1018" i="23"/>
  <c r="E1019" i="23"/>
  <c r="E1020" i="23"/>
  <c r="E1021" i="23"/>
  <c r="E1022" i="23"/>
  <c r="E1023" i="23"/>
  <c r="E1024" i="23"/>
  <c r="E1025" i="23"/>
  <c r="E1026" i="23"/>
  <c r="E1027" i="23"/>
  <c r="E1028" i="23"/>
  <c r="E1029" i="23"/>
  <c r="D191" i="24" s="1"/>
  <c r="E1030" i="23"/>
  <c r="D192" i="24" s="1"/>
  <c r="E1031" i="23"/>
  <c r="E1032" i="23"/>
  <c r="E1033" i="23"/>
  <c r="D194" i="24" s="1"/>
  <c r="E1034" i="23"/>
  <c r="E1035" i="23"/>
  <c r="E1036" i="23"/>
  <c r="D196" i="24" s="1"/>
  <c r="E1037" i="23"/>
  <c r="D197" i="24" s="1"/>
  <c r="E1038" i="23"/>
  <c r="D198" i="24" s="1"/>
  <c r="E1039" i="23"/>
  <c r="D199" i="24" s="1"/>
  <c r="E1040" i="23"/>
  <c r="E1041" i="23"/>
  <c r="E1042" i="23"/>
  <c r="E1043" i="23"/>
  <c r="E1044" i="23"/>
  <c r="E1045" i="23"/>
  <c r="E1046" i="23"/>
  <c r="E1047" i="23"/>
  <c r="E1048" i="23"/>
  <c r="E1049" i="23"/>
  <c r="E1050" i="23"/>
  <c r="E1051" i="23"/>
  <c r="E1052" i="23"/>
  <c r="D201" i="24" s="1"/>
  <c r="E1053" i="23"/>
  <c r="D202" i="24" s="1"/>
  <c r="E1054" i="23"/>
  <c r="E1055" i="23"/>
  <c r="E1056" i="23"/>
  <c r="E1057" i="23"/>
  <c r="E1058" i="23"/>
  <c r="E1059" i="23"/>
  <c r="E1060" i="23"/>
  <c r="E1061" i="23"/>
  <c r="E1062" i="23"/>
  <c r="E1063" i="23"/>
  <c r="E1064" i="23"/>
  <c r="E1065" i="23"/>
  <c r="E1066" i="23"/>
  <c r="E1067" i="23"/>
  <c r="E1068" i="23"/>
  <c r="E1069" i="23"/>
  <c r="E1070" i="23"/>
  <c r="E1071" i="23"/>
  <c r="E1072" i="23"/>
  <c r="E1073" i="23"/>
  <c r="E1074" i="23"/>
  <c r="E1075" i="23"/>
  <c r="E1076" i="23"/>
  <c r="E1077" i="23"/>
  <c r="E1078" i="23"/>
  <c r="E1079" i="23"/>
  <c r="E1080" i="23"/>
  <c r="E1081" i="23"/>
  <c r="E1082" i="23"/>
  <c r="E1083" i="23"/>
  <c r="E1084" i="23"/>
  <c r="E1085" i="23"/>
  <c r="E1086" i="23"/>
  <c r="E1087" i="23"/>
  <c r="E1088" i="23"/>
  <c r="E1089" i="23"/>
  <c r="E1090" i="23"/>
  <c r="E1091" i="23"/>
  <c r="E1092" i="23"/>
  <c r="E1093" i="23"/>
  <c r="E1094" i="23"/>
  <c r="E1095" i="23"/>
  <c r="E1096" i="23"/>
  <c r="E1097" i="23"/>
  <c r="E1098" i="23"/>
  <c r="E1099" i="23"/>
  <c r="E1100" i="23"/>
  <c r="E1101" i="23"/>
  <c r="E1102" i="23"/>
  <c r="E1103" i="23"/>
  <c r="E1104" i="23"/>
  <c r="E1105" i="23"/>
  <c r="E1106" i="23"/>
  <c r="E1107" i="23"/>
  <c r="E1108" i="23"/>
  <c r="E1109" i="23"/>
  <c r="E1110" i="23"/>
  <c r="E1111" i="23"/>
  <c r="E1112" i="23"/>
  <c r="E1113" i="23"/>
  <c r="E1114" i="23"/>
  <c r="E1115" i="23"/>
  <c r="E1116" i="23"/>
  <c r="E1117" i="23"/>
  <c r="E1118" i="23"/>
  <c r="E1119" i="23"/>
  <c r="E1120" i="23"/>
  <c r="E1121" i="23"/>
  <c r="E1122" i="23"/>
  <c r="E1123" i="23"/>
  <c r="E1124" i="23"/>
  <c r="E1125" i="23"/>
  <c r="D209" i="24" s="1"/>
  <c r="E1126" i="23"/>
  <c r="E1127" i="23"/>
  <c r="E1128" i="23"/>
  <c r="E1129" i="23"/>
  <c r="E1130" i="23"/>
  <c r="E1131" i="23"/>
  <c r="E1132" i="23"/>
  <c r="E1133" i="23"/>
  <c r="E1134" i="23"/>
  <c r="E1135" i="23"/>
  <c r="E1136" i="23"/>
  <c r="E1137" i="23"/>
  <c r="E1138" i="23"/>
  <c r="E1139" i="23"/>
  <c r="D212" i="24" s="1"/>
  <c r="E1140" i="23"/>
  <c r="E1141" i="23"/>
  <c r="E1142" i="23"/>
  <c r="E1143" i="23"/>
  <c r="E1144" i="23"/>
  <c r="E1145" i="23"/>
  <c r="E1146" i="23"/>
  <c r="E1147" i="23"/>
  <c r="E1148" i="23"/>
  <c r="E1149" i="23"/>
  <c r="E1150" i="23"/>
  <c r="E1151" i="23"/>
  <c r="E1152" i="23"/>
  <c r="E1153" i="23"/>
  <c r="E1154" i="23"/>
  <c r="E1155" i="23"/>
  <c r="E1156" i="23"/>
  <c r="E1157" i="23"/>
  <c r="E1158" i="23"/>
  <c r="E1159" i="23"/>
  <c r="E1160" i="23"/>
  <c r="E1161" i="23"/>
  <c r="E1162" i="23"/>
  <c r="E1163" i="23"/>
  <c r="E1164" i="23"/>
  <c r="E1165" i="23"/>
  <c r="E1166" i="23"/>
  <c r="E1167" i="23"/>
  <c r="E1168" i="23"/>
  <c r="E1169" i="23"/>
  <c r="E1170" i="23"/>
  <c r="E1171" i="23"/>
  <c r="E1172" i="23"/>
  <c r="E1173" i="23"/>
  <c r="E1174" i="23"/>
  <c r="E1175" i="23"/>
  <c r="E1176" i="23"/>
  <c r="E1177" i="23"/>
  <c r="E1178" i="23"/>
  <c r="E1179" i="23"/>
  <c r="E1180" i="23"/>
  <c r="E1181" i="23"/>
  <c r="E1182" i="23"/>
  <c r="E1183" i="23"/>
  <c r="E1184" i="23"/>
  <c r="E1185" i="23"/>
  <c r="E1186" i="23"/>
  <c r="E1187" i="23"/>
  <c r="E1188" i="23"/>
  <c r="E1189" i="23"/>
  <c r="D215" i="24" s="1"/>
  <c r="E1190" i="23"/>
  <c r="D216" i="24" s="1"/>
  <c r="E1191" i="23"/>
  <c r="E1192" i="23"/>
  <c r="E1193" i="23"/>
  <c r="E1194" i="23"/>
  <c r="E1195" i="23"/>
  <c r="E1196" i="23"/>
  <c r="E1197" i="23"/>
  <c r="E1198" i="23"/>
  <c r="E1199" i="23"/>
  <c r="E1200" i="23"/>
  <c r="E1201" i="23"/>
  <c r="E1202" i="23"/>
  <c r="E1203" i="23"/>
  <c r="E1204" i="23"/>
  <c r="E1205" i="23"/>
  <c r="E1206" i="23"/>
  <c r="E1207" i="23"/>
  <c r="E1208" i="23"/>
  <c r="E1209" i="23"/>
  <c r="E1210" i="23"/>
  <c r="E1211" i="23"/>
  <c r="E1212" i="23"/>
  <c r="E1213" i="23"/>
  <c r="E1214" i="23"/>
  <c r="E1215" i="23"/>
  <c r="E1216" i="23"/>
  <c r="E1217" i="23"/>
  <c r="E1218" i="23"/>
  <c r="E1219" i="23"/>
  <c r="D218" i="24" s="1"/>
  <c r="E1220" i="23"/>
  <c r="E1221" i="23"/>
  <c r="E1222" i="23"/>
  <c r="E1223" i="23"/>
  <c r="E1224" i="23"/>
  <c r="E1225" i="23"/>
  <c r="E1226" i="23"/>
  <c r="E1227" i="23"/>
  <c r="E1228" i="23"/>
  <c r="E1229" i="23"/>
  <c r="E1230" i="23"/>
  <c r="E1231" i="23"/>
  <c r="E1232" i="23"/>
  <c r="E1233" i="23"/>
  <c r="E1234" i="23"/>
  <c r="E1235" i="23"/>
  <c r="E1236" i="23"/>
  <c r="E1237" i="23"/>
  <c r="E1238" i="23"/>
  <c r="E1239" i="23"/>
  <c r="E1240" i="23"/>
  <c r="E1241" i="23"/>
  <c r="E1242" i="23"/>
  <c r="E1243" i="23"/>
  <c r="E1244" i="23"/>
  <c r="E1245" i="23"/>
  <c r="E1246" i="23"/>
  <c r="E1247" i="23"/>
  <c r="E1248" i="23"/>
  <c r="E1249" i="23"/>
  <c r="E1250" i="23"/>
  <c r="E1251" i="23"/>
  <c r="E1252" i="23"/>
  <c r="E1253" i="23"/>
  <c r="E1254" i="23"/>
  <c r="E1255" i="23"/>
  <c r="E1256" i="23"/>
  <c r="E1257" i="23"/>
  <c r="E1258" i="23"/>
  <c r="E1259" i="23"/>
  <c r="E1260" i="23"/>
  <c r="E1261" i="23"/>
  <c r="E1262" i="23"/>
  <c r="E1263" i="23"/>
  <c r="E1264" i="23"/>
  <c r="E1265" i="23"/>
  <c r="E1266" i="23"/>
  <c r="E1267" i="23"/>
  <c r="E1268" i="23"/>
  <c r="E1269" i="23"/>
  <c r="E1270" i="23"/>
  <c r="E1271" i="23"/>
  <c r="E1272" i="23"/>
  <c r="E1273" i="23"/>
  <c r="E1274" i="23"/>
  <c r="E1275" i="23"/>
  <c r="E1276" i="23"/>
  <c r="E1277" i="23"/>
  <c r="E1278" i="23"/>
  <c r="E1279" i="23"/>
  <c r="E1280" i="23"/>
  <c r="E1281" i="23"/>
  <c r="E1282" i="23"/>
  <c r="E1283" i="23"/>
  <c r="E1284" i="23"/>
  <c r="E1285" i="23"/>
  <c r="E1286" i="23"/>
  <c r="E1287" i="23"/>
  <c r="E1288" i="23"/>
  <c r="E1289" i="23"/>
  <c r="E1290" i="23"/>
  <c r="E1291" i="23"/>
  <c r="E1292" i="23"/>
  <c r="E1293" i="23"/>
  <c r="E1294" i="23"/>
  <c r="E1295" i="23"/>
  <c r="E1296" i="23"/>
  <c r="E1297" i="23"/>
  <c r="E1298" i="23"/>
  <c r="E1299" i="23"/>
  <c r="E1300" i="23"/>
  <c r="E1301" i="23"/>
  <c r="E1302" i="23"/>
  <c r="E1303" i="23"/>
  <c r="E1304" i="23"/>
  <c r="E1305" i="23"/>
  <c r="E1306" i="23"/>
  <c r="E1307" i="23"/>
  <c r="E1308" i="23"/>
  <c r="E1309" i="23"/>
  <c r="E1310" i="23"/>
  <c r="E1311" i="23"/>
  <c r="E1312" i="23"/>
  <c r="E1313" i="23"/>
  <c r="E1314" i="23"/>
  <c r="E1315" i="23"/>
  <c r="E1316" i="23"/>
  <c r="E1317" i="23"/>
  <c r="E1318" i="23"/>
  <c r="E1319" i="23"/>
  <c r="E1320" i="23"/>
  <c r="E1321" i="23"/>
  <c r="E1322" i="23"/>
  <c r="E1323" i="23"/>
  <c r="E1324" i="23"/>
  <c r="E1325" i="23"/>
  <c r="E1326" i="23"/>
  <c r="E1327" i="23"/>
  <c r="E1328" i="23"/>
  <c r="E1329" i="23"/>
  <c r="E1330" i="23"/>
  <c r="E1331" i="23"/>
  <c r="E1332" i="23"/>
  <c r="E1333" i="23"/>
  <c r="E1334" i="23"/>
  <c r="E1335" i="23"/>
  <c r="E1336" i="23"/>
  <c r="E1337" i="23"/>
  <c r="E1338" i="23"/>
  <c r="E1339" i="23"/>
  <c r="E1340" i="23"/>
  <c r="E1341" i="23"/>
  <c r="E1342" i="23"/>
  <c r="E1343" i="23"/>
  <c r="E1344" i="23"/>
  <c r="E1345" i="23"/>
  <c r="E1346" i="23"/>
  <c r="E1347" i="23"/>
  <c r="E1348" i="23"/>
  <c r="E1349" i="23"/>
  <c r="E1350" i="23"/>
  <c r="E1351" i="23"/>
  <c r="D229" i="24" s="1"/>
  <c r="E1352" i="23"/>
  <c r="E1353" i="23"/>
  <c r="E1354" i="23"/>
  <c r="D231" i="24" s="1"/>
  <c r="E1355" i="23"/>
  <c r="D232" i="24" s="1"/>
  <c r="E1356" i="23"/>
  <c r="D233" i="24" s="1"/>
  <c r="E1357" i="23"/>
  <c r="D234" i="24" s="1"/>
  <c r="E1358" i="23"/>
  <c r="E1359" i="23"/>
  <c r="E1360" i="23"/>
  <c r="E1361" i="23"/>
  <c r="E1362" i="23"/>
  <c r="E1363" i="23"/>
  <c r="E1364" i="23"/>
  <c r="E1365" i="23"/>
  <c r="E1366" i="23"/>
  <c r="E1367" i="23"/>
  <c r="E1368" i="23"/>
  <c r="E1369" i="23"/>
  <c r="E1370" i="23"/>
  <c r="E1371" i="23"/>
  <c r="E1372" i="23"/>
  <c r="E1373" i="23"/>
  <c r="E1374" i="23"/>
  <c r="E1375" i="23"/>
  <c r="E1376" i="23"/>
  <c r="E1377" i="23"/>
  <c r="E1378" i="23"/>
  <c r="E1379" i="23"/>
  <c r="E1380" i="23"/>
  <c r="E1381" i="23"/>
  <c r="E1382" i="23"/>
  <c r="E1383" i="23"/>
  <c r="E1384" i="23"/>
  <c r="E1385" i="23"/>
  <c r="E1386" i="23"/>
  <c r="E1387" i="23"/>
  <c r="E1388" i="23"/>
  <c r="E1389" i="23"/>
  <c r="E1390" i="23"/>
  <c r="E1391" i="23"/>
  <c r="E1392" i="23"/>
  <c r="E1393" i="23"/>
  <c r="E1394" i="23"/>
  <c r="E1395" i="23"/>
  <c r="E1396" i="23"/>
  <c r="E1397" i="23"/>
  <c r="E1398" i="23"/>
  <c r="E1399" i="23"/>
  <c r="E1400" i="23"/>
  <c r="E1401" i="23"/>
  <c r="E1402" i="23"/>
  <c r="E1403" i="23"/>
  <c r="E1404" i="23"/>
  <c r="E1405" i="23"/>
  <c r="E1406" i="23"/>
  <c r="E1407" i="23"/>
  <c r="E1408" i="23"/>
  <c r="E1409" i="23"/>
  <c r="E1410" i="23"/>
  <c r="E1411" i="23"/>
  <c r="E1412" i="23"/>
  <c r="E1413" i="23"/>
  <c r="E1414" i="23"/>
  <c r="E1415" i="23"/>
  <c r="E1416" i="23"/>
  <c r="E1417" i="23"/>
  <c r="E1418" i="23"/>
  <c r="E1419" i="23"/>
  <c r="E1420" i="23"/>
  <c r="E1421" i="23"/>
  <c r="E1422" i="23"/>
  <c r="E1423" i="23"/>
  <c r="E1424" i="23"/>
  <c r="E1425" i="23"/>
  <c r="E1426" i="23"/>
  <c r="E1427" i="23"/>
  <c r="E1428" i="23"/>
  <c r="E1429" i="23"/>
  <c r="E1430" i="23"/>
  <c r="E1431" i="23"/>
  <c r="E1432" i="23"/>
  <c r="E1433" i="23"/>
  <c r="E1434" i="23"/>
  <c r="E1435" i="23"/>
  <c r="E1436" i="23"/>
  <c r="E1437" i="23"/>
  <c r="E1438" i="23"/>
  <c r="E1439" i="23"/>
  <c r="E1440" i="23"/>
  <c r="E1441" i="23"/>
  <c r="E1442" i="23"/>
  <c r="E1443" i="23"/>
  <c r="E1444" i="23"/>
  <c r="E1445" i="23"/>
  <c r="E1446" i="23"/>
  <c r="E1447" i="23"/>
  <c r="E1448" i="23"/>
  <c r="E1449" i="23"/>
  <c r="E1450" i="23"/>
  <c r="E1451" i="23"/>
  <c r="E1452" i="23"/>
  <c r="E1453" i="23"/>
  <c r="E1454" i="23"/>
  <c r="E1455" i="23"/>
  <c r="E1456" i="23"/>
  <c r="E1457" i="23"/>
  <c r="E1458" i="23"/>
  <c r="E1459" i="23"/>
  <c r="E1460" i="23"/>
  <c r="E1461" i="23"/>
  <c r="E1462" i="23"/>
  <c r="E1463" i="23"/>
  <c r="E1464" i="23"/>
  <c r="D242" i="24" s="1"/>
  <c r="E1465" i="23"/>
  <c r="E1466" i="23"/>
  <c r="E1467" i="23"/>
  <c r="E1468" i="23"/>
  <c r="E1469" i="23"/>
  <c r="E1470" i="23"/>
  <c r="E1471" i="23"/>
  <c r="E1472" i="23"/>
  <c r="E1473" i="23"/>
  <c r="E1474" i="23"/>
  <c r="E1475" i="23"/>
  <c r="E1476" i="23"/>
  <c r="E1477" i="23"/>
  <c r="E1478" i="23"/>
  <c r="E1479" i="23"/>
  <c r="E1480" i="23"/>
  <c r="E1481" i="23"/>
  <c r="E1482" i="23"/>
  <c r="E1483" i="23"/>
  <c r="E1484" i="23"/>
  <c r="E1485" i="23"/>
  <c r="E1486" i="23"/>
  <c r="E1487" i="23"/>
  <c r="E1488" i="23"/>
  <c r="E1489" i="23"/>
  <c r="E1490" i="23"/>
  <c r="E1491" i="23"/>
  <c r="E1492" i="23"/>
  <c r="E1493" i="23"/>
  <c r="E1494" i="23"/>
  <c r="E1495" i="23"/>
  <c r="E1496" i="23"/>
  <c r="E1497" i="23"/>
  <c r="E1498" i="23"/>
  <c r="E1499" i="23"/>
  <c r="E1500" i="23"/>
  <c r="E1501" i="23"/>
  <c r="E1502" i="23"/>
  <c r="E1503" i="23"/>
  <c r="E1504" i="23"/>
  <c r="E1505" i="23"/>
  <c r="E1506" i="23"/>
  <c r="E1507" i="23"/>
  <c r="E1508" i="23"/>
  <c r="E1509" i="23"/>
  <c r="E1510" i="23"/>
  <c r="E1511" i="23"/>
  <c r="E1512" i="23"/>
  <c r="E1513" i="23"/>
  <c r="E1514" i="23"/>
  <c r="E1515" i="23"/>
  <c r="E1516" i="23"/>
  <c r="E1517" i="23"/>
  <c r="E1518" i="23"/>
  <c r="E1519" i="23"/>
  <c r="E1520" i="23"/>
  <c r="E1521" i="23"/>
  <c r="E1522" i="23"/>
  <c r="E1523" i="23"/>
  <c r="E1524" i="23"/>
  <c r="E1525" i="23"/>
  <c r="E1526" i="23"/>
  <c r="E1527" i="23"/>
  <c r="E1528" i="23"/>
  <c r="E1529" i="23"/>
  <c r="E1530" i="23"/>
  <c r="E1531" i="23"/>
  <c r="E1532" i="23"/>
  <c r="E1533" i="23"/>
  <c r="E1534" i="23"/>
  <c r="E1535" i="23"/>
  <c r="E1536" i="23"/>
  <c r="D248" i="24" s="1"/>
  <c r="E1537" i="23"/>
  <c r="E1538" i="23"/>
  <c r="E1539" i="23"/>
  <c r="E1540" i="23"/>
  <c r="E1541" i="23"/>
  <c r="E1542" i="23"/>
  <c r="E1543" i="23"/>
  <c r="E1544" i="23"/>
  <c r="E1545" i="23"/>
  <c r="E1546" i="23"/>
  <c r="E1547" i="23"/>
  <c r="E1548" i="23"/>
  <c r="E1549" i="23"/>
  <c r="E1550" i="23"/>
  <c r="E1551" i="23"/>
  <c r="E1552" i="23"/>
  <c r="E1553" i="23"/>
  <c r="E1554" i="23"/>
  <c r="E1555" i="23"/>
  <c r="E1556" i="23"/>
  <c r="E1557" i="23"/>
  <c r="E1558" i="23"/>
  <c r="E1559" i="23"/>
  <c r="E1560" i="23"/>
  <c r="E1561" i="23"/>
  <c r="E1562" i="23"/>
  <c r="D250" i="24" s="1"/>
  <c r="E1563" i="23"/>
  <c r="E1564" i="23"/>
  <c r="E1565" i="23"/>
  <c r="E1566" i="23"/>
  <c r="E1567" i="23"/>
  <c r="E1568" i="23"/>
  <c r="E1569" i="23"/>
  <c r="E1570" i="23"/>
  <c r="E1571" i="23"/>
  <c r="E1572" i="23"/>
  <c r="E1573" i="23"/>
  <c r="E1574" i="23"/>
  <c r="E1575" i="23"/>
  <c r="E1576" i="23"/>
  <c r="E1577" i="23"/>
  <c r="E1578" i="23"/>
  <c r="E1579" i="23"/>
  <c r="E1580" i="23"/>
  <c r="E1581" i="23"/>
  <c r="E1582" i="23"/>
  <c r="E1583" i="23"/>
  <c r="E1584" i="23"/>
  <c r="E1585" i="23"/>
  <c r="E1586" i="23"/>
  <c r="E1587" i="23"/>
  <c r="E1588" i="23"/>
  <c r="E1589" i="23"/>
  <c r="E1590" i="23"/>
  <c r="E1591" i="23"/>
  <c r="E1592" i="23"/>
  <c r="E1593" i="23"/>
  <c r="E1594" i="23"/>
  <c r="E1595" i="23"/>
  <c r="E1596" i="23"/>
  <c r="E1597" i="23"/>
  <c r="E1598" i="23"/>
  <c r="E1599" i="23"/>
  <c r="E1600" i="23"/>
  <c r="E1601" i="23"/>
  <c r="E1602" i="23"/>
  <c r="E1603" i="23"/>
  <c r="E1604" i="23"/>
  <c r="E1605" i="23"/>
  <c r="E1606" i="23"/>
  <c r="E1607" i="23"/>
  <c r="E1608" i="23"/>
  <c r="E1609" i="23"/>
  <c r="E1610" i="23"/>
  <c r="E1611" i="23"/>
  <c r="E1612" i="23"/>
  <c r="E1613" i="23"/>
  <c r="E1614" i="23"/>
  <c r="E1615" i="23"/>
  <c r="E1616" i="23"/>
  <c r="E1617" i="23"/>
  <c r="E1618" i="23"/>
  <c r="E1619" i="23"/>
  <c r="E1620" i="23"/>
  <c r="E1621" i="23"/>
  <c r="E1622" i="23"/>
  <c r="E1623" i="23"/>
  <c r="E1624" i="23"/>
  <c r="E1625" i="23"/>
  <c r="E1626" i="23"/>
  <c r="E1627" i="23"/>
  <c r="E1628" i="23"/>
  <c r="E1629" i="23"/>
  <c r="E1630" i="23"/>
  <c r="E1631" i="23"/>
  <c r="E1632" i="23"/>
  <c r="E1633" i="23"/>
  <c r="E1634" i="23"/>
  <c r="E1635" i="23"/>
  <c r="E1636" i="23"/>
  <c r="E1637" i="23"/>
  <c r="E1638" i="23"/>
  <c r="E1639" i="23"/>
  <c r="E1640" i="23"/>
  <c r="E1641" i="23"/>
  <c r="E1642" i="23"/>
  <c r="E1643" i="23"/>
  <c r="E1644" i="23"/>
  <c r="E1645" i="23"/>
  <c r="E1646" i="23"/>
  <c r="E1647" i="23"/>
  <c r="E1648" i="23"/>
  <c r="E1649" i="23"/>
  <c r="E1650" i="23"/>
  <c r="E1651" i="23"/>
  <c r="E1652" i="23"/>
  <c r="E1653" i="23"/>
  <c r="E1654" i="23"/>
  <c r="E1655" i="23"/>
  <c r="E1656" i="23"/>
  <c r="E1657" i="23"/>
  <c r="E1658" i="23"/>
  <c r="E1659" i="23"/>
  <c r="E1660" i="23"/>
  <c r="E1661" i="23"/>
  <c r="E1662" i="23"/>
  <c r="E1663" i="23"/>
  <c r="E1664" i="23"/>
  <c r="E1665" i="23"/>
  <c r="E1666" i="23"/>
  <c r="E1667" i="23"/>
  <c r="E1668" i="23"/>
  <c r="E1669" i="23"/>
  <c r="E1670" i="23"/>
  <c r="E1671" i="23"/>
  <c r="E1672" i="23"/>
  <c r="E1673" i="23"/>
  <c r="E1674" i="23"/>
  <c r="E1675" i="23"/>
  <c r="E1676" i="23"/>
  <c r="E1677" i="23"/>
  <c r="E1678" i="23"/>
  <c r="E1679" i="23"/>
  <c r="E1680" i="23"/>
  <c r="E1681" i="23"/>
  <c r="E1682" i="23"/>
  <c r="E1683" i="23"/>
  <c r="E1684" i="23"/>
  <c r="E1685" i="23"/>
  <c r="E1686" i="23"/>
  <c r="E1687" i="23"/>
  <c r="E1688" i="23"/>
  <c r="E1689" i="23"/>
  <c r="E1690" i="23"/>
  <c r="E1691" i="23"/>
  <c r="E1692" i="23"/>
  <c r="E1693" i="23"/>
  <c r="E1694" i="23"/>
  <c r="E1695" i="23"/>
  <c r="E1696" i="23"/>
  <c r="E1697" i="23"/>
  <c r="E1698" i="23"/>
  <c r="E1699" i="23"/>
  <c r="E1700" i="23"/>
  <c r="E1701" i="23"/>
  <c r="E1702" i="23"/>
  <c r="E1703" i="23"/>
  <c r="E1704" i="23"/>
  <c r="E1705" i="23"/>
  <c r="E1706" i="23"/>
  <c r="E1707" i="23"/>
  <c r="E1708" i="23"/>
  <c r="E1709" i="23"/>
  <c r="E1710" i="23"/>
  <c r="E1711" i="23"/>
  <c r="E1712" i="23"/>
  <c r="E1713" i="23"/>
  <c r="E1714" i="23"/>
  <c r="E1715" i="23"/>
  <c r="E1716" i="23"/>
  <c r="E1717" i="23"/>
  <c r="E1718" i="23"/>
  <c r="E1719" i="23"/>
  <c r="E1720" i="23"/>
  <c r="E1721" i="23"/>
  <c r="E1722" i="23"/>
  <c r="E1723" i="23"/>
  <c r="E1724" i="23"/>
  <c r="E1725" i="23"/>
  <c r="E1726" i="23"/>
  <c r="E1727" i="23"/>
  <c r="E1728" i="23"/>
  <c r="E1729" i="23"/>
  <c r="E1730" i="23"/>
  <c r="E1731" i="23"/>
  <c r="E1732" i="23"/>
  <c r="E1733" i="23"/>
  <c r="E1734" i="23"/>
  <c r="E1735" i="23"/>
  <c r="E1736" i="23"/>
  <c r="E1737" i="23"/>
  <c r="E1738" i="23"/>
  <c r="E1739" i="23"/>
  <c r="E1740" i="23"/>
  <c r="E1741" i="23"/>
  <c r="E1742" i="23"/>
  <c r="E1743" i="23"/>
  <c r="E1744" i="23"/>
  <c r="E1745" i="23"/>
  <c r="E1746" i="23"/>
  <c r="E1747" i="23"/>
  <c r="E1748" i="23"/>
  <c r="E1749" i="23"/>
  <c r="D262" i="24" s="1"/>
  <c r="E1750" i="23"/>
  <c r="E1751" i="23"/>
  <c r="E1752" i="23"/>
  <c r="E1753" i="23"/>
  <c r="E1754" i="23"/>
  <c r="E1755" i="23"/>
  <c r="E1756" i="23"/>
  <c r="E1757" i="23"/>
  <c r="E1758" i="23"/>
  <c r="E1759" i="23"/>
  <c r="E1760" i="23"/>
  <c r="E1761" i="23"/>
  <c r="E1762" i="23"/>
  <c r="E1763" i="23"/>
  <c r="E1764" i="23"/>
  <c r="E1765" i="23"/>
  <c r="E1766" i="23"/>
  <c r="E1767" i="23"/>
  <c r="E1768" i="23"/>
  <c r="E1769" i="23"/>
  <c r="E1770" i="23"/>
  <c r="E1771" i="23"/>
  <c r="E1772" i="23"/>
  <c r="E1773" i="23"/>
  <c r="E1774" i="23"/>
  <c r="E1775" i="23"/>
  <c r="E1776" i="23"/>
  <c r="E1777" i="23"/>
  <c r="E1778" i="23"/>
  <c r="E1779" i="23"/>
  <c r="E1780" i="23"/>
  <c r="E1781" i="23"/>
  <c r="E1782" i="23"/>
  <c r="E1783" i="23"/>
  <c r="E1784" i="23"/>
  <c r="E1785" i="23"/>
  <c r="E1786" i="23"/>
  <c r="E1787" i="23"/>
  <c r="E1788" i="23"/>
  <c r="E1789" i="23"/>
  <c r="E1790" i="23"/>
  <c r="E1791" i="23"/>
  <c r="E1792" i="23"/>
  <c r="E1793" i="23"/>
  <c r="E1794" i="23"/>
  <c r="E1795" i="23"/>
  <c r="E1796" i="23"/>
  <c r="E1797" i="23"/>
  <c r="E1798" i="23"/>
  <c r="E1799" i="23"/>
  <c r="E1800" i="23"/>
  <c r="E1801" i="23"/>
  <c r="E1802" i="23"/>
  <c r="E1803" i="23"/>
  <c r="E1804" i="23"/>
  <c r="E1805" i="23"/>
  <c r="E1806" i="23"/>
  <c r="E1807" i="23"/>
  <c r="E1808" i="23"/>
  <c r="E1809" i="23"/>
  <c r="E1810" i="23"/>
  <c r="E1811" i="23"/>
  <c r="E1812" i="23"/>
  <c r="E1813" i="23"/>
  <c r="E1814" i="23"/>
  <c r="E1815" i="23"/>
  <c r="E1816" i="23"/>
  <c r="E1817" i="23"/>
  <c r="E1818" i="23"/>
  <c r="E1819" i="23"/>
  <c r="E1820" i="23"/>
  <c r="E1821" i="23"/>
  <c r="E1822" i="23"/>
  <c r="E1823" i="23"/>
  <c r="E1824" i="23"/>
  <c r="E1825" i="23"/>
  <c r="E1826" i="23"/>
  <c r="E1827" i="23"/>
  <c r="E1828" i="23"/>
  <c r="E1829" i="23"/>
  <c r="E1830" i="23"/>
  <c r="E1831" i="23"/>
  <c r="E1832" i="23"/>
  <c r="E1833" i="23"/>
  <c r="E1834" i="23"/>
  <c r="E1835" i="23"/>
  <c r="E1836" i="23"/>
  <c r="E1837" i="23"/>
  <c r="E1838" i="23"/>
  <c r="E1839" i="23"/>
  <c r="E1840" i="23"/>
  <c r="E1841" i="23"/>
  <c r="E1842" i="23"/>
  <c r="E1843" i="23"/>
  <c r="E1844" i="23"/>
  <c r="E1845" i="23"/>
  <c r="E1846" i="23"/>
  <c r="D270" i="24" s="1"/>
  <c r="E1847" i="23"/>
  <c r="E1848" i="23"/>
  <c r="E1849" i="23"/>
  <c r="E1850" i="23"/>
  <c r="E1851" i="23"/>
  <c r="E1852" i="23"/>
  <c r="E1853" i="23"/>
  <c r="E1854" i="23"/>
  <c r="E1855" i="23"/>
  <c r="E1856" i="23"/>
  <c r="E1857" i="23"/>
  <c r="E1858" i="23"/>
  <c r="E1859" i="23"/>
  <c r="E1860" i="23"/>
  <c r="E1861" i="23"/>
  <c r="E1862" i="23"/>
  <c r="E1863" i="23"/>
  <c r="E1864" i="23"/>
  <c r="E1865" i="23"/>
  <c r="E1866" i="23"/>
  <c r="E1867" i="23"/>
  <c r="E1868" i="23"/>
  <c r="E1869" i="23"/>
  <c r="E1870" i="23"/>
  <c r="E1871" i="23"/>
  <c r="E1872" i="23"/>
  <c r="E1873" i="23"/>
  <c r="E1874" i="23"/>
  <c r="E1875" i="23"/>
  <c r="E1876" i="23"/>
  <c r="E1877" i="23"/>
  <c r="E1878" i="23"/>
  <c r="E1879" i="23"/>
  <c r="E1880" i="23"/>
  <c r="E1881" i="23"/>
  <c r="E1882" i="23"/>
  <c r="E1883" i="23"/>
  <c r="E1884" i="23"/>
  <c r="E1885" i="23"/>
  <c r="E1886" i="23"/>
  <c r="E1887" i="23"/>
  <c r="E1888" i="23"/>
  <c r="E1889" i="23"/>
  <c r="E1890" i="23"/>
  <c r="E1891" i="23"/>
  <c r="E1892" i="23"/>
  <c r="E1893" i="23"/>
  <c r="E1894" i="23"/>
  <c r="E1895" i="23"/>
  <c r="E1896" i="23"/>
  <c r="E1897" i="23"/>
  <c r="E1898" i="23"/>
  <c r="E1899" i="23"/>
  <c r="E1900" i="23"/>
  <c r="E1901" i="23"/>
  <c r="E1902" i="23"/>
  <c r="E1903" i="23"/>
  <c r="E1904" i="23"/>
  <c r="E1905" i="23"/>
  <c r="E1906" i="23"/>
  <c r="E1907" i="23"/>
  <c r="E1908" i="23"/>
  <c r="E1909" i="23"/>
  <c r="E1910" i="23"/>
  <c r="E1911" i="23"/>
  <c r="E1912" i="23"/>
  <c r="E1913" i="23"/>
  <c r="E1914" i="23"/>
  <c r="E1915" i="23"/>
  <c r="E1916" i="23"/>
  <c r="E1917" i="23"/>
  <c r="E1918" i="23"/>
  <c r="E1919" i="23"/>
  <c r="E1920" i="23"/>
  <c r="E1921" i="23"/>
  <c r="E1922" i="23"/>
  <c r="E1923" i="23"/>
  <c r="E1924" i="23"/>
  <c r="E1925" i="23"/>
  <c r="E1926" i="23"/>
  <c r="E1927" i="23"/>
  <c r="E1928" i="23"/>
  <c r="E1929" i="23"/>
  <c r="E1930" i="23"/>
  <c r="E1931" i="23"/>
  <c r="E1932" i="23"/>
  <c r="E1933" i="23"/>
  <c r="E1934" i="23"/>
  <c r="E1935" i="23"/>
  <c r="E1936" i="23"/>
  <c r="E1937" i="23"/>
  <c r="E1938" i="23"/>
  <c r="E1939" i="23"/>
  <c r="E1940" i="23"/>
  <c r="E1941" i="23"/>
  <c r="E1942" i="23"/>
  <c r="E1943" i="23"/>
  <c r="E1944" i="23"/>
  <c r="E1945" i="23"/>
  <c r="E1946" i="23"/>
  <c r="E1947" i="23"/>
  <c r="E1948" i="23"/>
  <c r="E1949" i="23"/>
  <c r="E1950" i="23"/>
  <c r="E1951" i="23"/>
  <c r="E1952" i="23"/>
  <c r="E1953" i="23"/>
  <c r="E1954" i="23"/>
  <c r="E1955" i="23"/>
  <c r="E1956" i="23"/>
  <c r="E1957" i="23"/>
  <c r="E1958" i="23"/>
  <c r="E1959" i="23"/>
  <c r="E1960" i="23"/>
  <c r="E1961" i="23"/>
  <c r="E1962" i="23"/>
  <c r="E1963" i="23"/>
  <c r="E1964" i="23"/>
  <c r="E1965" i="23"/>
  <c r="E1966" i="23"/>
  <c r="E1967" i="23"/>
  <c r="E1968" i="23"/>
  <c r="E1969" i="23"/>
  <c r="E1970" i="23"/>
  <c r="E1971" i="23"/>
  <c r="E1972" i="23"/>
  <c r="E1973" i="23"/>
  <c r="E1974" i="23"/>
  <c r="E1975" i="23"/>
  <c r="E1976" i="23"/>
  <c r="E1977" i="23"/>
  <c r="E1978" i="23"/>
  <c r="E1979" i="23"/>
  <c r="E1980" i="23"/>
  <c r="E1981" i="23"/>
  <c r="E1982" i="23"/>
  <c r="E1983" i="23"/>
  <c r="E1984" i="23"/>
  <c r="E1985" i="23"/>
  <c r="E1986" i="23"/>
  <c r="E1987" i="23"/>
  <c r="E1988" i="23"/>
  <c r="E1989" i="23"/>
  <c r="E1990" i="23"/>
  <c r="E1991" i="23"/>
  <c r="E1992" i="23"/>
  <c r="E1993" i="23"/>
  <c r="E1994" i="23"/>
  <c r="E1995" i="23"/>
  <c r="E1996" i="23"/>
  <c r="E1997" i="23"/>
  <c r="E1998" i="23"/>
  <c r="E1999" i="23"/>
  <c r="E2000" i="23"/>
  <c r="E2001" i="23"/>
  <c r="E2002" i="23"/>
  <c r="E2003" i="23"/>
  <c r="E2004" i="23"/>
  <c r="E2005" i="23"/>
  <c r="E2006" i="23"/>
  <c r="E2007" i="23"/>
  <c r="E2008" i="23"/>
  <c r="E2009" i="23"/>
  <c r="E2010" i="23"/>
  <c r="E2011" i="23"/>
  <c r="E2012" i="23"/>
  <c r="E2013" i="23"/>
  <c r="E2014" i="23"/>
  <c r="E2015" i="23"/>
  <c r="E2016" i="23"/>
  <c r="E2017" i="23"/>
  <c r="E2018" i="23"/>
  <c r="E2019" i="23"/>
  <c r="E2020" i="23"/>
  <c r="E2021" i="23"/>
  <c r="E2022" i="23"/>
  <c r="E2023" i="23"/>
  <c r="E2024" i="23"/>
  <c r="E2025" i="23"/>
  <c r="E2026" i="23"/>
  <c r="E2027" i="23"/>
  <c r="E2028" i="23"/>
  <c r="E2029" i="23"/>
  <c r="E2030" i="23"/>
  <c r="E2031" i="23"/>
  <c r="E2032" i="23"/>
  <c r="E2033" i="23"/>
  <c r="E2034" i="23"/>
  <c r="E2035" i="23"/>
  <c r="E2036" i="23"/>
  <c r="E2037" i="23"/>
  <c r="E2038" i="23"/>
  <c r="E2039" i="23"/>
  <c r="E2040" i="23"/>
  <c r="E2041" i="23"/>
  <c r="E2042" i="23"/>
  <c r="D282" i="24" s="1"/>
  <c r="E2043" i="23"/>
  <c r="E2044" i="23"/>
  <c r="E2045" i="23"/>
  <c r="E2046" i="23"/>
  <c r="E2047" i="23"/>
  <c r="E2048" i="23"/>
  <c r="E2049" i="23"/>
  <c r="E2050" i="23"/>
  <c r="E2051" i="23"/>
  <c r="E2052" i="23"/>
  <c r="E2053" i="23"/>
  <c r="E2054" i="23"/>
  <c r="E2055" i="23"/>
  <c r="E2056" i="23"/>
  <c r="E2057" i="23"/>
  <c r="E2058" i="23"/>
  <c r="E2059" i="23"/>
  <c r="E2060" i="23"/>
  <c r="E2061" i="23"/>
  <c r="E2062" i="23"/>
  <c r="E2063" i="23"/>
  <c r="E2064" i="23"/>
  <c r="E2065" i="23"/>
  <c r="E2066" i="23"/>
  <c r="E2067" i="23"/>
  <c r="E2068" i="23"/>
  <c r="E2069" i="23"/>
  <c r="E2070" i="23"/>
  <c r="E2071" i="23"/>
  <c r="E2072" i="23"/>
  <c r="E2073" i="23"/>
  <c r="E2074" i="23"/>
  <c r="E2075" i="23"/>
  <c r="E2076" i="23"/>
  <c r="E2077" i="23"/>
  <c r="E2078" i="23"/>
  <c r="E2079" i="23"/>
  <c r="E2080" i="23"/>
  <c r="E2081" i="23"/>
  <c r="E2082" i="23"/>
  <c r="E2083" i="23"/>
  <c r="E2084" i="23"/>
  <c r="E2085" i="23"/>
  <c r="E2086" i="23"/>
  <c r="E2087" i="23"/>
  <c r="E2088" i="23"/>
  <c r="E2089" i="23"/>
  <c r="E2090" i="23"/>
  <c r="E2091" i="23"/>
  <c r="E2092" i="23"/>
  <c r="E2093" i="23"/>
  <c r="E2094" i="23"/>
  <c r="E2095" i="23"/>
  <c r="E2096" i="23"/>
  <c r="E2097" i="23"/>
  <c r="E2098" i="23"/>
  <c r="D288" i="24" s="1"/>
  <c r="E2099" i="23"/>
  <c r="E2100" i="23"/>
  <c r="E2101" i="23"/>
  <c r="E2102" i="23"/>
  <c r="E2103" i="23"/>
  <c r="E2104" i="23"/>
  <c r="E2105" i="23"/>
  <c r="E2106" i="23"/>
  <c r="E2107" i="23"/>
  <c r="E2108" i="23"/>
  <c r="E2109" i="23"/>
  <c r="E2110" i="23"/>
  <c r="E2111" i="23"/>
  <c r="E2112" i="23"/>
  <c r="E2113" i="23"/>
  <c r="E2114" i="23"/>
  <c r="E2115" i="23"/>
  <c r="E2116" i="23"/>
  <c r="E2117" i="23"/>
  <c r="E2118" i="23"/>
  <c r="E2119" i="23"/>
  <c r="E2120" i="23"/>
  <c r="E2121" i="23"/>
  <c r="E2122" i="23"/>
  <c r="E2123" i="23"/>
  <c r="E2124" i="23"/>
  <c r="E2125" i="23"/>
  <c r="E2126" i="23"/>
  <c r="E2127" i="23"/>
  <c r="E2128" i="23"/>
  <c r="E2129" i="23"/>
  <c r="E2130" i="23"/>
  <c r="E2131" i="23"/>
  <c r="E2132" i="23"/>
  <c r="E2133" i="23"/>
  <c r="E2134" i="23"/>
  <c r="E2135" i="23"/>
  <c r="E2136" i="23"/>
  <c r="E2137" i="23"/>
  <c r="E2138" i="23"/>
  <c r="E2139" i="23"/>
  <c r="E2140" i="23"/>
  <c r="E2141" i="23"/>
  <c r="E2142" i="23"/>
  <c r="E2143" i="23"/>
  <c r="E2144" i="23"/>
  <c r="E2145" i="23"/>
  <c r="E2146" i="23"/>
  <c r="E2147" i="23"/>
  <c r="E2148" i="23"/>
  <c r="E2149" i="23"/>
  <c r="E2150" i="23"/>
  <c r="E2151" i="23"/>
  <c r="E2152" i="23"/>
  <c r="E2153" i="23"/>
  <c r="E2154" i="23"/>
  <c r="E2155" i="23"/>
  <c r="E2156" i="23"/>
  <c r="E2157" i="23"/>
  <c r="E2158" i="23"/>
  <c r="E2159" i="23"/>
  <c r="E2160" i="23"/>
  <c r="E2161" i="23"/>
  <c r="E2162" i="23"/>
  <c r="E2163" i="23"/>
  <c r="E2164" i="23"/>
  <c r="E2165" i="23"/>
  <c r="E2166" i="23"/>
  <c r="E2167" i="23"/>
  <c r="E2168" i="23"/>
  <c r="E2169" i="23"/>
  <c r="E2170" i="23"/>
  <c r="E2171" i="23"/>
  <c r="E2172" i="23"/>
  <c r="E2173" i="23"/>
  <c r="E2174" i="23"/>
  <c r="E2175" i="23"/>
  <c r="E2176" i="23"/>
  <c r="E2177" i="23"/>
  <c r="E2178" i="23"/>
  <c r="E2179" i="23"/>
  <c r="E2180" i="23"/>
  <c r="E2181" i="23"/>
  <c r="E2182" i="23"/>
  <c r="E2183" i="23"/>
  <c r="E2184" i="23"/>
  <c r="E2185" i="23"/>
  <c r="E2186" i="23"/>
  <c r="E2187" i="23"/>
  <c r="E2188" i="23"/>
  <c r="E2189" i="23"/>
  <c r="E2190" i="23"/>
  <c r="E2191" i="23"/>
  <c r="E2192" i="23"/>
  <c r="D296" i="24" s="1"/>
  <c r="E2193" i="23"/>
  <c r="E2194" i="23"/>
  <c r="E2195" i="23"/>
  <c r="E2196" i="23"/>
  <c r="E2197" i="23"/>
  <c r="E2198" i="23"/>
  <c r="E2199" i="23"/>
  <c r="E2200" i="23"/>
  <c r="E2201" i="23"/>
  <c r="E2202" i="23"/>
  <c r="E2203" i="23"/>
  <c r="E2204" i="23"/>
  <c r="E2205" i="23"/>
  <c r="E2206" i="23"/>
  <c r="E2207" i="23"/>
  <c r="E2208" i="23"/>
  <c r="E2209" i="23"/>
  <c r="E2210" i="23"/>
  <c r="E2211" i="23"/>
  <c r="E2212" i="23"/>
  <c r="E2213" i="23"/>
  <c r="E2214" i="23"/>
  <c r="E2215" i="23"/>
  <c r="E2216" i="23"/>
  <c r="E2217" i="23"/>
  <c r="E2218" i="23"/>
  <c r="E2219" i="23"/>
  <c r="E2220" i="23"/>
  <c r="E2221" i="23"/>
  <c r="E2222" i="23"/>
  <c r="E2223" i="23"/>
  <c r="E2224" i="23"/>
  <c r="E2225" i="23"/>
  <c r="E2226" i="23"/>
  <c r="E2227" i="23"/>
  <c r="E2228" i="23"/>
  <c r="E2229" i="23"/>
  <c r="E2230" i="23"/>
  <c r="E2231" i="23"/>
  <c r="E2232" i="23"/>
  <c r="E2233" i="23"/>
  <c r="E2234" i="23"/>
  <c r="E2235" i="23"/>
  <c r="E2236" i="23"/>
  <c r="E2237" i="23"/>
  <c r="E2238" i="23"/>
  <c r="E2239" i="23"/>
  <c r="E2240" i="23"/>
  <c r="E2241" i="23"/>
  <c r="E2242" i="23"/>
  <c r="E2243" i="23"/>
  <c r="E2244" i="23"/>
  <c r="E2245" i="23"/>
  <c r="E2246" i="23"/>
  <c r="E2247" i="23"/>
  <c r="E2248" i="23"/>
  <c r="E2249" i="23"/>
  <c r="E2250" i="23"/>
  <c r="E2251" i="23"/>
  <c r="E2252" i="23"/>
  <c r="E2253" i="23"/>
  <c r="E2254" i="23"/>
  <c r="E2255" i="23"/>
  <c r="E2256" i="23"/>
  <c r="E2257" i="23"/>
  <c r="E2258" i="23"/>
  <c r="E2259" i="23"/>
  <c r="E2260" i="23"/>
  <c r="E2261" i="23"/>
  <c r="E2262" i="23"/>
  <c r="D303" i="24" s="1"/>
  <c r="E2263" i="23"/>
  <c r="E2264" i="23"/>
  <c r="E2265" i="23"/>
  <c r="E2266" i="23"/>
  <c r="E2267" i="23"/>
  <c r="E2268" i="23"/>
  <c r="E2269" i="23"/>
  <c r="E2270" i="23"/>
  <c r="E2271" i="23"/>
  <c r="E2272" i="23"/>
  <c r="E2273" i="23"/>
  <c r="E2274" i="23"/>
  <c r="E2275" i="23"/>
  <c r="E2276" i="23"/>
  <c r="E2277" i="23"/>
  <c r="E2278" i="23"/>
  <c r="E2279" i="23"/>
  <c r="E2280" i="23"/>
  <c r="E2281" i="23"/>
  <c r="E2282" i="23"/>
  <c r="E2283" i="23"/>
  <c r="E2284" i="23"/>
  <c r="E2285" i="23"/>
  <c r="E2286" i="23"/>
  <c r="E2287" i="23"/>
  <c r="E2288" i="23"/>
  <c r="E2289" i="23"/>
  <c r="E2290" i="23"/>
  <c r="E2291" i="23"/>
  <c r="E2292" i="23"/>
  <c r="E2293" i="23"/>
  <c r="E2294" i="23"/>
  <c r="E2295" i="23"/>
  <c r="E2296" i="23"/>
  <c r="E2297" i="23"/>
  <c r="E2298" i="23"/>
  <c r="E2299" i="23"/>
  <c r="E2300" i="23"/>
  <c r="E2301" i="23"/>
  <c r="E2302" i="23"/>
  <c r="E2303" i="23"/>
  <c r="E2304" i="23"/>
  <c r="E2305" i="23"/>
  <c r="E2306" i="23"/>
  <c r="E2307" i="23"/>
  <c r="E2308" i="23"/>
  <c r="E2309" i="23"/>
  <c r="E2310" i="23"/>
  <c r="E2311" i="23"/>
  <c r="E2312" i="23"/>
  <c r="E2313" i="23"/>
  <c r="E2314" i="23"/>
  <c r="E2315" i="23"/>
  <c r="E2316" i="23"/>
  <c r="E2317" i="23"/>
  <c r="E2318" i="23"/>
  <c r="E2319" i="23"/>
  <c r="E2320" i="23"/>
  <c r="E2321" i="23"/>
  <c r="E2322" i="23"/>
  <c r="E2323" i="23"/>
  <c r="E2324" i="23"/>
  <c r="E2325" i="23"/>
  <c r="E2326" i="23"/>
  <c r="E2327" i="23"/>
  <c r="E2328" i="23"/>
  <c r="E2329" i="23"/>
  <c r="E2330" i="23"/>
  <c r="E2331" i="23"/>
  <c r="E2332" i="23"/>
  <c r="E2333" i="23"/>
  <c r="E2334" i="23"/>
  <c r="E2335" i="23"/>
  <c r="E2336" i="23"/>
  <c r="E2337" i="23"/>
  <c r="E2338" i="23"/>
  <c r="E2339" i="23"/>
  <c r="E2340" i="23"/>
  <c r="D308" i="24" s="1"/>
  <c r="E2341" i="23"/>
  <c r="E2342" i="23"/>
  <c r="E2343" i="23"/>
  <c r="E2344" i="23"/>
  <c r="E2345" i="23"/>
  <c r="E2346" i="23"/>
  <c r="E2347" i="23"/>
  <c r="E2348" i="23"/>
  <c r="E2349" i="23"/>
  <c r="E2350" i="23"/>
  <c r="E2351" i="23"/>
  <c r="E2352" i="23"/>
  <c r="E2353" i="23"/>
  <c r="E2354" i="23"/>
  <c r="E2355" i="23"/>
  <c r="E2356" i="23"/>
  <c r="E2357" i="23"/>
  <c r="E2358" i="23"/>
  <c r="E2359" i="23"/>
  <c r="E2360" i="23"/>
  <c r="E2361" i="23"/>
  <c r="E2362" i="23"/>
  <c r="E2363" i="23"/>
  <c r="E2364" i="23"/>
  <c r="E2365" i="23"/>
  <c r="E2366" i="23"/>
  <c r="E2367" i="23"/>
  <c r="E2368" i="23"/>
  <c r="E2369" i="23"/>
  <c r="E2370" i="23"/>
  <c r="E2371" i="23"/>
  <c r="D311" i="24" s="1"/>
  <c r="E2372" i="23"/>
  <c r="E2373" i="23"/>
  <c r="E2374" i="23"/>
  <c r="E2375" i="23"/>
  <c r="E2376" i="23"/>
  <c r="E2377" i="23"/>
  <c r="E2378" i="23"/>
  <c r="E2379" i="23"/>
  <c r="E2380" i="23"/>
  <c r="E2381" i="23"/>
  <c r="E2382" i="23"/>
  <c r="E2383" i="23"/>
  <c r="E2384" i="23"/>
  <c r="E2385" i="23"/>
  <c r="E2386" i="23"/>
  <c r="E2387" i="23"/>
  <c r="E2388" i="23"/>
  <c r="E2389" i="23"/>
  <c r="E2390" i="23"/>
  <c r="E2391" i="23"/>
  <c r="E2392" i="23"/>
  <c r="E2393" i="23"/>
  <c r="E2394" i="23"/>
  <c r="E2395" i="23"/>
  <c r="E2396" i="23"/>
  <c r="E2397" i="23"/>
  <c r="E2398" i="23"/>
  <c r="E2399" i="23"/>
  <c r="E2400" i="23"/>
  <c r="E2401" i="23"/>
  <c r="E2402" i="23"/>
  <c r="E2403" i="23"/>
  <c r="E2404" i="23"/>
  <c r="E2405" i="23"/>
  <c r="E2406" i="23"/>
  <c r="E2407" i="23"/>
  <c r="E2408" i="23"/>
  <c r="E2409" i="23"/>
  <c r="E2410" i="23"/>
  <c r="E2411" i="23"/>
  <c r="E2412" i="23"/>
  <c r="E2413" i="23"/>
  <c r="E2414" i="23"/>
  <c r="E2415" i="23"/>
  <c r="E2416" i="23"/>
  <c r="E2417" i="23"/>
  <c r="E2418" i="23"/>
  <c r="E2419" i="23"/>
  <c r="E2420" i="23"/>
  <c r="E2421" i="23"/>
  <c r="E2422" i="23"/>
  <c r="E2423" i="23"/>
  <c r="E2424" i="23"/>
  <c r="E2425" i="23"/>
  <c r="E2426" i="23"/>
  <c r="E2427" i="23"/>
  <c r="E2428" i="23"/>
  <c r="E2429" i="23"/>
  <c r="E2430" i="23"/>
  <c r="E2431" i="23"/>
  <c r="E2432" i="23"/>
  <c r="E2433" i="23"/>
  <c r="E2434" i="23"/>
  <c r="E2435" i="23"/>
  <c r="E2436" i="23"/>
  <c r="E2437" i="23"/>
  <c r="E2438" i="23"/>
  <c r="E2439" i="23"/>
  <c r="E2440" i="23"/>
  <c r="E2441" i="23"/>
  <c r="E2442" i="23"/>
  <c r="E2443" i="23"/>
  <c r="E2444" i="23"/>
  <c r="E2445" i="23"/>
  <c r="E2446" i="23"/>
  <c r="E2447" i="23"/>
  <c r="E2448" i="23"/>
  <c r="E2449" i="23"/>
  <c r="E2450" i="23"/>
  <c r="D318" i="24" s="1"/>
  <c r="E2451" i="23"/>
  <c r="E2452" i="23"/>
  <c r="E2453" i="23"/>
  <c r="E2454" i="23"/>
  <c r="E2455" i="23"/>
  <c r="E2456" i="23"/>
  <c r="E2457" i="23"/>
  <c r="E2458" i="23"/>
  <c r="E2459" i="23"/>
  <c r="E2460" i="23"/>
  <c r="E2461" i="23"/>
  <c r="E2462" i="23"/>
  <c r="E2463" i="23"/>
  <c r="E2464" i="23"/>
  <c r="E2465" i="23"/>
  <c r="E2466" i="23"/>
  <c r="E2467" i="23"/>
  <c r="E2468" i="23"/>
  <c r="E2469" i="23"/>
  <c r="E2470" i="23"/>
  <c r="E2471" i="23"/>
  <c r="E2472" i="23"/>
  <c r="E2473" i="23"/>
  <c r="E2474" i="23"/>
  <c r="E2475" i="23"/>
  <c r="E2476" i="23"/>
  <c r="E2477" i="23"/>
  <c r="E2478" i="23"/>
  <c r="E2479" i="23"/>
  <c r="E2480" i="23"/>
  <c r="E2481" i="23"/>
  <c r="E2482" i="23"/>
  <c r="E2483" i="23"/>
  <c r="E2484" i="23"/>
  <c r="E2485" i="23"/>
  <c r="E2486" i="23"/>
  <c r="E2487" i="23"/>
  <c r="E2488" i="23"/>
  <c r="E2489" i="23"/>
  <c r="E2490" i="23"/>
  <c r="E2491" i="23"/>
  <c r="E2492" i="23"/>
  <c r="E2493" i="23"/>
  <c r="E2494" i="23"/>
  <c r="D322" i="24" s="1"/>
  <c r="E2495" i="23"/>
  <c r="E2496" i="23"/>
  <c r="E2497" i="23"/>
  <c r="E2498" i="23"/>
  <c r="E2499" i="23"/>
  <c r="E2500" i="23"/>
  <c r="E2501" i="23"/>
  <c r="E2502" i="23"/>
  <c r="E2503" i="23"/>
  <c r="E2504" i="23"/>
  <c r="E2505" i="23"/>
  <c r="E2506" i="23"/>
  <c r="E2507" i="23"/>
  <c r="E2508" i="23"/>
  <c r="E2509" i="23"/>
  <c r="E2510" i="23"/>
  <c r="E2511" i="23"/>
  <c r="E2512" i="23"/>
  <c r="E2513" i="23"/>
  <c r="E2514" i="23"/>
  <c r="E2515" i="23"/>
  <c r="E2516" i="23"/>
  <c r="E2517" i="23"/>
  <c r="E2518" i="23"/>
  <c r="E2519" i="23"/>
  <c r="E2520" i="23"/>
  <c r="E2521" i="23"/>
  <c r="E2522" i="23"/>
  <c r="E2523" i="23"/>
  <c r="E2524" i="23"/>
  <c r="E2525" i="23"/>
  <c r="E2526" i="23"/>
  <c r="E2527" i="23"/>
  <c r="E2528" i="23"/>
  <c r="E2529" i="23"/>
  <c r="E2530" i="23"/>
  <c r="E2531" i="23"/>
  <c r="E2532" i="23"/>
  <c r="E2533" i="23"/>
  <c r="E2534" i="23"/>
  <c r="E2535" i="23"/>
  <c r="E2536" i="23"/>
  <c r="E2537" i="23"/>
  <c r="E2538" i="23"/>
  <c r="E2539" i="23"/>
  <c r="E2540" i="23"/>
  <c r="E2541" i="23"/>
  <c r="E2542" i="23"/>
  <c r="E2543" i="23"/>
  <c r="E2544" i="23"/>
  <c r="E2545" i="23"/>
  <c r="E2546" i="23"/>
  <c r="E2547" i="23"/>
  <c r="E2548" i="23"/>
  <c r="E2549" i="23"/>
  <c r="E2550" i="23"/>
  <c r="E2551" i="23"/>
  <c r="E2552" i="23"/>
  <c r="E2553" i="23"/>
  <c r="E2554" i="23"/>
  <c r="E2555" i="23"/>
  <c r="E2556" i="23"/>
  <c r="E2557" i="23"/>
  <c r="E2558" i="23"/>
  <c r="E2559" i="23"/>
  <c r="E2560" i="23"/>
  <c r="E2561" i="23"/>
  <c r="E2562" i="23"/>
  <c r="E2563" i="23"/>
  <c r="E2564" i="23"/>
  <c r="E2565" i="23"/>
  <c r="E2566" i="23"/>
  <c r="E2567" i="23"/>
  <c r="E2568" i="23"/>
  <c r="E2569" i="23"/>
  <c r="E2570" i="23"/>
  <c r="E2571" i="23"/>
  <c r="E2572" i="23"/>
  <c r="E2573" i="23"/>
  <c r="E2574" i="23"/>
  <c r="E2575" i="23"/>
  <c r="E2576" i="23"/>
  <c r="E2577" i="23"/>
  <c r="E2578" i="23"/>
  <c r="E2579" i="23"/>
  <c r="E2580" i="23"/>
  <c r="E2581" i="23"/>
  <c r="E2582" i="23"/>
  <c r="E2583" i="23"/>
  <c r="E2584" i="23"/>
  <c r="E2585" i="23"/>
  <c r="E2586" i="23"/>
  <c r="E2587" i="23"/>
  <c r="E2588" i="23"/>
  <c r="E2589" i="23"/>
  <c r="E2590" i="23"/>
  <c r="E2591" i="23"/>
  <c r="E2592" i="23"/>
  <c r="E2593" i="23"/>
  <c r="E2594" i="23"/>
  <c r="E2595" i="23"/>
  <c r="E2596" i="23"/>
  <c r="E2597" i="23"/>
  <c r="E2598" i="23"/>
  <c r="E2599" i="23"/>
  <c r="E2600" i="23"/>
  <c r="E2601" i="23"/>
  <c r="E2602" i="23"/>
  <c r="E2603" i="23"/>
  <c r="E2604" i="23"/>
  <c r="E2605" i="23"/>
  <c r="E2606" i="23"/>
  <c r="E2607" i="23"/>
  <c r="E2608" i="23"/>
  <c r="E2609" i="23"/>
  <c r="E2610" i="23"/>
  <c r="E2611" i="23"/>
  <c r="E2612" i="23"/>
  <c r="E2613" i="23"/>
  <c r="E2614" i="23"/>
  <c r="E2615" i="23"/>
  <c r="E2616" i="23"/>
  <c r="E2617" i="23"/>
  <c r="E2618" i="23"/>
  <c r="E2619" i="23"/>
  <c r="E2620" i="23"/>
  <c r="E2621" i="23"/>
  <c r="E2622" i="23"/>
  <c r="E2623" i="23"/>
  <c r="E2624" i="23"/>
  <c r="E2625" i="23"/>
  <c r="E2626" i="23"/>
  <c r="E2627" i="23"/>
  <c r="E2628" i="23"/>
  <c r="E2629" i="23"/>
  <c r="E2630" i="23"/>
  <c r="E2631" i="23"/>
  <c r="E2632" i="23"/>
  <c r="E2633" i="23"/>
  <c r="E2634" i="23"/>
  <c r="E2635" i="23"/>
  <c r="E2636" i="23"/>
  <c r="E2637" i="23"/>
  <c r="E2638" i="23"/>
  <c r="E2639" i="23"/>
  <c r="E2640" i="23"/>
  <c r="E2641" i="23"/>
  <c r="E2642" i="23"/>
  <c r="E2643" i="23"/>
  <c r="E2644" i="23"/>
  <c r="E2645" i="23"/>
  <c r="E2646" i="23"/>
  <c r="E2647" i="23"/>
  <c r="E2648" i="23"/>
  <c r="E2649" i="23"/>
  <c r="E2650" i="23"/>
  <c r="E2651" i="23"/>
  <c r="E2652" i="23"/>
  <c r="E2653" i="23"/>
  <c r="E2654" i="23"/>
  <c r="E2655" i="23"/>
  <c r="E2656" i="23"/>
  <c r="E2657" i="23"/>
  <c r="E2658" i="23"/>
  <c r="E2659" i="23"/>
  <c r="E2660" i="23"/>
  <c r="E2661" i="23"/>
  <c r="E2662" i="23"/>
  <c r="E2663" i="23"/>
  <c r="E2664" i="23"/>
  <c r="E2665" i="23"/>
  <c r="E2666" i="23"/>
  <c r="E2667" i="23"/>
  <c r="E2668" i="23"/>
  <c r="E2669" i="23"/>
  <c r="E2670" i="23"/>
  <c r="E2671" i="23"/>
  <c r="E2672" i="23"/>
  <c r="E2673" i="23"/>
  <c r="E2674" i="23"/>
  <c r="E2675" i="23"/>
  <c r="E2676" i="23"/>
  <c r="E2677" i="23"/>
  <c r="E2678" i="23"/>
  <c r="E2679" i="23"/>
  <c r="E2680" i="23"/>
  <c r="E2681" i="23"/>
  <c r="E2682" i="23"/>
  <c r="E2683" i="23"/>
  <c r="E2684" i="23"/>
  <c r="E2685" i="23"/>
  <c r="E2686" i="23"/>
  <c r="E2687" i="23"/>
  <c r="E2688" i="23"/>
  <c r="E2689" i="23"/>
  <c r="E2690" i="23"/>
  <c r="E2691" i="23"/>
  <c r="E2692" i="23"/>
  <c r="E2693" i="23"/>
  <c r="E2694" i="23"/>
  <c r="E2695" i="23"/>
  <c r="E2696" i="23"/>
  <c r="E2697" i="23"/>
  <c r="E2698" i="23"/>
  <c r="E2699" i="23"/>
  <c r="E2700" i="23"/>
  <c r="E2701" i="23"/>
  <c r="E2702" i="23"/>
  <c r="E2703" i="23"/>
  <c r="E2704" i="23"/>
  <c r="E2705" i="23"/>
  <c r="E2706" i="23"/>
  <c r="E2707" i="23"/>
  <c r="E2708" i="23"/>
  <c r="E2709" i="23"/>
  <c r="E2710" i="23"/>
  <c r="E2711" i="23"/>
  <c r="E2712" i="23"/>
  <c r="E2713" i="23"/>
  <c r="E2714" i="23"/>
  <c r="E2715" i="23"/>
  <c r="E2716" i="23"/>
  <c r="E2717" i="23"/>
  <c r="E2718" i="23"/>
  <c r="E2719" i="23"/>
  <c r="E2720" i="23"/>
  <c r="E2721" i="23"/>
  <c r="E2722" i="23"/>
  <c r="E2723" i="23"/>
  <c r="E2724" i="23"/>
  <c r="E2725" i="23"/>
  <c r="E2726" i="23"/>
  <c r="E2727" i="23"/>
  <c r="E2728" i="23"/>
  <c r="E2729" i="23"/>
  <c r="E2730" i="23"/>
  <c r="E2731" i="23"/>
  <c r="E2732" i="23"/>
  <c r="E2733" i="23"/>
  <c r="E2734" i="23"/>
  <c r="E2735" i="23"/>
  <c r="E2736" i="23"/>
  <c r="E2737" i="23"/>
  <c r="E2738" i="23"/>
  <c r="E2739" i="23"/>
  <c r="E2740" i="23"/>
  <c r="E2741" i="23"/>
  <c r="E2742" i="23"/>
  <c r="E2743" i="23"/>
  <c r="E2744" i="23"/>
  <c r="E2745" i="23"/>
  <c r="E2746" i="23"/>
  <c r="E2747" i="23"/>
  <c r="E2748" i="23"/>
  <c r="E2749" i="23"/>
  <c r="E2750" i="23"/>
  <c r="E2751" i="23"/>
  <c r="E2752" i="23"/>
  <c r="E2753" i="23"/>
  <c r="E2754" i="23"/>
  <c r="E2755" i="23"/>
  <c r="E2756" i="23"/>
  <c r="E2757" i="23"/>
  <c r="E2758" i="23"/>
  <c r="E2759" i="23"/>
  <c r="E2760" i="23"/>
  <c r="E2761" i="23"/>
  <c r="E2762" i="23"/>
  <c r="E2763" i="23"/>
  <c r="E2764" i="23"/>
  <c r="E2765" i="23"/>
  <c r="E2766" i="23"/>
  <c r="E2767" i="23"/>
  <c r="E2768" i="23"/>
  <c r="E2769" i="23"/>
  <c r="E2770" i="23"/>
  <c r="E2771" i="23"/>
  <c r="E2772" i="23"/>
  <c r="E2773" i="23"/>
  <c r="E2774" i="23"/>
  <c r="E2775" i="23"/>
  <c r="E2776" i="23"/>
  <c r="E2777" i="23"/>
  <c r="E2778" i="23"/>
  <c r="E2779" i="23"/>
  <c r="E2780" i="23"/>
  <c r="E2781" i="23"/>
  <c r="E2782" i="23"/>
  <c r="E2783" i="23"/>
  <c r="E2784" i="23"/>
  <c r="E2785" i="23"/>
  <c r="E2786" i="23"/>
  <c r="E2787" i="23"/>
  <c r="E2788" i="23"/>
  <c r="E2789" i="23"/>
  <c r="E2790" i="23"/>
  <c r="E2791" i="23"/>
  <c r="E2792" i="23"/>
  <c r="E2793" i="23"/>
  <c r="E2794" i="23"/>
  <c r="E2795" i="23"/>
  <c r="E2796" i="23"/>
  <c r="E2797" i="23"/>
  <c r="E2798" i="23"/>
  <c r="E2799" i="23"/>
  <c r="E2800" i="23"/>
  <c r="E2801" i="23"/>
  <c r="E2802" i="23"/>
  <c r="E2803" i="23"/>
  <c r="E2804" i="23"/>
  <c r="E2805" i="23"/>
  <c r="E2806" i="23"/>
  <c r="E2807" i="23"/>
  <c r="E2808" i="23"/>
  <c r="E2809" i="23"/>
  <c r="E2810" i="23"/>
  <c r="E2811" i="23"/>
  <c r="E2812" i="23"/>
  <c r="E2813" i="23"/>
  <c r="E2814" i="23"/>
  <c r="E2815" i="23"/>
  <c r="E2816" i="23"/>
  <c r="E2817" i="23"/>
  <c r="E2818" i="23"/>
  <c r="E2819" i="23"/>
  <c r="E2820" i="23"/>
  <c r="E2821" i="23"/>
  <c r="E2822" i="23"/>
  <c r="E2823" i="23"/>
  <c r="E2824" i="23"/>
  <c r="E2825" i="23"/>
  <c r="E2826" i="23"/>
  <c r="E2827" i="23"/>
  <c r="E2828" i="23"/>
  <c r="E2829" i="23"/>
  <c r="E2830" i="23"/>
  <c r="E2831" i="23"/>
  <c r="E2832" i="23"/>
  <c r="E2833" i="23"/>
  <c r="E2834" i="23"/>
  <c r="E2835" i="23"/>
  <c r="E2836" i="23"/>
  <c r="E2837" i="23"/>
  <c r="E2838" i="23"/>
  <c r="E2839" i="23"/>
  <c r="E2840" i="23"/>
  <c r="E2841" i="23"/>
  <c r="E2842" i="23"/>
  <c r="E2843" i="23"/>
  <c r="E2844" i="23"/>
  <c r="E2845" i="23"/>
  <c r="E2846" i="23"/>
  <c r="E2847" i="23"/>
  <c r="E2848" i="23"/>
  <c r="E2849" i="23"/>
  <c r="E2850" i="23"/>
  <c r="E2851" i="23"/>
  <c r="E2852" i="23"/>
  <c r="E2853" i="23"/>
  <c r="E2854" i="23"/>
  <c r="E2855" i="23"/>
  <c r="E2856" i="23"/>
  <c r="E2857" i="23"/>
  <c r="E2858" i="23"/>
  <c r="E2859" i="23"/>
  <c r="E2860" i="23"/>
  <c r="E2861" i="23"/>
  <c r="E2862" i="23"/>
  <c r="E2863" i="23"/>
  <c r="E2864" i="23"/>
  <c r="E2865" i="23"/>
  <c r="E2866" i="23"/>
  <c r="E2867" i="23"/>
  <c r="E2868" i="23"/>
  <c r="E2869" i="23"/>
  <c r="E2870" i="23"/>
  <c r="E2871" i="23"/>
  <c r="E2872" i="23"/>
  <c r="E2873" i="23"/>
  <c r="E2874" i="23"/>
  <c r="E2875" i="23"/>
  <c r="E2876" i="23"/>
  <c r="E2877" i="23"/>
  <c r="E2878" i="23"/>
  <c r="E2879" i="23"/>
  <c r="E2880" i="23"/>
  <c r="E2881" i="23"/>
  <c r="E2882" i="23"/>
  <c r="E2883" i="23"/>
  <c r="E2884" i="23"/>
  <c r="E2885" i="23"/>
  <c r="E2886" i="23"/>
  <c r="E2887" i="23"/>
  <c r="E2888" i="23"/>
  <c r="E2889" i="23"/>
  <c r="E2890" i="23"/>
  <c r="E2891" i="23"/>
  <c r="E2892" i="23"/>
  <c r="E2893" i="23"/>
  <c r="E2894" i="23"/>
  <c r="E2895" i="23"/>
  <c r="E2896" i="23"/>
  <c r="E2897" i="23"/>
  <c r="E2898" i="23"/>
  <c r="E2899" i="23"/>
  <c r="E2900" i="23"/>
  <c r="E2901" i="23"/>
  <c r="E2902" i="23"/>
  <c r="E2903" i="23"/>
  <c r="E2904" i="23"/>
  <c r="E2905" i="23"/>
  <c r="E2906" i="23"/>
  <c r="E2907" i="23"/>
  <c r="E2908" i="23"/>
  <c r="E2909" i="23"/>
  <c r="E2910" i="23"/>
  <c r="E2911" i="23"/>
  <c r="E2912" i="23"/>
  <c r="E2913" i="23"/>
  <c r="E2914" i="23"/>
  <c r="E2915" i="23"/>
  <c r="E2916" i="23"/>
  <c r="E2917" i="23"/>
  <c r="E2918" i="23"/>
  <c r="E2919" i="23"/>
  <c r="E2920" i="23"/>
  <c r="E2921" i="23"/>
  <c r="E2922" i="23"/>
  <c r="E2923" i="23"/>
  <c r="E2924" i="23"/>
  <c r="E2925" i="23"/>
  <c r="E2926" i="23"/>
  <c r="E2927" i="23"/>
  <c r="E2928" i="23"/>
  <c r="E2929" i="23"/>
  <c r="E2930" i="23"/>
  <c r="E2931" i="23"/>
  <c r="E2932" i="23"/>
  <c r="E2933" i="23"/>
  <c r="E2934" i="23"/>
  <c r="E2935" i="23"/>
  <c r="E2936" i="23"/>
  <c r="E2937" i="23"/>
  <c r="E2938" i="23"/>
  <c r="E2939" i="23"/>
  <c r="E2940" i="23"/>
  <c r="E2941" i="23"/>
  <c r="E2942" i="23"/>
  <c r="E2943" i="23"/>
  <c r="E2944" i="23"/>
  <c r="E2945" i="23"/>
  <c r="E2946" i="23"/>
  <c r="E2947" i="23"/>
  <c r="E2948" i="23"/>
  <c r="E2949" i="23"/>
  <c r="E2950" i="23"/>
  <c r="E2951" i="23"/>
  <c r="E2952" i="23"/>
  <c r="E2953" i="23"/>
  <c r="E2954" i="23"/>
  <c r="E2955" i="23"/>
  <c r="E2956" i="23"/>
  <c r="E2957" i="23"/>
  <c r="D349" i="24" s="1"/>
  <c r="E2958" i="23"/>
  <c r="E2959" i="23"/>
  <c r="E2960" i="23"/>
  <c r="E2961" i="23"/>
  <c r="E2962" i="23"/>
  <c r="E2963" i="23"/>
  <c r="E2964" i="23"/>
  <c r="E2965" i="23"/>
  <c r="E2966" i="23"/>
  <c r="E2967" i="23"/>
  <c r="E2968" i="23"/>
  <c r="E2969" i="23"/>
  <c r="E2970" i="23"/>
  <c r="E2971" i="23"/>
  <c r="E2972" i="23"/>
  <c r="E2973" i="23"/>
  <c r="E2974" i="23"/>
  <c r="E2975" i="23"/>
  <c r="E2976" i="23"/>
  <c r="E2977" i="23"/>
  <c r="E2978" i="23"/>
  <c r="E2979" i="23"/>
  <c r="E2980" i="23"/>
  <c r="E2981" i="23"/>
  <c r="E2982" i="23"/>
  <c r="E2983" i="23"/>
  <c r="E2984" i="23"/>
  <c r="E2985" i="23"/>
  <c r="E2986" i="23"/>
  <c r="E2987" i="23"/>
  <c r="E2988" i="23"/>
  <c r="E2989" i="23"/>
  <c r="E2990" i="23"/>
  <c r="E2991" i="23"/>
  <c r="E2992" i="23"/>
  <c r="E2993" i="23"/>
  <c r="E2994" i="23"/>
  <c r="E2995" i="23"/>
  <c r="E2996" i="23"/>
  <c r="E2997" i="23"/>
  <c r="E2998" i="23"/>
  <c r="E2999" i="23"/>
  <c r="E3000" i="23"/>
  <c r="E3001" i="23"/>
  <c r="E3002" i="23"/>
  <c r="E3003" i="23"/>
  <c r="E3004" i="23"/>
  <c r="E3005" i="23"/>
  <c r="E3006" i="23"/>
  <c r="E3007" i="23"/>
  <c r="E3008" i="23"/>
  <c r="E3009" i="23"/>
  <c r="E3010" i="23"/>
  <c r="E3011" i="23"/>
  <c r="E3012" i="23"/>
  <c r="E3013" i="23"/>
  <c r="E3014" i="23"/>
  <c r="E3015" i="23"/>
  <c r="E3016" i="23"/>
  <c r="E3017" i="23"/>
  <c r="E3018" i="23"/>
  <c r="E3019" i="23"/>
  <c r="E3020" i="23"/>
  <c r="E3021" i="23"/>
  <c r="E3022" i="23"/>
  <c r="E3023" i="23"/>
  <c r="E3024" i="23"/>
  <c r="E3025" i="23"/>
  <c r="E3026" i="23"/>
  <c r="E3027" i="23"/>
  <c r="E3028" i="23"/>
  <c r="E3029" i="23"/>
  <c r="E3030" i="23"/>
  <c r="E3031" i="23"/>
  <c r="E3032" i="23"/>
  <c r="E3033" i="23"/>
  <c r="E3034" i="23"/>
  <c r="E3035" i="23"/>
  <c r="E3036" i="23"/>
  <c r="E3037" i="23"/>
  <c r="E3038" i="23"/>
  <c r="E3039" i="23"/>
  <c r="E3040" i="23"/>
  <c r="E3041" i="23"/>
  <c r="E3042" i="23"/>
  <c r="E3043" i="23"/>
  <c r="E3044" i="23"/>
  <c r="E3045" i="23"/>
  <c r="E3046" i="23"/>
  <c r="E3047" i="23"/>
  <c r="E3048" i="23"/>
  <c r="E3049" i="23"/>
  <c r="E3050" i="23"/>
  <c r="E3051" i="23"/>
  <c r="E3052" i="23"/>
  <c r="E3053" i="23"/>
  <c r="E3054" i="23"/>
  <c r="E3055" i="23"/>
  <c r="E3056" i="23"/>
  <c r="E3057" i="23"/>
  <c r="E3058" i="23"/>
  <c r="E3059" i="23"/>
  <c r="E3060" i="23"/>
  <c r="E3061" i="23"/>
  <c r="E3062" i="23"/>
  <c r="E3063" i="23"/>
  <c r="E3064" i="23"/>
  <c r="E3065" i="23"/>
  <c r="E3066" i="23"/>
  <c r="E3067" i="23"/>
  <c r="E3068" i="23"/>
  <c r="E3069" i="23"/>
  <c r="E3070" i="23"/>
  <c r="E3071" i="23"/>
  <c r="E3072" i="23"/>
  <c r="E3073" i="23"/>
  <c r="E3074" i="23"/>
  <c r="E3075" i="23"/>
  <c r="E3076" i="23"/>
  <c r="E3077" i="23"/>
  <c r="E3078" i="23"/>
  <c r="E3079" i="23"/>
  <c r="E3080" i="23"/>
  <c r="E3081" i="23"/>
  <c r="E3082" i="23"/>
  <c r="E3083" i="23"/>
  <c r="E3084" i="23"/>
  <c r="E3085" i="23"/>
  <c r="E3086" i="23"/>
  <c r="E3087" i="23"/>
  <c r="E3088" i="23"/>
  <c r="E3089" i="23"/>
  <c r="E3090" i="23"/>
  <c r="E3091" i="23"/>
  <c r="E3092" i="23"/>
  <c r="E3093" i="23"/>
  <c r="E3094" i="23"/>
  <c r="E3095" i="23"/>
  <c r="E3096" i="23"/>
  <c r="E3097" i="23"/>
  <c r="E3098" i="23"/>
  <c r="E3099" i="23"/>
  <c r="E3100" i="23"/>
  <c r="E3101" i="23"/>
  <c r="E3102" i="23"/>
  <c r="E3103" i="23"/>
  <c r="E3104" i="23"/>
  <c r="E3105" i="23"/>
  <c r="E3106" i="23"/>
  <c r="E3107" i="23"/>
  <c r="E3108" i="23"/>
  <c r="E3109" i="23"/>
  <c r="E3110" i="23"/>
  <c r="E3111" i="23"/>
  <c r="E3112" i="23"/>
  <c r="E3113" i="23"/>
  <c r="E3114" i="23"/>
  <c r="E3115" i="23"/>
  <c r="E3116" i="23"/>
  <c r="E3117" i="23"/>
  <c r="E3118" i="23"/>
  <c r="E3119" i="23"/>
  <c r="E3120" i="23"/>
  <c r="E3121" i="23"/>
  <c r="E3122" i="23"/>
  <c r="E3123" i="23"/>
  <c r="E3124" i="23"/>
  <c r="E3125" i="23"/>
  <c r="E3126" i="23"/>
  <c r="E3127" i="23"/>
  <c r="E3128" i="23"/>
  <c r="E3129" i="23"/>
  <c r="E3130" i="23"/>
  <c r="E3131" i="23"/>
  <c r="E3132" i="23"/>
  <c r="E3133" i="23"/>
  <c r="E3134" i="23"/>
  <c r="E3135" i="23"/>
  <c r="E3136" i="23"/>
  <c r="E3137" i="23"/>
  <c r="E3138" i="23"/>
  <c r="E3139" i="23"/>
  <c r="E3140" i="23"/>
  <c r="E3141" i="23"/>
  <c r="E3142" i="23"/>
  <c r="E3143" i="23"/>
  <c r="E3144" i="23"/>
  <c r="E3145" i="23"/>
  <c r="E3146" i="23"/>
  <c r="E3147" i="23"/>
  <c r="E3148" i="23"/>
  <c r="E3149" i="23"/>
  <c r="E3150" i="23"/>
  <c r="E3151" i="23"/>
  <c r="E3152" i="23"/>
  <c r="E3153" i="23"/>
  <c r="E3154" i="23"/>
  <c r="E3155" i="23"/>
  <c r="E3156" i="23"/>
  <c r="E3157" i="23"/>
  <c r="E3158" i="23"/>
  <c r="E3159" i="23"/>
  <c r="E3160" i="23"/>
  <c r="E3161" i="23"/>
  <c r="E3162" i="23"/>
  <c r="E3163" i="23"/>
  <c r="E3164" i="23"/>
  <c r="E3165" i="23"/>
  <c r="E3166" i="23"/>
  <c r="E3167" i="23"/>
  <c r="E3168" i="23"/>
  <c r="E3169" i="23"/>
  <c r="E3170" i="23"/>
  <c r="E3171" i="23"/>
  <c r="E3172" i="23"/>
  <c r="E3173" i="23"/>
  <c r="E3174" i="23"/>
  <c r="E3175" i="23"/>
  <c r="E3176" i="23"/>
  <c r="E3177" i="23"/>
  <c r="E3178" i="23"/>
  <c r="E3179" i="23"/>
  <c r="E3180" i="23"/>
  <c r="E3181" i="23"/>
  <c r="E3182" i="23"/>
  <c r="E3183" i="23"/>
  <c r="E3184" i="23"/>
  <c r="E3185" i="23"/>
  <c r="E3186" i="23"/>
  <c r="E3187" i="23"/>
  <c r="E3188" i="23"/>
  <c r="E3189" i="23"/>
  <c r="E3190" i="23"/>
  <c r="E3191" i="23"/>
  <c r="E3192" i="23"/>
  <c r="E3193" i="23"/>
  <c r="E3194" i="23"/>
  <c r="E3195" i="23"/>
  <c r="E3196" i="23"/>
  <c r="E3197" i="23"/>
  <c r="E3198" i="23"/>
  <c r="E3199" i="23"/>
  <c r="E3200" i="23"/>
  <c r="E3201" i="23"/>
  <c r="E3202" i="23"/>
  <c r="E3203" i="23"/>
  <c r="E3204" i="23"/>
  <c r="E3205" i="23"/>
  <c r="E3206" i="23"/>
  <c r="E3207" i="23"/>
  <c r="E3208" i="23"/>
  <c r="E3209" i="23"/>
  <c r="E3210" i="23"/>
  <c r="E3211" i="23"/>
  <c r="E3212" i="23"/>
  <c r="E3213" i="23"/>
  <c r="E3214" i="23"/>
  <c r="E3215" i="23"/>
  <c r="E3216" i="23"/>
  <c r="E3217" i="23"/>
  <c r="E3218" i="23"/>
  <c r="E3219" i="23"/>
  <c r="E3220" i="23"/>
  <c r="E3221" i="23"/>
  <c r="E3222" i="23"/>
  <c r="E3223" i="23"/>
  <c r="E3224" i="23"/>
  <c r="E3225" i="23"/>
  <c r="E3226" i="23"/>
  <c r="E3227" i="23"/>
  <c r="E3228" i="23"/>
  <c r="E3229" i="23"/>
  <c r="E3230" i="23"/>
  <c r="E3231" i="23"/>
  <c r="E3232" i="23"/>
  <c r="E3233" i="23"/>
  <c r="E3234" i="23"/>
  <c r="E3235" i="23"/>
  <c r="E3236" i="23"/>
  <c r="E3237" i="23"/>
  <c r="E3238" i="23"/>
  <c r="E3239" i="23"/>
  <c r="E3240" i="23"/>
  <c r="E3241" i="23"/>
  <c r="E3242" i="23"/>
  <c r="E3243" i="23"/>
  <c r="E3244" i="23"/>
  <c r="E3245" i="23"/>
  <c r="E3246" i="23"/>
  <c r="E3247" i="23"/>
  <c r="E3248" i="23"/>
  <c r="E3249" i="23"/>
  <c r="E3250" i="23"/>
  <c r="E3251" i="23"/>
  <c r="E3252" i="23"/>
  <c r="E3253" i="23"/>
  <c r="E3254" i="23"/>
  <c r="E3255" i="23"/>
  <c r="E3256" i="23"/>
  <c r="E3257" i="23"/>
  <c r="E3258" i="23"/>
  <c r="E3259" i="23"/>
  <c r="E3260" i="23"/>
  <c r="E3261" i="23"/>
  <c r="E3262" i="23"/>
  <c r="E3263" i="23"/>
  <c r="E3264" i="23"/>
  <c r="E3265" i="23"/>
  <c r="E3266" i="23"/>
  <c r="E3267" i="23"/>
  <c r="E3268" i="23"/>
  <c r="E3269" i="23"/>
  <c r="E3270" i="23"/>
  <c r="E3271" i="23"/>
  <c r="E3272" i="23"/>
  <c r="E3273" i="23"/>
  <c r="E3274" i="23"/>
  <c r="E3275" i="23"/>
  <c r="E3276" i="23"/>
  <c r="E3277" i="23"/>
  <c r="E3278" i="23"/>
  <c r="E3279" i="23"/>
  <c r="E3280" i="23"/>
  <c r="E3281" i="23"/>
  <c r="E3282" i="23"/>
  <c r="E3283" i="23"/>
  <c r="E3284" i="23"/>
  <c r="E3285" i="23"/>
  <c r="E3286" i="23"/>
  <c r="E3287" i="23"/>
  <c r="E3288" i="23"/>
  <c r="E3289" i="23"/>
  <c r="E3290" i="23"/>
  <c r="E3291" i="23"/>
  <c r="E3292" i="23"/>
  <c r="E3293" i="23"/>
  <c r="E3294" i="23"/>
  <c r="E3295" i="23"/>
  <c r="E3296" i="23"/>
  <c r="E3297" i="23"/>
  <c r="E3298" i="23"/>
  <c r="E3299" i="23"/>
  <c r="E3300" i="23"/>
  <c r="E3301" i="23"/>
  <c r="E3302" i="23"/>
  <c r="E3303" i="23"/>
  <c r="E3304" i="23"/>
  <c r="E3305" i="23"/>
  <c r="E3306" i="23"/>
  <c r="E3307" i="23"/>
  <c r="E3308" i="23"/>
  <c r="E3309" i="23"/>
  <c r="E3310" i="23"/>
  <c r="E3311" i="23"/>
  <c r="E3312" i="23"/>
  <c r="E3313" i="23"/>
  <c r="E3314" i="23"/>
  <c r="E3315" i="23"/>
  <c r="E3316" i="23"/>
  <c r="E3317" i="23"/>
  <c r="E3318" i="23"/>
  <c r="E3319" i="23"/>
  <c r="E3320" i="23"/>
  <c r="E3321" i="23"/>
  <c r="E3322" i="23"/>
  <c r="E3323" i="23"/>
  <c r="E3324" i="23"/>
  <c r="E3325" i="23"/>
  <c r="E3326" i="23"/>
  <c r="E3327" i="23"/>
  <c r="E3328" i="23"/>
  <c r="E3329" i="23"/>
  <c r="E3330" i="23"/>
  <c r="E3331" i="23"/>
  <c r="E3332" i="23"/>
  <c r="E3333" i="23"/>
  <c r="E3334" i="23"/>
  <c r="E3335" i="23"/>
  <c r="E3336" i="23"/>
  <c r="E3337" i="23"/>
  <c r="E3338" i="23"/>
  <c r="E3339" i="23"/>
  <c r="E3340" i="23"/>
  <c r="E3341" i="23"/>
  <c r="E3342" i="23"/>
  <c r="E3343" i="23"/>
  <c r="E3344" i="23"/>
  <c r="E3345" i="23"/>
  <c r="E3346" i="23"/>
  <c r="E3347" i="23"/>
  <c r="E3348" i="23"/>
  <c r="E3349" i="23"/>
  <c r="E3350" i="23"/>
  <c r="E3351" i="23"/>
  <c r="E3352" i="23"/>
  <c r="E3353" i="23"/>
  <c r="E3354" i="23"/>
  <c r="E3355" i="23"/>
  <c r="E3356" i="23"/>
  <c r="E3357" i="23"/>
  <c r="E3358" i="23"/>
  <c r="E3359" i="23"/>
  <c r="E3360" i="23"/>
  <c r="E3361" i="23"/>
  <c r="E3362" i="23"/>
  <c r="E3363" i="23"/>
  <c r="E3364" i="23"/>
  <c r="E3365" i="23"/>
  <c r="E3366" i="23"/>
  <c r="E3367" i="23"/>
  <c r="E3368" i="23"/>
  <c r="E3369" i="23"/>
  <c r="E3370" i="23"/>
  <c r="E3371" i="23"/>
  <c r="E3372" i="23"/>
  <c r="E3373" i="23"/>
  <c r="E3374" i="23"/>
  <c r="E3375" i="23"/>
  <c r="E3376" i="23"/>
  <c r="E3377" i="23"/>
  <c r="E3378" i="23"/>
  <c r="E3379" i="23"/>
  <c r="E3380" i="23"/>
  <c r="E3381" i="23"/>
  <c r="E3382" i="23"/>
  <c r="E3383" i="23"/>
  <c r="E3384" i="23"/>
  <c r="E3385" i="23"/>
  <c r="E3386" i="23"/>
  <c r="E3387" i="23"/>
  <c r="E3388" i="23"/>
  <c r="E3389" i="23"/>
  <c r="E3390" i="23"/>
  <c r="E3391" i="23"/>
  <c r="E3392" i="23"/>
  <c r="E3393" i="23"/>
  <c r="E3394" i="23"/>
  <c r="E3395" i="23"/>
  <c r="E3396" i="23"/>
  <c r="E3397" i="23"/>
  <c r="E3398" i="23"/>
  <c r="E3399" i="23"/>
  <c r="E3400" i="23"/>
  <c r="E3401" i="23"/>
  <c r="E3402" i="23"/>
  <c r="E3403" i="23"/>
  <c r="E3404" i="23"/>
  <c r="E3405" i="23"/>
  <c r="E3406" i="23"/>
  <c r="E3407" i="23"/>
  <c r="E3408" i="23"/>
  <c r="E3409" i="23"/>
  <c r="E3410" i="23"/>
  <c r="E3411" i="23"/>
  <c r="E3412" i="23"/>
  <c r="E3413" i="23"/>
  <c r="E3414" i="23"/>
  <c r="E3415" i="23"/>
  <c r="E3416" i="23"/>
  <c r="E3417" i="23"/>
  <c r="E3418" i="23"/>
  <c r="E3419" i="23"/>
  <c r="E3420" i="23"/>
  <c r="E3421" i="23"/>
  <c r="E3422" i="23"/>
  <c r="E3423" i="23"/>
  <c r="E3424" i="23"/>
  <c r="E3425" i="23"/>
  <c r="E3426" i="23"/>
  <c r="E3427" i="23"/>
  <c r="E3428" i="23"/>
  <c r="E3429" i="23"/>
  <c r="E3430" i="23"/>
  <c r="E3431" i="23"/>
  <c r="E3432" i="23"/>
  <c r="E3433" i="23"/>
  <c r="E3434" i="23"/>
  <c r="E3435" i="23"/>
  <c r="E3436" i="23"/>
  <c r="E3437" i="23"/>
  <c r="E3438" i="23"/>
  <c r="E3439" i="23"/>
  <c r="E3440" i="23"/>
  <c r="E3441" i="23"/>
  <c r="E3442" i="23"/>
  <c r="E3443" i="23"/>
  <c r="E3444" i="23"/>
  <c r="E3445" i="23"/>
  <c r="E3446" i="23"/>
  <c r="E3447" i="23"/>
  <c r="E3448" i="23"/>
  <c r="E3449" i="23"/>
  <c r="E3450" i="23"/>
  <c r="E3451" i="23"/>
  <c r="E3452" i="23"/>
  <c r="E3453" i="23"/>
  <c r="E3454" i="23"/>
  <c r="E3455" i="23"/>
  <c r="E3456" i="23"/>
  <c r="E3457" i="23"/>
  <c r="E3458" i="23"/>
  <c r="E3459" i="23"/>
  <c r="E3460" i="23"/>
  <c r="E3461" i="23"/>
  <c r="E3462" i="23"/>
  <c r="E3463" i="23"/>
  <c r="E3464" i="23"/>
  <c r="E3465" i="23"/>
  <c r="E3466" i="23"/>
  <c r="E3467" i="23"/>
  <c r="E3468" i="23"/>
  <c r="E3469" i="23"/>
  <c r="E3470" i="23"/>
  <c r="E3471" i="23"/>
  <c r="E3472" i="23"/>
  <c r="E3473" i="23"/>
  <c r="E3474" i="23"/>
  <c r="E3475" i="23"/>
  <c r="E3476" i="23"/>
  <c r="E3477" i="23"/>
  <c r="E3478" i="23"/>
  <c r="E3479" i="23"/>
  <c r="E3480" i="23"/>
  <c r="E3481" i="23"/>
  <c r="E3482" i="23"/>
  <c r="E3483" i="23"/>
  <c r="E3484" i="23"/>
  <c r="E3485" i="23"/>
  <c r="E3486" i="23"/>
  <c r="E3487" i="23"/>
  <c r="E3488" i="23"/>
  <c r="E3489" i="23"/>
  <c r="E3490" i="23"/>
  <c r="E3491" i="23"/>
  <c r="E3492" i="23"/>
  <c r="E3493" i="23"/>
  <c r="E3494" i="23"/>
  <c r="E3495" i="23"/>
  <c r="E3496" i="23"/>
  <c r="E3497" i="23"/>
  <c r="E3498" i="23"/>
  <c r="E3499" i="23"/>
  <c r="E3500" i="23"/>
  <c r="E3501" i="23"/>
  <c r="E3502" i="23"/>
  <c r="D392" i="24" s="1"/>
  <c r="E3503" i="23"/>
  <c r="D393" i="24" s="1"/>
  <c r="E3504" i="23"/>
  <c r="E3505" i="23"/>
  <c r="E3506" i="23"/>
  <c r="E3507" i="23"/>
  <c r="E3508" i="23"/>
  <c r="E3509" i="23"/>
  <c r="E3510" i="23"/>
  <c r="E3511" i="23"/>
  <c r="E3512" i="23"/>
  <c r="E3513" i="23"/>
  <c r="E3514" i="23"/>
  <c r="E3515" i="23"/>
  <c r="E3516" i="23"/>
  <c r="E3517" i="23"/>
  <c r="E3518" i="23"/>
  <c r="E3519" i="23"/>
  <c r="E3520" i="23"/>
  <c r="E3521" i="23"/>
  <c r="E3522" i="23"/>
  <c r="E3523" i="23"/>
  <c r="E3524" i="23"/>
  <c r="E3525" i="23"/>
  <c r="E3526" i="23"/>
  <c r="E3527" i="23"/>
  <c r="E3528" i="23"/>
  <c r="E3529" i="23"/>
  <c r="E3530" i="23"/>
  <c r="E3531" i="23"/>
  <c r="E3532" i="23"/>
  <c r="E3533" i="23"/>
  <c r="E3534" i="23"/>
  <c r="E3535" i="23"/>
  <c r="E3536" i="23"/>
  <c r="E3537" i="23"/>
  <c r="E3538" i="23"/>
  <c r="E3539" i="23"/>
  <c r="E3540" i="23"/>
  <c r="E3541" i="23"/>
  <c r="E3542" i="23"/>
  <c r="E3543" i="23"/>
  <c r="E3544" i="23"/>
  <c r="E3545" i="23"/>
  <c r="E3546" i="23"/>
  <c r="E3547" i="23"/>
  <c r="E3548" i="23"/>
  <c r="E3549" i="23"/>
  <c r="E3550" i="23"/>
  <c r="E3551" i="23"/>
  <c r="E3552" i="23"/>
  <c r="E3553" i="23"/>
  <c r="E3554" i="23"/>
  <c r="E3555" i="23"/>
  <c r="E3556" i="23"/>
  <c r="E3557" i="23"/>
  <c r="E3558" i="23"/>
  <c r="E3559" i="23"/>
  <c r="E3560" i="23"/>
  <c r="E3561" i="23"/>
  <c r="E3562" i="23"/>
  <c r="E3563" i="23"/>
  <c r="E3564" i="23"/>
  <c r="E3565" i="23"/>
  <c r="D399" i="24" s="1"/>
  <c r="E3566" i="23"/>
  <c r="E3567" i="23"/>
  <c r="E3568" i="23"/>
  <c r="E3569" i="23"/>
  <c r="E3570" i="23"/>
  <c r="E3571" i="23"/>
  <c r="E3572" i="23"/>
  <c r="E3573" i="23"/>
  <c r="E3574" i="23"/>
  <c r="E3575" i="23"/>
  <c r="E3576" i="23"/>
  <c r="E3577" i="23"/>
  <c r="E3578" i="23"/>
  <c r="E3579" i="23"/>
  <c r="E3580" i="23"/>
  <c r="E3581" i="23"/>
  <c r="E3582" i="23"/>
  <c r="E3583" i="23"/>
  <c r="E3584" i="23"/>
  <c r="E3585" i="23"/>
  <c r="E3586" i="23"/>
  <c r="E3587" i="23"/>
  <c r="E3588" i="23"/>
  <c r="E3589" i="23"/>
  <c r="E3590" i="23"/>
  <c r="E3591" i="23"/>
  <c r="E3592" i="23"/>
  <c r="E3593" i="23"/>
  <c r="E3594" i="23"/>
  <c r="E3595" i="23"/>
  <c r="E3596" i="23"/>
  <c r="E3597" i="23"/>
  <c r="E3598" i="23"/>
  <c r="E3599" i="23"/>
  <c r="E3600" i="23"/>
  <c r="E3601" i="23"/>
  <c r="E3602" i="23"/>
  <c r="E3603" i="23"/>
  <c r="E3604" i="23"/>
  <c r="E3605" i="23"/>
  <c r="E3606" i="23"/>
  <c r="E3607" i="23"/>
  <c r="E3608" i="23"/>
  <c r="E3609" i="23"/>
  <c r="E3610" i="23"/>
  <c r="E3611" i="23"/>
  <c r="E3612" i="23"/>
  <c r="E3613" i="23"/>
  <c r="E3614" i="23"/>
  <c r="E3615" i="23"/>
  <c r="E3616" i="23"/>
  <c r="E3617" i="23"/>
  <c r="E3618" i="23"/>
  <c r="E3619" i="23"/>
  <c r="E3620" i="23"/>
  <c r="E3621" i="23"/>
  <c r="E3622" i="23"/>
  <c r="E3623" i="23"/>
  <c r="E3624" i="23"/>
  <c r="E3625" i="23"/>
  <c r="E3626" i="23"/>
  <c r="E3627" i="23"/>
  <c r="E3628" i="23"/>
  <c r="E3629" i="23"/>
  <c r="E3630" i="23"/>
  <c r="E3631" i="23"/>
  <c r="E3632" i="23"/>
  <c r="E3633" i="23"/>
  <c r="E3634" i="23"/>
  <c r="E3635" i="23"/>
  <c r="E3636" i="23"/>
  <c r="E3637" i="23"/>
  <c r="E3638" i="23"/>
  <c r="E3639" i="23"/>
  <c r="E3640" i="23"/>
  <c r="E3641" i="23"/>
  <c r="E3642" i="23"/>
  <c r="E3643" i="23"/>
  <c r="E3644" i="23"/>
  <c r="E3645" i="23"/>
  <c r="E3646" i="23"/>
  <c r="E3647" i="23"/>
  <c r="E3648" i="23"/>
  <c r="E3649" i="23"/>
  <c r="E3650" i="23"/>
  <c r="E3651" i="23"/>
  <c r="E3652" i="23"/>
  <c r="E3653" i="23"/>
  <c r="E3654" i="23"/>
  <c r="E3655" i="23"/>
  <c r="E3656" i="23"/>
  <c r="E3657" i="23"/>
  <c r="E3658" i="23"/>
  <c r="E3659" i="23"/>
  <c r="E3660" i="23"/>
  <c r="E3661" i="23"/>
  <c r="E3662" i="23"/>
  <c r="E3663" i="23"/>
  <c r="E3664" i="23"/>
  <c r="E3665" i="23"/>
  <c r="E3666" i="23"/>
  <c r="E3667" i="23"/>
  <c r="E3668" i="23"/>
  <c r="E3669" i="23"/>
  <c r="E3670" i="23"/>
  <c r="E3671" i="23"/>
  <c r="E3672" i="23"/>
  <c r="E3673" i="23"/>
  <c r="E3674" i="23"/>
  <c r="E3675" i="23"/>
  <c r="E3676" i="23"/>
  <c r="E3677" i="23"/>
  <c r="E3678" i="23"/>
  <c r="E3679" i="23"/>
  <c r="E3680" i="23"/>
  <c r="E3681" i="23"/>
  <c r="E3682" i="23"/>
  <c r="E3683" i="23"/>
  <c r="E3684" i="23"/>
  <c r="E3685" i="23"/>
  <c r="E3686" i="23"/>
  <c r="E3687" i="23"/>
  <c r="E3688" i="23"/>
  <c r="E3689" i="23"/>
  <c r="E3690" i="23"/>
  <c r="E3691" i="23"/>
  <c r="E3692" i="23"/>
  <c r="E3693" i="23"/>
  <c r="E3694" i="23"/>
  <c r="E3695" i="23"/>
  <c r="E3696" i="23"/>
  <c r="E3697" i="23"/>
  <c r="E3698" i="23"/>
  <c r="E3699" i="23"/>
  <c r="E3700" i="23"/>
  <c r="E3701" i="23"/>
  <c r="E3702" i="23"/>
  <c r="E3703" i="23"/>
  <c r="E3704" i="23"/>
  <c r="E3705" i="23"/>
  <c r="E3706" i="23"/>
  <c r="E3707" i="23"/>
  <c r="E3708" i="23"/>
  <c r="E3709" i="23"/>
  <c r="E3710" i="23"/>
  <c r="E3711" i="23"/>
  <c r="E3712" i="23"/>
  <c r="E3713" i="23"/>
  <c r="E3714" i="23"/>
  <c r="E3715" i="23"/>
  <c r="E3716" i="23"/>
  <c r="E3717" i="23"/>
  <c r="E3718" i="23"/>
  <c r="E3719" i="23"/>
  <c r="E3720" i="23"/>
  <c r="E3721" i="23"/>
  <c r="E3722" i="23"/>
  <c r="E3723" i="23"/>
  <c r="E3724" i="23"/>
  <c r="E3725" i="23"/>
  <c r="E3726" i="23"/>
  <c r="E3727" i="23"/>
  <c r="E3728" i="23"/>
  <c r="E3729" i="23"/>
  <c r="E3730" i="23"/>
  <c r="E3731" i="23"/>
  <c r="E3732" i="23"/>
  <c r="E3733" i="23"/>
  <c r="E3734" i="23"/>
  <c r="E3735" i="23"/>
  <c r="E3736" i="23"/>
  <c r="E3737" i="23"/>
  <c r="E3738" i="23"/>
  <c r="E3739" i="23"/>
  <c r="E3740" i="23"/>
  <c r="E3741" i="23"/>
  <c r="E3742" i="23"/>
  <c r="E3743" i="23"/>
  <c r="E3744" i="23"/>
  <c r="E3745" i="23"/>
  <c r="E3746" i="23"/>
  <c r="E3747" i="23"/>
  <c r="E3748" i="23"/>
  <c r="E3749" i="23"/>
  <c r="E3750" i="23"/>
  <c r="E3751" i="23"/>
  <c r="E3752" i="23"/>
  <c r="E3753" i="23"/>
  <c r="E3754" i="23"/>
  <c r="E3755" i="23"/>
  <c r="E3756" i="23"/>
  <c r="E3757" i="23"/>
  <c r="E3758" i="23"/>
  <c r="E3759" i="23"/>
  <c r="E3760" i="23"/>
  <c r="E3761" i="23"/>
  <c r="E3762" i="23"/>
  <c r="E3763" i="23"/>
  <c r="E3764" i="23"/>
  <c r="E3765" i="23"/>
  <c r="E3766" i="23"/>
  <c r="E3767" i="23"/>
  <c r="E3768" i="23"/>
  <c r="E3769" i="23"/>
  <c r="E3770" i="23"/>
  <c r="E3771" i="23"/>
  <c r="E3772" i="23"/>
  <c r="E3773" i="23"/>
  <c r="E3774" i="23"/>
  <c r="E3775" i="23"/>
  <c r="E3776" i="23"/>
  <c r="E3777" i="23"/>
  <c r="E3778" i="23"/>
  <c r="E3779" i="23"/>
  <c r="E3780" i="23"/>
  <c r="E3781" i="23"/>
  <c r="E3782" i="23"/>
  <c r="E3783" i="23"/>
  <c r="E3784" i="23"/>
  <c r="E3785" i="23"/>
  <c r="E3786" i="23"/>
  <c r="E3787" i="23"/>
  <c r="E3788" i="23"/>
  <c r="E3789" i="23"/>
  <c r="E3790" i="23"/>
  <c r="E3791" i="23"/>
  <c r="E3792" i="23"/>
  <c r="E3793" i="23"/>
  <c r="E3794" i="23"/>
  <c r="E3795" i="23"/>
  <c r="E3796" i="23"/>
  <c r="E3797" i="23"/>
  <c r="E3798" i="23"/>
  <c r="E3799" i="23"/>
  <c r="E3800" i="23"/>
  <c r="E3801" i="23"/>
  <c r="E3802" i="23"/>
  <c r="E3803" i="23"/>
  <c r="E3804" i="23"/>
  <c r="E3805" i="23"/>
  <c r="E3806" i="23"/>
  <c r="E3807" i="23"/>
  <c r="E3808" i="23"/>
  <c r="E3809" i="23"/>
  <c r="E3810" i="23"/>
  <c r="E3811" i="23"/>
  <c r="E3812" i="23"/>
  <c r="E3813" i="23"/>
  <c r="E3814" i="23"/>
  <c r="E3815" i="23"/>
  <c r="E3816" i="23"/>
  <c r="E3817" i="23"/>
  <c r="E3818" i="23"/>
  <c r="E3819" i="23"/>
  <c r="E3820" i="23"/>
  <c r="E3821" i="23"/>
  <c r="E3822" i="23"/>
  <c r="E3823" i="23"/>
  <c r="E3824" i="23"/>
  <c r="E3825" i="23"/>
  <c r="E3826" i="23"/>
  <c r="E3827" i="23"/>
  <c r="E3828" i="23"/>
  <c r="E3829" i="23"/>
  <c r="E3830" i="23"/>
  <c r="E3831" i="23"/>
  <c r="E3832" i="23"/>
  <c r="E3833" i="23"/>
  <c r="D412" i="24" s="1"/>
  <c r="E3834" i="23"/>
  <c r="E3835" i="23"/>
  <c r="E3836" i="23"/>
  <c r="E3837" i="23"/>
  <c r="E3838" i="23"/>
  <c r="E3839" i="23"/>
  <c r="E3840" i="23"/>
  <c r="E3841" i="23"/>
  <c r="E3842" i="23"/>
  <c r="E3843" i="23"/>
  <c r="E3844" i="23"/>
  <c r="E3845" i="23"/>
  <c r="E3846" i="23"/>
  <c r="D414" i="24" s="1"/>
  <c r="E3847" i="23"/>
  <c r="E3848" i="23"/>
  <c r="E3849" i="23"/>
  <c r="E3850" i="23"/>
  <c r="E3851" i="23"/>
  <c r="E3852" i="23"/>
  <c r="E3853" i="23"/>
  <c r="E3854" i="23"/>
  <c r="E3855" i="23"/>
  <c r="E3856" i="23"/>
  <c r="E3857" i="23"/>
  <c r="E3858" i="23"/>
  <c r="E3859" i="23"/>
  <c r="E3860" i="23"/>
  <c r="E3861" i="23"/>
  <c r="E3862" i="23"/>
  <c r="E3863" i="23"/>
  <c r="E3864" i="23"/>
  <c r="E3865" i="23"/>
  <c r="E3866" i="23"/>
  <c r="E3867" i="23"/>
  <c r="E3868" i="23"/>
  <c r="E3869" i="23"/>
  <c r="E3870" i="23"/>
  <c r="E3871" i="23"/>
  <c r="E3872" i="23"/>
  <c r="E3873" i="23"/>
  <c r="E3874" i="23"/>
  <c r="E3875" i="23"/>
  <c r="E3876" i="23"/>
  <c r="E3877" i="23"/>
  <c r="E3878" i="23"/>
  <c r="E3879" i="23"/>
  <c r="E3880" i="23"/>
  <c r="E3881" i="23"/>
  <c r="E3882" i="23"/>
  <c r="E3883" i="23"/>
  <c r="E3884" i="23"/>
  <c r="E3885" i="23"/>
  <c r="E3886" i="23"/>
  <c r="E3887" i="23"/>
  <c r="E3888" i="23"/>
  <c r="E3889" i="23"/>
  <c r="E3890" i="23"/>
  <c r="E3891" i="23"/>
  <c r="E3892" i="23"/>
  <c r="E3893" i="23"/>
  <c r="E3894" i="23"/>
  <c r="E3895" i="23"/>
  <c r="E3896" i="23"/>
  <c r="E3897" i="23"/>
  <c r="E3898" i="23"/>
  <c r="E3899" i="23"/>
  <c r="E3900" i="23"/>
  <c r="E3901" i="23"/>
  <c r="E3902" i="23"/>
  <c r="E3903" i="23"/>
  <c r="E3904" i="23"/>
  <c r="E3905" i="23"/>
  <c r="E3906" i="23"/>
  <c r="E3907" i="23"/>
  <c r="E3908" i="23"/>
  <c r="E3909" i="23"/>
  <c r="E3910" i="23"/>
  <c r="E3911" i="23"/>
  <c r="E3912" i="23"/>
  <c r="E3913" i="23"/>
  <c r="E3914" i="23"/>
  <c r="E3915" i="23"/>
  <c r="E3916" i="23"/>
  <c r="E3917" i="23"/>
  <c r="E3918" i="23"/>
  <c r="E3919" i="23"/>
  <c r="E3920" i="23"/>
  <c r="E3921" i="23"/>
  <c r="E3922" i="23"/>
  <c r="E3923" i="23"/>
  <c r="E3924" i="23"/>
  <c r="E3925" i="23"/>
  <c r="E3926" i="23"/>
  <c r="E3927" i="23"/>
  <c r="E3928" i="23"/>
  <c r="E3929" i="23"/>
  <c r="E3930" i="23"/>
  <c r="E3931" i="23"/>
  <c r="E3932" i="23"/>
  <c r="E3933" i="23"/>
  <c r="E3934" i="23"/>
  <c r="E3935" i="23"/>
  <c r="E3936" i="23"/>
  <c r="E3937" i="23"/>
  <c r="E3938" i="23"/>
  <c r="E3939" i="23"/>
  <c r="E3940" i="23"/>
  <c r="E3941" i="23"/>
  <c r="E3942" i="23"/>
  <c r="E3943" i="23"/>
  <c r="D422" i="24" s="1"/>
  <c r="E3944" i="23"/>
  <c r="E3945" i="23"/>
  <c r="E3946" i="23"/>
  <c r="E3947" i="23"/>
  <c r="E3948" i="23"/>
  <c r="E3949" i="23"/>
  <c r="E3950" i="23"/>
  <c r="E3951" i="23"/>
  <c r="E3952" i="23"/>
  <c r="E3953" i="23"/>
  <c r="E3954" i="23"/>
  <c r="E3955" i="23"/>
  <c r="E3956" i="23"/>
  <c r="E3957" i="23"/>
  <c r="E3958" i="23"/>
  <c r="E3959" i="23"/>
  <c r="E3960" i="23"/>
  <c r="E3961" i="23"/>
  <c r="E3962" i="23"/>
  <c r="E3963" i="23"/>
  <c r="E3964" i="23"/>
  <c r="E3965" i="23"/>
  <c r="E3966" i="23"/>
  <c r="E3967" i="23"/>
  <c r="E3968" i="23"/>
  <c r="E3969" i="23"/>
  <c r="E3970" i="23"/>
  <c r="E3971" i="23"/>
  <c r="E3972" i="23"/>
  <c r="E3973" i="23"/>
  <c r="E3974" i="23"/>
  <c r="E3975" i="23"/>
  <c r="E3976" i="23"/>
  <c r="E3977" i="23"/>
  <c r="E3978" i="23"/>
  <c r="E3979" i="23"/>
  <c r="E3980" i="23"/>
  <c r="E3981" i="23"/>
  <c r="E3982" i="23"/>
  <c r="E3983" i="23"/>
  <c r="E3984" i="23"/>
  <c r="E3985" i="23"/>
  <c r="E3986" i="23"/>
  <c r="E3987" i="23"/>
  <c r="E3988" i="23"/>
  <c r="E3989" i="23"/>
  <c r="E3990" i="23"/>
  <c r="E3991" i="23"/>
  <c r="E3992" i="23"/>
  <c r="E3993" i="23"/>
  <c r="E3994" i="23"/>
  <c r="E3995" i="23"/>
  <c r="E3996" i="23"/>
  <c r="E3997" i="23"/>
  <c r="E3998" i="23"/>
  <c r="E3999" i="23"/>
  <c r="E4000" i="23"/>
  <c r="E4001" i="23"/>
  <c r="E4002" i="23"/>
  <c r="E4003" i="23"/>
  <c r="E4004" i="23"/>
  <c r="E4005" i="23"/>
  <c r="E4006" i="23"/>
  <c r="E4007" i="23"/>
  <c r="E4008" i="23"/>
  <c r="E4009" i="23"/>
  <c r="E4010" i="23"/>
  <c r="E4011" i="23"/>
  <c r="E4012" i="23"/>
  <c r="E4013" i="23"/>
  <c r="E4014" i="23"/>
  <c r="E4015" i="23"/>
  <c r="E4016" i="23"/>
  <c r="E4017" i="23"/>
  <c r="E4018" i="23"/>
  <c r="E4019" i="23"/>
  <c r="E4020" i="23"/>
  <c r="E4021" i="23"/>
  <c r="E4022" i="23"/>
  <c r="E4023" i="23"/>
  <c r="E4024" i="23"/>
  <c r="E4025" i="23"/>
  <c r="E4026" i="23"/>
  <c r="E4027" i="23"/>
  <c r="E4028" i="23"/>
  <c r="E4029" i="23"/>
  <c r="E4030" i="23"/>
  <c r="E4031" i="23"/>
  <c r="E4032" i="23"/>
  <c r="E4033" i="23"/>
  <c r="E4034" i="23"/>
  <c r="E4035" i="23"/>
  <c r="E4036" i="23"/>
  <c r="E4037" i="23"/>
  <c r="E4038" i="23"/>
  <c r="E4039" i="23"/>
  <c r="E4040" i="23"/>
  <c r="E4041" i="23"/>
  <c r="E4042" i="23"/>
  <c r="E4043" i="23"/>
  <c r="E4044" i="23"/>
  <c r="E4045" i="23"/>
  <c r="E4046" i="23"/>
  <c r="E4047" i="23"/>
  <c r="E4048" i="23"/>
  <c r="E4049" i="23"/>
  <c r="E4050" i="23"/>
  <c r="E4051" i="23"/>
  <c r="E4052" i="23"/>
  <c r="E4053" i="23"/>
  <c r="E4054" i="23"/>
  <c r="D428" i="24" s="1"/>
  <c r="E4055" i="23"/>
  <c r="E4056" i="23"/>
  <c r="E4057" i="23"/>
  <c r="E4058" i="23"/>
  <c r="E4059" i="23"/>
  <c r="E4060" i="23"/>
  <c r="E4061" i="23"/>
  <c r="E4062" i="23"/>
  <c r="E4063" i="23"/>
  <c r="E4064" i="23"/>
  <c r="E4065" i="23"/>
  <c r="E4066" i="23"/>
  <c r="E4067" i="23"/>
  <c r="E4068" i="23"/>
  <c r="E4069" i="23"/>
  <c r="E4070" i="23"/>
  <c r="E4071" i="23"/>
  <c r="E4072" i="23"/>
  <c r="E4073" i="23"/>
  <c r="E4074" i="23"/>
  <c r="E4075" i="23"/>
  <c r="E4076" i="23"/>
  <c r="E4077" i="23"/>
  <c r="E4078" i="23"/>
  <c r="E4079" i="23"/>
  <c r="E4080" i="23"/>
  <c r="E4081" i="23"/>
  <c r="E4082" i="23"/>
  <c r="E4083" i="23"/>
  <c r="E4084" i="23"/>
  <c r="E4085" i="23"/>
  <c r="E4086" i="23"/>
  <c r="E4087" i="23"/>
  <c r="E4088" i="23"/>
  <c r="E4089" i="23"/>
  <c r="E4090" i="23"/>
  <c r="E4091" i="23"/>
  <c r="E4092" i="23"/>
  <c r="E4093" i="23"/>
  <c r="E4094" i="23"/>
  <c r="E4095" i="23"/>
  <c r="E4096" i="23"/>
  <c r="E4097" i="23"/>
  <c r="E4098" i="23"/>
  <c r="E4099" i="23"/>
  <c r="E4100" i="23"/>
  <c r="E4101" i="23"/>
  <c r="E4102" i="23"/>
  <c r="E4103" i="23"/>
  <c r="E4104" i="23"/>
  <c r="E4105" i="23"/>
  <c r="E4106" i="23"/>
  <c r="E4107" i="23"/>
  <c r="E4108" i="23"/>
  <c r="E4109" i="23"/>
  <c r="E4110" i="23"/>
  <c r="E4111" i="23"/>
  <c r="E4112" i="23"/>
  <c r="E4113" i="23"/>
  <c r="E4114" i="23"/>
  <c r="E4115" i="23"/>
  <c r="E4116" i="23"/>
  <c r="E4117" i="23"/>
  <c r="E4118" i="23"/>
  <c r="E4119" i="23"/>
  <c r="E4120" i="23"/>
  <c r="E4121" i="23"/>
  <c r="E4122" i="23"/>
  <c r="E4123" i="23"/>
  <c r="E4124" i="23"/>
  <c r="E4125" i="23"/>
  <c r="E4126" i="23"/>
  <c r="E4127" i="23"/>
  <c r="E4128" i="23"/>
  <c r="E4129" i="23"/>
  <c r="E4130" i="23"/>
  <c r="E4131" i="23"/>
  <c r="E4132" i="23"/>
  <c r="E4133" i="23"/>
  <c r="E4134" i="23"/>
  <c r="E4135" i="23"/>
  <c r="E4136" i="23"/>
  <c r="E4137" i="23"/>
  <c r="E4138" i="23"/>
  <c r="E4139" i="23"/>
  <c r="E4140" i="23"/>
  <c r="E4141" i="23"/>
  <c r="E4142" i="23"/>
  <c r="E4143" i="23"/>
  <c r="E4144" i="23"/>
  <c r="E4145" i="23"/>
  <c r="E4146" i="23"/>
  <c r="E4147" i="23"/>
  <c r="E4148" i="23"/>
  <c r="E4149" i="23"/>
  <c r="E4150" i="23"/>
  <c r="E4151" i="23"/>
  <c r="E4152" i="23"/>
  <c r="E4153" i="23"/>
  <c r="E4154" i="23"/>
  <c r="E4155" i="23"/>
  <c r="E4156" i="23"/>
  <c r="E4157" i="23"/>
  <c r="E4158" i="23"/>
  <c r="E4159" i="23"/>
  <c r="E4160" i="23"/>
  <c r="E4161" i="23"/>
  <c r="E4162" i="23"/>
  <c r="E4163" i="23"/>
  <c r="E4164" i="23"/>
  <c r="E4165" i="23"/>
  <c r="E4166" i="23"/>
  <c r="E4167" i="23"/>
  <c r="E4168" i="23"/>
  <c r="E4169" i="23"/>
  <c r="E4170" i="23"/>
  <c r="E4171" i="23"/>
  <c r="E4172" i="23"/>
  <c r="E4173" i="23"/>
  <c r="E4174" i="23"/>
  <c r="E4175" i="23"/>
  <c r="E4176" i="23"/>
  <c r="E4177" i="23"/>
  <c r="E4178" i="23"/>
  <c r="E4179" i="23"/>
  <c r="E4180" i="23"/>
  <c r="E4181" i="23"/>
  <c r="E4182" i="23"/>
  <c r="E4183" i="23"/>
  <c r="E4184" i="23"/>
  <c r="E4185" i="23"/>
  <c r="E4186" i="23"/>
  <c r="E4187" i="23"/>
  <c r="E4188" i="23"/>
  <c r="E4189" i="23"/>
  <c r="E4190" i="23"/>
  <c r="E4191" i="23"/>
  <c r="E4192" i="23"/>
  <c r="E4193" i="23"/>
  <c r="E4194" i="23"/>
  <c r="E4195" i="23"/>
  <c r="E4196" i="23"/>
  <c r="E4197" i="23"/>
  <c r="E4198" i="23"/>
  <c r="E4199" i="23"/>
  <c r="E4200" i="23"/>
  <c r="E4201" i="23"/>
  <c r="E4202" i="23"/>
  <c r="E4203" i="23"/>
  <c r="E4204" i="23"/>
  <c r="E4205" i="23"/>
  <c r="E4206" i="23"/>
  <c r="E4207" i="23"/>
  <c r="E4208" i="23"/>
  <c r="E4209" i="23"/>
  <c r="E4210" i="23"/>
  <c r="E4211" i="23"/>
  <c r="E4212" i="23"/>
  <c r="E4213" i="23"/>
  <c r="E4214" i="23"/>
  <c r="E4215" i="23"/>
  <c r="E4216" i="23"/>
  <c r="E4217" i="23"/>
  <c r="E4218" i="23"/>
  <c r="E4219" i="23"/>
  <c r="E4220" i="23"/>
  <c r="E4221" i="23"/>
  <c r="E4222" i="23"/>
  <c r="E4223" i="23"/>
  <c r="E4224" i="23"/>
  <c r="E4225" i="23"/>
  <c r="E4226" i="23"/>
  <c r="E4227" i="23"/>
  <c r="E4228" i="23"/>
  <c r="E4229" i="23"/>
  <c r="E4230" i="23"/>
  <c r="E4231" i="23"/>
  <c r="E4232" i="23"/>
  <c r="E4233" i="23"/>
  <c r="E4234" i="23"/>
  <c r="E4235" i="23"/>
  <c r="E4236" i="23"/>
  <c r="E4237" i="23"/>
  <c r="E4238" i="23"/>
  <c r="E4239" i="23"/>
  <c r="E4240" i="23"/>
  <c r="E4241" i="23"/>
  <c r="E4242" i="23"/>
  <c r="E4243" i="23"/>
  <c r="E4244" i="23"/>
  <c r="E4245" i="23"/>
  <c r="E4246" i="23"/>
  <c r="E4247" i="23"/>
  <c r="E4248" i="23"/>
  <c r="E4249" i="23"/>
  <c r="E4250" i="23"/>
  <c r="E4251" i="23"/>
  <c r="E4252" i="23"/>
  <c r="E4253" i="23"/>
  <c r="E4254" i="23"/>
  <c r="E4255" i="23"/>
  <c r="E4256" i="23"/>
  <c r="E4257" i="23"/>
  <c r="E4258" i="23"/>
  <c r="E4259" i="23"/>
  <c r="E4260" i="23"/>
  <c r="E4261" i="23"/>
  <c r="E4262" i="23"/>
  <c r="E4263" i="23"/>
  <c r="E4264" i="23"/>
  <c r="E4265" i="23"/>
  <c r="E4266" i="23"/>
  <c r="E4267" i="23"/>
  <c r="E4268" i="23"/>
  <c r="E4269" i="23"/>
  <c r="E4270" i="23"/>
  <c r="E4271" i="23"/>
  <c r="E4272" i="23"/>
  <c r="E4273" i="23"/>
  <c r="E4274" i="23"/>
  <c r="E4275" i="23"/>
  <c r="E4276" i="23"/>
  <c r="E4277" i="23"/>
  <c r="E4278" i="23"/>
  <c r="E4279" i="23"/>
  <c r="E4280" i="23"/>
  <c r="E4281" i="23"/>
  <c r="E4282" i="23"/>
  <c r="E4283" i="23"/>
  <c r="E4284" i="23"/>
  <c r="E4285" i="23"/>
  <c r="E4286" i="23"/>
  <c r="E4287" i="23"/>
  <c r="E4288" i="23"/>
  <c r="E4289" i="23"/>
  <c r="E4290" i="23"/>
  <c r="E4291" i="23"/>
  <c r="E4292" i="23"/>
  <c r="E4293" i="23"/>
  <c r="E4294" i="23"/>
  <c r="E4295" i="23"/>
  <c r="E4296" i="23"/>
  <c r="E4297" i="23"/>
  <c r="E4298" i="23"/>
  <c r="E4299" i="23"/>
  <c r="E4300" i="23"/>
  <c r="E4301" i="23"/>
  <c r="E4302" i="23"/>
  <c r="E4303" i="23"/>
  <c r="E4304" i="23"/>
  <c r="E4305" i="23"/>
  <c r="E4306" i="23"/>
  <c r="E4307" i="23"/>
  <c r="E4308" i="23"/>
  <c r="E4309" i="23"/>
  <c r="E4310" i="23"/>
  <c r="E4311" i="23"/>
  <c r="E4312" i="23"/>
  <c r="E4313" i="23"/>
  <c r="E4314" i="23"/>
  <c r="E4315" i="23"/>
  <c r="E4316" i="23"/>
  <c r="E4317" i="23"/>
  <c r="E4318" i="23"/>
  <c r="E4319" i="23"/>
  <c r="E4320" i="23"/>
  <c r="E4321" i="23"/>
  <c r="E4322" i="23"/>
  <c r="E4323" i="23"/>
  <c r="E4324" i="23"/>
  <c r="E4325" i="23"/>
  <c r="E4326" i="23"/>
  <c r="D445" i="24" s="1"/>
  <c r="E4327" i="23"/>
  <c r="E4328" i="23"/>
  <c r="E4329" i="23"/>
  <c r="E4330" i="23"/>
  <c r="E4331" i="23"/>
  <c r="E4332" i="23"/>
  <c r="E4333" i="23"/>
  <c r="E4334" i="23"/>
  <c r="E4335" i="23"/>
  <c r="E4336" i="23"/>
  <c r="E4337" i="23"/>
  <c r="E4338" i="23"/>
  <c r="E4339" i="23"/>
  <c r="E4340" i="23"/>
  <c r="E4341" i="23"/>
  <c r="E4342" i="23"/>
  <c r="E4343" i="23"/>
  <c r="E4344" i="23"/>
  <c r="E4345" i="23"/>
  <c r="E4346" i="23"/>
  <c r="E4347" i="23"/>
  <c r="E4348" i="23"/>
  <c r="E4349" i="23"/>
  <c r="E4350" i="23"/>
  <c r="E4351" i="23"/>
  <c r="E4352" i="23"/>
  <c r="E4353" i="23"/>
  <c r="E4354" i="23"/>
  <c r="E4355" i="23"/>
  <c r="E4356" i="23"/>
  <c r="E4357" i="23"/>
  <c r="E4358" i="23"/>
  <c r="E4359" i="23"/>
  <c r="E4360" i="23"/>
  <c r="E4361" i="23"/>
  <c r="E4362" i="23"/>
  <c r="E4363" i="23"/>
  <c r="E4364" i="23"/>
  <c r="E4365" i="23"/>
  <c r="E4366" i="23"/>
  <c r="E4367" i="23"/>
  <c r="E4368" i="23"/>
  <c r="E4369" i="23"/>
  <c r="E4370" i="23"/>
  <c r="E4371" i="23"/>
  <c r="E4372" i="23"/>
  <c r="E4373" i="23"/>
  <c r="E4374" i="23"/>
  <c r="E4375" i="23"/>
  <c r="E4376" i="23"/>
  <c r="E4377" i="23"/>
  <c r="E4378" i="23"/>
  <c r="E4379" i="23"/>
  <c r="E4380" i="23"/>
  <c r="E4381" i="23"/>
  <c r="E4382" i="23"/>
  <c r="E4383" i="23"/>
  <c r="E4384" i="23"/>
  <c r="E4385" i="23"/>
  <c r="E4386" i="23"/>
  <c r="E4387" i="23"/>
  <c r="E4388" i="23"/>
  <c r="E4389" i="23"/>
  <c r="E4390" i="23"/>
  <c r="E4391" i="23"/>
  <c r="E4392" i="23"/>
  <c r="E4393" i="23"/>
  <c r="E4394" i="23"/>
  <c r="E4395" i="23"/>
  <c r="E4396" i="23"/>
  <c r="E4397" i="23"/>
  <c r="E4398" i="23"/>
  <c r="E4399" i="23"/>
  <c r="E4400" i="23"/>
  <c r="E4401" i="23"/>
  <c r="E4402" i="23"/>
  <c r="E4403" i="23"/>
  <c r="E4404" i="23"/>
  <c r="E4405" i="23"/>
  <c r="E4406" i="23"/>
  <c r="E4407" i="23"/>
  <c r="E4408" i="23"/>
  <c r="E4409" i="23"/>
  <c r="E4410" i="23"/>
  <c r="E4411" i="23"/>
  <c r="E4412" i="23"/>
  <c r="E4413" i="23"/>
  <c r="E4414" i="23"/>
  <c r="E4415" i="23"/>
  <c r="E4416" i="23"/>
  <c r="E4417" i="23"/>
  <c r="E4418" i="23"/>
  <c r="E4419" i="23"/>
  <c r="E4420" i="23"/>
  <c r="E4421" i="23"/>
  <c r="E4422" i="23"/>
  <c r="E4423" i="23"/>
  <c r="E4424" i="23"/>
  <c r="E4425" i="23"/>
  <c r="E4426" i="23"/>
  <c r="E4427" i="23"/>
  <c r="E4428" i="23"/>
  <c r="E4429" i="23"/>
  <c r="E4430" i="23"/>
  <c r="E4431" i="23"/>
  <c r="E4432" i="23"/>
  <c r="E4433" i="23"/>
  <c r="E4434" i="23"/>
  <c r="E4435" i="23"/>
  <c r="E4436" i="23"/>
  <c r="E4437" i="23"/>
  <c r="E4438" i="23"/>
  <c r="E4439" i="23"/>
  <c r="E4440" i="23"/>
  <c r="E4441" i="23"/>
  <c r="E4442" i="23"/>
  <c r="E4443" i="23"/>
  <c r="E4444" i="23"/>
  <c r="E4445" i="23"/>
  <c r="E4446" i="23"/>
  <c r="E4447" i="23"/>
  <c r="E4448" i="23"/>
  <c r="E4449" i="23"/>
  <c r="E4450" i="23"/>
  <c r="E4451" i="23"/>
  <c r="E4452" i="23"/>
  <c r="E4453" i="23"/>
  <c r="E4454" i="23"/>
  <c r="E4455" i="23"/>
  <c r="E4456" i="23"/>
  <c r="E4457" i="23"/>
  <c r="E4458" i="23"/>
  <c r="E4459" i="23"/>
  <c r="E4460" i="23"/>
  <c r="E4461" i="23"/>
  <c r="E4462" i="23"/>
  <c r="E4463" i="23"/>
  <c r="E4464" i="23"/>
  <c r="E4465" i="23"/>
  <c r="E4466" i="23"/>
  <c r="E4467" i="23"/>
  <c r="E4468" i="23"/>
  <c r="E4469" i="23"/>
  <c r="E4470" i="23"/>
  <c r="E4471" i="23"/>
  <c r="E4472" i="23"/>
  <c r="E4473" i="23"/>
  <c r="E4474" i="23"/>
  <c r="E4475" i="23"/>
  <c r="E4476" i="23"/>
  <c r="E4477" i="23"/>
  <c r="E4478" i="23"/>
  <c r="E4479" i="23"/>
  <c r="E4480" i="23"/>
  <c r="E4481" i="23"/>
  <c r="E4482" i="23"/>
  <c r="E4483" i="23"/>
  <c r="E4484" i="23"/>
  <c r="E4485" i="23"/>
  <c r="E4486" i="23"/>
  <c r="E4487" i="23"/>
  <c r="E4488" i="23"/>
  <c r="E4489" i="23"/>
  <c r="E4490" i="23"/>
  <c r="E4491" i="23"/>
  <c r="E4492" i="23"/>
  <c r="E4493" i="23"/>
  <c r="E4494" i="23"/>
  <c r="E4495" i="23"/>
  <c r="E4496" i="23"/>
  <c r="E4497" i="23"/>
  <c r="E4498" i="23"/>
  <c r="E4499" i="23"/>
  <c r="E4500" i="23"/>
  <c r="E4501" i="23"/>
  <c r="E4502" i="23"/>
  <c r="E4503" i="23"/>
  <c r="E4504" i="23"/>
  <c r="E4505" i="23"/>
  <c r="E4506" i="23"/>
  <c r="E4507" i="23"/>
  <c r="E4508" i="23"/>
  <c r="E4509" i="23"/>
  <c r="E4510" i="23"/>
  <c r="E4511" i="23"/>
  <c r="E4512" i="23"/>
  <c r="E4513" i="23"/>
  <c r="E4514" i="23"/>
  <c r="E4515" i="23"/>
  <c r="E4516" i="23"/>
  <c r="E4517" i="23"/>
  <c r="E4518" i="23"/>
  <c r="E4519" i="23"/>
  <c r="E4520" i="23"/>
  <c r="E4521" i="23"/>
  <c r="E4522" i="23"/>
  <c r="E4523" i="23"/>
  <c r="E4524" i="23"/>
  <c r="E4525" i="23"/>
  <c r="E4526" i="23"/>
  <c r="E4527" i="23"/>
  <c r="E4528" i="23"/>
  <c r="E4529" i="23"/>
  <c r="E4530" i="23"/>
  <c r="E4531" i="23"/>
  <c r="E4532" i="23"/>
  <c r="E4533" i="23"/>
  <c r="E4534" i="23"/>
  <c r="E4535" i="23"/>
  <c r="E4536" i="23"/>
  <c r="E4537" i="23"/>
  <c r="E4538" i="23"/>
  <c r="E4539" i="23"/>
  <c r="E4540" i="23"/>
  <c r="E4541" i="23"/>
  <c r="E4542" i="23"/>
  <c r="E4543" i="23"/>
  <c r="E4544" i="23"/>
  <c r="E4545" i="23"/>
  <c r="E4546" i="23"/>
  <c r="E4547" i="23"/>
  <c r="E4548" i="23"/>
  <c r="E4549" i="23"/>
  <c r="E4550" i="23"/>
  <c r="E4551" i="23"/>
  <c r="E4552" i="23"/>
  <c r="E4553" i="23"/>
  <c r="E4554" i="23"/>
  <c r="E4555" i="23"/>
  <c r="E4556" i="23"/>
  <c r="E4557" i="23"/>
  <c r="E4558" i="23"/>
  <c r="E4559" i="23"/>
  <c r="E4560" i="23"/>
  <c r="E4561" i="23"/>
  <c r="E4562" i="23"/>
  <c r="E4563" i="23"/>
  <c r="E4564" i="23"/>
  <c r="E4565" i="23"/>
  <c r="E4566" i="23"/>
  <c r="E4567" i="23"/>
  <c r="E4568" i="23"/>
  <c r="E4569" i="23"/>
  <c r="E4570" i="23"/>
  <c r="E4571" i="23"/>
  <c r="E4572" i="23"/>
  <c r="E4573" i="23"/>
  <c r="E4574" i="23"/>
  <c r="E4575" i="23"/>
  <c r="E4576" i="23"/>
  <c r="E4577" i="23"/>
  <c r="E4578" i="23"/>
  <c r="E4579" i="23"/>
  <c r="E4580" i="23"/>
  <c r="E4581" i="23"/>
  <c r="E4582" i="23"/>
  <c r="E4583" i="23"/>
  <c r="E4584" i="23"/>
  <c r="E4585" i="23"/>
  <c r="E4586" i="23"/>
  <c r="E4587" i="23"/>
  <c r="E4588" i="23"/>
  <c r="E4589" i="23"/>
  <c r="E4590" i="23"/>
  <c r="E4591" i="23"/>
  <c r="E4592" i="23"/>
  <c r="E4593" i="23"/>
  <c r="E4594" i="23"/>
  <c r="E4595" i="23"/>
  <c r="E4596" i="23"/>
  <c r="E4597" i="23"/>
  <c r="E4598" i="23"/>
  <c r="E4599" i="23"/>
  <c r="E4600" i="23"/>
  <c r="E4601" i="23"/>
  <c r="E4602" i="23"/>
  <c r="E4603" i="23"/>
  <c r="E4604" i="23"/>
  <c r="E4605" i="23"/>
  <c r="E4606" i="23"/>
  <c r="E4607" i="23"/>
  <c r="E4608" i="23"/>
  <c r="E4609" i="23"/>
  <c r="E4610" i="23"/>
  <c r="E4611" i="23"/>
  <c r="E4612" i="23"/>
  <c r="E4613" i="23"/>
  <c r="E4614" i="23"/>
  <c r="E4615" i="23"/>
  <c r="E4616" i="23"/>
  <c r="E4617" i="23"/>
  <c r="E4618" i="23"/>
  <c r="E4619" i="23"/>
  <c r="E4620" i="23"/>
  <c r="E4621" i="23"/>
  <c r="E4622" i="23"/>
  <c r="E4623" i="23"/>
  <c r="E4624" i="23"/>
  <c r="E4625" i="23"/>
  <c r="E4626" i="23"/>
  <c r="E4627" i="23"/>
  <c r="E4628" i="23"/>
  <c r="E4629" i="23"/>
  <c r="E4630" i="23"/>
  <c r="E4631" i="23"/>
  <c r="E4632" i="23"/>
  <c r="E4633" i="23"/>
  <c r="E4634" i="23"/>
  <c r="E4635" i="23"/>
  <c r="E4636" i="23"/>
  <c r="E4637" i="23"/>
  <c r="E4638" i="23"/>
  <c r="E4639" i="23"/>
  <c r="E4640" i="23"/>
  <c r="E4641" i="23"/>
  <c r="E4642" i="23"/>
  <c r="E4643" i="23"/>
  <c r="E4644" i="23"/>
  <c r="E4645" i="23"/>
  <c r="E4646" i="23"/>
  <c r="E4647" i="23"/>
  <c r="E4648" i="23"/>
  <c r="E4649" i="23"/>
  <c r="E4650" i="23"/>
  <c r="E4651" i="23"/>
  <c r="E4652" i="23"/>
  <c r="E4653" i="23"/>
  <c r="E4654" i="23"/>
  <c r="D466" i="24" s="1"/>
  <c r="E4655" i="23"/>
  <c r="E4656" i="23"/>
  <c r="E4657" i="23"/>
  <c r="E4658" i="23"/>
  <c r="E4659" i="23"/>
  <c r="E4660" i="23"/>
  <c r="D468" i="24" s="1"/>
  <c r="E4661" i="23"/>
  <c r="D469" i="24" s="1"/>
  <c r="E4662" i="23"/>
  <c r="D470" i="24" s="1"/>
  <c r="E4663" i="23"/>
  <c r="E4664" i="23"/>
  <c r="E4665" i="23"/>
  <c r="E4666" i="23"/>
  <c r="E4667" i="23"/>
  <c r="E4668" i="23"/>
  <c r="E4669" i="23"/>
  <c r="E4670" i="23"/>
  <c r="E4671" i="23"/>
  <c r="E4672" i="23"/>
  <c r="E4673" i="23"/>
  <c r="E4674" i="23"/>
  <c r="E4675" i="23"/>
  <c r="D472" i="24" s="1"/>
  <c r="E4676" i="23"/>
  <c r="D473" i="24" s="1"/>
  <c r="E4677" i="23"/>
  <c r="E4678" i="23"/>
  <c r="E4679" i="23"/>
  <c r="E4680" i="23"/>
  <c r="E4681" i="23"/>
  <c r="E4682" i="23"/>
  <c r="E4683" i="23"/>
  <c r="E4684" i="23"/>
  <c r="E4685" i="23"/>
  <c r="E4686" i="23"/>
  <c r="E4687" i="23"/>
  <c r="E4688" i="23"/>
  <c r="E4689" i="23"/>
  <c r="E4690" i="23"/>
  <c r="E4691" i="23"/>
  <c r="E4692" i="23"/>
  <c r="E4693" i="23"/>
  <c r="E4694" i="23"/>
  <c r="E4695" i="23"/>
  <c r="E4696" i="23"/>
  <c r="E4697" i="23"/>
  <c r="E4698" i="23"/>
  <c r="E4699" i="23"/>
  <c r="E4700" i="23"/>
  <c r="E4701" i="23"/>
  <c r="E4702" i="23"/>
  <c r="E4703" i="23"/>
  <c r="E4704" i="23"/>
  <c r="E4705" i="23"/>
  <c r="E4706" i="23"/>
  <c r="E4707" i="23"/>
  <c r="E4708" i="23"/>
  <c r="E4709" i="23"/>
  <c r="E4710" i="23"/>
  <c r="E4711" i="23"/>
  <c r="E4712" i="23"/>
  <c r="E4713" i="23"/>
  <c r="E4714" i="23"/>
  <c r="E4715" i="23"/>
  <c r="E4716" i="23"/>
  <c r="E4717" i="23"/>
  <c r="E4718" i="23"/>
  <c r="E4719" i="23"/>
  <c r="E4720" i="23"/>
  <c r="E4721" i="23"/>
  <c r="E4722" i="23"/>
  <c r="E4723" i="23"/>
  <c r="E4724" i="23"/>
  <c r="E4725" i="23"/>
  <c r="E4726" i="23"/>
  <c r="E4727" i="23"/>
  <c r="E4728" i="23"/>
  <c r="E4729" i="23"/>
  <c r="E4730" i="23"/>
  <c r="E4731" i="23"/>
  <c r="E4732" i="23"/>
  <c r="E4733" i="23"/>
  <c r="E4734" i="23"/>
  <c r="E4735" i="23"/>
  <c r="E4736" i="23"/>
  <c r="E4737" i="23"/>
  <c r="E4738" i="23"/>
  <c r="E4739" i="23"/>
  <c r="E4740" i="23"/>
  <c r="E4741" i="23"/>
  <c r="E4742" i="23"/>
  <c r="E4743" i="23"/>
  <c r="E4744" i="23"/>
  <c r="E4745" i="23"/>
  <c r="E4746" i="23"/>
  <c r="E4747" i="23"/>
  <c r="E4748" i="23"/>
  <c r="E4749" i="23"/>
  <c r="E4750" i="23"/>
  <c r="E4751" i="23"/>
  <c r="E4752" i="23"/>
  <c r="E4753" i="23"/>
  <c r="E4754" i="23"/>
  <c r="E4755" i="23"/>
  <c r="E4756" i="23"/>
  <c r="E4757" i="23"/>
  <c r="E4758" i="23"/>
  <c r="E4759" i="23"/>
  <c r="E4760" i="23"/>
  <c r="E4761" i="23"/>
  <c r="E4762" i="23"/>
  <c r="E4763" i="23"/>
  <c r="E4764" i="23"/>
  <c r="E4765" i="23"/>
  <c r="E4766" i="23"/>
  <c r="E4767" i="23"/>
  <c r="E4768" i="23"/>
  <c r="E4769" i="23"/>
  <c r="E4770" i="23"/>
  <c r="E4771" i="23"/>
  <c r="E4772" i="23"/>
  <c r="E4773" i="23"/>
  <c r="E4774" i="23"/>
  <c r="E4775" i="23"/>
  <c r="E4776" i="23"/>
  <c r="E4777" i="23"/>
  <c r="E4778" i="23"/>
  <c r="E4779" i="23"/>
  <c r="E4780" i="23"/>
  <c r="E4781" i="23"/>
  <c r="E4782" i="23"/>
  <c r="E4783" i="23"/>
  <c r="E4784" i="23"/>
  <c r="E4785" i="23"/>
  <c r="E4786" i="23"/>
  <c r="E4787" i="23"/>
  <c r="E4788" i="23"/>
  <c r="E4789" i="23"/>
  <c r="E4790" i="23"/>
  <c r="E4791" i="23"/>
  <c r="E4792" i="23"/>
  <c r="E4793" i="23"/>
  <c r="E4794" i="23"/>
  <c r="E4795" i="23"/>
  <c r="E4796" i="23"/>
  <c r="E4797" i="23"/>
  <c r="E4798" i="23"/>
  <c r="E4799" i="23"/>
  <c r="E4800" i="23"/>
  <c r="E4801" i="23"/>
  <c r="E4802" i="23"/>
  <c r="E4803" i="23"/>
  <c r="E4804" i="23"/>
  <c r="E4805" i="23"/>
  <c r="E4806" i="23"/>
  <c r="E4807" i="23"/>
  <c r="E4808" i="23"/>
  <c r="E4809" i="23"/>
  <c r="E4810" i="23"/>
  <c r="E4811" i="23"/>
  <c r="E4812" i="23"/>
  <c r="E4813" i="23"/>
  <c r="E4814" i="23"/>
  <c r="E4815" i="23"/>
  <c r="E4816" i="23"/>
  <c r="E4817" i="23"/>
  <c r="E4818" i="23"/>
  <c r="E4819" i="23"/>
  <c r="E4820" i="23"/>
  <c r="E4821" i="23"/>
  <c r="E4822" i="23"/>
  <c r="E4823" i="23"/>
  <c r="E4824" i="23"/>
  <c r="E4825" i="23"/>
  <c r="E4826" i="23"/>
  <c r="E4827" i="23"/>
  <c r="E4828" i="23"/>
  <c r="E4829" i="23"/>
  <c r="E4830" i="23"/>
  <c r="E4831" i="23"/>
  <c r="E4832" i="23"/>
  <c r="E4833" i="23"/>
  <c r="E4834" i="23"/>
  <c r="E4835" i="23"/>
  <c r="E4836" i="23"/>
  <c r="E4837" i="23"/>
  <c r="D483" i="24" s="1"/>
  <c r="E4838" i="23"/>
  <c r="E4839" i="23"/>
  <c r="E4840" i="23"/>
  <c r="E4841" i="23"/>
  <c r="E4842" i="23"/>
  <c r="E4843" i="23"/>
  <c r="E4844" i="23"/>
  <c r="E4845" i="23"/>
  <c r="E4846" i="23"/>
  <c r="E4847" i="23"/>
  <c r="E4848" i="23"/>
  <c r="E4849" i="23"/>
  <c r="E4850" i="23"/>
  <c r="E4851" i="23"/>
  <c r="E4852" i="23"/>
  <c r="E4853" i="23"/>
  <c r="E4854" i="23"/>
  <c r="E4855" i="23"/>
  <c r="E4856" i="23"/>
  <c r="E4857" i="23"/>
  <c r="E4858" i="23"/>
  <c r="E4859" i="23"/>
  <c r="E4860" i="23"/>
  <c r="E4861" i="23"/>
  <c r="E4862" i="23"/>
  <c r="E4863" i="23"/>
  <c r="E4864" i="23"/>
  <c r="E4865" i="23"/>
  <c r="E4866" i="23"/>
  <c r="E4867" i="23"/>
  <c r="E4868" i="23"/>
  <c r="E4869" i="23"/>
  <c r="E4870" i="23"/>
  <c r="E4871" i="23"/>
  <c r="E4872" i="23"/>
  <c r="E4873" i="23"/>
  <c r="E4874" i="23"/>
  <c r="E4875" i="23"/>
  <c r="E4876" i="23"/>
  <c r="E4877" i="23"/>
  <c r="E4878" i="23"/>
  <c r="E4879" i="23"/>
  <c r="E4880" i="23"/>
  <c r="E4881" i="23"/>
  <c r="E4882" i="23"/>
  <c r="E4883" i="23"/>
  <c r="E4884" i="23"/>
  <c r="E4885" i="23"/>
  <c r="E4886" i="23"/>
  <c r="E4887" i="23"/>
  <c r="E4888" i="23"/>
  <c r="E4889" i="23"/>
  <c r="E4890" i="23"/>
  <c r="E4891" i="23"/>
  <c r="E4892" i="23"/>
  <c r="E4893" i="23"/>
  <c r="E4894" i="23"/>
  <c r="E4895" i="23"/>
  <c r="E4896" i="23"/>
  <c r="E4897" i="23"/>
  <c r="E4898" i="23"/>
  <c r="E4899" i="23"/>
  <c r="E4900" i="23"/>
  <c r="E4901" i="23"/>
  <c r="E4902" i="23"/>
  <c r="E4903" i="23"/>
  <c r="E4904" i="23"/>
  <c r="E4905" i="23"/>
  <c r="E4906" i="23"/>
  <c r="E4907" i="23"/>
  <c r="E4908" i="23"/>
  <c r="E4909" i="23"/>
  <c r="E4910" i="23"/>
  <c r="E4911" i="23"/>
  <c r="E4912" i="23"/>
  <c r="E4913" i="23"/>
  <c r="E4914" i="23"/>
  <c r="E4915" i="23"/>
  <c r="E4916" i="23"/>
  <c r="E4917" i="23"/>
  <c r="E4918" i="23"/>
  <c r="E4919" i="23"/>
  <c r="D494" i="24" s="1"/>
  <c r="E4920" i="23"/>
  <c r="E4921" i="23"/>
  <c r="E4922" i="23"/>
  <c r="E4923" i="23"/>
  <c r="E4924" i="23"/>
  <c r="E4925" i="23"/>
  <c r="E4926" i="23"/>
  <c r="E4927" i="23"/>
  <c r="E4928" i="23"/>
  <c r="E4929" i="23"/>
  <c r="E4930" i="23"/>
  <c r="E4931" i="23"/>
  <c r="E4932" i="23"/>
  <c r="E4933" i="23"/>
  <c r="E4934" i="23"/>
  <c r="E4935" i="23"/>
  <c r="E4936" i="23"/>
  <c r="E4937" i="23"/>
  <c r="E4938" i="23"/>
  <c r="E4939" i="23"/>
  <c r="E4940" i="23"/>
  <c r="E4941" i="23"/>
  <c r="E4942" i="23"/>
  <c r="E4943" i="23"/>
  <c r="E4944" i="23"/>
  <c r="E4945" i="23"/>
  <c r="E4946" i="23"/>
  <c r="E4947" i="23"/>
  <c r="E4948" i="23"/>
  <c r="E4949" i="23"/>
  <c r="E4950" i="23"/>
  <c r="E4951" i="23"/>
  <c r="E4952" i="23"/>
  <c r="E4953" i="23"/>
  <c r="E4954" i="23"/>
  <c r="E4955" i="23"/>
  <c r="E4956" i="23"/>
  <c r="E4957" i="23"/>
  <c r="E4958" i="23"/>
  <c r="E4959" i="23"/>
  <c r="E4960" i="23"/>
  <c r="E4961" i="23"/>
  <c r="E4962" i="23"/>
  <c r="E4963" i="23"/>
  <c r="E4964" i="23"/>
  <c r="E4965" i="23"/>
  <c r="D501" i="24" s="1"/>
  <c r="E4966" i="23"/>
  <c r="E4967" i="23"/>
  <c r="E4968" i="23"/>
  <c r="E4969" i="23"/>
  <c r="E4970" i="23"/>
  <c r="E4971" i="23"/>
  <c r="E4972" i="23"/>
  <c r="E4973" i="23"/>
  <c r="E4974" i="23"/>
  <c r="E4975" i="23"/>
  <c r="E4976" i="23"/>
  <c r="E4977" i="23"/>
  <c r="E4978" i="23"/>
  <c r="E4979" i="23"/>
  <c r="E4980" i="23"/>
  <c r="E4981" i="23"/>
  <c r="E4982" i="23"/>
  <c r="E4983" i="23"/>
  <c r="E4984" i="23"/>
  <c r="E4985" i="23"/>
  <c r="E4986" i="23"/>
  <c r="E4987" i="23"/>
  <c r="E4988" i="23"/>
  <c r="E4989" i="23"/>
  <c r="E4990" i="23"/>
  <c r="E4991" i="23"/>
  <c r="E4992" i="23"/>
  <c r="E4993" i="23"/>
  <c r="E4994" i="23"/>
  <c r="E4995" i="23"/>
  <c r="E4996" i="23"/>
  <c r="E4997" i="23"/>
  <c r="E4998" i="23"/>
  <c r="E4999" i="23"/>
  <c r="E5000" i="23"/>
  <c r="E5001" i="23"/>
  <c r="E5002" i="23"/>
  <c r="E5003" i="23"/>
  <c r="E5004" i="23"/>
  <c r="E5005" i="23"/>
  <c r="E5006" i="23"/>
  <c r="E5007" i="23"/>
  <c r="E5008" i="23"/>
  <c r="E5009" i="23"/>
  <c r="E5010" i="23"/>
  <c r="E5011" i="23"/>
  <c r="E5012" i="23"/>
  <c r="E5013" i="23"/>
  <c r="E5014" i="23"/>
  <c r="E5015" i="23"/>
  <c r="E5016" i="23"/>
  <c r="E5017" i="23"/>
  <c r="E5018" i="23"/>
  <c r="E5019" i="23"/>
  <c r="E5020" i="23"/>
  <c r="E5021" i="23"/>
  <c r="E5022" i="23"/>
  <c r="E5023" i="23"/>
  <c r="E5024" i="23"/>
  <c r="E5025" i="23"/>
  <c r="E5026" i="23"/>
  <c r="E5027" i="23"/>
  <c r="E5028" i="23"/>
  <c r="E5029" i="23"/>
  <c r="E5030" i="23"/>
  <c r="E5031" i="23"/>
  <c r="E5032" i="23"/>
  <c r="E5033" i="23"/>
  <c r="E5034" i="23"/>
  <c r="E5035" i="23"/>
  <c r="E5036" i="23"/>
  <c r="D506" i="24" s="1"/>
  <c r="E5037" i="23"/>
  <c r="D507" i="24" s="1"/>
  <c r="E5038" i="23"/>
  <c r="D508" i="24" s="1"/>
  <c r="E5039" i="23"/>
  <c r="E5040" i="23"/>
  <c r="E5041" i="23"/>
  <c r="E5042" i="23"/>
  <c r="E5043" i="23"/>
  <c r="E5044" i="23"/>
  <c r="E5045" i="23"/>
  <c r="E5046" i="23"/>
  <c r="E5047" i="23"/>
  <c r="E5048" i="23"/>
  <c r="E5049" i="23"/>
  <c r="E5050" i="23"/>
  <c r="E5051" i="23"/>
  <c r="E5052" i="23"/>
  <c r="E5053" i="23"/>
  <c r="E5054" i="23"/>
  <c r="E5055" i="23"/>
  <c r="E5056" i="23"/>
  <c r="E5057" i="23"/>
  <c r="E5058" i="23"/>
  <c r="E5059" i="23"/>
  <c r="E5060" i="23"/>
  <c r="E5061" i="23"/>
  <c r="E5062" i="23"/>
  <c r="E5063" i="23"/>
  <c r="E5064" i="23"/>
  <c r="E5065" i="23"/>
  <c r="E5066" i="23"/>
  <c r="E5067" i="23"/>
  <c r="E5068" i="23"/>
  <c r="E5069" i="23"/>
  <c r="E5070" i="23"/>
  <c r="E5071" i="23"/>
  <c r="E5072" i="23"/>
  <c r="E5073" i="23"/>
  <c r="E5074" i="23"/>
  <c r="E5075" i="23"/>
  <c r="D511" i="24" s="1"/>
  <c r="E5076" i="23"/>
  <c r="D512" i="24" s="1"/>
  <c r="E5077" i="23"/>
  <c r="E5078" i="23"/>
  <c r="E5079" i="23"/>
  <c r="E5080" i="23"/>
  <c r="E5081" i="23"/>
  <c r="E5082" i="23"/>
  <c r="E5083" i="23"/>
  <c r="E5084" i="23"/>
  <c r="E5085" i="23"/>
  <c r="E5086" i="23"/>
  <c r="E5087" i="23"/>
  <c r="E5088" i="23"/>
  <c r="E5089" i="23"/>
  <c r="E5090" i="23"/>
  <c r="E5091" i="23"/>
  <c r="E5092" i="23"/>
  <c r="E5093" i="23"/>
  <c r="E5094" i="23"/>
  <c r="E5095" i="23"/>
  <c r="E5096" i="23"/>
  <c r="E5097" i="23"/>
  <c r="E5098" i="23"/>
  <c r="E5099" i="23"/>
  <c r="E5100" i="23"/>
  <c r="E5101" i="23"/>
  <c r="E5102" i="23"/>
  <c r="E5103" i="23"/>
  <c r="E5104" i="23"/>
  <c r="E5105" i="23"/>
  <c r="E5106" i="23"/>
  <c r="E5107" i="23"/>
  <c r="E5108" i="23"/>
  <c r="E5109" i="23"/>
  <c r="E5110" i="23"/>
  <c r="E5111" i="23"/>
  <c r="E5112" i="23"/>
  <c r="E5113" i="23"/>
  <c r="E5114" i="23"/>
  <c r="E5115" i="23"/>
  <c r="E5116" i="23"/>
  <c r="E5117" i="23"/>
  <c r="E5118" i="23"/>
  <c r="E5119" i="23"/>
  <c r="E5120" i="23"/>
  <c r="E5121" i="23"/>
  <c r="E5122" i="23"/>
  <c r="E5123" i="23"/>
  <c r="E5124" i="23"/>
  <c r="E5125" i="23"/>
  <c r="E5126" i="23"/>
  <c r="E5127" i="23"/>
  <c r="E5128" i="23"/>
  <c r="E5129" i="23"/>
  <c r="E5130" i="23"/>
  <c r="E5131" i="23"/>
  <c r="E5132" i="23"/>
  <c r="E5133" i="23"/>
  <c r="E5134" i="23"/>
  <c r="E5135" i="23"/>
  <c r="E5136" i="23"/>
  <c r="E5137" i="23"/>
  <c r="E5138" i="23"/>
  <c r="E5139" i="23"/>
  <c r="E5140" i="23"/>
  <c r="E5141" i="23"/>
  <c r="E5142" i="23"/>
  <c r="E5143" i="23"/>
  <c r="E5144" i="23"/>
  <c r="E5145" i="23"/>
  <c r="E5146" i="23"/>
  <c r="E5147" i="23"/>
  <c r="E5148" i="23"/>
  <c r="E5149" i="23"/>
  <c r="E5150" i="23"/>
  <c r="E5151" i="23"/>
  <c r="E5152" i="23"/>
  <c r="E5153" i="23"/>
  <c r="E5154" i="23"/>
  <c r="E5155" i="23"/>
  <c r="E5156" i="23"/>
  <c r="E5157" i="23"/>
  <c r="E5158" i="23"/>
  <c r="E5159" i="23"/>
  <c r="E5160" i="23"/>
  <c r="E5161" i="23"/>
  <c r="E5162" i="23"/>
  <c r="E5163" i="23"/>
  <c r="E5164" i="23"/>
  <c r="E5165" i="23"/>
  <c r="E5166" i="23"/>
  <c r="E5167" i="23"/>
  <c r="E5168" i="23"/>
  <c r="E5169" i="23"/>
  <c r="E5170" i="23"/>
  <c r="E5171" i="23"/>
  <c r="E5172" i="23"/>
  <c r="E5173" i="23"/>
  <c r="E5174" i="23"/>
  <c r="E5175" i="23"/>
  <c r="E5176" i="23"/>
  <c r="E5177" i="23"/>
  <c r="E5178" i="23"/>
  <c r="E5179" i="23"/>
  <c r="E5180" i="23"/>
  <c r="E5181" i="23"/>
  <c r="E5182" i="23"/>
  <c r="E5183" i="23"/>
  <c r="E5184" i="23"/>
  <c r="E5185" i="23"/>
  <c r="E5186" i="23"/>
  <c r="E5187" i="23"/>
  <c r="E5188" i="23"/>
  <c r="E5189" i="23"/>
  <c r="E5190" i="23"/>
  <c r="E5191" i="23"/>
  <c r="D523" i="24" s="1"/>
  <c r="E5192" i="23"/>
  <c r="E5193" i="23"/>
  <c r="E5194" i="23"/>
  <c r="E5195" i="23"/>
  <c r="E5196" i="23"/>
  <c r="E5197" i="23"/>
  <c r="E5198" i="23"/>
  <c r="E5199" i="23"/>
  <c r="E5200" i="23"/>
  <c r="E5201" i="23"/>
  <c r="E5202" i="23"/>
  <c r="E5203" i="23"/>
  <c r="E5204" i="23"/>
  <c r="E5205" i="23"/>
  <c r="E5206" i="23"/>
  <c r="E5207" i="23"/>
  <c r="D527" i="24" s="1"/>
  <c r="E5208" i="23"/>
  <c r="D528" i="24" s="1"/>
  <c r="E5209" i="23"/>
  <c r="E5210" i="23"/>
  <c r="E5211" i="23"/>
  <c r="E5212" i="23"/>
  <c r="E5213" i="23"/>
  <c r="E5214" i="23"/>
  <c r="E5215" i="23"/>
  <c r="E5216" i="23"/>
  <c r="E5217" i="23"/>
  <c r="E5218" i="23"/>
  <c r="E5219" i="23"/>
  <c r="E5220" i="23"/>
  <c r="E5221" i="23"/>
  <c r="E5222" i="23"/>
  <c r="E5223" i="23"/>
  <c r="D530" i="24" s="1"/>
  <c r="E5224" i="23"/>
  <c r="E5225" i="23"/>
  <c r="E5226" i="23"/>
  <c r="E5227" i="23"/>
  <c r="E5228" i="23"/>
  <c r="E5229" i="23"/>
  <c r="E5230" i="23"/>
  <c r="E5231" i="23"/>
  <c r="E5232" i="23"/>
  <c r="E5233" i="23"/>
  <c r="E5234" i="23"/>
  <c r="E5235" i="23"/>
  <c r="E5236" i="23"/>
  <c r="E5237" i="23"/>
  <c r="E5238" i="23"/>
  <c r="E5239" i="23"/>
  <c r="E5240" i="23"/>
  <c r="E5241" i="23"/>
  <c r="E5242" i="23"/>
  <c r="E5243" i="23"/>
  <c r="E5244" i="23"/>
  <c r="E5245" i="23"/>
  <c r="E5246" i="23"/>
  <c r="E5247" i="23"/>
  <c r="E5248" i="23"/>
  <c r="E5249" i="23"/>
  <c r="E5250" i="23"/>
  <c r="E5251" i="23"/>
  <c r="E5252" i="23"/>
  <c r="E5253" i="23"/>
  <c r="E5254" i="23"/>
  <c r="E5255" i="23"/>
  <c r="E5256" i="23"/>
  <c r="E5257" i="23"/>
  <c r="E5258" i="23"/>
  <c r="E5259" i="23"/>
  <c r="E5260" i="23"/>
  <c r="E5261" i="23"/>
  <c r="E5262" i="23"/>
  <c r="E5263" i="23"/>
  <c r="E5264" i="23"/>
  <c r="E5265" i="23"/>
  <c r="E5266" i="23"/>
  <c r="E5267" i="23"/>
  <c r="E5268" i="23"/>
  <c r="E5269" i="23"/>
  <c r="E5270" i="23"/>
  <c r="E5271" i="23"/>
  <c r="E5272" i="23"/>
  <c r="E5273" i="23"/>
  <c r="E5274" i="23"/>
  <c r="E5275" i="23"/>
  <c r="E5276" i="23"/>
  <c r="E5277" i="23"/>
  <c r="E5278" i="23"/>
  <c r="E5279" i="23"/>
  <c r="E5280" i="23"/>
  <c r="E5281" i="23"/>
  <c r="E5282" i="23"/>
  <c r="E5283" i="23"/>
  <c r="E5284" i="23"/>
  <c r="E5285" i="23"/>
  <c r="E5286" i="23"/>
  <c r="E5287" i="23"/>
  <c r="E5288" i="23"/>
  <c r="E5289" i="23"/>
  <c r="E5290" i="23"/>
  <c r="E5291" i="23"/>
  <c r="E5292" i="23"/>
  <c r="E5293" i="23"/>
  <c r="E5294" i="23"/>
  <c r="E5295" i="23"/>
  <c r="E5296" i="23"/>
  <c r="E5297" i="23"/>
  <c r="E5298" i="23"/>
  <c r="E5299" i="23"/>
  <c r="E5300" i="23"/>
  <c r="E5301" i="23"/>
  <c r="E5302" i="23"/>
  <c r="E5303" i="23"/>
  <c r="E5304" i="23"/>
  <c r="E5305" i="23"/>
  <c r="E5306" i="23"/>
  <c r="E5307" i="23"/>
  <c r="E5308" i="23"/>
  <c r="E5309" i="23"/>
  <c r="E5310" i="23"/>
  <c r="E5311" i="23"/>
  <c r="E5312" i="23"/>
  <c r="E5313" i="23"/>
  <c r="E5314" i="23"/>
  <c r="E5315" i="23"/>
  <c r="E5316" i="23"/>
  <c r="E5317" i="23"/>
  <c r="E5318" i="23"/>
  <c r="E5319" i="23"/>
  <c r="E5320" i="23"/>
  <c r="E5321" i="23"/>
  <c r="E5322" i="23"/>
  <c r="E5323" i="23"/>
  <c r="E5324" i="23"/>
  <c r="E5325" i="23"/>
  <c r="E5326" i="23"/>
  <c r="E5327" i="23"/>
  <c r="E5328" i="23"/>
  <c r="E5329" i="23"/>
  <c r="E5330" i="23"/>
  <c r="E5331" i="23"/>
  <c r="E5332" i="23"/>
  <c r="E5333" i="23"/>
  <c r="E5334" i="23"/>
  <c r="E5335" i="23"/>
  <c r="E5336" i="23"/>
  <c r="E5337" i="23"/>
  <c r="E5338" i="23"/>
  <c r="E5339" i="23"/>
  <c r="E5340" i="23"/>
  <c r="E5341" i="23"/>
  <c r="E5342" i="23"/>
  <c r="E5343" i="23"/>
  <c r="E5344" i="23"/>
  <c r="E5345" i="23"/>
  <c r="E5346" i="23"/>
  <c r="E5347" i="23"/>
  <c r="E5348" i="23"/>
  <c r="E5349" i="23"/>
  <c r="E5350" i="23"/>
  <c r="E5351" i="23"/>
  <c r="E5352" i="23"/>
  <c r="E5353" i="23"/>
  <c r="E5354" i="23"/>
  <c r="E5355" i="23"/>
  <c r="E5356" i="23"/>
  <c r="E5357" i="23"/>
  <c r="E5358" i="23"/>
  <c r="E5359" i="23"/>
  <c r="E5360" i="23"/>
  <c r="E5361" i="23"/>
  <c r="E5362" i="23"/>
  <c r="E5363" i="23"/>
  <c r="E5364" i="23"/>
  <c r="E5365" i="23"/>
  <c r="E5366" i="23"/>
  <c r="E5367" i="23"/>
  <c r="E5368" i="23"/>
  <c r="E5369" i="23"/>
  <c r="E5370" i="23"/>
  <c r="D540" i="24" s="1"/>
  <c r="E5371" i="23"/>
  <c r="E5372" i="23"/>
  <c r="E5373" i="23"/>
  <c r="E5374" i="23"/>
  <c r="E5375" i="23"/>
  <c r="E5376" i="23"/>
  <c r="E5377" i="23"/>
  <c r="E5378" i="23"/>
  <c r="E5379" i="23"/>
  <c r="E5380" i="23"/>
  <c r="E5381" i="23"/>
  <c r="E5382" i="23"/>
  <c r="E5383" i="23"/>
  <c r="E5384" i="23"/>
  <c r="E5385" i="23"/>
  <c r="E5386" i="23"/>
  <c r="E5387" i="23"/>
  <c r="E5388" i="23"/>
  <c r="E5389" i="23"/>
  <c r="E5390" i="23"/>
  <c r="E5391" i="23"/>
  <c r="E5392" i="23"/>
  <c r="E5393" i="23"/>
  <c r="E5394" i="23"/>
  <c r="E5395" i="23"/>
  <c r="E5396" i="23"/>
  <c r="E5397" i="23"/>
  <c r="E5398" i="23"/>
  <c r="E5399" i="23"/>
  <c r="E5400" i="23"/>
  <c r="E5401" i="23"/>
  <c r="E5402" i="23"/>
  <c r="E5403" i="23"/>
  <c r="E5404" i="23"/>
  <c r="E5405" i="23"/>
  <c r="E5406" i="23"/>
  <c r="E5407" i="23"/>
  <c r="E5408" i="23"/>
  <c r="E5409" i="23"/>
  <c r="E5410" i="23"/>
  <c r="E5411" i="23"/>
  <c r="E5412" i="23"/>
  <c r="E5413" i="23"/>
  <c r="E5414" i="23"/>
  <c r="E5415" i="23"/>
  <c r="E5416" i="23"/>
  <c r="E5417" i="23"/>
  <c r="E5418" i="23"/>
  <c r="E5419" i="23"/>
  <c r="E5420" i="23"/>
  <c r="E5421" i="23"/>
  <c r="E5422" i="23"/>
  <c r="E5423" i="23"/>
  <c r="E5424" i="23"/>
  <c r="E5425" i="23"/>
  <c r="E5426" i="23"/>
  <c r="E5427" i="23"/>
  <c r="E5428" i="23"/>
  <c r="E5429" i="23"/>
  <c r="E5430" i="23"/>
  <c r="E5431" i="23"/>
  <c r="E5432" i="23"/>
  <c r="E5433" i="23"/>
  <c r="E5434" i="23"/>
  <c r="E5435" i="23"/>
  <c r="E5436" i="23"/>
  <c r="E5437" i="23"/>
  <c r="E5438" i="23"/>
  <c r="E5439" i="23"/>
  <c r="E5440" i="23"/>
  <c r="D545" i="24" s="1"/>
  <c r="E5441" i="23"/>
  <c r="D546" i="24" s="1"/>
  <c r="E5442" i="23"/>
  <c r="E5443" i="23"/>
  <c r="E5444" i="23"/>
  <c r="E5445" i="23"/>
  <c r="E5446" i="23"/>
  <c r="E5447" i="23"/>
  <c r="E5448" i="23"/>
  <c r="E5449" i="23"/>
  <c r="E5450" i="23"/>
  <c r="E5451" i="23"/>
  <c r="E5452" i="23"/>
  <c r="E5453" i="23"/>
  <c r="E5454" i="23"/>
  <c r="E5455" i="23"/>
  <c r="E5456" i="23"/>
  <c r="E5457" i="23"/>
  <c r="E5458" i="23"/>
  <c r="E5459" i="23"/>
  <c r="E5460" i="23"/>
  <c r="E5461" i="23"/>
  <c r="E5462" i="23"/>
  <c r="E5463" i="23"/>
  <c r="E5464" i="23"/>
  <c r="E5465" i="23"/>
  <c r="E5466" i="23"/>
  <c r="E5467" i="23"/>
  <c r="E5468" i="23"/>
  <c r="E5469" i="23"/>
  <c r="E5470" i="23"/>
  <c r="E5471" i="23"/>
  <c r="E5472" i="23"/>
  <c r="E5473" i="23"/>
  <c r="E5474" i="23"/>
  <c r="E5475" i="23"/>
  <c r="E5476" i="23"/>
  <c r="E5477" i="23"/>
  <c r="E5478" i="23"/>
  <c r="E5479" i="23"/>
  <c r="E5480" i="23"/>
  <c r="E5481" i="23"/>
  <c r="E5482" i="23"/>
  <c r="E5483" i="23"/>
  <c r="E5484" i="23"/>
  <c r="E5485" i="23"/>
  <c r="D550" i="24" s="1"/>
  <c r="E5486" i="23"/>
  <c r="E5487" i="23"/>
  <c r="E5488" i="23"/>
  <c r="E5489" i="23"/>
  <c r="E5490" i="23"/>
  <c r="E5491" i="23"/>
  <c r="E5492" i="23"/>
  <c r="E5493" i="23"/>
  <c r="E5494" i="23"/>
  <c r="E5495" i="23"/>
  <c r="E5496" i="23"/>
  <c r="E5497" i="23"/>
  <c r="E5498" i="23"/>
  <c r="E5499" i="23"/>
  <c r="E5500" i="23"/>
  <c r="D552" i="24" s="1"/>
  <c r="E5501" i="23"/>
  <c r="E5502" i="23"/>
  <c r="E5503" i="23"/>
  <c r="E5504" i="23"/>
  <c r="E5505" i="23"/>
  <c r="E5506" i="23"/>
  <c r="E5507" i="23"/>
  <c r="E5508" i="23"/>
  <c r="E5509" i="23"/>
  <c r="E5510" i="23"/>
  <c r="E5511" i="23"/>
  <c r="E5512" i="23"/>
  <c r="D554" i="24" s="1"/>
  <c r="E5513" i="23"/>
  <c r="D555" i="24" s="1"/>
  <c r="E5514" i="23"/>
  <c r="E5515" i="23"/>
  <c r="E5516" i="23"/>
  <c r="E5517" i="23"/>
  <c r="E5518" i="23"/>
  <c r="E5519" i="23"/>
  <c r="E5520" i="23"/>
  <c r="E5521" i="23"/>
  <c r="E5522" i="23"/>
  <c r="E5523" i="23"/>
  <c r="E5524" i="23"/>
  <c r="E5525" i="23"/>
  <c r="E5526" i="23"/>
  <c r="E5527" i="23"/>
  <c r="E5528" i="23"/>
  <c r="E5529" i="23"/>
  <c r="E5530" i="23"/>
  <c r="E5531" i="23"/>
  <c r="E5532" i="23"/>
  <c r="D558" i="24" s="1"/>
  <c r="E5533" i="23"/>
  <c r="E5534" i="23"/>
  <c r="E5535" i="23"/>
  <c r="E5536" i="23"/>
  <c r="E5537" i="23"/>
  <c r="E5538" i="23"/>
  <c r="E5539" i="23"/>
  <c r="E5540" i="23"/>
  <c r="E5541" i="23"/>
  <c r="E5542" i="23"/>
  <c r="E5543" i="23"/>
  <c r="E5544" i="23"/>
  <c r="E5545" i="23"/>
  <c r="D560" i="24" s="1"/>
  <c r="E5546" i="23"/>
  <c r="E5547" i="23"/>
  <c r="E5548" i="23"/>
  <c r="E5549" i="23"/>
  <c r="E5550" i="23"/>
  <c r="E5551" i="23"/>
  <c r="E5552" i="23"/>
  <c r="E5553" i="23"/>
  <c r="E5554" i="23"/>
  <c r="D562" i="24" s="1"/>
  <c r="E5555" i="23"/>
  <c r="E5556" i="23"/>
  <c r="E5557" i="23"/>
  <c r="E5558" i="23"/>
  <c r="E5559" i="23"/>
  <c r="E5560" i="23"/>
  <c r="E5561" i="23"/>
  <c r="E5562" i="23"/>
  <c r="E5563" i="23"/>
  <c r="D564" i="24" s="1"/>
  <c r="E5564" i="23"/>
  <c r="D565" i="24" s="1"/>
  <c r="E5565" i="23"/>
  <c r="D566" i="24" s="1"/>
  <c r="E5566" i="23"/>
  <c r="D567" i="24" s="1"/>
  <c r="E5567" i="23"/>
  <c r="D569" i="24" s="1"/>
  <c r="E5568" i="23"/>
  <c r="D570" i="24" s="1"/>
  <c r="E5569" i="23"/>
  <c r="E5570" i="23"/>
  <c r="E5571" i="23"/>
  <c r="E5572" i="23"/>
  <c r="D572" i="24" s="1"/>
  <c r="E5573" i="23"/>
  <c r="E5574" i="23"/>
  <c r="E5575" i="23"/>
  <c r="E5576" i="23"/>
  <c r="E5577" i="23"/>
  <c r="E5578" i="23"/>
  <c r="E5579" i="23"/>
  <c r="E5580" i="23"/>
  <c r="E5581" i="23"/>
  <c r="E5582" i="23"/>
  <c r="D573" i="24" s="1"/>
  <c r="E5583" i="23"/>
  <c r="D574" i="24" s="1"/>
  <c r="E5584" i="23"/>
  <c r="E5585" i="23"/>
  <c r="E5586" i="23"/>
  <c r="D576" i="24" s="1"/>
  <c r="E5587" i="23"/>
  <c r="D579" i="24" s="1"/>
  <c r="E5588" i="23"/>
  <c r="D580" i="24" s="1"/>
  <c r="E5589" i="23"/>
  <c r="D581" i="24" s="1"/>
  <c r="E5590" i="23"/>
  <c r="E5591" i="23"/>
  <c r="E5592" i="23"/>
  <c r="D582" i="24" s="1"/>
  <c r="E5593" i="23"/>
  <c r="D583" i="24" s="1"/>
  <c r="E5594" i="23"/>
  <c r="E5595" i="23"/>
  <c r="E5596" i="23"/>
  <c r="E5597" i="23"/>
  <c r="E5598" i="23"/>
  <c r="E5599" i="23"/>
  <c r="E5600" i="23"/>
  <c r="E5601" i="23"/>
  <c r="E5602" i="23"/>
  <c r="E5603" i="23"/>
  <c r="E5604" i="23"/>
  <c r="E5605" i="23"/>
  <c r="E5606" i="23"/>
  <c r="E5607" i="23"/>
  <c r="E5608" i="23"/>
  <c r="E5609" i="23"/>
  <c r="E5610" i="23"/>
  <c r="E5611" i="23"/>
  <c r="E5612" i="23"/>
  <c r="E5613" i="23"/>
  <c r="E5614" i="23"/>
  <c r="E5615" i="23"/>
  <c r="E5616" i="23"/>
  <c r="E5617" i="23"/>
  <c r="E5618" i="23"/>
  <c r="D587" i="24" s="1"/>
  <c r="E5619" i="23"/>
  <c r="E5620" i="23"/>
  <c r="E5621" i="23"/>
  <c r="E5622" i="23"/>
  <c r="E5623" i="23"/>
  <c r="E5624" i="23"/>
  <c r="E5625" i="23"/>
  <c r="E5626" i="23"/>
  <c r="E5627" i="23"/>
  <c r="D588" i="24" s="1"/>
  <c r="E5628" i="23"/>
  <c r="D589" i="24" s="1"/>
  <c r="E5629" i="23"/>
  <c r="E5630" i="23"/>
  <c r="E5631" i="23"/>
  <c r="E5632" i="23"/>
  <c r="E5633" i="23"/>
  <c r="E5634" i="23"/>
  <c r="E5635" i="23"/>
  <c r="E5636" i="23"/>
  <c r="E5637" i="23"/>
  <c r="E5638" i="23"/>
  <c r="E5639" i="23"/>
  <c r="E5640" i="23"/>
  <c r="E5641" i="23"/>
  <c r="E5642" i="23"/>
  <c r="E5643" i="23"/>
  <c r="E5644" i="23"/>
  <c r="E5645" i="23"/>
  <c r="E5646" i="23"/>
  <c r="E5647" i="23"/>
  <c r="E5648" i="23"/>
  <c r="E5649" i="23"/>
  <c r="E5650" i="23"/>
  <c r="D592" i="24" s="1"/>
  <c r="E5651" i="23"/>
  <c r="D593" i="24" s="1"/>
  <c r="E5652" i="23"/>
  <c r="E5653" i="23"/>
  <c r="E5654" i="23"/>
  <c r="E5655" i="23"/>
  <c r="E5656" i="23"/>
  <c r="E5657" i="23"/>
  <c r="E5658" i="23"/>
  <c r="E5659" i="23"/>
  <c r="E5660" i="23"/>
  <c r="E5661" i="23"/>
  <c r="E5662" i="23"/>
  <c r="E5663" i="23"/>
  <c r="E5664" i="23"/>
  <c r="E5665" i="23"/>
  <c r="E5666" i="23"/>
  <c r="E5667" i="23"/>
  <c r="E5668" i="23"/>
  <c r="E5669" i="23"/>
  <c r="E5670" i="23"/>
  <c r="D595" i="24" s="1"/>
  <c r="E5671" i="23"/>
  <c r="E5672" i="23"/>
  <c r="E5673" i="23"/>
  <c r="E5674" i="23"/>
  <c r="E5675" i="23"/>
  <c r="E5676" i="23"/>
  <c r="E5677" i="23"/>
  <c r="E5678" i="23"/>
  <c r="E5679" i="23"/>
  <c r="E5680" i="23"/>
  <c r="E5681" i="23"/>
  <c r="E5682" i="23"/>
  <c r="E5683" i="23"/>
  <c r="E5684" i="23"/>
  <c r="E5685" i="23"/>
  <c r="E5686" i="23"/>
  <c r="E5687" i="23"/>
  <c r="E5688" i="23"/>
  <c r="E5689" i="23"/>
  <c r="E5690" i="23"/>
  <c r="E5691" i="23"/>
  <c r="E5692" i="23"/>
  <c r="E5693" i="23"/>
  <c r="E5694" i="23"/>
  <c r="E5695" i="23"/>
  <c r="E5696" i="23"/>
  <c r="E5697" i="23"/>
  <c r="E5698" i="23"/>
  <c r="E5699" i="23"/>
  <c r="E5700" i="23"/>
  <c r="E5701" i="23"/>
  <c r="E5702" i="23"/>
  <c r="E5703" i="23"/>
  <c r="E5704" i="23"/>
  <c r="E5705" i="23"/>
  <c r="E5706" i="23"/>
  <c r="E5707" i="23"/>
  <c r="E5708" i="23"/>
  <c r="E5709" i="23"/>
  <c r="E5710" i="23"/>
  <c r="E5711" i="23"/>
  <c r="E5712" i="23"/>
  <c r="E5713" i="23"/>
  <c r="E5714" i="23"/>
  <c r="E5715" i="23"/>
  <c r="E5716" i="23"/>
  <c r="E5717" i="23"/>
  <c r="E5718" i="23"/>
  <c r="E5719" i="23"/>
  <c r="E5720" i="23"/>
  <c r="E5721" i="23"/>
  <c r="E5722" i="23"/>
  <c r="E5723" i="23"/>
  <c r="E5724" i="23"/>
  <c r="E5725" i="23"/>
  <c r="E5726" i="23"/>
  <c r="E5727" i="23"/>
  <c r="E5728" i="23"/>
  <c r="E5729" i="23"/>
  <c r="E5730" i="23"/>
  <c r="D598" i="24" s="1"/>
  <c r="E5731" i="23"/>
  <c r="D599" i="24" s="1"/>
  <c r="E5732" i="23"/>
  <c r="D600" i="24" s="1"/>
  <c r="E5733" i="23"/>
  <c r="E5734" i="23"/>
  <c r="D601" i="24" s="1"/>
  <c r="E5735" i="23"/>
  <c r="E5736" i="23"/>
  <c r="E5737" i="23"/>
  <c r="E5738" i="23"/>
  <c r="E5739" i="23"/>
  <c r="E5740" i="23"/>
  <c r="E5741" i="23"/>
  <c r="E5742" i="23"/>
  <c r="E5743" i="23"/>
  <c r="E5744" i="23"/>
  <c r="E5745" i="23"/>
  <c r="E5746" i="23"/>
  <c r="E5747" i="23"/>
  <c r="E5748" i="23"/>
  <c r="D604" i="24" s="1"/>
  <c r="E5749" i="23"/>
  <c r="D605" i="24" s="1"/>
  <c r="E5750" i="23"/>
  <c r="D606" i="24" s="1"/>
  <c r="E5751" i="23"/>
  <c r="D607" i="24" s="1"/>
  <c r="E5752" i="23"/>
  <c r="E5753" i="23"/>
  <c r="E5754" i="23"/>
  <c r="E5755" i="23"/>
  <c r="E5756" i="23"/>
  <c r="E5757" i="23"/>
  <c r="E5758" i="23"/>
  <c r="D609" i="24" s="1"/>
  <c r="E5759" i="23"/>
  <c r="E5760" i="23"/>
  <c r="E5761" i="23"/>
  <c r="E5762" i="23"/>
  <c r="E5763" i="23"/>
  <c r="E5764" i="23"/>
  <c r="E5765" i="23"/>
  <c r="E5766" i="23"/>
  <c r="E5767" i="23"/>
  <c r="E5768" i="23"/>
  <c r="E5769" i="23"/>
  <c r="E5770" i="23"/>
  <c r="E5771" i="23"/>
  <c r="D612" i="24" s="1"/>
  <c r="E5772" i="23"/>
  <c r="E5773" i="23"/>
  <c r="E5774" i="23"/>
  <c r="E5775" i="23"/>
  <c r="E5776" i="23"/>
  <c r="E5777" i="23"/>
  <c r="E5778" i="23"/>
  <c r="E5779" i="23"/>
  <c r="E5780" i="23"/>
  <c r="E5781" i="23"/>
  <c r="E5782" i="23"/>
  <c r="E5783" i="23"/>
  <c r="E5784" i="23"/>
  <c r="E5785" i="23"/>
  <c r="E5786" i="23"/>
  <c r="E5787" i="23"/>
  <c r="E5788" i="23"/>
  <c r="D615" i="24" s="1"/>
  <c r="E5789" i="23"/>
  <c r="E5790" i="23"/>
  <c r="E5791" i="23"/>
  <c r="E5792" i="23"/>
  <c r="E5793" i="23"/>
  <c r="E5794" i="23"/>
  <c r="E5795" i="23"/>
  <c r="E5796" i="23"/>
  <c r="E5797" i="23"/>
  <c r="E5798" i="23"/>
  <c r="E5799" i="23"/>
  <c r="E5800" i="23"/>
  <c r="E5801" i="23"/>
  <c r="E5802" i="23"/>
  <c r="E5803" i="23"/>
  <c r="E5804" i="23"/>
  <c r="E5805" i="23"/>
  <c r="E5806" i="23"/>
  <c r="E5807" i="23"/>
  <c r="E5808" i="23"/>
  <c r="E5809" i="23"/>
  <c r="E5810" i="23"/>
  <c r="E5811" i="23"/>
  <c r="E5812" i="23"/>
  <c r="E5813" i="23"/>
  <c r="E5814" i="23"/>
  <c r="E5815" i="23"/>
  <c r="D617" i="24" s="1"/>
  <c r="E5816" i="23"/>
  <c r="D618" i="24" s="1"/>
  <c r="E5817" i="23"/>
  <c r="E5818" i="23"/>
  <c r="E5819" i="23"/>
  <c r="E5820" i="23"/>
  <c r="E5821" i="23"/>
  <c r="E5822" i="23"/>
  <c r="E5823" i="23"/>
  <c r="E5824" i="23"/>
  <c r="E5825" i="23"/>
  <c r="E5826" i="23"/>
  <c r="E5827" i="23"/>
  <c r="E5828" i="23"/>
  <c r="E5829" i="23"/>
  <c r="E5830" i="23"/>
  <c r="E5831" i="23"/>
  <c r="E5832" i="23"/>
  <c r="E5833" i="23"/>
  <c r="E5834" i="23"/>
  <c r="E5835" i="23"/>
  <c r="E5836" i="23"/>
  <c r="E5837" i="23"/>
  <c r="E5838" i="23"/>
  <c r="D621" i="24" s="1"/>
  <c r="E5839" i="23"/>
  <c r="E5840" i="23"/>
  <c r="E5841" i="23"/>
  <c r="E5842" i="23"/>
  <c r="E5843" i="23"/>
  <c r="E5844" i="23"/>
  <c r="E5845" i="23"/>
  <c r="E5846" i="23"/>
  <c r="E5847" i="23"/>
  <c r="E5848" i="23"/>
  <c r="E5849" i="23"/>
  <c r="E5850" i="23"/>
  <c r="E5851" i="23"/>
  <c r="E5852" i="23"/>
  <c r="E5853" i="23"/>
  <c r="E5854" i="23"/>
  <c r="E5855" i="23"/>
  <c r="E5856" i="23"/>
  <c r="E5857" i="23"/>
  <c r="E5858" i="23"/>
  <c r="E5859" i="23"/>
  <c r="E5860" i="23"/>
  <c r="E5861" i="23"/>
  <c r="E5862" i="23"/>
  <c r="E5863" i="23"/>
  <c r="E5864" i="23"/>
  <c r="E5865" i="23"/>
  <c r="E5866" i="23"/>
  <c r="E5867" i="23"/>
  <c r="E5868" i="23"/>
  <c r="E5869" i="23"/>
  <c r="E5870" i="23"/>
  <c r="E5871" i="23"/>
  <c r="E5872" i="23"/>
  <c r="E5873" i="23"/>
  <c r="E5874" i="23"/>
  <c r="E5875" i="23"/>
  <c r="E5876" i="23"/>
  <c r="E5877" i="23"/>
  <c r="E5878" i="23"/>
  <c r="E5879" i="23"/>
  <c r="E5880" i="23"/>
  <c r="E5881" i="23"/>
  <c r="E5882" i="23"/>
  <c r="E5883" i="23"/>
  <c r="E5884" i="23"/>
  <c r="E5885" i="23"/>
  <c r="E5886" i="23"/>
  <c r="E5887" i="23"/>
  <c r="E5888" i="23"/>
  <c r="E5889" i="23"/>
  <c r="E5890" i="23"/>
  <c r="E5891" i="23"/>
  <c r="E5892" i="23"/>
  <c r="E5893" i="23"/>
  <c r="E5894" i="23"/>
  <c r="E5895" i="23"/>
  <c r="E5896" i="23"/>
  <c r="E5897" i="23"/>
  <c r="E5898" i="23"/>
  <c r="E5899" i="23"/>
  <c r="E5900" i="23"/>
  <c r="E5901" i="23"/>
  <c r="E5902" i="23"/>
  <c r="E5903" i="23"/>
  <c r="D625" i="24" s="1"/>
  <c r="E5904" i="23"/>
  <c r="E5905" i="23"/>
  <c r="E5906" i="23"/>
  <c r="D626" i="24" s="1"/>
  <c r="E5907" i="23"/>
  <c r="D627" i="24" s="1"/>
  <c r="E5908" i="23"/>
  <c r="E5909" i="23"/>
  <c r="E5910" i="23"/>
  <c r="E5911" i="23"/>
  <c r="E5912" i="23"/>
  <c r="E5913" i="23"/>
  <c r="E5914" i="23"/>
  <c r="E5915" i="23"/>
  <c r="D630" i="24" s="1"/>
  <c r="E5916" i="23"/>
  <c r="E5917" i="23"/>
  <c r="E5918" i="23"/>
  <c r="E5919" i="23"/>
  <c r="E5920" i="23"/>
  <c r="E5921" i="23"/>
  <c r="E5922" i="23"/>
  <c r="E5923" i="23"/>
  <c r="E5924" i="23"/>
  <c r="E5925" i="23"/>
  <c r="E5926" i="23"/>
  <c r="E5927" i="23"/>
  <c r="E5928" i="23"/>
  <c r="E5929" i="23"/>
  <c r="E5930" i="23"/>
  <c r="E5931" i="23"/>
  <c r="E5932" i="23"/>
  <c r="E5933" i="23"/>
  <c r="E5934" i="23"/>
  <c r="E5935" i="23"/>
  <c r="E5936" i="23"/>
  <c r="E5937" i="23"/>
  <c r="D633" i="24" s="1"/>
  <c r="E5938" i="23"/>
  <c r="E5939" i="23"/>
  <c r="E5940" i="23"/>
  <c r="E5941" i="23"/>
  <c r="E5942" i="23"/>
  <c r="E5943" i="23"/>
  <c r="E5944" i="23"/>
  <c r="E5945" i="23"/>
  <c r="E5946" i="23"/>
  <c r="E5947" i="23"/>
  <c r="E5948" i="23"/>
  <c r="E5949" i="23"/>
  <c r="E5950" i="23"/>
  <c r="E5951" i="23"/>
  <c r="E5952" i="23"/>
  <c r="E5953" i="23"/>
  <c r="E5954" i="23"/>
  <c r="E5955" i="23"/>
  <c r="E5956" i="23"/>
  <c r="E5957" i="23"/>
  <c r="E5958" i="23"/>
  <c r="E5959" i="23"/>
  <c r="E5960" i="23"/>
  <c r="E5961" i="23"/>
  <c r="E5962" i="23"/>
  <c r="E5963" i="23"/>
  <c r="E5964" i="23"/>
  <c r="E5965" i="23"/>
  <c r="E5966" i="23"/>
  <c r="E5967" i="23"/>
  <c r="E5968" i="23"/>
  <c r="E5969" i="23"/>
  <c r="E5970" i="23"/>
  <c r="E5971" i="23"/>
  <c r="E5972" i="23"/>
  <c r="E5973" i="23"/>
  <c r="E5974" i="23"/>
  <c r="E5975" i="23"/>
  <c r="E5976" i="23"/>
  <c r="D637" i="24" s="1"/>
  <c r="E5977" i="23"/>
  <c r="E5978" i="23"/>
  <c r="E5979" i="23"/>
  <c r="E5980" i="23"/>
  <c r="E5981" i="23"/>
  <c r="E5982" i="23"/>
  <c r="E5983" i="23"/>
  <c r="E5984" i="23"/>
  <c r="E5985" i="23"/>
  <c r="E5986" i="23"/>
  <c r="E5987" i="23"/>
  <c r="E5988" i="23"/>
  <c r="D640" i="24" s="1"/>
  <c r="E5989" i="23"/>
  <c r="D641" i="24" s="1"/>
  <c r="E5990" i="23"/>
  <c r="D642" i="24" s="1"/>
  <c r="E5991" i="23"/>
  <c r="D643" i="24" s="1"/>
  <c r="E5992" i="23"/>
  <c r="D644" i="24" s="1"/>
  <c r="E5993" i="23"/>
  <c r="D645" i="24" s="1"/>
  <c r="E5994" i="23"/>
  <c r="E5995" i="23"/>
  <c r="E5996" i="23"/>
  <c r="E5997" i="23"/>
  <c r="E5998" i="23"/>
  <c r="E5999" i="23"/>
  <c r="E6000" i="23"/>
  <c r="E6001" i="23"/>
  <c r="E6002" i="23"/>
  <c r="E6003" i="23"/>
  <c r="E6004" i="23"/>
  <c r="E6005" i="23"/>
  <c r="E6006" i="23"/>
  <c r="E6007" i="23"/>
  <c r="E6008" i="23"/>
  <c r="E6009" i="23"/>
  <c r="E6010" i="23"/>
  <c r="E6011" i="23"/>
  <c r="E6012" i="23"/>
  <c r="E6013" i="23"/>
  <c r="E6014" i="23"/>
  <c r="E6015" i="23"/>
  <c r="E6016" i="23"/>
  <c r="E6017" i="23"/>
  <c r="E6018" i="23"/>
  <c r="E6019" i="23"/>
  <c r="E6020" i="23"/>
  <c r="E6021" i="23"/>
  <c r="E6022" i="23"/>
  <c r="E6023" i="23"/>
  <c r="E6024" i="23"/>
  <c r="E6025" i="23"/>
  <c r="E6026" i="23"/>
  <c r="E6027" i="23"/>
  <c r="E6028" i="23"/>
  <c r="E6029" i="23"/>
  <c r="E6030" i="23"/>
  <c r="E6031" i="23"/>
  <c r="E6032" i="23"/>
  <c r="E6033" i="23"/>
  <c r="E6034" i="23"/>
  <c r="E6035" i="23"/>
  <c r="E6036" i="23"/>
  <c r="E6037" i="23"/>
  <c r="E6038" i="23"/>
  <c r="E6039" i="23"/>
  <c r="E6040" i="23"/>
  <c r="E6041" i="23"/>
  <c r="E6042" i="23"/>
  <c r="E6043" i="23"/>
  <c r="E6044" i="23"/>
  <c r="E6045" i="23"/>
  <c r="E6046" i="23"/>
  <c r="E6047" i="23"/>
  <c r="E6048" i="23"/>
  <c r="E6049" i="23"/>
  <c r="E6050" i="23"/>
  <c r="E6051" i="23"/>
  <c r="E6052" i="23"/>
  <c r="E6053" i="23"/>
  <c r="E6054" i="23"/>
  <c r="E6055" i="23"/>
  <c r="E6056" i="23"/>
  <c r="E6057" i="23"/>
  <c r="E6058" i="23"/>
  <c r="E6059" i="23"/>
  <c r="E6060" i="23"/>
  <c r="E6061" i="23"/>
  <c r="E6062" i="23"/>
  <c r="E6063" i="23"/>
  <c r="E6064" i="23"/>
  <c r="E6065" i="23"/>
  <c r="E6066" i="23"/>
  <c r="E6067" i="23"/>
  <c r="E6068" i="23"/>
  <c r="E6069" i="23"/>
  <c r="E6070" i="23"/>
  <c r="E6071" i="23"/>
  <c r="E6072" i="23"/>
  <c r="E6073" i="23"/>
  <c r="E6074" i="23"/>
  <c r="E6075" i="23"/>
  <c r="E6076" i="23"/>
  <c r="E6077" i="23"/>
  <c r="E6078" i="23"/>
  <c r="E6079" i="23"/>
  <c r="D650" i="24" s="1"/>
  <c r="E6080" i="23"/>
  <c r="E6081" i="23"/>
  <c r="E6082" i="23"/>
  <c r="E6083" i="23"/>
  <c r="E6084" i="23"/>
  <c r="E6085" i="23"/>
  <c r="E6086" i="23"/>
  <c r="E6087" i="23"/>
  <c r="E6088" i="23"/>
  <c r="E6089" i="23"/>
  <c r="E6090" i="23"/>
  <c r="E6091" i="23"/>
  <c r="E6092" i="23"/>
  <c r="E6093" i="23"/>
  <c r="E6094" i="23"/>
  <c r="E6095" i="23"/>
  <c r="E6096" i="23"/>
  <c r="E6097" i="23"/>
  <c r="E6098" i="23"/>
  <c r="D652" i="24" s="1"/>
  <c r="E6099" i="23"/>
  <c r="D653" i="24" s="1"/>
  <c r="E6100" i="23"/>
  <c r="D654" i="24" s="1"/>
  <c r="E6101" i="23"/>
  <c r="E6102" i="23"/>
  <c r="E6103" i="23"/>
  <c r="E6104" i="23"/>
  <c r="D656" i="24" s="1"/>
  <c r="E6105" i="23"/>
  <c r="D657" i="24" s="1"/>
  <c r="E6106" i="23"/>
  <c r="D658" i="24" s="1"/>
  <c r="E6107" i="23"/>
  <c r="D659" i="24" s="1"/>
  <c r="E6108" i="23"/>
  <c r="D660" i="24" s="1"/>
  <c r="E6109" i="23"/>
  <c r="D661" i="24" s="1"/>
  <c r="E6110" i="23"/>
  <c r="D662" i="24" s="1"/>
  <c r="E6111" i="23"/>
  <c r="E6112" i="23"/>
  <c r="D663" i="24" s="1"/>
  <c r="E6113" i="23"/>
  <c r="E6114" i="23"/>
  <c r="E6115" i="23"/>
  <c r="E6116" i="23"/>
  <c r="E6117" i="23"/>
  <c r="E6118" i="23"/>
  <c r="E6119" i="23"/>
  <c r="E6120" i="23"/>
  <c r="E6121" i="23"/>
  <c r="E6122" i="23"/>
  <c r="E6123" i="23"/>
  <c r="E6124" i="23"/>
  <c r="E6125" i="23"/>
  <c r="E6126" i="23"/>
  <c r="E6127" i="23"/>
  <c r="E6128" i="23"/>
  <c r="E6129" i="23"/>
  <c r="E6130" i="23"/>
  <c r="E6131" i="23"/>
  <c r="E6132" i="23"/>
  <c r="E6133" i="23"/>
  <c r="E6134" i="23"/>
  <c r="E6135" i="23"/>
  <c r="E6136" i="23"/>
  <c r="D666" i="24" s="1"/>
  <c r="E6137" i="23"/>
  <c r="E6138" i="23"/>
  <c r="E6139" i="23"/>
  <c r="E6140" i="23"/>
  <c r="E6141" i="23"/>
  <c r="E6142" i="23"/>
  <c r="E6143" i="23"/>
  <c r="E6144" i="23"/>
  <c r="E6145" i="23"/>
  <c r="E6146" i="23"/>
  <c r="E6147" i="23"/>
  <c r="E6148" i="23"/>
  <c r="E6149" i="23"/>
  <c r="E6150" i="23"/>
  <c r="D668" i="24" s="1"/>
  <c r="E6151" i="23"/>
  <c r="E6152" i="23"/>
  <c r="E6153" i="23"/>
  <c r="E6154" i="23"/>
  <c r="E6155" i="23"/>
  <c r="E6156" i="23"/>
  <c r="E6157" i="23"/>
  <c r="E6158" i="23"/>
  <c r="E6159" i="23"/>
  <c r="E6160" i="23"/>
  <c r="E6161" i="23"/>
  <c r="E6162" i="23"/>
  <c r="E6163" i="23"/>
  <c r="E6164" i="23"/>
  <c r="E6165" i="23"/>
  <c r="E6166" i="23"/>
  <c r="E6167" i="23"/>
  <c r="E6168" i="23"/>
  <c r="E6169" i="23"/>
  <c r="E6170" i="23"/>
  <c r="E6171" i="23"/>
  <c r="E6172" i="23"/>
  <c r="E6173" i="23"/>
  <c r="E6174" i="23"/>
  <c r="E6175" i="23"/>
  <c r="E6176" i="23"/>
  <c r="E6177" i="23"/>
  <c r="E6178" i="23"/>
  <c r="E6179" i="23"/>
  <c r="E6180" i="23"/>
  <c r="E6181" i="23"/>
  <c r="E6182" i="23"/>
  <c r="E6183" i="23"/>
  <c r="E6184" i="23"/>
  <c r="E6185" i="23"/>
  <c r="E6186" i="23"/>
  <c r="E6187" i="23"/>
  <c r="E6188" i="23"/>
  <c r="E6189" i="23"/>
  <c r="E6190" i="23"/>
  <c r="E6191" i="23"/>
  <c r="D670" i="24" s="1"/>
  <c r="E6192" i="23"/>
  <c r="D671" i="24" s="1"/>
  <c r="E6193" i="23"/>
  <c r="E6194" i="23"/>
  <c r="E6195" i="23"/>
  <c r="E6196" i="23"/>
  <c r="E6197" i="23"/>
  <c r="E6198" i="23"/>
  <c r="E6199" i="23"/>
  <c r="E6200" i="23"/>
  <c r="E6201" i="23"/>
  <c r="E6202" i="23"/>
  <c r="E6203" i="23"/>
  <c r="E6204" i="23"/>
  <c r="E6205" i="23"/>
  <c r="E6206" i="23"/>
  <c r="E6207" i="23"/>
  <c r="E6208" i="23"/>
  <c r="E6209" i="23"/>
  <c r="E6210" i="23"/>
  <c r="E6211" i="23"/>
  <c r="E6212" i="23"/>
  <c r="E6213" i="23"/>
  <c r="E6214" i="23"/>
  <c r="E6215" i="23"/>
  <c r="E6216" i="23"/>
  <c r="E6217" i="23"/>
  <c r="E6218" i="23"/>
  <c r="E6219" i="23"/>
  <c r="E6220" i="23"/>
  <c r="E6221" i="23"/>
  <c r="D673" i="24" s="1"/>
  <c r="E6222" i="23"/>
  <c r="D674" i="24" s="1"/>
  <c r="E6223" i="23"/>
  <c r="D675" i="24" s="1"/>
  <c r="E6224" i="23"/>
  <c r="D676" i="24" s="1"/>
  <c r="E6225" i="23"/>
  <c r="D677" i="24" s="1"/>
  <c r="E6226" i="23"/>
  <c r="E6227" i="23"/>
  <c r="E6228" i="23"/>
  <c r="E6229" i="23"/>
  <c r="E6230" i="23"/>
  <c r="E6231" i="23"/>
  <c r="E6232" i="23"/>
  <c r="E6233" i="23"/>
  <c r="E6234" i="23"/>
  <c r="E6235" i="23"/>
  <c r="E6236" i="23"/>
  <c r="E6237" i="23"/>
  <c r="E6238" i="23"/>
  <c r="D679" i="24" s="1"/>
  <c r="E6239" i="23"/>
  <c r="E6240" i="23"/>
  <c r="E6241" i="23"/>
  <c r="E6242" i="23"/>
  <c r="E6243" i="23"/>
  <c r="E6244" i="23"/>
  <c r="D680" i="24" s="1"/>
  <c r="E6245" i="23"/>
  <c r="E6246" i="23"/>
  <c r="E6247" i="23"/>
  <c r="E6248" i="23"/>
  <c r="E6249" i="23"/>
  <c r="E6250" i="23"/>
  <c r="E6251" i="23"/>
  <c r="E6252" i="23"/>
  <c r="E6253" i="23"/>
  <c r="E6254" i="23"/>
  <c r="E6255" i="23"/>
  <c r="E6256" i="23"/>
  <c r="E6257" i="23"/>
  <c r="E6258" i="23"/>
  <c r="E6259" i="23"/>
  <c r="E6260" i="23"/>
  <c r="E6261" i="23"/>
  <c r="E6262" i="23"/>
  <c r="E6263" i="23"/>
  <c r="E6264" i="23"/>
  <c r="E6265" i="23"/>
  <c r="E6266" i="23"/>
  <c r="E6267" i="23"/>
  <c r="E6268" i="23"/>
  <c r="E6269" i="23"/>
  <c r="D684" i="24" s="1"/>
  <c r="E6270" i="23"/>
  <c r="E6271" i="23"/>
  <c r="E6272" i="23"/>
  <c r="E6273" i="23"/>
  <c r="E6274" i="23"/>
  <c r="E6275" i="23"/>
  <c r="E6276" i="23"/>
  <c r="E6277" i="23"/>
  <c r="E6278" i="23"/>
  <c r="E6279" i="23"/>
  <c r="E6280" i="23"/>
  <c r="D686" i="24" s="1"/>
  <c r="E6281" i="23"/>
  <c r="E6282" i="23"/>
  <c r="E6283" i="23"/>
  <c r="E6284" i="23"/>
  <c r="E6285" i="23"/>
  <c r="E6286" i="23"/>
  <c r="E6287" i="23"/>
  <c r="E6288" i="23"/>
  <c r="E6289" i="23"/>
  <c r="E6290" i="23"/>
  <c r="E6291" i="23"/>
  <c r="E6292" i="23"/>
  <c r="E6293" i="23"/>
  <c r="E6294" i="23"/>
  <c r="E6295" i="23"/>
  <c r="E6296" i="23"/>
  <c r="E6297" i="23"/>
  <c r="E6298" i="23"/>
  <c r="E6299" i="23"/>
  <c r="E6300" i="23"/>
  <c r="E6301" i="23"/>
  <c r="E6302" i="23"/>
  <c r="E6303" i="23"/>
  <c r="E6304" i="23"/>
  <c r="E6305" i="23"/>
  <c r="E6306" i="23"/>
  <c r="E6307" i="23"/>
  <c r="E6308" i="23"/>
  <c r="E6309" i="23"/>
  <c r="E6310" i="23"/>
  <c r="E6311" i="23"/>
  <c r="E6312" i="23"/>
  <c r="E6313" i="23"/>
  <c r="E6314" i="23"/>
  <c r="E6315" i="23"/>
  <c r="E6316" i="23"/>
  <c r="E6317" i="23"/>
  <c r="E6318" i="23"/>
  <c r="E6319" i="23"/>
  <c r="E6320" i="23"/>
  <c r="E6321" i="23"/>
  <c r="E6322" i="23"/>
  <c r="E6323" i="23"/>
  <c r="E6324" i="23"/>
  <c r="E6325" i="23"/>
  <c r="E6326" i="23"/>
  <c r="E6327" i="23"/>
  <c r="E6328" i="23"/>
  <c r="E6329" i="23"/>
  <c r="E6330" i="23"/>
  <c r="E6331" i="23"/>
  <c r="E6332" i="23"/>
  <c r="E6333" i="23"/>
  <c r="E6334" i="23"/>
  <c r="E6335" i="23"/>
  <c r="E6336" i="23"/>
  <c r="E6337" i="23"/>
  <c r="E6338" i="23"/>
  <c r="E6339" i="23"/>
  <c r="E6340" i="23"/>
  <c r="E6341" i="23"/>
  <c r="E6342" i="23"/>
  <c r="E6343" i="23"/>
  <c r="E6344" i="23"/>
  <c r="E6345" i="23"/>
  <c r="E6346" i="23"/>
  <c r="E6347" i="23"/>
  <c r="E6348" i="23"/>
  <c r="D692" i="24" s="1"/>
  <c r="E6349" i="23"/>
  <c r="D693" i="24" s="1"/>
  <c r="E6350" i="23"/>
  <c r="D694" i="24" s="1"/>
  <c r="E6351" i="23"/>
  <c r="E6352" i="23"/>
  <c r="E6353" i="23"/>
  <c r="E6354" i="23"/>
  <c r="E6355" i="23"/>
  <c r="E6356" i="23"/>
  <c r="E6357" i="23"/>
  <c r="E6358" i="23"/>
  <c r="E6359" i="23"/>
  <c r="E6360" i="23"/>
  <c r="E6361" i="23"/>
  <c r="E6362" i="23"/>
  <c r="E6363" i="23"/>
  <c r="E6364" i="23"/>
  <c r="E6365" i="23"/>
  <c r="E6366" i="23"/>
  <c r="D696" i="24" s="1"/>
  <c r="E6367" i="23"/>
  <c r="E6368" i="23"/>
  <c r="E6369" i="23"/>
  <c r="E6370" i="23"/>
  <c r="E6371" i="23"/>
  <c r="E6372" i="23"/>
  <c r="E6373" i="23"/>
  <c r="E6374" i="23"/>
  <c r="E6375" i="23"/>
  <c r="E6376" i="23"/>
  <c r="E6377" i="23"/>
  <c r="E6378" i="23"/>
  <c r="E6379" i="23"/>
  <c r="E6380" i="23"/>
  <c r="E6381" i="23"/>
  <c r="E6382" i="23"/>
  <c r="E6383" i="23"/>
  <c r="E6384" i="23"/>
  <c r="E6385" i="23"/>
  <c r="E6386" i="23"/>
  <c r="E6387" i="23"/>
  <c r="D698" i="24" s="1"/>
  <c r="E6388" i="23"/>
  <c r="D699" i="24" s="1"/>
  <c r="E6389" i="23"/>
  <c r="E6390" i="23"/>
  <c r="E6391" i="23"/>
  <c r="E6392" i="23"/>
  <c r="E6393" i="23"/>
  <c r="E6394" i="23"/>
  <c r="E6395" i="23"/>
  <c r="E6396" i="23"/>
  <c r="E6397" i="23"/>
  <c r="E6398" i="23"/>
  <c r="E6399" i="23"/>
  <c r="E6400" i="23"/>
  <c r="E6401" i="23"/>
  <c r="E6402" i="23"/>
  <c r="E6403" i="23"/>
  <c r="E6404" i="23"/>
  <c r="E6405" i="23"/>
  <c r="E6406" i="23"/>
  <c r="E6407" i="23"/>
  <c r="E6408" i="23"/>
  <c r="D702" i="24" s="1"/>
  <c r="E6409" i="23"/>
  <c r="D703" i="24" s="1"/>
  <c r="E6410" i="23"/>
  <c r="D704" i="24" s="1"/>
  <c r="E6411" i="23"/>
  <c r="D705" i="24" s="1"/>
  <c r="E6412" i="23"/>
  <c r="E6413" i="23"/>
  <c r="E6414" i="23"/>
  <c r="E6415" i="23"/>
  <c r="E6416" i="23"/>
  <c r="E6417" i="23"/>
  <c r="E6418" i="23"/>
  <c r="E6419" i="23"/>
  <c r="E6420" i="23"/>
  <c r="E6421" i="23"/>
  <c r="E6422" i="23"/>
  <c r="E6423" i="23"/>
  <c r="E6424" i="23"/>
  <c r="E6425" i="23"/>
  <c r="E6426" i="23"/>
  <c r="E6427" i="23"/>
  <c r="E6428" i="23"/>
  <c r="E6429" i="23"/>
  <c r="E6430" i="23"/>
  <c r="E6431" i="23"/>
  <c r="E6432" i="23"/>
  <c r="E6433" i="23"/>
  <c r="E6434" i="23"/>
  <c r="E6435" i="23"/>
  <c r="E6436" i="23"/>
  <c r="E6437" i="23"/>
  <c r="E6438" i="23"/>
  <c r="E6439" i="23"/>
  <c r="E6440" i="23"/>
  <c r="E6441" i="23"/>
  <c r="E6442" i="23"/>
  <c r="E6443" i="23"/>
  <c r="E6444" i="23"/>
  <c r="E6445" i="23"/>
  <c r="D708" i="24" s="1"/>
  <c r="E6446" i="23"/>
  <c r="D709" i="24" s="1"/>
  <c r="E6447" i="23"/>
  <c r="E6448" i="23"/>
  <c r="E6449" i="23"/>
  <c r="E6450" i="23"/>
  <c r="E6451" i="23"/>
  <c r="E6452" i="23"/>
  <c r="E6453" i="23"/>
  <c r="E6454" i="23"/>
  <c r="E6455" i="23"/>
  <c r="E6456" i="23"/>
  <c r="E6457" i="23"/>
  <c r="E6458" i="23"/>
  <c r="E6459" i="23"/>
  <c r="E6460" i="23"/>
  <c r="D711" i="24" s="1"/>
  <c r="E6461" i="23"/>
  <c r="E6462" i="23"/>
  <c r="E6463" i="23"/>
  <c r="E6464" i="23"/>
  <c r="E6465" i="23"/>
  <c r="E6466" i="23"/>
  <c r="E6467" i="23"/>
  <c r="E6468" i="23"/>
  <c r="E6469" i="23"/>
  <c r="E6470" i="23"/>
  <c r="E6471" i="23"/>
  <c r="E6472" i="23"/>
  <c r="E6473" i="23"/>
  <c r="E6474" i="23"/>
  <c r="E6475" i="23"/>
  <c r="E6476" i="23"/>
  <c r="E6477" i="23"/>
  <c r="E6478" i="23"/>
  <c r="E6479" i="23"/>
  <c r="E6480" i="23"/>
  <c r="E6481" i="23"/>
  <c r="E6482" i="23"/>
  <c r="E6483" i="23"/>
  <c r="E6484" i="23"/>
  <c r="E6485" i="23"/>
  <c r="E6486" i="23"/>
  <c r="E6487" i="23"/>
  <c r="E6488" i="23"/>
  <c r="E6489" i="23"/>
  <c r="E6490" i="23"/>
  <c r="E6491" i="23"/>
  <c r="E6492" i="23"/>
  <c r="E6493" i="23"/>
  <c r="E6494" i="23"/>
  <c r="E6495" i="23"/>
  <c r="E6496" i="23"/>
  <c r="E6497" i="23"/>
  <c r="E6498" i="23"/>
  <c r="E6499" i="23"/>
  <c r="E6500" i="23"/>
  <c r="E6501" i="23"/>
  <c r="E6502" i="23"/>
  <c r="E6503" i="23"/>
  <c r="E6504" i="23"/>
  <c r="E6505" i="23"/>
  <c r="E6506" i="23"/>
  <c r="E6507" i="23"/>
  <c r="E6508" i="23"/>
  <c r="E6509" i="23"/>
  <c r="E6510" i="23"/>
  <c r="E6511" i="23"/>
  <c r="E6512" i="23"/>
  <c r="E6513" i="23"/>
  <c r="E6514" i="23"/>
  <c r="E6515" i="23"/>
  <c r="E6516" i="23"/>
  <c r="E6517" i="23"/>
  <c r="E6518" i="23"/>
  <c r="E6519" i="23"/>
  <c r="E6520" i="23"/>
  <c r="E6521" i="23"/>
  <c r="E6522" i="23"/>
  <c r="E6523" i="23"/>
  <c r="E6524" i="23"/>
  <c r="E6525" i="23"/>
  <c r="E6526" i="23"/>
  <c r="E6527" i="23"/>
  <c r="E6528" i="23"/>
  <c r="E6529" i="23"/>
  <c r="E6530" i="23"/>
  <c r="E6531" i="23"/>
  <c r="E6532" i="23"/>
  <c r="E6533" i="23"/>
  <c r="E6534" i="23"/>
  <c r="E6535" i="23"/>
  <c r="E6536" i="23"/>
  <c r="E6537" i="23"/>
  <c r="E6538" i="23"/>
  <c r="E6539" i="23"/>
  <c r="E6540" i="23"/>
  <c r="E6541" i="23"/>
  <c r="D716" i="24" s="1"/>
  <c r="E6542" i="23"/>
  <c r="E6543" i="23"/>
  <c r="E6544" i="23"/>
  <c r="E6545" i="23"/>
  <c r="E6546" i="23"/>
  <c r="E6547" i="23"/>
  <c r="E6548" i="23"/>
  <c r="E6549" i="23"/>
  <c r="E6550" i="23"/>
  <c r="E6551" i="23"/>
  <c r="E6552" i="23"/>
  <c r="E6553" i="23"/>
  <c r="E6554" i="23"/>
  <c r="E6555" i="23"/>
  <c r="E6556" i="23"/>
  <c r="E6557" i="23"/>
  <c r="E6558" i="23"/>
  <c r="E6559" i="23"/>
  <c r="E6560" i="23"/>
  <c r="E6561" i="23"/>
  <c r="E6562" i="23"/>
  <c r="E6563" i="23"/>
  <c r="E6564" i="23"/>
  <c r="E6565" i="23"/>
  <c r="E6566" i="23"/>
  <c r="E6567" i="23"/>
  <c r="D718" i="24" s="1"/>
  <c r="E6568" i="23"/>
  <c r="E6569" i="23"/>
  <c r="E6570" i="23"/>
  <c r="D719" i="24" s="1"/>
  <c r="E6571" i="23"/>
  <c r="D720" i="24" s="1"/>
  <c r="E6572" i="23"/>
  <c r="D721" i="24" s="1"/>
  <c r="E6573" i="23"/>
  <c r="D722" i="24" s="1"/>
  <c r="E6574" i="23"/>
  <c r="E6575" i="23"/>
  <c r="E6576" i="23"/>
  <c r="E6577" i="23"/>
  <c r="E6578" i="23"/>
  <c r="E6579" i="23"/>
  <c r="E6580" i="23"/>
  <c r="E6581" i="23"/>
  <c r="E6582" i="23"/>
  <c r="E6583" i="23"/>
  <c r="E6584" i="23"/>
  <c r="E6585" i="23"/>
  <c r="E6586" i="23"/>
  <c r="E6587" i="23"/>
  <c r="E6588" i="23"/>
  <c r="E6589" i="23"/>
  <c r="E6590" i="23"/>
  <c r="E6591" i="23"/>
  <c r="E6592" i="23"/>
  <c r="E6593" i="23"/>
  <c r="E6594" i="23"/>
  <c r="E6595" i="23"/>
  <c r="E6596" i="23"/>
  <c r="E6597" i="23"/>
  <c r="E6598" i="23"/>
  <c r="E6599" i="23"/>
  <c r="E6600" i="23"/>
  <c r="E6601" i="23"/>
  <c r="E6602" i="23"/>
  <c r="E6603" i="23"/>
  <c r="E6604" i="23"/>
  <c r="E6605" i="23"/>
  <c r="E6606" i="23"/>
  <c r="E6607" i="23"/>
  <c r="E6608" i="23"/>
  <c r="E6609" i="23"/>
  <c r="E6610" i="23"/>
  <c r="E6611" i="23"/>
  <c r="E6612" i="23"/>
  <c r="E6613" i="23"/>
  <c r="E6614" i="23"/>
  <c r="E6615" i="23"/>
  <c r="E6616" i="23"/>
  <c r="E6617" i="23"/>
  <c r="E6618" i="23"/>
  <c r="E6619" i="23"/>
  <c r="E6620" i="23"/>
  <c r="E6621" i="23"/>
  <c r="E6622" i="23"/>
  <c r="E6623" i="23"/>
  <c r="E6624" i="23"/>
  <c r="E6625" i="23"/>
  <c r="E6626" i="23"/>
  <c r="E6627" i="23"/>
  <c r="E6628" i="23"/>
  <c r="E6629" i="23"/>
  <c r="E6630" i="23"/>
  <c r="E6631" i="23"/>
  <c r="E6632" i="23"/>
  <c r="E6633" i="23"/>
  <c r="E6634" i="23"/>
  <c r="E6635" i="23"/>
  <c r="E6636" i="23"/>
  <c r="E6637" i="23"/>
  <c r="E6638" i="23"/>
  <c r="E6639" i="23"/>
  <c r="E6640" i="23"/>
  <c r="E6641" i="23"/>
  <c r="E6642" i="23"/>
  <c r="E6643" i="23"/>
  <c r="E6644" i="23"/>
  <c r="E6645" i="23"/>
  <c r="E6646" i="23"/>
  <c r="E6647" i="23"/>
  <c r="E6648" i="23"/>
  <c r="E6649" i="23"/>
  <c r="E6650" i="23"/>
  <c r="E6651" i="23"/>
  <c r="E6652" i="23"/>
  <c r="E6653" i="23"/>
  <c r="E6654" i="23"/>
  <c r="E6655" i="23"/>
  <c r="E6656" i="23"/>
  <c r="E6657" i="23"/>
  <c r="E6658" i="23"/>
  <c r="E6659" i="23"/>
  <c r="E6660" i="23"/>
  <c r="E6661" i="23"/>
  <c r="E6662" i="23"/>
  <c r="E6663" i="23"/>
  <c r="E6664" i="23"/>
  <c r="E6665" i="23"/>
  <c r="E6666" i="23"/>
  <c r="E6667" i="23"/>
  <c r="D728" i="24" s="1"/>
  <c r="E6668" i="23"/>
  <c r="E6669" i="23"/>
  <c r="E6670" i="23"/>
  <c r="E6671" i="23"/>
  <c r="E6672" i="23"/>
  <c r="E6673" i="23"/>
  <c r="E6674" i="23"/>
  <c r="E6675" i="23"/>
  <c r="E6676" i="23"/>
  <c r="E6677" i="23"/>
  <c r="E6678" i="23"/>
  <c r="E6679" i="23"/>
  <c r="E6680" i="23"/>
  <c r="E6681" i="23"/>
  <c r="E6682" i="23"/>
  <c r="D730" i="24" s="1"/>
  <c r="E6683" i="23"/>
  <c r="D731" i="24" s="1"/>
  <c r="E6684" i="23"/>
  <c r="D732" i="24" s="1"/>
  <c r="E6685" i="23"/>
  <c r="D733" i="24" s="1"/>
  <c r="E6686" i="23"/>
  <c r="E6687" i="23"/>
  <c r="E6688" i="23"/>
  <c r="E6689" i="23"/>
  <c r="E6690" i="23"/>
  <c r="E6691" i="23"/>
  <c r="E6692" i="23"/>
  <c r="E6693" i="23"/>
  <c r="E6694" i="23"/>
  <c r="E6695" i="23"/>
  <c r="E6696" i="23"/>
  <c r="E6697" i="23"/>
  <c r="D735" i="24" s="1"/>
  <c r="E6698" i="23"/>
  <c r="D736" i="24" s="1"/>
  <c r="E6699" i="23"/>
  <c r="E6700" i="23"/>
  <c r="E6701" i="23"/>
  <c r="E6702" i="23"/>
  <c r="E6703" i="23"/>
  <c r="E6704" i="23"/>
  <c r="E6705" i="23"/>
  <c r="E6706" i="23"/>
  <c r="E6707" i="23"/>
  <c r="E6708" i="23"/>
  <c r="E6709" i="23"/>
  <c r="E6710" i="23"/>
  <c r="E6711" i="23"/>
  <c r="E6712" i="23"/>
  <c r="E6713" i="23"/>
  <c r="E6714" i="23"/>
  <c r="E6715" i="23"/>
  <c r="E6716" i="23"/>
  <c r="E6717" i="23"/>
  <c r="E6718" i="23"/>
  <c r="E6719" i="23"/>
  <c r="E6720" i="23"/>
  <c r="E6721" i="23"/>
  <c r="D739" i="24" s="1"/>
  <c r="E6722" i="23"/>
  <c r="E6723" i="23"/>
  <c r="E6724" i="23"/>
  <c r="E6725" i="23"/>
  <c r="D741" i="24" s="1"/>
  <c r="E6726" i="23"/>
  <c r="E6727" i="23"/>
  <c r="E6728" i="23"/>
  <c r="E6729" i="23"/>
  <c r="E6730" i="23"/>
  <c r="E6731" i="23"/>
  <c r="E6732" i="23"/>
  <c r="E6733" i="23"/>
  <c r="E6734" i="23"/>
  <c r="E6735" i="23"/>
  <c r="E6736" i="23"/>
  <c r="E6737" i="23"/>
  <c r="E6738" i="23"/>
  <c r="E6739" i="23"/>
  <c r="E6740" i="23"/>
  <c r="E6741" i="23"/>
  <c r="E6742" i="23"/>
  <c r="E6743" i="23"/>
  <c r="E6744" i="23"/>
  <c r="E6745" i="23"/>
  <c r="E6746" i="23"/>
  <c r="E6747" i="23"/>
  <c r="E6748" i="23"/>
  <c r="E6749" i="23"/>
  <c r="E6750" i="23"/>
  <c r="E6751" i="23"/>
  <c r="E6752" i="23"/>
  <c r="E6753" i="23"/>
  <c r="E6754" i="23"/>
  <c r="E6755" i="23"/>
  <c r="E6756" i="23"/>
  <c r="E6757" i="23"/>
  <c r="E6758" i="23"/>
  <c r="E6759" i="23"/>
  <c r="E6760" i="23"/>
  <c r="E6761" i="23"/>
  <c r="E6762" i="23"/>
  <c r="E6763" i="23"/>
  <c r="E6764" i="23"/>
  <c r="E6765" i="23"/>
  <c r="E6766" i="23"/>
  <c r="E6767" i="23"/>
  <c r="E6768" i="23"/>
  <c r="E6769" i="23"/>
  <c r="E6770" i="23"/>
  <c r="E6771" i="23"/>
  <c r="E6772" i="23"/>
  <c r="E6773" i="23"/>
  <c r="E6774" i="23"/>
  <c r="E6775" i="23"/>
  <c r="E6776" i="23"/>
  <c r="E6777" i="23"/>
  <c r="E6778" i="23"/>
  <c r="E6779" i="23"/>
  <c r="E6780" i="23"/>
  <c r="E6781" i="23"/>
  <c r="E6782" i="23"/>
  <c r="E6783" i="23"/>
  <c r="E6784" i="23"/>
  <c r="E6785" i="23"/>
  <c r="E6786" i="23"/>
  <c r="E6787" i="23"/>
  <c r="E6788" i="23"/>
  <c r="E6789" i="23"/>
  <c r="E6790" i="23"/>
  <c r="E6791" i="23"/>
  <c r="E6792" i="23"/>
  <c r="E6793" i="23"/>
  <c r="E6794" i="23"/>
  <c r="E6795" i="23"/>
  <c r="E6796" i="23"/>
  <c r="E6797" i="23"/>
  <c r="E6798" i="23"/>
  <c r="E6799" i="23"/>
  <c r="E6800" i="23"/>
  <c r="E6801" i="23"/>
  <c r="E6802" i="23"/>
  <c r="E6803" i="23"/>
  <c r="E6804" i="23"/>
  <c r="E6805" i="23"/>
  <c r="E6806" i="23"/>
  <c r="E6807" i="23"/>
  <c r="E6808" i="23"/>
  <c r="E6809" i="23"/>
  <c r="E6810" i="23"/>
  <c r="E6811" i="23"/>
  <c r="E6812" i="23"/>
  <c r="E6813" i="23"/>
  <c r="E6814" i="23"/>
  <c r="E6815" i="23"/>
  <c r="E6816" i="23"/>
  <c r="E6817" i="23"/>
  <c r="E6818" i="23"/>
  <c r="E6819" i="23"/>
  <c r="E6820" i="23"/>
  <c r="E6821" i="23"/>
  <c r="E6822" i="23"/>
  <c r="E6823" i="23"/>
  <c r="E6824" i="23"/>
  <c r="E6825" i="23"/>
  <c r="E6826" i="23"/>
  <c r="E6827" i="23"/>
  <c r="E6828" i="23"/>
  <c r="E6829" i="23"/>
  <c r="E6830" i="23"/>
  <c r="E6831" i="23"/>
  <c r="E6832" i="23"/>
  <c r="E6833" i="23"/>
  <c r="E6834" i="23"/>
  <c r="E6835" i="23"/>
  <c r="E6836" i="23"/>
  <c r="E6837" i="23"/>
  <c r="E6838" i="23"/>
  <c r="E6839" i="23"/>
  <c r="E6840" i="23"/>
  <c r="E6841" i="23"/>
  <c r="E6842" i="23"/>
  <c r="E6843" i="23"/>
  <c r="E6844" i="23"/>
  <c r="E6845" i="23"/>
  <c r="E6846" i="23"/>
  <c r="E6847" i="23"/>
  <c r="E6848" i="23"/>
  <c r="E6849" i="23"/>
  <c r="E6850" i="23"/>
  <c r="E6851" i="23"/>
  <c r="E6852" i="23"/>
  <c r="E6853" i="23"/>
  <c r="E6854" i="23"/>
  <c r="E6855" i="23"/>
  <c r="E6856" i="23"/>
  <c r="E6857" i="23"/>
  <c r="E6858" i="23"/>
  <c r="E6859" i="23"/>
  <c r="E6860" i="23"/>
  <c r="E6861" i="23"/>
  <c r="D751" i="24" s="1"/>
  <c r="E6862" i="23"/>
  <c r="D752" i="24" s="1"/>
  <c r="E6863" i="23"/>
  <c r="E6864" i="23"/>
  <c r="E6865" i="23"/>
  <c r="E6866" i="23"/>
  <c r="E6867" i="23"/>
  <c r="E6868" i="23"/>
  <c r="E6869" i="23"/>
  <c r="E6870" i="23"/>
  <c r="E6871" i="23"/>
  <c r="E6872" i="23"/>
  <c r="E6873" i="23"/>
  <c r="E6874" i="23"/>
  <c r="E6875" i="23"/>
  <c r="E6876" i="23"/>
  <c r="D754" i="24" s="1"/>
  <c r="E6877" i="23"/>
  <c r="E6878" i="23"/>
  <c r="E6879" i="23"/>
  <c r="E6880" i="23"/>
  <c r="E6881" i="23"/>
  <c r="E6882" i="23"/>
  <c r="E6883" i="23"/>
  <c r="E6884" i="23"/>
  <c r="E6885" i="23"/>
  <c r="E6886" i="23"/>
  <c r="D756" i="24" s="1"/>
  <c r="E6887" i="23"/>
  <c r="D757" i="24" s="1"/>
  <c r="E6888" i="23"/>
  <c r="E6889" i="23"/>
  <c r="E6890" i="23"/>
  <c r="E6891" i="23"/>
  <c r="E6892" i="23"/>
  <c r="E6893" i="23"/>
  <c r="E6894" i="23"/>
  <c r="D758" i="24" s="1"/>
  <c r="E6895" i="23"/>
  <c r="D759" i="24" s="1"/>
  <c r="E6896" i="23"/>
  <c r="E6897" i="23"/>
  <c r="E6898" i="23"/>
  <c r="E6899" i="23"/>
  <c r="E6900" i="23"/>
  <c r="E6901" i="23"/>
  <c r="E6902" i="23"/>
  <c r="E6903" i="23"/>
  <c r="E6904" i="23"/>
  <c r="E6905" i="23"/>
  <c r="E6906" i="23"/>
  <c r="E6907" i="23"/>
  <c r="E6908" i="23"/>
  <c r="E6909" i="23"/>
  <c r="E6910" i="23"/>
  <c r="E6911" i="23"/>
  <c r="E6912" i="23"/>
  <c r="E6913" i="23"/>
  <c r="E6914" i="23"/>
  <c r="E6915" i="23"/>
  <c r="E6916" i="23"/>
  <c r="D761" i="24" s="1"/>
  <c r="E6917" i="23"/>
  <c r="E6918" i="23"/>
  <c r="E6919" i="23"/>
  <c r="E6920" i="23"/>
  <c r="E6921" i="23"/>
  <c r="E6922" i="23"/>
  <c r="E6923" i="23"/>
  <c r="E6924" i="23"/>
  <c r="E6925" i="23"/>
  <c r="E6926" i="23"/>
  <c r="E6927" i="23"/>
  <c r="E6928" i="23"/>
  <c r="E6929" i="23"/>
  <c r="E6930" i="23"/>
  <c r="E6931" i="23"/>
  <c r="E6932" i="23"/>
  <c r="E6933" i="23"/>
  <c r="E6934" i="23"/>
  <c r="D764" i="24" s="1"/>
  <c r="E6935" i="23"/>
  <c r="E6936" i="23"/>
  <c r="E6937" i="23"/>
  <c r="E6938" i="23"/>
  <c r="E6939" i="23"/>
  <c r="E6940" i="23"/>
  <c r="E6941" i="23"/>
  <c r="E6942" i="23"/>
  <c r="E6943" i="23"/>
  <c r="E6944" i="23"/>
  <c r="E6945" i="23"/>
  <c r="E6946" i="23"/>
  <c r="E6947" i="23"/>
  <c r="E6948" i="23"/>
  <c r="E6949" i="23"/>
  <c r="E6950" i="23"/>
  <c r="E6951" i="23"/>
  <c r="E6952" i="23"/>
  <c r="E6953" i="23"/>
  <c r="E6954" i="23"/>
  <c r="E6955" i="23"/>
  <c r="E6956" i="23"/>
  <c r="E6957" i="23"/>
  <c r="E6958" i="23"/>
  <c r="E6959" i="23"/>
  <c r="E6960" i="23"/>
  <c r="E6961" i="23"/>
  <c r="E6962" i="23"/>
  <c r="E6963" i="23"/>
  <c r="D766" i="24" s="1"/>
  <c r="E6964" i="23"/>
  <c r="D767" i="24" s="1"/>
  <c r="E6965" i="23"/>
  <c r="D768" i="24" s="1"/>
  <c r="E6966" i="23"/>
  <c r="D769" i="24" s="1"/>
  <c r="E6967" i="23"/>
  <c r="D770" i="24" s="1"/>
  <c r="E6968" i="23"/>
  <c r="E6969" i="23"/>
  <c r="E6970" i="23"/>
  <c r="E6971" i="23"/>
  <c r="E6972" i="23"/>
  <c r="E6973" i="23"/>
  <c r="E6974" i="23"/>
  <c r="E6975" i="23"/>
  <c r="E6976" i="23"/>
  <c r="E6977" i="23"/>
  <c r="E6978" i="23"/>
  <c r="E6979" i="23"/>
  <c r="E6980" i="23"/>
  <c r="E6981" i="23"/>
  <c r="E6982" i="23"/>
  <c r="E6983" i="23"/>
  <c r="E6984" i="23"/>
  <c r="E6985" i="23"/>
  <c r="E6986" i="23"/>
  <c r="E6987" i="23"/>
  <c r="E6988" i="23"/>
  <c r="E6989" i="23"/>
  <c r="E6990" i="23"/>
  <c r="E6991" i="23"/>
  <c r="E6992" i="23"/>
  <c r="E6993" i="23"/>
  <c r="E6994" i="23"/>
  <c r="E6995" i="23"/>
  <c r="E6996" i="23"/>
  <c r="E6997" i="23"/>
  <c r="E6998" i="23"/>
  <c r="E6999" i="23"/>
  <c r="E7000" i="23"/>
  <c r="E7001" i="23"/>
  <c r="E7002" i="23"/>
  <c r="E7003" i="23"/>
  <c r="E7004" i="23"/>
  <c r="E7005" i="23"/>
  <c r="E7006" i="23"/>
  <c r="D772" i="24" s="1"/>
  <c r="E7007" i="23"/>
  <c r="D773" i="24" s="1"/>
  <c r="E7008" i="23"/>
  <c r="E7009" i="23"/>
  <c r="E7010" i="23"/>
  <c r="E7011" i="23"/>
  <c r="E7012" i="23"/>
  <c r="E7013" i="23"/>
  <c r="D775" i="24" s="1"/>
  <c r="E7014" i="23"/>
  <c r="D776" i="24" s="1"/>
  <c r="E7015" i="23"/>
  <c r="D777" i="24" s="1"/>
  <c r="E7016" i="23"/>
  <c r="D778" i="24" s="1"/>
  <c r="E7017" i="23"/>
  <c r="E7018" i="23"/>
  <c r="E7019" i="23"/>
  <c r="E7020" i="23"/>
  <c r="E7021" i="23"/>
  <c r="E7022" i="23"/>
  <c r="E7023" i="23"/>
  <c r="E7024" i="23"/>
  <c r="E7025" i="23"/>
  <c r="E7026" i="23"/>
  <c r="E7027" i="23"/>
  <c r="E7028" i="23"/>
  <c r="E7029" i="23"/>
  <c r="E7030" i="23"/>
  <c r="E7031" i="23"/>
  <c r="E7032" i="23"/>
  <c r="E7033" i="23"/>
  <c r="E7034" i="23"/>
  <c r="E7035" i="23"/>
  <c r="E7036" i="23"/>
  <c r="E7037" i="23"/>
  <c r="E7038" i="23"/>
  <c r="E7039" i="23"/>
  <c r="E7040" i="23"/>
  <c r="E7041" i="23"/>
  <c r="E7042" i="23"/>
  <c r="E7043" i="23"/>
  <c r="E7044" i="23"/>
  <c r="E7045" i="23"/>
  <c r="E7046" i="23"/>
  <c r="E7047" i="23"/>
  <c r="E7048" i="23"/>
  <c r="E7049" i="23"/>
  <c r="E7050" i="23"/>
  <c r="E7051" i="23"/>
  <c r="E7052" i="23"/>
  <c r="E7053" i="23"/>
  <c r="E7054" i="23"/>
  <c r="E7055" i="23"/>
  <c r="D782" i="24" s="1"/>
  <c r="E7056" i="23"/>
  <c r="E7057" i="23"/>
  <c r="E7058" i="23"/>
  <c r="E7059" i="23"/>
  <c r="E7060" i="23"/>
  <c r="E7061" i="23"/>
  <c r="E7062" i="23"/>
  <c r="E7063" i="23"/>
  <c r="E7064" i="23"/>
  <c r="E7065" i="23"/>
  <c r="E7066" i="23"/>
  <c r="E7067" i="23"/>
  <c r="E7068" i="23"/>
  <c r="E7069" i="23"/>
  <c r="E7070" i="23"/>
  <c r="E7071" i="23"/>
  <c r="E7072" i="23"/>
  <c r="E7073" i="23"/>
  <c r="E7074" i="23"/>
  <c r="E7075" i="23"/>
  <c r="E7076" i="23"/>
  <c r="E7077" i="23"/>
  <c r="E7078" i="23"/>
  <c r="E7079" i="23"/>
  <c r="E7080" i="23"/>
  <c r="E7081" i="23"/>
  <c r="E7082" i="23"/>
  <c r="E7083" i="23"/>
  <c r="E7084" i="23"/>
  <c r="E7085" i="23"/>
  <c r="E7086" i="23"/>
  <c r="E7087" i="23"/>
  <c r="E7088" i="23"/>
  <c r="E7089" i="23"/>
  <c r="E7090" i="23"/>
  <c r="E7091" i="23"/>
  <c r="E7092" i="23"/>
  <c r="E7093" i="23"/>
  <c r="E7094" i="23"/>
  <c r="D784" i="24" s="1"/>
  <c r="E7095" i="23"/>
  <c r="E7096" i="23"/>
  <c r="E7097" i="23"/>
  <c r="E7098" i="23"/>
  <c r="E7099" i="23"/>
  <c r="E7100" i="23"/>
  <c r="E7101" i="23"/>
  <c r="D785" i="24" s="1"/>
  <c r="E7102" i="23"/>
  <c r="D786" i="24" s="1"/>
  <c r="E7103" i="23"/>
  <c r="D787" i="24" s="1"/>
  <c r="E7104" i="23"/>
  <c r="E7105" i="23"/>
  <c r="E7106" i="23"/>
  <c r="E7107" i="23"/>
  <c r="E7108" i="23"/>
  <c r="E7109" i="23"/>
  <c r="E7110" i="23"/>
  <c r="E7111" i="23"/>
  <c r="D789" i="24" s="1"/>
  <c r="E7112" i="23"/>
  <c r="E7113" i="23"/>
  <c r="E7114" i="23"/>
  <c r="E7115" i="23"/>
  <c r="E7116" i="23"/>
  <c r="E7117" i="23"/>
  <c r="E7118" i="23"/>
  <c r="D790" i="24" s="1"/>
  <c r="E7119" i="23"/>
  <c r="D791" i="24" s="1"/>
  <c r="E7120" i="23"/>
  <c r="D792" i="24" s="1"/>
  <c r="E7121" i="23"/>
  <c r="E7122" i="23"/>
  <c r="E7123" i="23"/>
  <c r="E7124" i="23"/>
  <c r="E7125" i="23"/>
  <c r="D794" i="24" s="1"/>
  <c r="E7126" i="23"/>
  <c r="E7127" i="23"/>
  <c r="E7128" i="23"/>
  <c r="E7129" i="23"/>
  <c r="E7130" i="23"/>
  <c r="E7131" i="23"/>
  <c r="D795" i="24" s="1"/>
  <c r="E7132" i="23"/>
  <c r="E7133" i="23"/>
  <c r="E7134" i="23"/>
  <c r="E7135" i="23"/>
  <c r="D797" i="24" s="1"/>
  <c r="E7136" i="23"/>
  <c r="D798" i="24" s="1"/>
  <c r="E7137" i="23"/>
  <c r="D799" i="24" s="1"/>
  <c r="E7138" i="23"/>
  <c r="D800" i="24" s="1"/>
  <c r="E7139" i="23"/>
  <c r="E7140" i="23"/>
  <c r="E7141" i="23"/>
  <c r="E7142" i="23"/>
  <c r="E7143" i="23"/>
  <c r="E7144" i="23"/>
  <c r="E7145" i="23"/>
  <c r="E7146" i="23"/>
  <c r="E7147" i="23"/>
  <c r="E7148" i="23"/>
  <c r="E7149" i="23"/>
  <c r="E7150" i="23"/>
  <c r="E7151" i="23"/>
  <c r="E7152" i="23"/>
  <c r="E7153" i="23"/>
  <c r="E7154" i="23"/>
  <c r="E7155" i="23"/>
  <c r="E7156" i="23"/>
  <c r="E7157" i="23"/>
  <c r="E7158" i="23"/>
  <c r="E7159" i="23"/>
  <c r="E7160" i="23"/>
  <c r="E7161" i="23"/>
  <c r="E7162" i="23"/>
  <c r="E7163" i="23"/>
  <c r="E7164" i="23"/>
  <c r="E7165" i="23"/>
  <c r="E7166" i="23"/>
  <c r="E7167" i="23"/>
  <c r="E7168" i="23"/>
  <c r="E7169" i="23"/>
  <c r="E7170" i="23"/>
  <c r="E7171" i="23"/>
  <c r="E7172" i="23"/>
  <c r="E7173" i="23"/>
  <c r="E7174" i="23"/>
  <c r="E7175" i="23"/>
  <c r="E7176" i="23"/>
  <c r="E7177" i="23"/>
  <c r="E7178" i="23"/>
  <c r="E7179" i="23"/>
  <c r="E7180" i="23"/>
  <c r="E7181" i="23"/>
  <c r="E7182" i="23"/>
  <c r="E7183" i="23"/>
  <c r="E7184" i="23"/>
  <c r="E7185" i="23"/>
  <c r="E7186" i="23"/>
  <c r="E7187" i="23"/>
  <c r="E7188" i="23"/>
  <c r="E7189" i="23"/>
  <c r="E7190" i="23"/>
  <c r="E7191" i="23"/>
  <c r="E7192" i="23"/>
  <c r="E7193" i="23"/>
  <c r="E7194" i="23"/>
  <c r="E7195" i="23"/>
  <c r="E7196" i="23"/>
  <c r="E7197" i="23"/>
  <c r="E7198" i="23"/>
  <c r="E7199" i="23"/>
  <c r="E7200" i="23"/>
  <c r="E7201" i="23"/>
  <c r="E7202" i="23"/>
  <c r="E7203" i="23"/>
  <c r="E7204" i="23"/>
  <c r="E7205" i="23"/>
  <c r="D804" i="24" s="1"/>
  <c r="E7206" i="23"/>
  <c r="D805" i="24" s="1"/>
  <c r="E7207" i="23"/>
  <c r="E7208" i="23"/>
  <c r="E7209" i="23"/>
  <c r="E7210" i="23"/>
  <c r="D806" i="24" s="1"/>
  <c r="E7211" i="23"/>
  <c r="E7212" i="23"/>
  <c r="E7213" i="23"/>
  <c r="E7214" i="23"/>
  <c r="D808" i="24" s="1"/>
  <c r="E7215" i="23"/>
  <c r="D809" i="24" s="1"/>
  <c r="E7216" i="23"/>
  <c r="D810" i="24" s="1"/>
  <c r="E7217" i="23"/>
  <c r="E7218" i="23"/>
  <c r="E7219" i="23"/>
  <c r="E7220" i="23"/>
  <c r="E7221" i="23"/>
  <c r="E7222" i="23"/>
  <c r="D812" i="24" s="1"/>
  <c r="E7223" i="23"/>
  <c r="D813" i="24" s="1"/>
  <c r="E7224" i="23"/>
  <c r="D814" i="24" s="1"/>
  <c r="E7225" i="23"/>
  <c r="E7226" i="23"/>
  <c r="E7227" i="23"/>
  <c r="D815" i="24" s="1"/>
  <c r="E7228" i="23"/>
  <c r="D816" i="24" s="1"/>
  <c r="E7229" i="23"/>
  <c r="D817" i="24" s="1"/>
  <c r="E7230" i="23"/>
  <c r="D818" i="24" s="1"/>
  <c r="E7231" i="23"/>
  <c r="D819" i="24" s="1"/>
  <c r="E7232" i="23"/>
  <c r="D820" i="24" s="1"/>
  <c r="E7233" i="23"/>
  <c r="D821" i="24" s="1"/>
  <c r="E7234" i="23"/>
  <c r="E7235" i="23"/>
  <c r="E7236" i="23"/>
  <c r="D823" i="24" s="1"/>
  <c r="E7237" i="23"/>
  <c r="E7238" i="23"/>
  <c r="E7239" i="23"/>
  <c r="D825" i="24" s="1"/>
  <c r="E7240" i="23"/>
  <c r="E7241" i="23"/>
  <c r="E7242" i="23"/>
  <c r="E7243" i="23"/>
  <c r="E7244" i="23"/>
  <c r="E7245" i="23"/>
  <c r="D826" i="24" s="1"/>
  <c r="E7246" i="23"/>
  <c r="D827" i="24" s="1"/>
  <c r="E7247" i="23"/>
  <c r="D828" i="24" s="1"/>
  <c r="E7248" i="23"/>
  <c r="D829" i="24" s="1"/>
  <c r="E7249" i="23"/>
  <c r="E7250" i="23"/>
  <c r="E7251" i="23"/>
  <c r="D830" i="24" s="1"/>
  <c r="E7252" i="23"/>
  <c r="D831" i="24" s="1"/>
  <c r="E7253" i="23"/>
  <c r="D832" i="24" s="1"/>
  <c r="E7254" i="23"/>
  <c r="D833" i="24" s="1"/>
  <c r="E7255" i="23"/>
  <c r="D834" i="24" s="1"/>
  <c r="E7256" i="23"/>
  <c r="E7257" i="23"/>
  <c r="E7258" i="23"/>
  <c r="D835" i="24" s="1"/>
  <c r="E7259" i="23"/>
  <c r="D836" i="24" s="1"/>
  <c r="E7260" i="23"/>
  <c r="D837" i="24" s="1"/>
  <c r="E7261" i="23"/>
  <c r="D838" i="24" s="1"/>
  <c r="E7262" i="23"/>
  <c r="E7263" i="23"/>
  <c r="E7264" i="23"/>
  <c r="E7265" i="23"/>
  <c r="D840" i="24" s="1"/>
  <c r="E7266" i="23"/>
  <c r="D841" i="24" s="1"/>
  <c r="E7267" i="23"/>
  <c r="E7268" i="23"/>
  <c r="E7269" i="23"/>
  <c r="E7270" i="23"/>
  <c r="E7271" i="23"/>
  <c r="E7272" i="23"/>
  <c r="D842" i="24" s="1"/>
  <c r="E7273" i="23"/>
  <c r="E7274" i="23"/>
  <c r="E7275" i="23"/>
  <c r="E7276" i="23"/>
  <c r="E7277" i="23"/>
  <c r="E7278" i="23"/>
  <c r="E7279" i="23"/>
  <c r="D843" i="24" s="1"/>
  <c r="E7280" i="23"/>
  <c r="D844" i="24" s="1"/>
  <c r="E7281" i="23"/>
  <c r="D845" i="24" s="1"/>
  <c r="E7282" i="23"/>
  <c r="D846" i="24" s="1"/>
  <c r="E7283" i="23"/>
  <c r="D847" i="24" s="1"/>
  <c r="E7284" i="23"/>
  <c r="D848" i="24" s="1"/>
  <c r="E7285" i="23"/>
  <c r="D849" i="24" s="1"/>
  <c r="E7286" i="23"/>
  <c r="E7287" i="23"/>
  <c r="E7288" i="23"/>
  <c r="E7289" i="23"/>
  <c r="E7290" i="23"/>
  <c r="E7291" i="23"/>
  <c r="D851" i="24" s="1"/>
  <c r="E7292" i="23"/>
  <c r="E7293" i="23"/>
  <c r="D852" i="24" s="1"/>
  <c r="E7294" i="23"/>
  <c r="D853" i="24" s="1"/>
  <c r="E7295" i="23"/>
  <c r="D854" i="24" s="1"/>
  <c r="E7296" i="23"/>
  <c r="D855" i="24" s="1"/>
  <c r="E7297" i="23"/>
  <c r="E7298" i="23"/>
  <c r="E7299" i="23"/>
  <c r="E7300" i="23"/>
  <c r="E7301" i="23"/>
  <c r="D857" i="24" s="1"/>
  <c r="E7302" i="23"/>
  <c r="D858" i="24" s="1"/>
  <c r="E2" i="23"/>
  <c r="D2" i="24" s="1"/>
  <c r="D839" i="24" l="1"/>
  <c r="D30" i="24"/>
  <c r="D3" i="24"/>
  <c r="D850" i="24"/>
  <c r="D207" i="24"/>
  <c r="D203" i="24"/>
  <c r="D105" i="24"/>
  <c r="D92" i="24"/>
  <c r="D755" i="24"/>
  <c r="D726" i="24"/>
  <c r="D689" i="24"/>
  <c r="D681" i="24"/>
  <c r="D655" i="24"/>
  <c r="D639" i="24"/>
  <c r="D590" i="24"/>
  <c r="D489" i="24"/>
  <c r="D762" i="24"/>
  <c r="D628" i="24"/>
  <c r="D613" i="24"/>
  <c r="D591" i="24"/>
  <c r="D561" i="24"/>
  <c r="D522" i="24"/>
  <c r="D509" i="24"/>
  <c r="D463" i="24"/>
  <c r="D411" i="24"/>
  <c r="D386" i="24"/>
  <c r="D376" i="24"/>
  <c r="D370" i="24"/>
  <c r="D314" i="24"/>
  <c r="D295" i="24"/>
  <c r="D278" i="24"/>
  <c r="D276" i="24"/>
  <c r="D267" i="24"/>
  <c r="D256" i="24"/>
  <c r="D240" i="24"/>
  <c r="D236" i="24"/>
  <c r="D219" i="24"/>
  <c r="D206" i="24"/>
  <c r="D118" i="24"/>
  <c r="D86" i="24"/>
  <c r="D43" i="24"/>
  <c r="D26" i="24"/>
  <c r="D13" i="24"/>
  <c r="D632" i="24"/>
  <c r="D623" i="24"/>
  <c r="D646" i="24"/>
  <c r="D571" i="24"/>
  <c r="D492" i="24"/>
  <c r="D631" i="24"/>
  <c r="D822" i="24"/>
  <c r="D292" i="24"/>
  <c r="D189" i="24"/>
  <c r="D15" i="24"/>
  <c r="H6" i="23" s="1"/>
  <c r="D39" i="24"/>
  <c r="D734" i="24"/>
  <c r="D824" i="24"/>
  <c r="D700" i="24"/>
  <c r="D683" i="24"/>
  <c r="D647" i="24"/>
  <c r="D616" i="24"/>
  <c r="D559" i="24"/>
  <c r="D557" i="24"/>
  <c r="D553" i="24"/>
  <c r="D513" i="24"/>
  <c r="D497" i="24"/>
  <c r="D594" i="24"/>
  <c r="D544" i="24"/>
  <c r="D504" i="24"/>
  <c r="D493" i="24"/>
  <c r="D477" i="24"/>
  <c r="D455" i="24"/>
  <c r="D447" i="24"/>
  <c r="D441" i="24"/>
  <c r="D432" i="24"/>
  <c r="D425" i="24"/>
  <c r="D406" i="24"/>
  <c r="D391" i="24"/>
  <c r="D387" i="24"/>
  <c r="D377" i="24"/>
  <c r="D371" i="24"/>
  <c r="D354" i="24"/>
  <c r="D353" i="24"/>
  <c r="D714" i="24"/>
  <c r="D807" i="24"/>
  <c r="D771" i="24"/>
  <c r="D749" i="24"/>
  <c r="D743" i="24"/>
  <c r="D738" i="24"/>
  <c r="D737" i="24"/>
  <c r="D725" i="24"/>
  <c r="D715" i="24"/>
  <c r="D620" i="24"/>
  <c r="D563" i="24"/>
  <c r="D465" i="24"/>
  <c r="D724" i="24"/>
  <c r="D856" i="24"/>
  <c r="D747" i="24"/>
  <c r="D746" i="24"/>
  <c r="D744" i="24"/>
  <c r="D740" i="24"/>
  <c r="D727" i="24"/>
  <c r="D713" i="24"/>
  <c r="D697" i="24"/>
  <c r="D691" i="24"/>
  <c r="D678" i="24"/>
  <c r="D634" i="24"/>
  <c r="D584" i="24"/>
  <c r="D556" i="24"/>
  <c r="D537" i="24"/>
  <c r="D521" i="24"/>
  <c r="D801" i="24"/>
  <c r="D763" i="24"/>
  <c r="D811" i="24"/>
  <c r="D793" i="24"/>
  <c r="D779" i="24"/>
  <c r="D745" i="24"/>
  <c r="D687" i="24"/>
  <c r="D672" i="24"/>
  <c r="D667" i="24"/>
  <c r="D665" i="24"/>
  <c r="D664" i="24"/>
  <c r="D638" i="24"/>
  <c r="D635" i="24"/>
  <c r="D619" i="24"/>
  <c r="D614" i="24"/>
  <c r="D611" i="24"/>
  <c r="D596" i="24"/>
  <c r="D585" i="24"/>
  <c r="D529" i="24"/>
  <c r="D796" i="24"/>
  <c r="D729" i="24"/>
  <c r="D803" i="24"/>
  <c r="D788" i="24"/>
  <c r="D783" i="24"/>
  <c r="D781" i="24"/>
  <c r="D774" i="24"/>
  <c r="D760" i="24"/>
  <c r="D750" i="24"/>
  <c r="D748" i="24"/>
  <c r="D682" i="24"/>
  <c r="D651" i="24"/>
  <c r="D649" i="24"/>
  <c r="D648" i="24"/>
  <c r="D505" i="24"/>
  <c r="D802" i="24"/>
  <c r="D780" i="24"/>
  <c r="D765" i="24"/>
  <c r="D753" i="24"/>
  <c r="D712" i="24"/>
  <c r="D710" i="24"/>
  <c r="D707" i="24"/>
  <c r="D706" i="24"/>
  <c r="D701" i="24"/>
  <c r="D695" i="24"/>
  <c r="D690" i="24"/>
  <c r="D669" i="24"/>
  <c r="D481" i="24"/>
  <c r="D742" i="24"/>
  <c r="D723" i="24"/>
  <c r="D717" i="24"/>
  <c r="D688" i="24"/>
  <c r="D685" i="24"/>
  <c r="D586" i="24"/>
  <c r="D551" i="24"/>
  <c r="D542" i="24"/>
  <c r="D533" i="24"/>
  <c r="D503" i="24"/>
  <c r="D502" i="24"/>
  <c r="D488" i="24"/>
  <c r="D484" i="24"/>
  <c r="D482" i="24"/>
  <c r="D476" i="24"/>
  <c r="D548" i="24"/>
  <c r="D541" i="24"/>
  <c r="D535" i="24"/>
  <c r="D517" i="24"/>
  <c r="D516" i="24"/>
  <c r="D514" i="24"/>
  <c r="D510" i="24"/>
  <c r="D471" i="24"/>
  <c r="D454" i="24"/>
  <c r="D452" i="24"/>
  <c r="D450" i="24"/>
  <c r="D449" i="24"/>
  <c r="D446" i="24"/>
  <c r="D435" i="24"/>
  <c r="D426" i="24"/>
  <c r="D421" i="24"/>
  <c r="D420" i="24"/>
  <c r="D397" i="24"/>
  <c r="D390" i="24"/>
  <c r="D385" i="24"/>
  <c r="D369" i="24"/>
  <c r="D359" i="24"/>
  <c r="D357" i="24"/>
  <c r="D345" i="24"/>
  <c r="D343" i="24"/>
  <c r="D337" i="24"/>
  <c r="D330" i="24"/>
  <c r="D319" i="24"/>
  <c r="D293" i="24"/>
  <c r="D289" i="24"/>
  <c r="D285" i="24"/>
  <c r="D283" i="24"/>
  <c r="D258" i="24"/>
  <c r="D251" i="24"/>
  <c r="D190" i="24"/>
  <c r="D175" i="24"/>
  <c r="D59" i="24"/>
  <c r="D40" i="24"/>
  <c r="D25" i="24"/>
  <c r="D18" i="24"/>
  <c r="D4" i="24"/>
  <c r="D547" i="24"/>
  <c r="D536" i="24"/>
  <c r="D496" i="24"/>
  <c r="D491" i="24"/>
  <c r="D490" i="24"/>
  <c r="D464" i="24"/>
  <c r="D458" i="24"/>
  <c r="D451" i="24"/>
  <c r="D439" i="24"/>
  <c r="D424" i="24"/>
  <c r="D413" i="24"/>
  <c r="D410" i="24"/>
  <c r="D408" i="24"/>
  <c r="D405" i="24"/>
  <c r="D402" i="24"/>
  <c r="D398" i="24"/>
  <c r="D383" i="24"/>
  <c r="D382" i="24"/>
  <c r="D374" i="24"/>
  <c r="D373" i="24"/>
  <c r="D364" i="24"/>
  <c r="D360" i="24"/>
  <c r="D358" i="24"/>
  <c r="D355" i="24"/>
  <c r="D346" i="24"/>
  <c r="D344" i="24"/>
  <c r="D340" i="24"/>
  <c r="D334" i="24"/>
  <c r="D331" i="24"/>
  <c r="D328" i="24"/>
  <c r="D323" i="24"/>
  <c r="D316" i="24"/>
  <c r="D298" i="24"/>
  <c r="D281" i="24"/>
  <c r="D280" i="24"/>
  <c r="D279" i="24"/>
  <c r="D268" i="24"/>
  <c r="D264" i="24"/>
  <c r="D257" i="24"/>
  <c r="D254" i="24"/>
  <c r="D249" i="24"/>
  <c r="D245" i="24"/>
  <c r="D244" i="24"/>
  <c r="D224" i="24"/>
  <c r="D220" i="24"/>
  <c r="D204" i="24"/>
  <c r="D195" i="24"/>
  <c r="D121" i="24"/>
  <c r="D103" i="24"/>
  <c r="D88" i="24"/>
  <c r="D82" i="24"/>
  <c r="D77" i="24"/>
  <c r="D74" i="24"/>
  <c r="D67" i="24"/>
  <c r="D65" i="24"/>
  <c r="D47" i="24"/>
  <c r="D9" i="24"/>
  <c r="D534" i="24"/>
  <c r="D498" i="24"/>
  <c r="D486" i="24"/>
  <c r="D480" i="24"/>
  <c r="D479" i="24"/>
  <c r="D475" i="24"/>
  <c r="D462" i="24"/>
  <c r="D457" i="24"/>
  <c r="D456" i="24"/>
  <c r="D453" i="24"/>
  <c r="D436" i="24"/>
  <c r="D429" i="24"/>
  <c r="D416" i="24"/>
  <c r="D409" i="24"/>
  <c r="D396" i="24"/>
  <c r="D372" i="24"/>
  <c r="D366" i="24"/>
  <c r="D365" i="24"/>
  <c r="D361" i="24"/>
  <c r="D356" i="24"/>
  <c r="D352" i="24"/>
  <c r="D332" i="24"/>
  <c r="D315" i="24"/>
  <c r="D302" i="24"/>
  <c r="D300" i="24"/>
  <c r="D297" i="24"/>
  <c r="D286" i="24"/>
  <c r="D273" i="24"/>
  <c r="D259" i="24"/>
  <c r="D253" i="24"/>
  <c r="D252" i="24"/>
  <c r="D243" i="24"/>
  <c r="D238" i="24"/>
  <c r="D228" i="24"/>
  <c r="D227" i="24"/>
  <c r="D217" i="24"/>
  <c r="D205" i="24"/>
  <c r="D183" i="24"/>
  <c r="D180" i="24"/>
  <c r="D163" i="24"/>
  <c r="D161" i="24"/>
  <c r="D144" i="24"/>
  <c r="D127" i="24"/>
  <c r="D58" i="24"/>
  <c r="D37" i="24"/>
  <c r="D8" i="24"/>
  <c r="D5" i="24"/>
  <c r="D624" i="24"/>
  <c r="D622" i="24"/>
  <c r="D608" i="24"/>
  <c r="D597" i="24"/>
  <c r="D575" i="24"/>
  <c r="D538" i="24"/>
  <c r="D531" i="24"/>
  <c r="D524" i="24"/>
  <c r="D519" i="24"/>
  <c r="D499" i="24"/>
  <c r="D495" i="24"/>
  <c r="D478" i="24"/>
  <c r="D442" i="24"/>
  <c r="D423" i="24"/>
  <c r="D419" i="24"/>
  <c r="D418" i="24"/>
  <c r="D394" i="24"/>
  <c r="D362" i="24"/>
  <c r="D351" i="24"/>
  <c r="D339" i="24"/>
  <c r="D333" i="24"/>
  <c r="D327" i="24"/>
  <c r="D320" i="24"/>
  <c r="D260" i="24"/>
  <c r="D241" i="24"/>
  <c r="D237" i="24"/>
  <c r="D230" i="24"/>
  <c r="D225" i="24"/>
  <c r="D221" i="24"/>
  <c r="D208" i="24"/>
  <c r="D200" i="24"/>
  <c r="D187" i="24"/>
  <c r="D157" i="24"/>
  <c r="D111" i="24"/>
  <c r="D102" i="24"/>
  <c r="D94" i="24"/>
  <c r="D61" i="24"/>
  <c r="D57" i="24"/>
  <c r="D50" i="24"/>
  <c r="D29" i="24"/>
  <c r="D636" i="24"/>
  <c r="D629" i="24"/>
  <c r="D610" i="24"/>
  <c r="D603" i="24"/>
  <c r="D602" i="24"/>
  <c r="D549" i="24"/>
  <c r="D543" i="24"/>
  <c r="D526" i="24"/>
  <c r="D520" i="24"/>
  <c r="D515" i="24"/>
  <c r="D467" i="24"/>
  <c r="D460" i="24"/>
  <c r="D448" i="24"/>
  <c r="D434" i="24"/>
  <c r="D427" i="24"/>
  <c r="D417" i="24"/>
  <c r="D415" i="24"/>
  <c r="D404" i="24"/>
  <c r="D389" i="24"/>
  <c r="D384" i="24"/>
  <c r="D379" i="24"/>
  <c r="D324" i="24"/>
  <c r="D321" i="24"/>
  <c r="D306" i="24"/>
  <c r="D290" i="24"/>
  <c r="D277" i="24"/>
  <c r="D271" i="24"/>
  <c r="D269" i="24"/>
  <c r="D265" i="24"/>
  <c r="D247" i="24"/>
  <c r="D246" i="24"/>
  <c r="D239" i="24"/>
  <c r="D223" i="24"/>
  <c r="D214" i="24"/>
  <c r="D193" i="24"/>
  <c r="D177" i="24"/>
  <c r="D172" i="24"/>
  <c r="D136" i="24"/>
  <c r="D122" i="24"/>
  <c r="D113" i="24"/>
  <c r="D83" i="24"/>
  <c r="D64" i="24"/>
  <c r="D51" i="24"/>
  <c r="D44" i="24"/>
  <c r="D23" i="24"/>
  <c r="D12" i="24"/>
  <c r="D461" i="24"/>
  <c r="D443" i="24"/>
  <c r="D437" i="24"/>
  <c r="D433" i="24"/>
  <c r="D430" i="24"/>
  <c r="D401" i="24"/>
  <c r="D400" i="24"/>
  <c r="D395" i="24"/>
  <c r="D388" i="24"/>
  <c r="D375" i="24"/>
  <c r="D368" i="24"/>
  <c r="D367" i="24"/>
  <c r="D363" i="24"/>
  <c r="D350" i="24"/>
  <c r="D347" i="24"/>
  <c r="D341" i="24"/>
  <c r="D335" i="24"/>
  <c r="D325" i="24"/>
  <c r="D305" i="24"/>
  <c r="D301" i="24"/>
  <c r="D275" i="24"/>
  <c r="D274" i="24"/>
  <c r="D272" i="24"/>
  <c r="D263" i="24"/>
  <c r="D255" i="24"/>
  <c r="D235" i="24"/>
  <c r="D211" i="24"/>
  <c r="D115" i="24"/>
  <c r="D101" i="24"/>
  <c r="D56" i="24"/>
  <c r="D54" i="24"/>
  <c r="D38" i="24"/>
  <c r="D10" i="24"/>
  <c r="D7" i="24"/>
  <c r="D539" i="24"/>
  <c r="D532" i="24"/>
  <c r="D525" i="24"/>
  <c r="D518" i="24"/>
  <c r="D500" i="24"/>
  <c r="D487" i="24"/>
  <c r="D485" i="24"/>
  <c r="D474" i="24"/>
  <c r="D459" i="24"/>
  <c r="D444" i="24"/>
  <c r="D440" i="24"/>
  <c r="D438" i="24"/>
  <c r="D431" i="24"/>
  <c r="D407" i="24"/>
  <c r="D403" i="24"/>
  <c r="D380" i="24"/>
  <c r="D378" i="24"/>
  <c r="D348" i="24"/>
  <c r="D342" i="24"/>
  <c r="D336" i="24"/>
  <c r="D326" i="24"/>
  <c r="D317" i="24"/>
  <c r="D313" i="24"/>
  <c r="D309" i="24"/>
  <c r="D307" i="24"/>
  <c r="D294" i="24"/>
  <c r="D291" i="24"/>
  <c r="D284" i="24"/>
  <c r="D266" i="24"/>
  <c r="D226" i="24"/>
  <c r="D222" i="24"/>
  <c r="D182" i="24"/>
  <c r="D171" i="24"/>
  <c r="D150" i="24"/>
  <c r="D141" i="24"/>
  <c r="D110" i="24"/>
  <c r="D97" i="24"/>
  <c r="D89" i="24"/>
  <c r="D60" i="24"/>
  <c r="D55" i="24"/>
  <c r="D34" i="24"/>
  <c r="D32" i="24"/>
  <c r="D338" i="24"/>
  <c r="D329" i="24"/>
  <c r="D312" i="24"/>
  <c r="D310" i="24"/>
  <c r="D304" i="24"/>
  <c r="D299" i="24"/>
  <c r="D287" i="24"/>
  <c r="D261" i="24"/>
  <c r="D213" i="24"/>
  <c r="D164" i="24"/>
  <c r="D126" i="24"/>
  <c r="D120" i="24"/>
  <c r="D17" i="24"/>
  <c r="AR64" i="8"/>
  <c r="AN64" i="8"/>
  <c r="AJ64" i="8"/>
  <c r="T64" i="8"/>
  <c r="AP64" i="8" s="1"/>
  <c r="Q33" i="11" s="1"/>
  <c r="P64" i="8"/>
  <c r="AL64" i="8" s="1"/>
  <c r="O33" i="11" s="1"/>
  <c r="T68" i="8"/>
  <c r="P68" i="8"/>
  <c r="T66" i="8"/>
  <c r="P66" i="8"/>
  <c r="C66" i="8"/>
  <c r="F34" i="11" s="1"/>
  <c r="C68" i="8"/>
  <c r="F35" i="11" s="1"/>
  <c r="P60" i="8"/>
  <c r="M84" i="21" l="1"/>
  <c r="P52" i="8" l="1"/>
  <c r="B9" i="2" l="1"/>
  <c r="B44" i="22" l="1"/>
  <c r="B43" i="22"/>
  <c r="B31" i="22"/>
  <c r="B15" i="22"/>
  <c r="B14" i="22"/>
  <c r="S103" i="21"/>
  <c r="O103" i="21"/>
  <c r="S100" i="21"/>
  <c r="O100" i="21"/>
  <c r="S80" i="21"/>
  <c r="O80" i="21"/>
  <c r="J60" i="21"/>
  <c r="L103" i="21" s="1"/>
  <c r="M103" i="21" s="1"/>
  <c r="R103" i="21" s="1"/>
  <c r="J59" i="21"/>
  <c r="M71" i="21" s="1"/>
  <c r="J58" i="21"/>
  <c r="M65" i="21" s="1"/>
  <c r="J57" i="21"/>
  <c r="J56" i="21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F49" i="11"/>
  <c r="F48" i="11"/>
  <c r="F47" i="11"/>
  <c r="F46" i="11"/>
  <c r="Q35" i="11"/>
  <c r="O35" i="11"/>
  <c r="CI524" i="10"/>
  <c r="CH524" i="10"/>
  <c r="BQ524" i="10"/>
  <c r="BP524" i="10"/>
  <c r="AW524" i="10"/>
  <c r="AV524" i="10"/>
  <c r="AJ524" i="10"/>
  <c r="AG524" i="10"/>
  <c r="X524" i="10"/>
  <c r="W524" i="10"/>
  <c r="K524" i="10"/>
  <c r="H524" i="10"/>
  <c r="CA523" i="10"/>
  <c r="BY523" i="10"/>
  <c r="BV523" i="10"/>
  <c r="BS523" i="10"/>
  <c r="BI523" i="10"/>
  <c r="BQ523" i="10" s="1"/>
  <c r="BG523" i="10"/>
  <c r="BD523" i="10"/>
  <c r="BA523" i="10"/>
  <c r="AO523" i="10"/>
  <c r="W523" i="10" s="1"/>
  <c r="AM523" i="10"/>
  <c r="AJ523" i="10"/>
  <c r="AG523" i="10"/>
  <c r="N523" i="10"/>
  <c r="X523" i="10" s="1"/>
  <c r="K523" i="10"/>
  <c r="H523" i="10"/>
  <c r="CA522" i="10"/>
  <c r="CI522" i="10" s="1"/>
  <c r="BY522" i="10"/>
  <c r="BV522" i="10"/>
  <c r="BS522" i="10"/>
  <c r="BI522" i="10"/>
  <c r="BQ522" i="10" s="1"/>
  <c r="BG522" i="10"/>
  <c r="BD522" i="10"/>
  <c r="BA522" i="10"/>
  <c r="AO522" i="10"/>
  <c r="AW522" i="10" s="1"/>
  <c r="AM522" i="10"/>
  <c r="AJ522" i="10"/>
  <c r="AG522" i="10"/>
  <c r="N522" i="10"/>
  <c r="X522" i="10" s="1"/>
  <c r="K522" i="10"/>
  <c r="H522" i="10"/>
  <c r="CA521" i="10"/>
  <c r="BY521" i="10"/>
  <c r="BV521" i="10"/>
  <c r="BS521" i="10"/>
  <c r="BI521" i="10"/>
  <c r="BQ521" i="10" s="1"/>
  <c r="BG521" i="10"/>
  <c r="BD521" i="10"/>
  <c r="BA521" i="10"/>
  <c r="AO521" i="10"/>
  <c r="AV521" i="10" s="1"/>
  <c r="AM521" i="10"/>
  <c r="AJ521" i="10"/>
  <c r="AG521" i="10"/>
  <c r="N521" i="10"/>
  <c r="X521" i="10" s="1"/>
  <c r="K521" i="10"/>
  <c r="H521" i="10"/>
  <c r="CA520" i="10"/>
  <c r="CH520" i="10" s="1"/>
  <c r="BY520" i="10"/>
  <c r="BV520" i="10"/>
  <c r="BS520" i="10"/>
  <c r="BI520" i="10"/>
  <c r="BQ520" i="10" s="1"/>
  <c r="BG520" i="10"/>
  <c r="BD520" i="10"/>
  <c r="BA520" i="10"/>
  <c r="AO520" i="10"/>
  <c r="AW520" i="10" s="1"/>
  <c r="AM520" i="10"/>
  <c r="AJ520" i="10"/>
  <c r="AG520" i="10"/>
  <c r="N520" i="10"/>
  <c r="X520" i="10" s="1"/>
  <c r="K520" i="10"/>
  <c r="H520" i="10"/>
  <c r="CA519" i="10"/>
  <c r="CI519" i="10" s="1"/>
  <c r="BY519" i="10"/>
  <c r="BV519" i="10"/>
  <c r="BS519" i="10"/>
  <c r="BI519" i="10"/>
  <c r="BP519" i="10" s="1"/>
  <c r="BG519" i="10"/>
  <c r="BD519" i="10"/>
  <c r="BA519" i="10"/>
  <c r="AO519" i="10"/>
  <c r="AM519" i="10"/>
  <c r="AJ519" i="10"/>
  <c r="AG519" i="10"/>
  <c r="N519" i="10"/>
  <c r="X519" i="10" s="1"/>
  <c r="K519" i="10"/>
  <c r="H519" i="10"/>
  <c r="CA518" i="10"/>
  <c r="CI518" i="10" s="1"/>
  <c r="BY518" i="10"/>
  <c r="BV518" i="10"/>
  <c r="BS518" i="10"/>
  <c r="BI518" i="10"/>
  <c r="BQ518" i="10" s="1"/>
  <c r="BG518" i="10"/>
  <c r="BD518" i="10"/>
  <c r="BA518" i="10"/>
  <c r="AO518" i="10"/>
  <c r="AW518" i="10" s="1"/>
  <c r="AM518" i="10"/>
  <c r="AJ518" i="10"/>
  <c r="AG518" i="10"/>
  <c r="N518" i="10"/>
  <c r="X518" i="10" s="1"/>
  <c r="K518" i="10"/>
  <c r="H518" i="10"/>
  <c r="CA517" i="10"/>
  <c r="CH517" i="10" s="1"/>
  <c r="BY517" i="10"/>
  <c r="BV517" i="10"/>
  <c r="BS517" i="10"/>
  <c r="BI517" i="10"/>
  <c r="BG517" i="10"/>
  <c r="BD517" i="10"/>
  <c r="BA517" i="10"/>
  <c r="AO517" i="10"/>
  <c r="W517" i="10" s="1"/>
  <c r="AM517" i="10"/>
  <c r="AJ517" i="10"/>
  <c r="AG517" i="10"/>
  <c r="N517" i="10"/>
  <c r="X517" i="10" s="1"/>
  <c r="K517" i="10"/>
  <c r="H517" i="10"/>
  <c r="CA516" i="10"/>
  <c r="BY516" i="10"/>
  <c r="BV516" i="10"/>
  <c r="BS516" i="10"/>
  <c r="BI516" i="10"/>
  <c r="BQ516" i="10" s="1"/>
  <c r="BG516" i="10"/>
  <c r="BD516" i="10"/>
  <c r="BA516" i="10"/>
  <c r="AO516" i="10"/>
  <c r="W516" i="10" s="1"/>
  <c r="AM516" i="10"/>
  <c r="AJ516" i="10"/>
  <c r="AG516" i="10"/>
  <c r="N516" i="10"/>
  <c r="X516" i="10" s="1"/>
  <c r="K516" i="10"/>
  <c r="H516" i="10"/>
  <c r="CA515" i="10"/>
  <c r="BY515" i="10"/>
  <c r="BV515" i="10"/>
  <c r="BS515" i="10"/>
  <c r="BI515" i="10"/>
  <c r="BQ515" i="10" s="1"/>
  <c r="BG515" i="10"/>
  <c r="BD515" i="10"/>
  <c r="BA515" i="10"/>
  <c r="AO515" i="10"/>
  <c r="W515" i="10" s="1"/>
  <c r="AM515" i="10"/>
  <c r="AJ515" i="10"/>
  <c r="AG515" i="10"/>
  <c r="N515" i="10"/>
  <c r="X515" i="10" s="1"/>
  <c r="K515" i="10"/>
  <c r="H515" i="10"/>
  <c r="CA514" i="10"/>
  <c r="CI514" i="10" s="1"/>
  <c r="BY514" i="10"/>
  <c r="BV514" i="10"/>
  <c r="BS514" i="10"/>
  <c r="BI514" i="10"/>
  <c r="BQ514" i="10" s="1"/>
  <c r="BG514" i="10"/>
  <c r="BD514" i="10"/>
  <c r="BA514" i="10"/>
  <c r="AO514" i="10"/>
  <c r="AW514" i="10" s="1"/>
  <c r="AM514" i="10"/>
  <c r="AJ514" i="10"/>
  <c r="AG514" i="10"/>
  <c r="N514" i="10"/>
  <c r="X514" i="10" s="1"/>
  <c r="K514" i="10"/>
  <c r="H514" i="10"/>
  <c r="CA513" i="10"/>
  <c r="BY513" i="10"/>
  <c r="BV513" i="10"/>
  <c r="BS513" i="10"/>
  <c r="BI513" i="10"/>
  <c r="BQ513" i="10" s="1"/>
  <c r="BG513" i="10"/>
  <c r="BD513" i="10"/>
  <c r="BA513" i="10"/>
  <c r="AO513" i="10"/>
  <c r="AV513" i="10" s="1"/>
  <c r="AM513" i="10"/>
  <c r="AJ513" i="10"/>
  <c r="AG513" i="10"/>
  <c r="N513" i="10"/>
  <c r="X513" i="10" s="1"/>
  <c r="K513" i="10"/>
  <c r="H513" i="10"/>
  <c r="CA512" i="10"/>
  <c r="CH512" i="10" s="1"/>
  <c r="BY512" i="10"/>
  <c r="BV512" i="10"/>
  <c r="BS512" i="10"/>
  <c r="BI512" i="10"/>
  <c r="BQ512" i="10" s="1"/>
  <c r="BG512" i="10"/>
  <c r="BD512" i="10"/>
  <c r="BA512" i="10"/>
  <c r="AO512" i="10"/>
  <c r="W512" i="10" s="1"/>
  <c r="AM512" i="10"/>
  <c r="AJ512" i="10"/>
  <c r="AG512" i="10"/>
  <c r="N512" i="10"/>
  <c r="X512" i="10" s="1"/>
  <c r="K512" i="10"/>
  <c r="H512" i="10"/>
  <c r="CA511" i="10"/>
  <c r="BY511" i="10"/>
  <c r="BV511" i="10"/>
  <c r="BS511" i="10"/>
  <c r="BI511" i="10"/>
  <c r="BP511" i="10" s="1"/>
  <c r="BG511" i="10"/>
  <c r="BD511" i="10"/>
  <c r="BA511" i="10"/>
  <c r="AO511" i="10"/>
  <c r="AM511" i="10"/>
  <c r="AJ511" i="10"/>
  <c r="AG511" i="10"/>
  <c r="N511" i="10"/>
  <c r="X511" i="10" s="1"/>
  <c r="K511" i="10"/>
  <c r="H511" i="10"/>
  <c r="CA510" i="10"/>
  <c r="CI510" i="10" s="1"/>
  <c r="BY510" i="10"/>
  <c r="BV510" i="10"/>
  <c r="BS510" i="10"/>
  <c r="BI510" i="10"/>
  <c r="BQ510" i="10" s="1"/>
  <c r="BG510" i="10"/>
  <c r="BD510" i="10"/>
  <c r="BA510" i="10"/>
  <c r="AO510" i="10"/>
  <c r="AW510" i="10" s="1"/>
  <c r="AM510" i="10"/>
  <c r="AJ510" i="10"/>
  <c r="AG510" i="10"/>
  <c r="N510" i="10"/>
  <c r="X510" i="10" s="1"/>
  <c r="K510" i="10"/>
  <c r="H510" i="10"/>
  <c r="CA509" i="10"/>
  <c r="CH509" i="10" s="1"/>
  <c r="BY509" i="10"/>
  <c r="BV509" i="10"/>
  <c r="BS509" i="10"/>
  <c r="BI509" i="10"/>
  <c r="BG509" i="10"/>
  <c r="BD509" i="10"/>
  <c r="BA509" i="10"/>
  <c r="AO509" i="10"/>
  <c r="W509" i="10" s="1"/>
  <c r="AM509" i="10"/>
  <c r="AJ509" i="10"/>
  <c r="AG509" i="10"/>
  <c r="N509" i="10"/>
  <c r="X509" i="10" s="1"/>
  <c r="K509" i="10"/>
  <c r="H509" i="10"/>
  <c r="CA508" i="10"/>
  <c r="BY508" i="10"/>
  <c r="BV508" i="10"/>
  <c r="BS508" i="10"/>
  <c r="BI508" i="10"/>
  <c r="BQ508" i="10" s="1"/>
  <c r="BG508" i="10"/>
  <c r="BD508" i="10"/>
  <c r="BA508" i="10"/>
  <c r="AO508" i="10"/>
  <c r="W508" i="10" s="1"/>
  <c r="AM508" i="10"/>
  <c r="AJ508" i="10"/>
  <c r="AG508" i="10"/>
  <c r="N508" i="10"/>
  <c r="X508" i="10" s="1"/>
  <c r="K508" i="10"/>
  <c r="H508" i="10"/>
  <c r="CA507" i="10"/>
  <c r="BY507" i="10"/>
  <c r="BV507" i="10"/>
  <c r="BS507" i="10"/>
  <c r="BI507" i="10"/>
  <c r="BG507" i="10"/>
  <c r="BD507" i="10"/>
  <c r="BA507" i="10"/>
  <c r="AO507" i="10"/>
  <c r="W507" i="10" s="1"/>
  <c r="AM507" i="10"/>
  <c r="AJ507" i="10"/>
  <c r="AG507" i="10"/>
  <c r="N507" i="10"/>
  <c r="X507" i="10" s="1"/>
  <c r="K507" i="10"/>
  <c r="H507" i="10"/>
  <c r="CA506" i="10"/>
  <c r="CI506" i="10" s="1"/>
  <c r="BY506" i="10"/>
  <c r="BV506" i="10"/>
  <c r="BS506" i="10"/>
  <c r="BI506" i="10"/>
  <c r="BP506" i="10" s="1"/>
  <c r="BG506" i="10"/>
  <c r="BD506" i="10"/>
  <c r="BA506" i="10"/>
  <c r="AO506" i="10"/>
  <c r="AW506" i="10" s="1"/>
  <c r="AM506" i="10"/>
  <c r="AJ506" i="10"/>
  <c r="AG506" i="10"/>
  <c r="N506" i="10"/>
  <c r="X506" i="10" s="1"/>
  <c r="K506" i="10"/>
  <c r="H506" i="10"/>
  <c r="CA505" i="10"/>
  <c r="CH505" i="10" s="1"/>
  <c r="BY505" i="10"/>
  <c r="BV505" i="10"/>
  <c r="BS505" i="10"/>
  <c r="BI505" i="10"/>
  <c r="BQ505" i="10" s="1"/>
  <c r="BG505" i="10"/>
  <c r="BD505" i="10"/>
  <c r="BA505" i="10"/>
  <c r="AO505" i="10"/>
  <c r="AV505" i="10" s="1"/>
  <c r="AM505" i="10"/>
  <c r="AJ505" i="10"/>
  <c r="AG505" i="10"/>
  <c r="N505" i="10"/>
  <c r="X505" i="10" s="1"/>
  <c r="K505" i="10"/>
  <c r="H505" i="10"/>
  <c r="CA504" i="10"/>
  <c r="CI504" i="10" s="1"/>
  <c r="BY504" i="10"/>
  <c r="BV504" i="10"/>
  <c r="BS504" i="10"/>
  <c r="BI504" i="10"/>
  <c r="BQ504" i="10" s="1"/>
  <c r="BG504" i="10"/>
  <c r="BD504" i="10"/>
  <c r="BA504" i="10"/>
  <c r="AO504" i="10"/>
  <c r="AM504" i="10"/>
  <c r="AJ504" i="10"/>
  <c r="AG504" i="10"/>
  <c r="N504" i="10"/>
  <c r="X504" i="10" s="1"/>
  <c r="K504" i="10"/>
  <c r="H504" i="10"/>
  <c r="CA503" i="10"/>
  <c r="CI503" i="10" s="1"/>
  <c r="BY503" i="10"/>
  <c r="BV503" i="10"/>
  <c r="BS503" i="10"/>
  <c r="BI503" i="10"/>
  <c r="BP503" i="10" s="1"/>
  <c r="BG503" i="10"/>
  <c r="BD503" i="10"/>
  <c r="BA503" i="10"/>
  <c r="AO503" i="10"/>
  <c r="AM503" i="10"/>
  <c r="AJ503" i="10"/>
  <c r="AG503" i="10"/>
  <c r="N503" i="10"/>
  <c r="X503" i="10" s="1"/>
  <c r="K503" i="10"/>
  <c r="H503" i="10"/>
  <c r="CA502" i="10"/>
  <c r="CI502" i="10" s="1"/>
  <c r="BY502" i="10"/>
  <c r="BV502" i="10"/>
  <c r="BS502" i="10"/>
  <c r="BI502" i="10"/>
  <c r="BG502" i="10"/>
  <c r="BD502" i="10"/>
  <c r="BA502" i="10"/>
  <c r="AO502" i="10"/>
  <c r="W502" i="10" s="1"/>
  <c r="AM502" i="10"/>
  <c r="AJ502" i="10"/>
  <c r="AG502" i="10"/>
  <c r="N502" i="10"/>
  <c r="X502" i="10" s="1"/>
  <c r="K502" i="10"/>
  <c r="H502" i="10"/>
  <c r="CA501" i="10"/>
  <c r="CH501" i="10" s="1"/>
  <c r="BY501" i="10"/>
  <c r="BV501" i="10"/>
  <c r="BS501" i="10"/>
  <c r="BI501" i="10"/>
  <c r="BG501" i="10"/>
  <c r="BD501" i="10"/>
  <c r="BA501" i="10"/>
  <c r="AO501" i="10"/>
  <c r="W501" i="10" s="1"/>
  <c r="AM501" i="10"/>
  <c r="AJ501" i="10"/>
  <c r="AG501" i="10"/>
  <c r="N501" i="10"/>
  <c r="X501" i="10" s="1"/>
  <c r="K501" i="10"/>
  <c r="H501" i="10"/>
  <c r="CA500" i="10"/>
  <c r="BY500" i="10"/>
  <c r="BV500" i="10"/>
  <c r="BS500" i="10"/>
  <c r="BI500" i="10"/>
  <c r="BQ500" i="10" s="1"/>
  <c r="BG500" i="10"/>
  <c r="BD500" i="10"/>
  <c r="BA500" i="10"/>
  <c r="AO500" i="10"/>
  <c r="W500" i="10" s="1"/>
  <c r="AM500" i="10"/>
  <c r="AJ500" i="10"/>
  <c r="AG500" i="10"/>
  <c r="N500" i="10"/>
  <c r="X500" i="10" s="1"/>
  <c r="K500" i="10"/>
  <c r="H500" i="10"/>
  <c r="CA499" i="10"/>
  <c r="BY499" i="10"/>
  <c r="BV499" i="10"/>
  <c r="BS499" i="10"/>
  <c r="BI499" i="10"/>
  <c r="BG499" i="10"/>
  <c r="BD499" i="10"/>
  <c r="BA499" i="10"/>
  <c r="AO499" i="10"/>
  <c r="W499" i="10" s="1"/>
  <c r="AM499" i="10"/>
  <c r="AJ499" i="10"/>
  <c r="AG499" i="10"/>
  <c r="N499" i="10"/>
  <c r="X499" i="10" s="1"/>
  <c r="K499" i="10"/>
  <c r="H499" i="10"/>
  <c r="CA498" i="10"/>
  <c r="CI498" i="10" s="1"/>
  <c r="BY498" i="10"/>
  <c r="BV498" i="10"/>
  <c r="BS498" i="10"/>
  <c r="BI498" i="10"/>
  <c r="BP498" i="10" s="1"/>
  <c r="BG498" i="10"/>
  <c r="BD498" i="10"/>
  <c r="BA498" i="10"/>
  <c r="AO498" i="10"/>
  <c r="AW498" i="10" s="1"/>
  <c r="AM498" i="10"/>
  <c r="AJ498" i="10"/>
  <c r="AG498" i="10"/>
  <c r="N498" i="10"/>
  <c r="X498" i="10" s="1"/>
  <c r="K498" i="10"/>
  <c r="H498" i="10"/>
  <c r="CA497" i="10"/>
  <c r="CI497" i="10" s="1"/>
  <c r="BY497" i="10"/>
  <c r="BV497" i="10"/>
  <c r="BS497" i="10"/>
  <c r="BI497" i="10"/>
  <c r="BQ497" i="10" s="1"/>
  <c r="BG497" i="10"/>
  <c r="BD497" i="10"/>
  <c r="BA497" i="10"/>
  <c r="AO497" i="10"/>
  <c r="AV497" i="10" s="1"/>
  <c r="AM497" i="10"/>
  <c r="AJ497" i="10"/>
  <c r="AG497" i="10"/>
  <c r="N497" i="10"/>
  <c r="X497" i="10" s="1"/>
  <c r="K497" i="10"/>
  <c r="H497" i="10"/>
  <c r="CA496" i="10"/>
  <c r="CI496" i="10" s="1"/>
  <c r="BY496" i="10"/>
  <c r="BV496" i="10"/>
  <c r="BS496" i="10"/>
  <c r="BI496" i="10"/>
  <c r="BQ496" i="10" s="1"/>
  <c r="BG496" i="10"/>
  <c r="BD496" i="10"/>
  <c r="BA496" i="10"/>
  <c r="AO496" i="10"/>
  <c r="AM496" i="10"/>
  <c r="AJ496" i="10"/>
  <c r="AG496" i="10"/>
  <c r="N496" i="10"/>
  <c r="X496" i="10" s="1"/>
  <c r="K496" i="10"/>
  <c r="H496" i="10"/>
  <c r="CA495" i="10"/>
  <c r="CI495" i="10" s="1"/>
  <c r="BY495" i="10"/>
  <c r="BV495" i="10"/>
  <c r="BS495" i="10"/>
  <c r="BI495" i="10"/>
  <c r="BP495" i="10" s="1"/>
  <c r="BG495" i="10"/>
  <c r="BD495" i="10"/>
  <c r="BA495" i="10"/>
  <c r="AO495" i="10"/>
  <c r="AM495" i="10"/>
  <c r="AJ495" i="10"/>
  <c r="AG495" i="10"/>
  <c r="N495" i="10"/>
  <c r="X495" i="10" s="1"/>
  <c r="K495" i="10"/>
  <c r="H495" i="10"/>
  <c r="CA494" i="10"/>
  <c r="CI494" i="10" s="1"/>
  <c r="BY494" i="10"/>
  <c r="BV494" i="10"/>
  <c r="BS494" i="10"/>
  <c r="BI494" i="10"/>
  <c r="BG494" i="10"/>
  <c r="BD494" i="10"/>
  <c r="BA494" i="10"/>
  <c r="AO494" i="10"/>
  <c r="W494" i="10" s="1"/>
  <c r="AM494" i="10"/>
  <c r="AJ494" i="10"/>
  <c r="AG494" i="10"/>
  <c r="N494" i="10"/>
  <c r="X494" i="10" s="1"/>
  <c r="K494" i="10"/>
  <c r="H494" i="10"/>
  <c r="CA493" i="10"/>
  <c r="CH493" i="10" s="1"/>
  <c r="BY493" i="10"/>
  <c r="BV493" i="10"/>
  <c r="BS493" i="10"/>
  <c r="BI493" i="10"/>
  <c r="BG493" i="10"/>
  <c r="BD493" i="10"/>
  <c r="BA493" i="10"/>
  <c r="AO493" i="10"/>
  <c r="W493" i="10" s="1"/>
  <c r="AM493" i="10"/>
  <c r="AJ493" i="10"/>
  <c r="AG493" i="10"/>
  <c r="N493" i="10"/>
  <c r="X493" i="10" s="1"/>
  <c r="K493" i="10"/>
  <c r="H493" i="10"/>
  <c r="CA492" i="10"/>
  <c r="CI492" i="10" s="1"/>
  <c r="BY492" i="10"/>
  <c r="BV492" i="10"/>
  <c r="BS492" i="10"/>
  <c r="BI492" i="10"/>
  <c r="BQ492" i="10" s="1"/>
  <c r="BG492" i="10"/>
  <c r="BD492" i="10"/>
  <c r="BA492" i="10"/>
  <c r="AO492" i="10"/>
  <c r="W492" i="10" s="1"/>
  <c r="AM492" i="10"/>
  <c r="AJ492" i="10"/>
  <c r="AG492" i="10"/>
  <c r="N492" i="10"/>
  <c r="X492" i="10" s="1"/>
  <c r="K492" i="10"/>
  <c r="H492" i="10"/>
  <c r="CA491" i="10"/>
  <c r="BY491" i="10"/>
  <c r="BV491" i="10"/>
  <c r="BS491" i="10"/>
  <c r="BI491" i="10"/>
  <c r="BG491" i="10"/>
  <c r="BD491" i="10"/>
  <c r="BA491" i="10"/>
  <c r="AO491" i="10"/>
  <c r="W491" i="10" s="1"/>
  <c r="AM491" i="10"/>
  <c r="AJ491" i="10"/>
  <c r="AG491" i="10"/>
  <c r="N491" i="10"/>
  <c r="X491" i="10" s="1"/>
  <c r="K491" i="10"/>
  <c r="H491" i="10"/>
  <c r="CA490" i="10"/>
  <c r="CI490" i="10" s="1"/>
  <c r="BY490" i="10"/>
  <c r="BV490" i="10"/>
  <c r="BS490" i="10"/>
  <c r="BI490" i="10"/>
  <c r="BP490" i="10" s="1"/>
  <c r="BG490" i="10"/>
  <c r="BD490" i="10"/>
  <c r="BA490" i="10"/>
  <c r="AO490" i="10"/>
  <c r="AM490" i="10"/>
  <c r="AJ490" i="10"/>
  <c r="AG490" i="10"/>
  <c r="N490" i="10"/>
  <c r="X490" i="10" s="1"/>
  <c r="K490" i="10"/>
  <c r="H490" i="10"/>
  <c r="CA489" i="10"/>
  <c r="BY489" i="10"/>
  <c r="BV489" i="10"/>
  <c r="BS489" i="10"/>
  <c r="BI489" i="10"/>
  <c r="BQ489" i="10" s="1"/>
  <c r="BG489" i="10"/>
  <c r="BD489" i="10"/>
  <c r="BA489" i="10"/>
  <c r="AO489" i="10"/>
  <c r="AV489" i="10" s="1"/>
  <c r="AM489" i="10"/>
  <c r="AJ489" i="10"/>
  <c r="AG489" i="10"/>
  <c r="N489" i="10"/>
  <c r="X489" i="10" s="1"/>
  <c r="K489" i="10"/>
  <c r="H489" i="10"/>
  <c r="CA488" i="10"/>
  <c r="CI488" i="10" s="1"/>
  <c r="BY488" i="10"/>
  <c r="BV488" i="10"/>
  <c r="BS488" i="10"/>
  <c r="BI488" i="10"/>
  <c r="BG488" i="10"/>
  <c r="BD488" i="10"/>
  <c r="BA488" i="10"/>
  <c r="AO488" i="10"/>
  <c r="W488" i="10" s="1"/>
  <c r="AM488" i="10"/>
  <c r="AJ488" i="10"/>
  <c r="AG488" i="10"/>
  <c r="N488" i="10"/>
  <c r="X488" i="10" s="1"/>
  <c r="K488" i="10"/>
  <c r="H488" i="10"/>
  <c r="CA487" i="10"/>
  <c r="BY487" i="10"/>
  <c r="BV487" i="10"/>
  <c r="BS487" i="10"/>
  <c r="BI487" i="10"/>
  <c r="BP487" i="10" s="1"/>
  <c r="BG487" i="10"/>
  <c r="BD487" i="10"/>
  <c r="BA487" i="10"/>
  <c r="AO487" i="10"/>
  <c r="AM487" i="10"/>
  <c r="AJ487" i="10"/>
  <c r="AG487" i="10"/>
  <c r="N487" i="10"/>
  <c r="X487" i="10" s="1"/>
  <c r="K487" i="10"/>
  <c r="H487" i="10"/>
  <c r="CA486" i="10"/>
  <c r="BY486" i="10"/>
  <c r="BV486" i="10"/>
  <c r="BS486" i="10"/>
  <c r="BI486" i="10"/>
  <c r="BP486" i="10" s="1"/>
  <c r="BG486" i="10"/>
  <c r="BD486" i="10"/>
  <c r="BA486" i="10"/>
  <c r="AO486" i="10"/>
  <c r="W486" i="10" s="1"/>
  <c r="AM486" i="10"/>
  <c r="AJ486" i="10"/>
  <c r="AG486" i="10"/>
  <c r="N486" i="10"/>
  <c r="X486" i="10" s="1"/>
  <c r="K486" i="10"/>
  <c r="H486" i="10"/>
  <c r="CA485" i="10"/>
  <c r="CH485" i="10" s="1"/>
  <c r="BY485" i="10"/>
  <c r="BV485" i="10"/>
  <c r="BS485" i="10"/>
  <c r="BI485" i="10"/>
  <c r="BG485" i="10"/>
  <c r="BD485" i="10"/>
  <c r="BA485" i="10"/>
  <c r="AO485" i="10"/>
  <c r="W485" i="10" s="1"/>
  <c r="AM485" i="10"/>
  <c r="AJ485" i="10"/>
  <c r="AG485" i="10"/>
  <c r="N485" i="10"/>
  <c r="X485" i="10" s="1"/>
  <c r="K485" i="10"/>
  <c r="H485" i="10"/>
  <c r="CA484" i="10"/>
  <c r="BY484" i="10"/>
  <c r="BV484" i="10"/>
  <c r="BS484" i="10"/>
  <c r="BI484" i="10"/>
  <c r="BQ484" i="10" s="1"/>
  <c r="BG484" i="10"/>
  <c r="BD484" i="10"/>
  <c r="BA484" i="10"/>
  <c r="AO484" i="10"/>
  <c r="W484" i="10" s="1"/>
  <c r="AM484" i="10"/>
  <c r="AJ484" i="10"/>
  <c r="AG484" i="10"/>
  <c r="N484" i="10"/>
  <c r="X484" i="10" s="1"/>
  <c r="K484" i="10"/>
  <c r="H484" i="10"/>
  <c r="CA483" i="10"/>
  <c r="BY483" i="10"/>
  <c r="BV483" i="10"/>
  <c r="BS483" i="10"/>
  <c r="BI483" i="10"/>
  <c r="BP483" i="10" s="1"/>
  <c r="BG483" i="10"/>
  <c r="BD483" i="10"/>
  <c r="BA483" i="10"/>
  <c r="AO483" i="10"/>
  <c r="W483" i="10" s="1"/>
  <c r="AM483" i="10"/>
  <c r="AJ483" i="10"/>
  <c r="AG483" i="10"/>
  <c r="N483" i="10"/>
  <c r="X483" i="10" s="1"/>
  <c r="K483" i="10"/>
  <c r="H483" i="10"/>
  <c r="CA482" i="10"/>
  <c r="CI482" i="10" s="1"/>
  <c r="BY482" i="10"/>
  <c r="BV482" i="10"/>
  <c r="BS482" i="10"/>
  <c r="BI482" i="10"/>
  <c r="BQ482" i="10" s="1"/>
  <c r="BG482" i="10"/>
  <c r="BD482" i="10"/>
  <c r="BA482" i="10"/>
  <c r="AO482" i="10"/>
  <c r="AM482" i="10"/>
  <c r="AJ482" i="10"/>
  <c r="AG482" i="10"/>
  <c r="N482" i="10"/>
  <c r="X482" i="10" s="1"/>
  <c r="K482" i="10"/>
  <c r="H482" i="10"/>
  <c r="CA481" i="10"/>
  <c r="BY481" i="10"/>
  <c r="BV481" i="10"/>
  <c r="BS481" i="10"/>
  <c r="BI481" i="10"/>
  <c r="BG481" i="10"/>
  <c r="BD481" i="10"/>
  <c r="BA481" i="10"/>
  <c r="AO481" i="10"/>
  <c r="AW481" i="10" s="1"/>
  <c r="AM481" i="10"/>
  <c r="AJ481" i="10"/>
  <c r="AG481" i="10"/>
  <c r="N481" i="10"/>
  <c r="X481" i="10" s="1"/>
  <c r="K481" i="10"/>
  <c r="H481" i="10"/>
  <c r="CA480" i="10"/>
  <c r="CH480" i="10" s="1"/>
  <c r="BY480" i="10"/>
  <c r="BV480" i="10"/>
  <c r="BS480" i="10"/>
  <c r="BI480" i="10"/>
  <c r="BG480" i="10"/>
  <c r="BD480" i="10"/>
  <c r="BA480" i="10"/>
  <c r="AO480" i="10"/>
  <c r="AW480" i="10" s="1"/>
  <c r="AM480" i="10"/>
  <c r="AJ480" i="10"/>
  <c r="AG480" i="10"/>
  <c r="N480" i="10"/>
  <c r="X480" i="10" s="1"/>
  <c r="K480" i="10"/>
  <c r="H480" i="10"/>
  <c r="CA479" i="10"/>
  <c r="CI479" i="10" s="1"/>
  <c r="BY479" i="10"/>
  <c r="BV479" i="10"/>
  <c r="BS479" i="10"/>
  <c r="BI479" i="10"/>
  <c r="BP479" i="10" s="1"/>
  <c r="BG479" i="10"/>
  <c r="BD479" i="10"/>
  <c r="BA479" i="10"/>
  <c r="AO479" i="10"/>
  <c r="AV479" i="10" s="1"/>
  <c r="AM479" i="10"/>
  <c r="AJ479" i="10"/>
  <c r="AG479" i="10"/>
  <c r="N479" i="10"/>
  <c r="X479" i="10" s="1"/>
  <c r="K479" i="10"/>
  <c r="H479" i="10"/>
  <c r="CA478" i="10"/>
  <c r="BY478" i="10"/>
  <c r="BV478" i="10"/>
  <c r="BS478" i="10"/>
  <c r="BI478" i="10"/>
  <c r="BQ478" i="10" s="1"/>
  <c r="BG478" i="10"/>
  <c r="BD478" i="10"/>
  <c r="BA478" i="10"/>
  <c r="AO478" i="10"/>
  <c r="W478" i="10" s="1"/>
  <c r="AM478" i="10"/>
  <c r="AJ478" i="10"/>
  <c r="AG478" i="10"/>
  <c r="N478" i="10"/>
  <c r="X478" i="10" s="1"/>
  <c r="K478" i="10"/>
  <c r="H478" i="10"/>
  <c r="CA477" i="10"/>
  <c r="CH477" i="10" s="1"/>
  <c r="BY477" i="10"/>
  <c r="BV477" i="10"/>
  <c r="BS477" i="10"/>
  <c r="BI477" i="10"/>
  <c r="BQ477" i="10" s="1"/>
  <c r="BG477" i="10"/>
  <c r="BD477" i="10"/>
  <c r="BA477" i="10"/>
  <c r="AO477" i="10"/>
  <c r="AW477" i="10" s="1"/>
  <c r="AM477" i="10"/>
  <c r="AJ477" i="10"/>
  <c r="AG477" i="10"/>
  <c r="N477" i="10"/>
  <c r="X477" i="10" s="1"/>
  <c r="K477" i="10"/>
  <c r="H477" i="10"/>
  <c r="CA476" i="10"/>
  <c r="CH476" i="10" s="1"/>
  <c r="BY476" i="10"/>
  <c r="BV476" i="10"/>
  <c r="BS476" i="10"/>
  <c r="BI476" i="10"/>
  <c r="BG476" i="10"/>
  <c r="BD476" i="10"/>
  <c r="BA476" i="10"/>
  <c r="AO476" i="10"/>
  <c r="AV476" i="10" s="1"/>
  <c r="AM476" i="10"/>
  <c r="AJ476" i="10"/>
  <c r="AG476" i="10"/>
  <c r="N476" i="10"/>
  <c r="X476" i="10" s="1"/>
  <c r="K476" i="10"/>
  <c r="H476" i="10"/>
  <c r="CA475" i="10"/>
  <c r="CI475" i="10" s="1"/>
  <c r="BY475" i="10"/>
  <c r="BV475" i="10"/>
  <c r="BS475" i="10"/>
  <c r="BI475" i="10"/>
  <c r="BQ475" i="10" s="1"/>
  <c r="BG475" i="10"/>
  <c r="BD475" i="10"/>
  <c r="BA475" i="10"/>
  <c r="AO475" i="10"/>
  <c r="AM475" i="10"/>
  <c r="AJ475" i="10"/>
  <c r="AG475" i="10"/>
  <c r="N475" i="10"/>
  <c r="X475" i="10" s="1"/>
  <c r="K475" i="10"/>
  <c r="H475" i="10"/>
  <c r="CA474" i="10"/>
  <c r="BY474" i="10"/>
  <c r="BV474" i="10"/>
  <c r="BS474" i="10"/>
  <c r="BI474" i="10"/>
  <c r="BG474" i="10"/>
  <c r="BD474" i="10"/>
  <c r="BA474" i="10"/>
  <c r="AO474" i="10"/>
  <c r="AM474" i="10"/>
  <c r="AJ474" i="10"/>
  <c r="AG474" i="10"/>
  <c r="N474" i="10"/>
  <c r="X474" i="10" s="1"/>
  <c r="K474" i="10"/>
  <c r="H474" i="10"/>
  <c r="CA473" i="10"/>
  <c r="CI473" i="10" s="1"/>
  <c r="BY473" i="10"/>
  <c r="BV473" i="10"/>
  <c r="BS473" i="10"/>
  <c r="BI473" i="10"/>
  <c r="BQ473" i="10" s="1"/>
  <c r="BG473" i="10"/>
  <c r="BD473" i="10"/>
  <c r="BA473" i="10"/>
  <c r="AO473" i="10"/>
  <c r="AM473" i="10"/>
  <c r="AJ473" i="10"/>
  <c r="AG473" i="10"/>
  <c r="N473" i="10"/>
  <c r="X473" i="10" s="1"/>
  <c r="K473" i="10"/>
  <c r="H473" i="10"/>
  <c r="CA472" i="10"/>
  <c r="CI472" i="10" s="1"/>
  <c r="BY472" i="10"/>
  <c r="BV472" i="10"/>
  <c r="BS472" i="10"/>
  <c r="BI472" i="10"/>
  <c r="BG472" i="10"/>
  <c r="BD472" i="10"/>
  <c r="BA472" i="10"/>
  <c r="AO472" i="10"/>
  <c r="W472" i="10" s="1"/>
  <c r="AM472" i="10"/>
  <c r="AJ472" i="10"/>
  <c r="AG472" i="10"/>
  <c r="N472" i="10"/>
  <c r="X472" i="10" s="1"/>
  <c r="K472" i="10"/>
  <c r="H472" i="10"/>
  <c r="CA471" i="10"/>
  <c r="CI471" i="10" s="1"/>
  <c r="BY471" i="10"/>
  <c r="BV471" i="10"/>
  <c r="BS471" i="10"/>
  <c r="BI471" i="10"/>
  <c r="BP471" i="10" s="1"/>
  <c r="BG471" i="10"/>
  <c r="BD471" i="10"/>
  <c r="BA471" i="10"/>
  <c r="AO471" i="10"/>
  <c r="AM471" i="10"/>
  <c r="AJ471" i="10"/>
  <c r="AG471" i="10"/>
  <c r="N471" i="10"/>
  <c r="X471" i="10" s="1"/>
  <c r="K471" i="10"/>
  <c r="H471" i="10"/>
  <c r="CA470" i="10"/>
  <c r="BY470" i="10"/>
  <c r="BV470" i="10"/>
  <c r="BS470" i="10"/>
  <c r="BI470" i="10"/>
  <c r="BQ470" i="10" s="1"/>
  <c r="BG470" i="10"/>
  <c r="BD470" i="10"/>
  <c r="BA470" i="10"/>
  <c r="AO470" i="10"/>
  <c r="AM470" i="10"/>
  <c r="AJ470" i="10"/>
  <c r="AG470" i="10"/>
  <c r="N470" i="10"/>
  <c r="X470" i="10" s="1"/>
  <c r="K470" i="10"/>
  <c r="H470" i="10"/>
  <c r="CA469" i="10"/>
  <c r="CH469" i="10" s="1"/>
  <c r="BY469" i="10"/>
  <c r="BV469" i="10"/>
  <c r="BS469" i="10"/>
  <c r="BI469" i="10"/>
  <c r="BQ469" i="10" s="1"/>
  <c r="BG469" i="10"/>
  <c r="BD469" i="10"/>
  <c r="BA469" i="10"/>
  <c r="AO469" i="10"/>
  <c r="AW469" i="10" s="1"/>
  <c r="AM469" i="10"/>
  <c r="AJ469" i="10"/>
  <c r="AG469" i="10"/>
  <c r="N469" i="10"/>
  <c r="X469" i="10" s="1"/>
  <c r="K469" i="10"/>
  <c r="H469" i="10"/>
  <c r="CA468" i="10"/>
  <c r="CI468" i="10" s="1"/>
  <c r="BY468" i="10"/>
  <c r="BV468" i="10"/>
  <c r="BS468" i="10"/>
  <c r="BI468" i="10"/>
  <c r="BG468" i="10"/>
  <c r="BD468" i="10"/>
  <c r="BA468" i="10"/>
  <c r="AO468" i="10"/>
  <c r="AM468" i="10"/>
  <c r="AJ468" i="10"/>
  <c r="AG468" i="10"/>
  <c r="N468" i="10"/>
  <c r="X468" i="10" s="1"/>
  <c r="K468" i="10"/>
  <c r="H468" i="10"/>
  <c r="CA467" i="10"/>
  <c r="BY467" i="10"/>
  <c r="BV467" i="10"/>
  <c r="BS467" i="10"/>
  <c r="BI467" i="10"/>
  <c r="BQ467" i="10" s="1"/>
  <c r="BG467" i="10"/>
  <c r="BD467" i="10"/>
  <c r="BA467" i="10"/>
  <c r="AO467" i="10"/>
  <c r="AV467" i="10" s="1"/>
  <c r="AM467" i="10"/>
  <c r="AJ467" i="10"/>
  <c r="AG467" i="10"/>
  <c r="N467" i="10"/>
  <c r="X467" i="10" s="1"/>
  <c r="K467" i="10"/>
  <c r="H467" i="10"/>
  <c r="CA466" i="10"/>
  <c r="BY466" i="10"/>
  <c r="BV466" i="10"/>
  <c r="BS466" i="10"/>
  <c r="BI466" i="10"/>
  <c r="BQ466" i="10" s="1"/>
  <c r="BG466" i="10"/>
  <c r="BD466" i="10"/>
  <c r="BA466" i="10"/>
  <c r="AO466" i="10"/>
  <c r="AM466" i="10"/>
  <c r="AJ466" i="10"/>
  <c r="AG466" i="10"/>
  <c r="N466" i="10"/>
  <c r="X466" i="10" s="1"/>
  <c r="K466" i="10"/>
  <c r="H466" i="10"/>
  <c r="CA465" i="10"/>
  <c r="CH465" i="10" s="1"/>
  <c r="BY465" i="10"/>
  <c r="BV465" i="10"/>
  <c r="BS465" i="10"/>
  <c r="BI465" i="10"/>
  <c r="BG465" i="10"/>
  <c r="BD465" i="10"/>
  <c r="BA465" i="10"/>
  <c r="AO465" i="10"/>
  <c r="AM465" i="10"/>
  <c r="AJ465" i="10"/>
  <c r="AG465" i="10"/>
  <c r="N465" i="10"/>
  <c r="X465" i="10" s="1"/>
  <c r="K465" i="10"/>
  <c r="H465" i="10"/>
  <c r="CA464" i="10"/>
  <c r="CI464" i="10" s="1"/>
  <c r="BY464" i="10"/>
  <c r="BV464" i="10"/>
  <c r="BS464" i="10"/>
  <c r="BI464" i="10"/>
  <c r="BG464" i="10"/>
  <c r="BD464" i="10"/>
  <c r="BA464" i="10"/>
  <c r="AO464" i="10"/>
  <c r="W464" i="10" s="1"/>
  <c r="AM464" i="10"/>
  <c r="AJ464" i="10"/>
  <c r="AG464" i="10"/>
  <c r="N464" i="10"/>
  <c r="X464" i="10" s="1"/>
  <c r="K464" i="10"/>
  <c r="H464" i="10"/>
  <c r="CA463" i="10"/>
  <c r="BY463" i="10"/>
  <c r="BV463" i="10"/>
  <c r="BS463" i="10"/>
  <c r="BI463" i="10"/>
  <c r="BG463" i="10"/>
  <c r="BD463" i="10"/>
  <c r="BA463" i="10"/>
  <c r="AO463" i="10"/>
  <c r="AV463" i="10" s="1"/>
  <c r="AM463" i="10"/>
  <c r="AJ463" i="10"/>
  <c r="AG463" i="10"/>
  <c r="N463" i="10"/>
  <c r="X463" i="10" s="1"/>
  <c r="K463" i="10"/>
  <c r="H463" i="10"/>
  <c r="CA462" i="10"/>
  <c r="BY462" i="10"/>
  <c r="BV462" i="10"/>
  <c r="BS462" i="10"/>
  <c r="BI462" i="10"/>
  <c r="BQ462" i="10" s="1"/>
  <c r="BG462" i="10"/>
  <c r="BD462" i="10"/>
  <c r="BA462" i="10"/>
  <c r="AO462" i="10"/>
  <c r="W462" i="10" s="1"/>
  <c r="AM462" i="10"/>
  <c r="AJ462" i="10"/>
  <c r="AG462" i="10"/>
  <c r="N462" i="10"/>
  <c r="X462" i="10" s="1"/>
  <c r="K462" i="10"/>
  <c r="H462" i="10"/>
  <c r="CA461" i="10"/>
  <c r="CH461" i="10" s="1"/>
  <c r="BY461" i="10"/>
  <c r="BV461" i="10"/>
  <c r="BS461" i="10"/>
  <c r="BI461" i="10"/>
  <c r="BQ461" i="10" s="1"/>
  <c r="BG461" i="10"/>
  <c r="BD461" i="10"/>
  <c r="BA461" i="10"/>
  <c r="AO461" i="10"/>
  <c r="W461" i="10" s="1"/>
  <c r="AM461" i="10"/>
  <c r="AJ461" i="10"/>
  <c r="AG461" i="10"/>
  <c r="N461" i="10"/>
  <c r="X461" i="10" s="1"/>
  <c r="K461" i="10"/>
  <c r="H461" i="10"/>
  <c r="CA460" i="10"/>
  <c r="CH460" i="10" s="1"/>
  <c r="BY460" i="10"/>
  <c r="BV460" i="10"/>
  <c r="BS460" i="10"/>
  <c r="BI460" i="10"/>
  <c r="BG460" i="10"/>
  <c r="BD460" i="10"/>
  <c r="BA460" i="10"/>
  <c r="AO460" i="10"/>
  <c r="AM460" i="10"/>
  <c r="AJ460" i="10"/>
  <c r="AG460" i="10"/>
  <c r="N460" i="10"/>
  <c r="X460" i="10" s="1"/>
  <c r="K460" i="10"/>
  <c r="H460" i="10"/>
  <c r="CA459" i="10"/>
  <c r="CI459" i="10" s="1"/>
  <c r="BY459" i="10"/>
  <c r="BV459" i="10"/>
  <c r="BS459" i="10"/>
  <c r="BI459" i="10"/>
  <c r="BQ459" i="10" s="1"/>
  <c r="BG459" i="10"/>
  <c r="BD459" i="10"/>
  <c r="BA459" i="10"/>
  <c r="AO459" i="10"/>
  <c r="AM459" i="10"/>
  <c r="AJ459" i="10"/>
  <c r="AG459" i="10"/>
  <c r="N459" i="10"/>
  <c r="X459" i="10" s="1"/>
  <c r="K459" i="10"/>
  <c r="H459" i="10"/>
  <c r="CA458" i="10"/>
  <c r="BY458" i="10"/>
  <c r="BV458" i="10"/>
  <c r="BS458" i="10"/>
  <c r="BI458" i="10"/>
  <c r="BP458" i="10" s="1"/>
  <c r="BG458" i="10"/>
  <c r="BD458" i="10"/>
  <c r="BA458" i="10"/>
  <c r="AO458" i="10"/>
  <c r="AM458" i="10"/>
  <c r="AJ458" i="10"/>
  <c r="AG458" i="10"/>
  <c r="N458" i="10"/>
  <c r="X458" i="10" s="1"/>
  <c r="K458" i="10"/>
  <c r="H458" i="10"/>
  <c r="CA457" i="10"/>
  <c r="CI457" i="10" s="1"/>
  <c r="BY457" i="10"/>
  <c r="BV457" i="10"/>
  <c r="BS457" i="10"/>
  <c r="BI457" i="10"/>
  <c r="BQ457" i="10" s="1"/>
  <c r="BG457" i="10"/>
  <c r="BD457" i="10"/>
  <c r="BA457" i="10"/>
  <c r="AO457" i="10"/>
  <c r="AM457" i="10"/>
  <c r="AJ457" i="10"/>
  <c r="AG457" i="10"/>
  <c r="N457" i="10"/>
  <c r="X457" i="10" s="1"/>
  <c r="K457" i="10"/>
  <c r="H457" i="10"/>
  <c r="CA456" i="10"/>
  <c r="CI456" i="10" s="1"/>
  <c r="BY456" i="10"/>
  <c r="BV456" i="10"/>
  <c r="BS456" i="10"/>
  <c r="BI456" i="10"/>
  <c r="BG456" i="10"/>
  <c r="BD456" i="10"/>
  <c r="BA456" i="10"/>
  <c r="AO456" i="10"/>
  <c r="AW456" i="10" s="1"/>
  <c r="AM456" i="10"/>
  <c r="AJ456" i="10"/>
  <c r="AG456" i="10"/>
  <c r="N456" i="10"/>
  <c r="X456" i="10" s="1"/>
  <c r="K456" i="10"/>
  <c r="H456" i="10"/>
  <c r="CA455" i="10"/>
  <c r="CI455" i="10" s="1"/>
  <c r="BY455" i="10"/>
  <c r="BV455" i="10"/>
  <c r="BS455" i="10"/>
  <c r="BI455" i="10"/>
  <c r="BP455" i="10" s="1"/>
  <c r="BG455" i="10"/>
  <c r="BD455" i="10"/>
  <c r="BA455" i="10"/>
  <c r="AO455" i="10"/>
  <c r="AV455" i="10" s="1"/>
  <c r="AM455" i="10"/>
  <c r="AJ455" i="10"/>
  <c r="AG455" i="10"/>
  <c r="N455" i="10"/>
  <c r="X455" i="10" s="1"/>
  <c r="K455" i="10"/>
  <c r="H455" i="10"/>
  <c r="CA454" i="10"/>
  <c r="BY454" i="10"/>
  <c r="BV454" i="10"/>
  <c r="BS454" i="10"/>
  <c r="BI454" i="10"/>
  <c r="BQ454" i="10" s="1"/>
  <c r="BG454" i="10"/>
  <c r="BD454" i="10"/>
  <c r="BA454" i="10"/>
  <c r="AO454" i="10"/>
  <c r="W454" i="10" s="1"/>
  <c r="AM454" i="10"/>
  <c r="AJ454" i="10"/>
  <c r="AG454" i="10"/>
  <c r="N454" i="10"/>
  <c r="X454" i="10" s="1"/>
  <c r="K454" i="10"/>
  <c r="H454" i="10"/>
  <c r="CA453" i="10"/>
  <c r="CH453" i="10" s="1"/>
  <c r="BY453" i="10"/>
  <c r="BV453" i="10"/>
  <c r="BS453" i="10"/>
  <c r="BI453" i="10"/>
  <c r="BG453" i="10"/>
  <c r="BD453" i="10"/>
  <c r="BA453" i="10"/>
  <c r="AO453" i="10"/>
  <c r="AV453" i="10" s="1"/>
  <c r="AM453" i="10"/>
  <c r="AJ453" i="10"/>
  <c r="AG453" i="10"/>
  <c r="N453" i="10"/>
  <c r="X453" i="10" s="1"/>
  <c r="K453" i="10"/>
  <c r="H453" i="10"/>
  <c r="CA452" i="10"/>
  <c r="CI452" i="10" s="1"/>
  <c r="BY452" i="10"/>
  <c r="BV452" i="10"/>
  <c r="BS452" i="10"/>
  <c r="BI452" i="10"/>
  <c r="BG452" i="10"/>
  <c r="BD452" i="10"/>
  <c r="BA452" i="10"/>
  <c r="AO452" i="10"/>
  <c r="AM452" i="10"/>
  <c r="AJ452" i="10"/>
  <c r="AG452" i="10"/>
  <c r="N452" i="10"/>
  <c r="X452" i="10" s="1"/>
  <c r="K452" i="10"/>
  <c r="H452" i="10"/>
  <c r="CA451" i="10"/>
  <c r="BY451" i="10"/>
  <c r="BV451" i="10"/>
  <c r="BS451" i="10"/>
  <c r="BI451" i="10"/>
  <c r="BQ451" i="10" s="1"/>
  <c r="BG451" i="10"/>
  <c r="BD451" i="10"/>
  <c r="BA451" i="10"/>
  <c r="AO451" i="10"/>
  <c r="AM451" i="10"/>
  <c r="AJ451" i="10"/>
  <c r="AG451" i="10"/>
  <c r="N451" i="10"/>
  <c r="X451" i="10" s="1"/>
  <c r="K451" i="10"/>
  <c r="H451" i="10"/>
  <c r="CA450" i="10"/>
  <c r="BY450" i="10"/>
  <c r="BV450" i="10"/>
  <c r="BS450" i="10"/>
  <c r="BI450" i="10"/>
  <c r="BQ450" i="10" s="1"/>
  <c r="BG450" i="10"/>
  <c r="BD450" i="10"/>
  <c r="BA450" i="10"/>
  <c r="AO450" i="10"/>
  <c r="W450" i="10" s="1"/>
  <c r="AM450" i="10"/>
  <c r="AJ450" i="10"/>
  <c r="AG450" i="10"/>
  <c r="N450" i="10"/>
  <c r="X450" i="10" s="1"/>
  <c r="K450" i="10"/>
  <c r="H450" i="10"/>
  <c r="CA449" i="10"/>
  <c r="BY449" i="10"/>
  <c r="BV449" i="10"/>
  <c r="BS449" i="10"/>
  <c r="BI449" i="10"/>
  <c r="BQ449" i="10" s="1"/>
  <c r="BG449" i="10"/>
  <c r="BD449" i="10"/>
  <c r="BA449" i="10"/>
  <c r="AO449" i="10"/>
  <c r="AM449" i="10"/>
  <c r="AJ449" i="10"/>
  <c r="AG449" i="10"/>
  <c r="N449" i="10"/>
  <c r="X449" i="10" s="1"/>
  <c r="K449" i="10"/>
  <c r="H449" i="10"/>
  <c r="CA448" i="10"/>
  <c r="BY448" i="10"/>
  <c r="BV448" i="10"/>
  <c r="BS448" i="10"/>
  <c r="BI448" i="10"/>
  <c r="BG448" i="10"/>
  <c r="BD448" i="10"/>
  <c r="BA448" i="10"/>
  <c r="AO448" i="10"/>
  <c r="AV448" i="10" s="1"/>
  <c r="AM448" i="10"/>
  <c r="AJ448" i="10"/>
  <c r="AG448" i="10"/>
  <c r="N448" i="10"/>
  <c r="X448" i="10" s="1"/>
  <c r="K448" i="10"/>
  <c r="H448" i="10"/>
  <c r="CA447" i="10"/>
  <c r="CI447" i="10" s="1"/>
  <c r="BY447" i="10"/>
  <c r="BV447" i="10"/>
  <c r="BS447" i="10"/>
  <c r="BI447" i="10"/>
  <c r="BG447" i="10"/>
  <c r="BD447" i="10"/>
  <c r="BA447" i="10"/>
  <c r="AO447" i="10"/>
  <c r="AM447" i="10"/>
  <c r="AJ447" i="10"/>
  <c r="AG447" i="10"/>
  <c r="N447" i="10"/>
  <c r="X447" i="10" s="1"/>
  <c r="K447" i="10"/>
  <c r="H447" i="10"/>
  <c r="CA446" i="10"/>
  <c r="CI446" i="10" s="1"/>
  <c r="BY446" i="10"/>
  <c r="BV446" i="10"/>
  <c r="BS446" i="10"/>
  <c r="BI446" i="10"/>
  <c r="BQ446" i="10" s="1"/>
  <c r="BG446" i="10"/>
  <c r="BD446" i="10"/>
  <c r="BA446" i="10"/>
  <c r="AO446" i="10"/>
  <c r="AV446" i="10" s="1"/>
  <c r="AM446" i="10"/>
  <c r="AJ446" i="10"/>
  <c r="AG446" i="10"/>
  <c r="N446" i="10"/>
  <c r="X446" i="10" s="1"/>
  <c r="K446" i="10"/>
  <c r="H446" i="10"/>
  <c r="CA445" i="10"/>
  <c r="BY445" i="10"/>
  <c r="BV445" i="10"/>
  <c r="BS445" i="10"/>
  <c r="BI445" i="10"/>
  <c r="BG445" i="10"/>
  <c r="BD445" i="10"/>
  <c r="BA445" i="10"/>
  <c r="AO445" i="10"/>
  <c r="AW445" i="10" s="1"/>
  <c r="AM445" i="10"/>
  <c r="AJ445" i="10"/>
  <c r="AG445" i="10"/>
  <c r="N445" i="10"/>
  <c r="X445" i="10" s="1"/>
  <c r="K445" i="10"/>
  <c r="H445" i="10"/>
  <c r="CA444" i="10"/>
  <c r="CH444" i="10" s="1"/>
  <c r="BY444" i="10"/>
  <c r="BV444" i="10"/>
  <c r="BS444" i="10"/>
  <c r="BI444" i="10"/>
  <c r="BP444" i="10" s="1"/>
  <c r="BG444" i="10"/>
  <c r="BD444" i="10"/>
  <c r="BA444" i="10"/>
  <c r="AO444" i="10"/>
  <c r="AV444" i="10" s="1"/>
  <c r="AM444" i="10"/>
  <c r="AJ444" i="10"/>
  <c r="AG444" i="10"/>
  <c r="N444" i="10"/>
  <c r="X444" i="10" s="1"/>
  <c r="K444" i="10"/>
  <c r="H444" i="10"/>
  <c r="CA443" i="10"/>
  <c r="CI443" i="10" s="1"/>
  <c r="BY443" i="10"/>
  <c r="BV443" i="10"/>
  <c r="BS443" i="10"/>
  <c r="BI443" i="10"/>
  <c r="BQ443" i="10" s="1"/>
  <c r="BG443" i="10"/>
  <c r="BD443" i="10"/>
  <c r="BA443" i="10"/>
  <c r="AO443" i="10"/>
  <c r="AW443" i="10" s="1"/>
  <c r="AM443" i="10"/>
  <c r="AJ443" i="10"/>
  <c r="AG443" i="10"/>
  <c r="N443" i="10"/>
  <c r="X443" i="10" s="1"/>
  <c r="K443" i="10"/>
  <c r="H443" i="10"/>
  <c r="CA442" i="10"/>
  <c r="BY442" i="10"/>
  <c r="BV442" i="10"/>
  <c r="BS442" i="10"/>
  <c r="BI442" i="10"/>
  <c r="BP442" i="10" s="1"/>
  <c r="BG442" i="10"/>
  <c r="BD442" i="10"/>
  <c r="BA442" i="10"/>
  <c r="AO442" i="10"/>
  <c r="AW442" i="10" s="1"/>
  <c r="AM442" i="10"/>
  <c r="AJ442" i="10"/>
  <c r="AG442" i="10"/>
  <c r="N442" i="10"/>
  <c r="X442" i="10" s="1"/>
  <c r="K442" i="10"/>
  <c r="H442" i="10"/>
  <c r="CA441" i="10"/>
  <c r="CI441" i="10" s="1"/>
  <c r="BY441" i="10"/>
  <c r="BV441" i="10"/>
  <c r="BS441" i="10"/>
  <c r="BI441" i="10"/>
  <c r="BQ441" i="10" s="1"/>
  <c r="BG441" i="10"/>
  <c r="BD441" i="10"/>
  <c r="BA441" i="10"/>
  <c r="AO441" i="10"/>
  <c r="AV441" i="10" s="1"/>
  <c r="AM441" i="10"/>
  <c r="AJ441" i="10"/>
  <c r="AG441" i="10"/>
  <c r="N441" i="10"/>
  <c r="X441" i="10" s="1"/>
  <c r="K441" i="10"/>
  <c r="H441" i="10"/>
  <c r="CA440" i="10"/>
  <c r="CH440" i="10" s="1"/>
  <c r="BY440" i="10"/>
  <c r="BV440" i="10"/>
  <c r="BS440" i="10"/>
  <c r="BI440" i="10"/>
  <c r="BQ440" i="10" s="1"/>
  <c r="BG440" i="10"/>
  <c r="BD440" i="10"/>
  <c r="BA440" i="10"/>
  <c r="AO440" i="10"/>
  <c r="W440" i="10" s="1"/>
  <c r="AM440" i="10"/>
  <c r="AJ440" i="10"/>
  <c r="AG440" i="10"/>
  <c r="N440" i="10"/>
  <c r="X440" i="10" s="1"/>
  <c r="K440" i="10"/>
  <c r="H440" i="10"/>
  <c r="CA439" i="10"/>
  <c r="CI439" i="10" s="1"/>
  <c r="BY439" i="10"/>
  <c r="BV439" i="10"/>
  <c r="BS439" i="10"/>
  <c r="BI439" i="10"/>
  <c r="BP439" i="10" s="1"/>
  <c r="BG439" i="10"/>
  <c r="BD439" i="10"/>
  <c r="BA439" i="10"/>
  <c r="AO439" i="10"/>
  <c r="AV439" i="10" s="1"/>
  <c r="AM439" i="10"/>
  <c r="AJ439" i="10"/>
  <c r="AG439" i="10"/>
  <c r="N439" i="10"/>
  <c r="X439" i="10" s="1"/>
  <c r="K439" i="10"/>
  <c r="H439" i="10"/>
  <c r="CA438" i="10"/>
  <c r="CI438" i="10" s="1"/>
  <c r="BY438" i="10"/>
  <c r="BV438" i="10"/>
  <c r="BS438" i="10"/>
  <c r="BI438" i="10"/>
  <c r="BG438" i="10"/>
  <c r="BD438" i="10"/>
  <c r="BA438" i="10"/>
  <c r="AO438" i="10"/>
  <c r="AM438" i="10"/>
  <c r="AJ438" i="10"/>
  <c r="AG438" i="10"/>
  <c r="N438" i="10"/>
  <c r="X438" i="10" s="1"/>
  <c r="K438" i="10"/>
  <c r="H438" i="10"/>
  <c r="CA437" i="10"/>
  <c r="CH437" i="10" s="1"/>
  <c r="BY437" i="10"/>
  <c r="BV437" i="10"/>
  <c r="BS437" i="10"/>
  <c r="BI437" i="10"/>
  <c r="BQ437" i="10" s="1"/>
  <c r="BG437" i="10"/>
  <c r="BD437" i="10"/>
  <c r="BA437" i="10"/>
  <c r="AO437" i="10"/>
  <c r="AM437" i="10"/>
  <c r="AJ437" i="10"/>
  <c r="AG437" i="10"/>
  <c r="N437" i="10"/>
  <c r="X437" i="10" s="1"/>
  <c r="K437" i="10"/>
  <c r="H437" i="10"/>
  <c r="CA436" i="10"/>
  <c r="BY436" i="10"/>
  <c r="BV436" i="10"/>
  <c r="BS436" i="10"/>
  <c r="BI436" i="10"/>
  <c r="BP436" i="10" s="1"/>
  <c r="BG436" i="10"/>
  <c r="BD436" i="10"/>
  <c r="BA436" i="10"/>
  <c r="AO436" i="10"/>
  <c r="AV436" i="10" s="1"/>
  <c r="AM436" i="10"/>
  <c r="AJ436" i="10"/>
  <c r="AG436" i="10"/>
  <c r="N436" i="10"/>
  <c r="X436" i="10" s="1"/>
  <c r="K436" i="10"/>
  <c r="H436" i="10"/>
  <c r="CA435" i="10"/>
  <c r="CI435" i="10" s="1"/>
  <c r="BY435" i="10"/>
  <c r="BV435" i="10"/>
  <c r="BS435" i="10"/>
  <c r="BI435" i="10"/>
  <c r="BG435" i="10"/>
  <c r="BD435" i="10"/>
  <c r="BA435" i="10"/>
  <c r="AO435" i="10"/>
  <c r="AW435" i="10" s="1"/>
  <c r="AM435" i="10"/>
  <c r="AJ435" i="10"/>
  <c r="AG435" i="10"/>
  <c r="N435" i="10"/>
  <c r="X435" i="10" s="1"/>
  <c r="K435" i="10"/>
  <c r="H435" i="10"/>
  <c r="CA434" i="10"/>
  <c r="CH434" i="10" s="1"/>
  <c r="BY434" i="10"/>
  <c r="BV434" i="10"/>
  <c r="BS434" i="10"/>
  <c r="BI434" i="10"/>
  <c r="BG434" i="10"/>
  <c r="BD434" i="10"/>
  <c r="BA434" i="10"/>
  <c r="AO434" i="10"/>
  <c r="AM434" i="10"/>
  <c r="AJ434" i="10"/>
  <c r="AG434" i="10"/>
  <c r="N434" i="10"/>
  <c r="X434" i="10" s="1"/>
  <c r="K434" i="10"/>
  <c r="H434" i="10"/>
  <c r="CA433" i="10"/>
  <c r="CH433" i="10" s="1"/>
  <c r="BY433" i="10"/>
  <c r="BV433" i="10"/>
  <c r="BS433" i="10"/>
  <c r="BI433" i="10"/>
  <c r="BP433" i="10" s="1"/>
  <c r="BG433" i="10"/>
  <c r="BD433" i="10"/>
  <c r="BA433" i="10"/>
  <c r="AO433" i="10"/>
  <c r="AM433" i="10"/>
  <c r="AJ433" i="10"/>
  <c r="AG433" i="10"/>
  <c r="N433" i="10"/>
  <c r="X433" i="10" s="1"/>
  <c r="K433" i="10"/>
  <c r="H433" i="10"/>
  <c r="CA432" i="10"/>
  <c r="CH432" i="10" s="1"/>
  <c r="BY432" i="10"/>
  <c r="BV432" i="10"/>
  <c r="BS432" i="10"/>
  <c r="BI432" i="10"/>
  <c r="BQ432" i="10" s="1"/>
  <c r="BG432" i="10"/>
  <c r="BD432" i="10"/>
  <c r="BA432" i="10"/>
  <c r="AO432" i="10"/>
  <c r="W432" i="10" s="1"/>
  <c r="AM432" i="10"/>
  <c r="AJ432" i="10"/>
  <c r="AG432" i="10"/>
  <c r="N432" i="10"/>
  <c r="X432" i="10" s="1"/>
  <c r="K432" i="10"/>
  <c r="H432" i="10"/>
  <c r="CA431" i="10"/>
  <c r="CI431" i="10" s="1"/>
  <c r="BY431" i="10"/>
  <c r="BV431" i="10"/>
  <c r="BS431" i="10"/>
  <c r="BI431" i="10"/>
  <c r="BP431" i="10" s="1"/>
  <c r="BG431" i="10"/>
  <c r="BD431" i="10"/>
  <c r="BA431" i="10"/>
  <c r="AO431" i="10"/>
  <c r="AM431" i="10"/>
  <c r="AJ431" i="10"/>
  <c r="AG431" i="10"/>
  <c r="N431" i="10"/>
  <c r="X431" i="10" s="1"/>
  <c r="K431" i="10"/>
  <c r="H431" i="10"/>
  <c r="CA430" i="10"/>
  <c r="BY430" i="10"/>
  <c r="BV430" i="10"/>
  <c r="BS430" i="10"/>
  <c r="BI430" i="10"/>
  <c r="BP430" i="10" s="1"/>
  <c r="BG430" i="10"/>
  <c r="BD430" i="10"/>
  <c r="BA430" i="10"/>
  <c r="AO430" i="10"/>
  <c r="AM430" i="10"/>
  <c r="AJ430" i="10"/>
  <c r="AG430" i="10"/>
  <c r="N430" i="10"/>
  <c r="X430" i="10" s="1"/>
  <c r="K430" i="10"/>
  <c r="H430" i="10"/>
  <c r="CA429" i="10"/>
  <c r="CH429" i="10" s="1"/>
  <c r="BY429" i="10"/>
  <c r="BV429" i="10"/>
  <c r="BS429" i="10"/>
  <c r="BI429" i="10"/>
  <c r="BQ429" i="10" s="1"/>
  <c r="BG429" i="10"/>
  <c r="BD429" i="10"/>
  <c r="BA429" i="10"/>
  <c r="AO429" i="10"/>
  <c r="AW429" i="10" s="1"/>
  <c r="AM429" i="10"/>
  <c r="AJ429" i="10"/>
  <c r="AG429" i="10"/>
  <c r="N429" i="10"/>
  <c r="X429" i="10" s="1"/>
  <c r="K429" i="10"/>
  <c r="H429" i="10"/>
  <c r="CA428" i="10"/>
  <c r="CH428" i="10" s="1"/>
  <c r="BY428" i="10"/>
  <c r="BV428" i="10"/>
  <c r="BS428" i="10"/>
  <c r="BI428" i="10"/>
  <c r="BG428" i="10"/>
  <c r="BD428" i="10"/>
  <c r="BA428" i="10"/>
  <c r="AO428" i="10"/>
  <c r="AV428" i="10" s="1"/>
  <c r="AM428" i="10"/>
  <c r="AJ428" i="10"/>
  <c r="AG428" i="10"/>
  <c r="N428" i="10"/>
  <c r="X428" i="10" s="1"/>
  <c r="K428" i="10"/>
  <c r="H428" i="10"/>
  <c r="CA427" i="10"/>
  <c r="CI427" i="10" s="1"/>
  <c r="BY427" i="10"/>
  <c r="BV427" i="10"/>
  <c r="BS427" i="10"/>
  <c r="BI427" i="10"/>
  <c r="BG427" i="10"/>
  <c r="BD427" i="10"/>
  <c r="BA427" i="10"/>
  <c r="AO427" i="10"/>
  <c r="AM427" i="10"/>
  <c r="AJ427" i="10"/>
  <c r="AG427" i="10"/>
  <c r="N427" i="10"/>
  <c r="X427" i="10" s="1"/>
  <c r="K427" i="10"/>
  <c r="H427" i="10"/>
  <c r="CA426" i="10"/>
  <c r="CH426" i="10" s="1"/>
  <c r="BY426" i="10"/>
  <c r="BV426" i="10"/>
  <c r="BS426" i="10"/>
  <c r="BI426" i="10"/>
  <c r="BG426" i="10"/>
  <c r="BD426" i="10"/>
  <c r="BA426" i="10"/>
  <c r="AO426" i="10"/>
  <c r="AW426" i="10" s="1"/>
  <c r="AM426" i="10"/>
  <c r="AJ426" i="10"/>
  <c r="AG426" i="10"/>
  <c r="N426" i="10"/>
  <c r="X426" i="10" s="1"/>
  <c r="K426" i="10"/>
  <c r="H426" i="10"/>
  <c r="CA425" i="10"/>
  <c r="BY425" i="10"/>
  <c r="BV425" i="10"/>
  <c r="BS425" i="10"/>
  <c r="BI425" i="10"/>
  <c r="BP425" i="10" s="1"/>
  <c r="BG425" i="10"/>
  <c r="BD425" i="10"/>
  <c r="BA425" i="10"/>
  <c r="AO425" i="10"/>
  <c r="AV425" i="10" s="1"/>
  <c r="AM425" i="10"/>
  <c r="AJ425" i="10"/>
  <c r="AG425" i="10"/>
  <c r="N425" i="10"/>
  <c r="X425" i="10" s="1"/>
  <c r="K425" i="10"/>
  <c r="H425" i="10"/>
  <c r="CA424" i="10"/>
  <c r="CH424" i="10" s="1"/>
  <c r="BY424" i="10"/>
  <c r="BV424" i="10"/>
  <c r="BS424" i="10"/>
  <c r="BI424" i="10"/>
  <c r="BG424" i="10"/>
  <c r="BD424" i="10"/>
  <c r="BA424" i="10"/>
  <c r="AO424" i="10"/>
  <c r="AV424" i="10" s="1"/>
  <c r="AM424" i="10"/>
  <c r="AJ424" i="10"/>
  <c r="AG424" i="10"/>
  <c r="N424" i="10"/>
  <c r="X424" i="10" s="1"/>
  <c r="K424" i="10"/>
  <c r="H424" i="10"/>
  <c r="CA423" i="10"/>
  <c r="CH423" i="10" s="1"/>
  <c r="BY423" i="10"/>
  <c r="BV423" i="10"/>
  <c r="BS423" i="10"/>
  <c r="BI423" i="10"/>
  <c r="BP423" i="10" s="1"/>
  <c r="BG423" i="10"/>
  <c r="BD423" i="10"/>
  <c r="BA423" i="10"/>
  <c r="AO423" i="10"/>
  <c r="AW423" i="10" s="1"/>
  <c r="AM423" i="10"/>
  <c r="AJ423" i="10"/>
  <c r="AG423" i="10"/>
  <c r="N423" i="10"/>
  <c r="X423" i="10" s="1"/>
  <c r="K423" i="10"/>
  <c r="H423" i="10"/>
  <c r="CA422" i="10"/>
  <c r="CI422" i="10" s="1"/>
  <c r="BY422" i="10"/>
  <c r="BV422" i="10"/>
  <c r="BS422" i="10"/>
  <c r="BI422" i="10"/>
  <c r="BP422" i="10" s="1"/>
  <c r="BG422" i="10"/>
  <c r="BD422" i="10"/>
  <c r="BA422" i="10"/>
  <c r="AO422" i="10"/>
  <c r="AW422" i="10" s="1"/>
  <c r="AM422" i="10"/>
  <c r="AJ422" i="10"/>
  <c r="AG422" i="10"/>
  <c r="N422" i="10"/>
  <c r="X422" i="10" s="1"/>
  <c r="K422" i="10"/>
  <c r="H422" i="10"/>
  <c r="CA421" i="10"/>
  <c r="CH421" i="10" s="1"/>
  <c r="BY421" i="10"/>
  <c r="BV421" i="10"/>
  <c r="BS421" i="10"/>
  <c r="BI421" i="10"/>
  <c r="BQ421" i="10" s="1"/>
  <c r="BG421" i="10"/>
  <c r="BD421" i="10"/>
  <c r="BA421" i="10"/>
  <c r="AO421" i="10"/>
  <c r="AW421" i="10" s="1"/>
  <c r="AM421" i="10"/>
  <c r="AJ421" i="10"/>
  <c r="AG421" i="10"/>
  <c r="N421" i="10"/>
  <c r="X421" i="10" s="1"/>
  <c r="K421" i="10"/>
  <c r="H421" i="10"/>
  <c r="CA420" i="10"/>
  <c r="CI420" i="10" s="1"/>
  <c r="BY420" i="10"/>
  <c r="BV420" i="10"/>
  <c r="BS420" i="10"/>
  <c r="BI420" i="10"/>
  <c r="BP420" i="10" s="1"/>
  <c r="BG420" i="10"/>
  <c r="BD420" i="10"/>
  <c r="BA420" i="10"/>
  <c r="AO420" i="10"/>
  <c r="AV420" i="10" s="1"/>
  <c r="AM420" i="10"/>
  <c r="AJ420" i="10"/>
  <c r="AG420" i="10"/>
  <c r="N420" i="10"/>
  <c r="X420" i="10" s="1"/>
  <c r="K420" i="10"/>
  <c r="H420" i="10"/>
  <c r="CA419" i="10"/>
  <c r="CI419" i="10" s="1"/>
  <c r="BY419" i="10"/>
  <c r="BV419" i="10"/>
  <c r="BS419" i="10"/>
  <c r="BI419" i="10"/>
  <c r="BG419" i="10"/>
  <c r="BD419" i="10"/>
  <c r="BA419" i="10"/>
  <c r="AO419" i="10"/>
  <c r="W419" i="10" s="1"/>
  <c r="AM419" i="10"/>
  <c r="AJ419" i="10"/>
  <c r="AG419" i="10"/>
  <c r="N419" i="10"/>
  <c r="X419" i="10" s="1"/>
  <c r="K419" i="10"/>
  <c r="H419" i="10"/>
  <c r="CA418" i="10"/>
  <c r="BY418" i="10"/>
  <c r="BV418" i="10"/>
  <c r="BS418" i="10"/>
  <c r="BI418" i="10"/>
  <c r="BP418" i="10" s="1"/>
  <c r="BG418" i="10"/>
  <c r="BD418" i="10"/>
  <c r="BA418" i="10"/>
  <c r="AO418" i="10"/>
  <c r="AW418" i="10" s="1"/>
  <c r="AM418" i="10"/>
  <c r="AJ418" i="10"/>
  <c r="AG418" i="10"/>
  <c r="N418" i="10"/>
  <c r="X418" i="10" s="1"/>
  <c r="K418" i="10"/>
  <c r="H418" i="10"/>
  <c r="CA417" i="10"/>
  <c r="BY417" i="10"/>
  <c r="BV417" i="10"/>
  <c r="BS417" i="10"/>
  <c r="BI417" i="10"/>
  <c r="BP417" i="10" s="1"/>
  <c r="BG417" i="10"/>
  <c r="BD417" i="10"/>
  <c r="BA417" i="10"/>
  <c r="AO417" i="10"/>
  <c r="AM417" i="10"/>
  <c r="AJ417" i="10"/>
  <c r="AG417" i="10"/>
  <c r="N417" i="10"/>
  <c r="X417" i="10" s="1"/>
  <c r="K417" i="10"/>
  <c r="H417" i="10"/>
  <c r="CA416" i="10"/>
  <c r="CH416" i="10" s="1"/>
  <c r="BY416" i="10"/>
  <c r="BV416" i="10"/>
  <c r="BS416" i="10"/>
  <c r="BI416" i="10"/>
  <c r="BQ416" i="10" s="1"/>
  <c r="BG416" i="10"/>
  <c r="BD416" i="10"/>
  <c r="BA416" i="10"/>
  <c r="AO416" i="10"/>
  <c r="AM416" i="10"/>
  <c r="AJ416" i="10"/>
  <c r="AG416" i="10"/>
  <c r="N416" i="10"/>
  <c r="X416" i="10" s="1"/>
  <c r="K416" i="10"/>
  <c r="H416" i="10"/>
  <c r="CA415" i="10"/>
  <c r="CH415" i="10" s="1"/>
  <c r="BY415" i="10"/>
  <c r="BV415" i="10"/>
  <c r="BS415" i="10"/>
  <c r="BI415" i="10"/>
  <c r="BP415" i="10" s="1"/>
  <c r="BG415" i="10"/>
  <c r="BD415" i="10"/>
  <c r="BA415" i="10"/>
  <c r="AO415" i="10"/>
  <c r="AM415" i="10"/>
  <c r="AJ415" i="10"/>
  <c r="AG415" i="10"/>
  <c r="N415" i="10"/>
  <c r="X415" i="10" s="1"/>
  <c r="K415" i="10"/>
  <c r="H415" i="10"/>
  <c r="CA414" i="10"/>
  <c r="CI414" i="10" s="1"/>
  <c r="BY414" i="10"/>
  <c r="BV414" i="10"/>
  <c r="BS414" i="10"/>
  <c r="BI414" i="10"/>
  <c r="BP414" i="10" s="1"/>
  <c r="BG414" i="10"/>
  <c r="BD414" i="10"/>
  <c r="BA414" i="10"/>
  <c r="AO414" i="10"/>
  <c r="AM414" i="10"/>
  <c r="AJ414" i="10"/>
  <c r="AG414" i="10"/>
  <c r="N414" i="10"/>
  <c r="X414" i="10" s="1"/>
  <c r="K414" i="10"/>
  <c r="H414" i="10"/>
  <c r="CA413" i="10"/>
  <c r="CH413" i="10" s="1"/>
  <c r="BY413" i="10"/>
  <c r="BV413" i="10"/>
  <c r="BS413" i="10"/>
  <c r="BI413" i="10"/>
  <c r="BQ413" i="10" s="1"/>
  <c r="BG413" i="10"/>
  <c r="BD413" i="10"/>
  <c r="BA413" i="10"/>
  <c r="AO413" i="10"/>
  <c r="AW413" i="10" s="1"/>
  <c r="AM413" i="10"/>
  <c r="AJ413" i="10"/>
  <c r="AG413" i="10"/>
  <c r="N413" i="10"/>
  <c r="X413" i="10" s="1"/>
  <c r="K413" i="10"/>
  <c r="H413" i="10"/>
  <c r="CA412" i="10"/>
  <c r="CH412" i="10" s="1"/>
  <c r="BY412" i="10"/>
  <c r="BV412" i="10"/>
  <c r="BS412" i="10"/>
  <c r="BI412" i="10"/>
  <c r="BP412" i="10" s="1"/>
  <c r="BG412" i="10"/>
  <c r="BD412" i="10"/>
  <c r="BA412" i="10"/>
  <c r="AO412" i="10"/>
  <c r="AV412" i="10" s="1"/>
  <c r="AM412" i="10"/>
  <c r="AJ412" i="10"/>
  <c r="AG412" i="10"/>
  <c r="N412" i="10"/>
  <c r="X412" i="10" s="1"/>
  <c r="K412" i="10"/>
  <c r="H412" i="10"/>
  <c r="CA411" i="10"/>
  <c r="BY411" i="10"/>
  <c r="BV411" i="10"/>
  <c r="BS411" i="10"/>
  <c r="BI411" i="10"/>
  <c r="BQ411" i="10" s="1"/>
  <c r="BG411" i="10"/>
  <c r="BD411" i="10"/>
  <c r="BA411" i="10"/>
  <c r="AO411" i="10"/>
  <c r="W411" i="10" s="1"/>
  <c r="AM411" i="10"/>
  <c r="AJ411" i="10"/>
  <c r="AG411" i="10"/>
  <c r="N411" i="10"/>
  <c r="X411" i="10" s="1"/>
  <c r="K411" i="10"/>
  <c r="H411" i="10"/>
  <c r="CA410" i="10"/>
  <c r="CH410" i="10" s="1"/>
  <c r="BY410" i="10"/>
  <c r="BV410" i="10"/>
  <c r="BS410" i="10"/>
  <c r="BI410" i="10"/>
  <c r="BP410" i="10" s="1"/>
  <c r="BG410" i="10"/>
  <c r="BD410" i="10"/>
  <c r="BA410" i="10"/>
  <c r="AO410" i="10"/>
  <c r="AM410" i="10"/>
  <c r="AJ410" i="10"/>
  <c r="AG410" i="10"/>
  <c r="N410" i="10"/>
  <c r="X410" i="10" s="1"/>
  <c r="K410" i="10"/>
  <c r="H410" i="10"/>
  <c r="CA409" i="10"/>
  <c r="CI409" i="10" s="1"/>
  <c r="BY409" i="10"/>
  <c r="BV409" i="10"/>
  <c r="BS409" i="10"/>
  <c r="BI409" i="10"/>
  <c r="BQ409" i="10" s="1"/>
  <c r="BG409" i="10"/>
  <c r="BD409" i="10"/>
  <c r="BA409" i="10"/>
  <c r="AO409" i="10"/>
  <c r="AV409" i="10" s="1"/>
  <c r="AM409" i="10"/>
  <c r="AJ409" i="10"/>
  <c r="AG409" i="10"/>
  <c r="N409" i="10"/>
  <c r="X409" i="10" s="1"/>
  <c r="K409" i="10"/>
  <c r="H409" i="10"/>
  <c r="CA408" i="10"/>
  <c r="CH408" i="10" s="1"/>
  <c r="BY408" i="10"/>
  <c r="BV408" i="10"/>
  <c r="BS408" i="10"/>
  <c r="BI408" i="10"/>
  <c r="BQ408" i="10" s="1"/>
  <c r="BG408" i="10"/>
  <c r="BD408" i="10"/>
  <c r="BA408" i="10"/>
  <c r="AO408" i="10"/>
  <c r="AW408" i="10" s="1"/>
  <c r="AM408" i="10"/>
  <c r="AJ408" i="10"/>
  <c r="AG408" i="10"/>
  <c r="N408" i="10"/>
  <c r="X408" i="10" s="1"/>
  <c r="K408" i="10"/>
  <c r="H408" i="10"/>
  <c r="CA407" i="10"/>
  <c r="CI407" i="10" s="1"/>
  <c r="BY407" i="10"/>
  <c r="BV407" i="10"/>
  <c r="BS407" i="10"/>
  <c r="BI407" i="10"/>
  <c r="BG407" i="10"/>
  <c r="BD407" i="10"/>
  <c r="BA407" i="10"/>
  <c r="AO407" i="10"/>
  <c r="AW407" i="10" s="1"/>
  <c r="AM407" i="10"/>
  <c r="AJ407" i="10"/>
  <c r="AG407" i="10"/>
  <c r="N407" i="10"/>
  <c r="X407" i="10" s="1"/>
  <c r="K407" i="10"/>
  <c r="H407" i="10"/>
  <c r="CA406" i="10"/>
  <c r="BY406" i="10"/>
  <c r="BV406" i="10"/>
  <c r="BS406" i="10"/>
  <c r="BI406" i="10"/>
  <c r="BQ406" i="10" s="1"/>
  <c r="BG406" i="10"/>
  <c r="BD406" i="10"/>
  <c r="BA406" i="10"/>
  <c r="AO406" i="10"/>
  <c r="AW406" i="10" s="1"/>
  <c r="AM406" i="10"/>
  <c r="AJ406" i="10"/>
  <c r="AG406" i="10"/>
  <c r="N406" i="10"/>
  <c r="X406" i="10" s="1"/>
  <c r="K406" i="10"/>
  <c r="H406" i="10"/>
  <c r="CA405" i="10"/>
  <c r="CH405" i="10" s="1"/>
  <c r="BY405" i="10"/>
  <c r="BV405" i="10"/>
  <c r="BS405" i="10"/>
  <c r="BI405" i="10"/>
  <c r="BQ405" i="10" s="1"/>
  <c r="BG405" i="10"/>
  <c r="BD405" i="10"/>
  <c r="BA405" i="10"/>
  <c r="AO405" i="10"/>
  <c r="AW405" i="10" s="1"/>
  <c r="AM405" i="10"/>
  <c r="AJ405" i="10"/>
  <c r="AG405" i="10"/>
  <c r="N405" i="10"/>
  <c r="X405" i="10" s="1"/>
  <c r="K405" i="10"/>
  <c r="H405" i="10"/>
  <c r="CA404" i="10"/>
  <c r="CH404" i="10" s="1"/>
  <c r="BY404" i="10"/>
  <c r="BV404" i="10"/>
  <c r="BS404" i="10"/>
  <c r="BI404" i="10"/>
  <c r="BG404" i="10"/>
  <c r="BD404" i="10"/>
  <c r="BA404" i="10"/>
  <c r="AO404" i="10"/>
  <c r="AV404" i="10" s="1"/>
  <c r="AM404" i="10"/>
  <c r="AJ404" i="10"/>
  <c r="AG404" i="10"/>
  <c r="N404" i="10"/>
  <c r="X404" i="10" s="1"/>
  <c r="K404" i="10"/>
  <c r="H404" i="10"/>
  <c r="CA403" i="10"/>
  <c r="CI403" i="10" s="1"/>
  <c r="BY403" i="10"/>
  <c r="BV403" i="10"/>
  <c r="BS403" i="10"/>
  <c r="BI403" i="10"/>
  <c r="BQ403" i="10" s="1"/>
  <c r="BG403" i="10"/>
  <c r="BD403" i="10"/>
  <c r="BA403" i="10"/>
  <c r="AO403" i="10"/>
  <c r="AV403" i="10" s="1"/>
  <c r="AM403" i="10"/>
  <c r="AJ403" i="10"/>
  <c r="AG403" i="10"/>
  <c r="N403" i="10"/>
  <c r="X403" i="10" s="1"/>
  <c r="K403" i="10"/>
  <c r="H403" i="10"/>
  <c r="CA402" i="10"/>
  <c r="CH402" i="10" s="1"/>
  <c r="BY402" i="10"/>
  <c r="BV402" i="10"/>
  <c r="BS402" i="10"/>
  <c r="BI402" i="10"/>
  <c r="BP402" i="10" s="1"/>
  <c r="BG402" i="10"/>
  <c r="BD402" i="10"/>
  <c r="BA402" i="10"/>
  <c r="AO402" i="10"/>
  <c r="AW402" i="10" s="1"/>
  <c r="AM402" i="10"/>
  <c r="AJ402" i="10"/>
  <c r="AG402" i="10"/>
  <c r="N402" i="10"/>
  <c r="X402" i="10" s="1"/>
  <c r="K402" i="10"/>
  <c r="H402" i="10"/>
  <c r="CA401" i="10"/>
  <c r="BY401" i="10"/>
  <c r="BV401" i="10"/>
  <c r="BS401" i="10"/>
  <c r="BI401" i="10"/>
  <c r="BQ401" i="10" s="1"/>
  <c r="BG401" i="10"/>
  <c r="BD401" i="10"/>
  <c r="BA401" i="10"/>
  <c r="AO401" i="10"/>
  <c r="AM401" i="10"/>
  <c r="AJ401" i="10"/>
  <c r="AG401" i="10"/>
  <c r="N401" i="10"/>
  <c r="X401" i="10" s="1"/>
  <c r="K401" i="10"/>
  <c r="H401" i="10"/>
  <c r="CA400" i="10"/>
  <c r="CH400" i="10" s="1"/>
  <c r="BY400" i="10"/>
  <c r="BV400" i="10"/>
  <c r="BS400" i="10"/>
  <c r="BI400" i="10"/>
  <c r="BG400" i="10"/>
  <c r="BD400" i="10"/>
  <c r="BA400" i="10"/>
  <c r="AO400" i="10"/>
  <c r="AW400" i="10" s="1"/>
  <c r="AM400" i="10"/>
  <c r="AJ400" i="10"/>
  <c r="AG400" i="10"/>
  <c r="N400" i="10"/>
  <c r="X400" i="10" s="1"/>
  <c r="K400" i="10"/>
  <c r="H400" i="10"/>
  <c r="CA399" i="10"/>
  <c r="CH399" i="10" s="1"/>
  <c r="BY399" i="10"/>
  <c r="BV399" i="10"/>
  <c r="BS399" i="10"/>
  <c r="BI399" i="10"/>
  <c r="BP399" i="10" s="1"/>
  <c r="BG399" i="10"/>
  <c r="BD399" i="10"/>
  <c r="BA399" i="10"/>
  <c r="AO399" i="10"/>
  <c r="AW399" i="10" s="1"/>
  <c r="AM399" i="10"/>
  <c r="AJ399" i="10"/>
  <c r="AG399" i="10"/>
  <c r="N399" i="10"/>
  <c r="X399" i="10" s="1"/>
  <c r="K399" i="10"/>
  <c r="H399" i="10"/>
  <c r="CA398" i="10"/>
  <c r="CI398" i="10" s="1"/>
  <c r="BY398" i="10"/>
  <c r="BV398" i="10"/>
  <c r="BS398" i="10"/>
  <c r="BI398" i="10"/>
  <c r="BP398" i="10" s="1"/>
  <c r="BG398" i="10"/>
  <c r="BD398" i="10"/>
  <c r="BA398" i="10"/>
  <c r="AO398" i="10"/>
  <c r="AM398" i="10"/>
  <c r="AJ398" i="10"/>
  <c r="AG398" i="10"/>
  <c r="N398" i="10"/>
  <c r="X398" i="10" s="1"/>
  <c r="K398" i="10"/>
  <c r="H398" i="10"/>
  <c r="CA397" i="10"/>
  <c r="BY397" i="10"/>
  <c r="BV397" i="10"/>
  <c r="BS397" i="10"/>
  <c r="BI397" i="10"/>
  <c r="BQ397" i="10" s="1"/>
  <c r="BG397" i="10"/>
  <c r="BD397" i="10"/>
  <c r="BA397" i="10"/>
  <c r="AO397" i="10"/>
  <c r="W397" i="10" s="1"/>
  <c r="AM397" i="10"/>
  <c r="AJ397" i="10"/>
  <c r="AG397" i="10"/>
  <c r="N397" i="10"/>
  <c r="X397" i="10" s="1"/>
  <c r="K397" i="10"/>
  <c r="H397" i="10"/>
  <c r="CA396" i="10"/>
  <c r="CI396" i="10" s="1"/>
  <c r="BY396" i="10"/>
  <c r="BV396" i="10"/>
  <c r="BS396" i="10"/>
  <c r="BI396" i="10"/>
  <c r="BP396" i="10" s="1"/>
  <c r="BG396" i="10"/>
  <c r="BD396" i="10"/>
  <c r="BA396" i="10"/>
  <c r="AO396" i="10"/>
  <c r="AM396" i="10"/>
  <c r="AJ396" i="10"/>
  <c r="AG396" i="10"/>
  <c r="N396" i="10"/>
  <c r="X396" i="10" s="1"/>
  <c r="K396" i="10"/>
  <c r="H396" i="10"/>
  <c r="CA395" i="10"/>
  <c r="CI395" i="10" s="1"/>
  <c r="BY395" i="10"/>
  <c r="BV395" i="10"/>
  <c r="BS395" i="10"/>
  <c r="BI395" i="10"/>
  <c r="BQ395" i="10" s="1"/>
  <c r="BG395" i="10"/>
  <c r="BD395" i="10"/>
  <c r="BA395" i="10"/>
  <c r="AO395" i="10"/>
  <c r="AV395" i="10" s="1"/>
  <c r="AM395" i="10"/>
  <c r="AJ395" i="10"/>
  <c r="AG395" i="10"/>
  <c r="N395" i="10"/>
  <c r="X395" i="10" s="1"/>
  <c r="K395" i="10"/>
  <c r="H395" i="10"/>
  <c r="CA394" i="10"/>
  <c r="CH394" i="10" s="1"/>
  <c r="BY394" i="10"/>
  <c r="BV394" i="10"/>
  <c r="BS394" i="10"/>
  <c r="BI394" i="10"/>
  <c r="BP394" i="10" s="1"/>
  <c r="BG394" i="10"/>
  <c r="BD394" i="10"/>
  <c r="BA394" i="10"/>
  <c r="AO394" i="10"/>
  <c r="AW394" i="10" s="1"/>
  <c r="AM394" i="10"/>
  <c r="AJ394" i="10"/>
  <c r="AG394" i="10"/>
  <c r="N394" i="10"/>
  <c r="X394" i="10" s="1"/>
  <c r="K394" i="10"/>
  <c r="H394" i="10"/>
  <c r="CA393" i="10"/>
  <c r="CH393" i="10" s="1"/>
  <c r="BY393" i="10"/>
  <c r="BV393" i="10"/>
  <c r="BS393" i="10"/>
  <c r="BI393" i="10"/>
  <c r="BP393" i="10" s="1"/>
  <c r="BG393" i="10"/>
  <c r="BD393" i="10"/>
  <c r="BA393" i="10"/>
  <c r="AO393" i="10"/>
  <c r="AM393" i="10"/>
  <c r="AJ393" i="10"/>
  <c r="AG393" i="10"/>
  <c r="N393" i="10"/>
  <c r="X393" i="10" s="1"/>
  <c r="K393" i="10"/>
  <c r="H393" i="10"/>
  <c r="CA392" i="10"/>
  <c r="BY392" i="10"/>
  <c r="BV392" i="10"/>
  <c r="BS392" i="10"/>
  <c r="BI392" i="10"/>
  <c r="BQ392" i="10" s="1"/>
  <c r="BG392" i="10"/>
  <c r="BD392" i="10"/>
  <c r="BA392" i="10"/>
  <c r="AO392" i="10"/>
  <c r="AW392" i="10" s="1"/>
  <c r="AM392" i="10"/>
  <c r="AJ392" i="10"/>
  <c r="AG392" i="10"/>
  <c r="N392" i="10"/>
  <c r="X392" i="10" s="1"/>
  <c r="K392" i="10"/>
  <c r="H392" i="10"/>
  <c r="CA391" i="10"/>
  <c r="CI391" i="10" s="1"/>
  <c r="BY391" i="10"/>
  <c r="BV391" i="10"/>
  <c r="BS391" i="10"/>
  <c r="BI391" i="10"/>
  <c r="BP391" i="10" s="1"/>
  <c r="BG391" i="10"/>
  <c r="BD391" i="10"/>
  <c r="BA391" i="10"/>
  <c r="AO391" i="10"/>
  <c r="AM391" i="10"/>
  <c r="AJ391" i="10"/>
  <c r="AG391" i="10"/>
  <c r="N391" i="10"/>
  <c r="X391" i="10" s="1"/>
  <c r="K391" i="10"/>
  <c r="H391" i="10"/>
  <c r="CA390" i="10"/>
  <c r="CI390" i="10" s="1"/>
  <c r="BY390" i="10"/>
  <c r="BV390" i="10"/>
  <c r="BS390" i="10"/>
  <c r="BI390" i="10"/>
  <c r="BQ390" i="10" s="1"/>
  <c r="BG390" i="10"/>
  <c r="BD390" i="10"/>
  <c r="BA390" i="10"/>
  <c r="AO390" i="10"/>
  <c r="AV390" i="10" s="1"/>
  <c r="AM390" i="10"/>
  <c r="AJ390" i="10"/>
  <c r="AG390" i="10"/>
  <c r="N390" i="10"/>
  <c r="X390" i="10" s="1"/>
  <c r="K390" i="10"/>
  <c r="H390" i="10"/>
  <c r="CA389" i="10"/>
  <c r="CH389" i="10" s="1"/>
  <c r="BY389" i="10"/>
  <c r="BV389" i="10"/>
  <c r="BS389" i="10"/>
  <c r="BI389" i="10"/>
  <c r="BQ389" i="10" s="1"/>
  <c r="BG389" i="10"/>
  <c r="BD389" i="10"/>
  <c r="BA389" i="10"/>
  <c r="AO389" i="10"/>
  <c r="AM389" i="10"/>
  <c r="AJ389" i="10"/>
  <c r="AG389" i="10"/>
  <c r="N389" i="10"/>
  <c r="X389" i="10" s="1"/>
  <c r="K389" i="10"/>
  <c r="H389" i="10"/>
  <c r="CA388" i="10"/>
  <c r="CH388" i="10" s="1"/>
  <c r="BY388" i="10"/>
  <c r="BV388" i="10"/>
  <c r="BS388" i="10"/>
  <c r="BI388" i="10"/>
  <c r="BP388" i="10" s="1"/>
  <c r="BG388" i="10"/>
  <c r="BD388" i="10"/>
  <c r="BA388" i="10"/>
  <c r="AO388" i="10"/>
  <c r="AM388" i="10"/>
  <c r="AJ388" i="10"/>
  <c r="AG388" i="10"/>
  <c r="N388" i="10"/>
  <c r="X388" i="10" s="1"/>
  <c r="K388" i="10"/>
  <c r="H388" i="10"/>
  <c r="CA387" i="10"/>
  <c r="CI387" i="10" s="1"/>
  <c r="BY387" i="10"/>
  <c r="BV387" i="10"/>
  <c r="BS387" i="10"/>
  <c r="BI387" i="10"/>
  <c r="BQ387" i="10" s="1"/>
  <c r="BG387" i="10"/>
  <c r="BD387" i="10"/>
  <c r="BA387" i="10"/>
  <c r="AO387" i="10"/>
  <c r="W387" i="10" s="1"/>
  <c r="AM387" i="10"/>
  <c r="AJ387" i="10"/>
  <c r="AG387" i="10"/>
  <c r="N387" i="10"/>
  <c r="X387" i="10" s="1"/>
  <c r="K387" i="10"/>
  <c r="H387" i="10"/>
  <c r="CA386" i="10"/>
  <c r="CH386" i="10" s="1"/>
  <c r="BY386" i="10"/>
  <c r="BV386" i="10"/>
  <c r="BS386" i="10"/>
  <c r="BI386" i="10"/>
  <c r="BP386" i="10" s="1"/>
  <c r="BG386" i="10"/>
  <c r="BD386" i="10"/>
  <c r="BA386" i="10"/>
  <c r="AO386" i="10"/>
  <c r="AM386" i="10"/>
  <c r="AJ386" i="10"/>
  <c r="AG386" i="10"/>
  <c r="N386" i="10"/>
  <c r="X386" i="10" s="1"/>
  <c r="K386" i="10"/>
  <c r="H386" i="10"/>
  <c r="CA385" i="10"/>
  <c r="BY385" i="10"/>
  <c r="BV385" i="10"/>
  <c r="BS385" i="10"/>
  <c r="BI385" i="10"/>
  <c r="BG385" i="10"/>
  <c r="BD385" i="10"/>
  <c r="BA385" i="10"/>
  <c r="AO385" i="10"/>
  <c r="AV385" i="10" s="1"/>
  <c r="AM385" i="10"/>
  <c r="AJ385" i="10"/>
  <c r="AG385" i="10"/>
  <c r="N385" i="10"/>
  <c r="X385" i="10" s="1"/>
  <c r="K385" i="10"/>
  <c r="H385" i="10"/>
  <c r="CA384" i="10"/>
  <c r="CI384" i="10" s="1"/>
  <c r="BY384" i="10"/>
  <c r="BV384" i="10"/>
  <c r="BS384" i="10"/>
  <c r="BI384" i="10"/>
  <c r="BQ384" i="10" s="1"/>
  <c r="BG384" i="10"/>
  <c r="BD384" i="10"/>
  <c r="BA384" i="10"/>
  <c r="AO384" i="10"/>
  <c r="AW384" i="10" s="1"/>
  <c r="AM384" i="10"/>
  <c r="AJ384" i="10"/>
  <c r="AG384" i="10"/>
  <c r="N384" i="10"/>
  <c r="X384" i="10" s="1"/>
  <c r="K384" i="10"/>
  <c r="H384" i="10"/>
  <c r="CA383" i="10"/>
  <c r="CH383" i="10" s="1"/>
  <c r="BY383" i="10"/>
  <c r="BV383" i="10"/>
  <c r="BS383" i="10"/>
  <c r="BI383" i="10"/>
  <c r="BP383" i="10" s="1"/>
  <c r="BG383" i="10"/>
  <c r="BD383" i="10"/>
  <c r="BA383" i="10"/>
  <c r="AO383" i="10"/>
  <c r="AW383" i="10" s="1"/>
  <c r="AM383" i="10"/>
  <c r="AJ383" i="10"/>
  <c r="AG383" i="10"/>
  <c r="N383" i="10"/>
  <c r="X383" i="10" s="1"/>
  <c r="K383" i="10"/>
  <c r="H383" i="10"/>
  <c r="CA382" i="10"/>
  <c r="CI382" i="10" s="1"/>
  <c r="BY382" i="10"/>
  <c r="BV382" i="10"/>
  <c r="BS382" i="10"/>
  <c r="BI382" i="10"/>
  <c r="BQ382" i="10" s="1"/>
  <c r="BG382" i="10"/>
  <c r="BD382" i="10"/>
  <c r="BA382" i="10"/>
  <c r="AO382" i="10"/>
  <c r="AV382" i="10" s="1"/>
  <c r="AM382" i="10"/>
  <c r="AJ382" i="10"/>
  <c r="AG382" i="10"/>
  <c r="N382" i="10"/>
  <c r="X382" i="10" s="1"/>
  <c r="K382" i="10"/>
  <c r="H382" i="10"/>
  <c r="CA381" i="10"/>
  <c r="BY381" i="10"/>
  <c r="BV381" i="10"/>
  <c r="BS381" i="10"/>
  <c r="BI381" i="10"/>
  <c r="BQ381" i="10" s="1"/>
  <c r="BG381" i="10"/>
  <c r="BD381" i="10"/>
  <c r="BA381" i="10"/>
  <c r="AO381" i="10"/>
  <c r="W381" i="10" s="1"/>
  <c r="AM381" i="10"/>
  <c r="AJ381" i="10"/>
  <c r="AG381" i="10"/>
  <c r="N381" i="10"/>
  <c r="X381" i="10" s="1"/>
  <c r="K381" i="10"/>
  <c r="H381" i="10"/>
  <c r="CA380" i="10"/>
  <c r="CI380" i="10" s="1"/>
  <c r="BY380" i="10"/>
  <c r="BV380" i="10"/>
  <c r="BS380" i="10"/>
  <c r="BI380" i="10"/>
  <c r="BG380" i="10"/>
  <c r="BD380" i="10"/>
  <c r="BA380" i="10"/>
  <c r="AO380" i="10"/>
  <c r="W380" i="10" s="1"/>
  <c r="AM380" i="10"/>
  <c r="AJ380" i="10"/>
  <c r="AG380" i="10"/>
  <c r="N380" i="10"/>
  <c r="X380" i="10" s="1"/>
  <c r="K380" i="10"/>
  <c r="H380" i="10"/>
  <c r="CA379" i="10"/>
  <c r="CI379" i="10" s="1"/>
  <c r="BY379" i="10"/>
  <c r="BV379" i="10"/>
  <c r="BS379" i="10"/>
  <c r="BI379" i="10"/>
  <c r="BP379" i="10" s="1"/>
  <c r="BG379" i="10"/>
  <c r="BD379" i="10"/>
  <c r="BA379" i="10"/>
  <c r="AO379" i="10"/>
  <c r="W379" i="10" s="1"/>
  <c r="AM379" i="10"/>
  <c r="AJ379" i="10"/>
  <c r="AG379" i="10"/>
  <c r="N379" i="10"/>
  <c r="X379" i="10" s="1"/>
  <c r="K379" i="10"/>
  <c r="H379" i="10"/>
  <c r="CA378" i="10"/>
  <c r="CH378" i="10" s="1"/>
  <c r="BY378" i="10"/>
  <c r="BV378" i="10"/>
  <c r="BS378" i="10"/>
  <c r="BI378" i="10"/>
  <c r="BQ378" i="10" s="1"/>
  <c r="BG378" i="10"/>
  <c r="BD378" i="10"/>
  <c r="BA378" i="10"/>
  <c r="AO378" i="10"/>
  <c r="AW378" i="10" s="1"/>
  <c r="AM378" i="10"/>
  <c r="AJ378" i="10"/>
  <c r="AG378" i="10"/>
  <c r="N378" i="10"/>
  <c r="X378" i="10" s="1"/>
  <c r="K378" i="10"/>
  <c r="H378" i="10"/>
  <c r="CA377" i="10"/>
  <c r="CI377" i="10" s="1"/>
  <c r="BY377" i="10"/>
  <c r="BV377" i="10"/>
  <c r="BS377" i="10"/>
  <c r="BI377" i="10"/>
  <c r="BQ377" i="10" s="1"/>
  <c r="BG377" i="10"/>
  <c r="BD377" i="10"/>
  <c r="BA377" i="10"/>
  <c r="AO377" i="10"/>
  <c r="AM377" i="10"/>
  <c r="AJ377" i="10"/>
  <c r="AG377" i="10"/>
  <c r="N377" i="10"/>
  <c r="X377" i="10" s="1"/>
  <c r="K377" i="10"/>
  <c r="H377" i="10"/>
  <c r="CA376" i="10"/>
  <c r="CH376" i="10" s="1"/>
  <c r="BY376" i="10"/>
  <c r="BV376" i="10"/>
  <c r="BS376" i="10"/>
  <c r="BI376" i="10"/>
  <c r="BG376" i="10"/>
  <c r="BD376" i="10"/>
  <c r="BA376" i="10"/>
  <c r="AO376" i="10"/>
  <c r="AM376" i="10"/>
  <c r="AJ376" i="10"/>
  <c r="AG376" i="10"/>
  <c r="N376" i="10"/>
  <c r="X376" i="10" s="1"/>
  <c r="K376" i="10"/>
  <c r="H376" i="10"/>
  <c r="CA375" i="10"/>
  <c r="BY375" i="10"/>
  <c r="BV375" i="10"/>
  <c r="BS375" i="10"/>
  <c r="BI375" i="10"/>
  <c r="BP375" i="10" s="1"/>
  <c r="BG375" i="10"/>
  <c r="BD375" i="10"/>
  <c r="BA375" i="10"/>
  <c r="AO375" i="10"/>
  <c r="AM375" i="10"/>
  <c r="AJ375" i="10"/>
  <c r="AG375" i="10"/>
  <c r="N375" i="10"/>
  <c r="X375" i="10" s="1"/>
  <c r="K375" i="10"/>
  <c r="H375" i="10"/>
  <c r="CA374" i="10"/>
  <c r="CI374" i="10" s="1"/>
  <c r="BY374" i="10"/>
  <c r="BV374" i="10"/>
  <c r="BS374" i="10"/>
  <c r="BI374" i="10"/>
  <c r="BP374" i="10" s="1"/>
  <c r="BG374" i="10"/>
  <c r="BD374" i="10"/>
  <c r="BA374" i="10"/>
  <c r="AO374" i="10"/>
  <c r="AV374" i="10" s="1"/>
  <c r="AM374" i="10"/>
  <c r="AJ374" i="10"/>
  <c r="AG374" i="10"/>
  <c r="N374" i="10"/>
  <c r="X374" i="10" s="1"/>
  <c r="K374" i="10"/>
  <c r="H374" i="10"/>
  <c r="CA373" i="10"/>
  <c r="CI373" i="10" s="1"/>
  <c r="BY373" i="10"/>
  <c r="BV373" i="10"/>
  <c r="BS373" i="10"/>
  <c r="BI373" i="10"/>
  <c r="BQ373" i="10" s="1"/>
  <c r="BG373" i="10"/>
  <c r="BD373" i="10"/>
  <c r="BA373" i="10"/>
  <c r="AO373" i="10"/>
  <c r="W373" i="10" s="1"/>
  <c r="AM373" i="10"/>
  <c r="AJ373" i="10"/>
  <c r="AG373" i="10"/>
  <c r="N373" i="10"/>
  <c r="X373" i="10" s="1"/>
  <c r="K373" i="10"/>
  <c r="H373" i="10"/>
  <c r="CA372" i="10"/>
  <c r="BY372" i="10"/>
  <c r="BV372" i="10"/>
  <c r="BS372" i="10"/>
  <c r="BI372" i="10"/>
  <c r="BP372" i="10" s="1"/>
  <c r="BG372" i="10"/>
  <c r="BD372" i="10"/>
  <c r="BA372" i="10"/>
  <c r="AO372" i="10"/>
  <c r="AM372" i="10"/>
  <c r="AJ372" i="10"/>
  <c r="AG372" i="10"/>
  <c r="N372" i="10"/>
  <c r="X372" i="10" s="1"/>
  <c r="K372" i="10"/>
  <c r="H372" i="10"/>
  <c r="CA371" i="10"/>
  <c r="BY371" i="10"/>
  <c r="BV371" i="10"/>
  <c r="BS371" i="10"/>
  <c r="BI371" i="10"/>
  <c r="BQ371" i="10" s="1"/>
  <c r="BG371" i="10"/>
  <c r="BD371" i="10"/>
  <c r="BA371" i="10"/>
  <c r="AO371" i="10"/>
  <c r="AW371" i="10" s="1"/>
  <c r="AM371" i="10"/>
  <c r="AJ371" i="10"/>
  <c r="AG371" i="10"/>
  <c r="N371" i="10"/>
  <c r="X371" i="10" s="1"/>
  <c r="K371" i="10"/>
  <c r="H371" i="10"/>
  <c r="CA370" i="10"/>
  <c r="BY370" i="10"/>
  <c r="BV370" i="10"/>
  <c r="BS370" i="10"/>
  <c r="BI370" i="10"/>
  <c r="BG370" i="10"/>
  <c r="BD370" i="10"/>
  <c r="BA370" i="10"/>
  <c r="AO370" i="10"/>
  <c r="W370" i="10" s="1"/>
  <c r="AM370" i="10"/>
  <c r="AJ370" i="10"/>
  <c r="AG370" i="10"/>
  <c r="N370" i="10"/>
  <c r="X370" i="10" s="1"/>
  <c r="K370" i="10"/>
  <c r="H370" i="10"/>
  <c r="CA369" i="10"/>
  <c r="CI369" i="10" s="1"/>
  <c r="BY369" i="10"/>
  <c r="BV369" i="10"/>
  <c r="BS369" i="10"/>
  <c r="BI369" i="10"/>
  <c r="BQ369" i="10" s="1"/>
  <c r="BG369" i="10"/>
  <c r="BD369" i="10"/>
  <c r="BA369" i="10"/>
  <c r="AO369" i="10"/>
  <c r="AW369" i="10" s="1"/>
  <c r="AM369" i="10"/>
  <c r="AJ369" i="10"/>
  <c r="AG369" i="10"/>
  <c r="N369" i="10"/>
  <c r="X369" i="10" s="1"/>
  <c r="K369" i="10"/>
  <c r="H369" i="10"/>
  <c r="CA368" i="10"/>
  <c r="BY368" i="10"/>
  <c r="BV368" i="10"/>
  <c r="BS368" i="10"/>
  <c r="BI368" i="10"/>
  <c r="BQ368" i="10" s="1"/>
  <c r="BG368" i="10"/>
  <c r="BD368" i="10"/>
  <c r="BA368" i="10"/>
  <c r="AO368" i="10"/>
  <c r="AM368" i="10"/>
  <c r="AJ368" i="10"/>
  <c r="AG368" i="10"/>
  <c r="N368" i="10"/>
  <c r="X368" i="10" s="1"/>
  <c r="K368" i="10"/>
  <c r="H368" i="10"/>
  <c r="CA367" i="10"/>
  <c r="CH367" i="10" s="1"/>
  <c r="BY367" i="10"/>
  <c r="BV367" i="10"/>
  <c r="BS367" i="10"/>
  <c r="BI367" i="10"/>
  <c r="BQ367" i="10" s="1"/>
  <c r="BG367" i="10"/>
  <c r="BD367" i="10"/>
  <c r="BA367" i="10"/>
  <c r="AO367" i="10"/>
  <c r="AM367" i="10"/>
  <c r="AJ367" i="10"/>
  <c r="AG367" i="10"/>
  <c r="N367" i="10"/>
  <c r="X367" i="10" s="1"/>
  <c r="K367" i="10"/>
  <c r="H367" i="10"/>
  <c r="CA366" i="10"/>
  <c r="CI366" i="10" s="1"/>
  <c r="BY366" i="10"/>
  <c r="BV366" i="10"/>
  <c r="BS366" i="10"/>
  <c r="BI366" i="10"/>
  <c r="BP366" i="10" s="1"/>
  <c r="BG366" i="10"/>
  <c r="BD366" i="10"/>
  <c r="BA366" i="10"/>
  <c r="AO366" i="10"/>
  <c r="AV366" i="10" s="1"/>
  <c r="AM366" i="10"/>
  <c r="AJ366" i="10"/>
  <c r="AG366" i="10"/>
  <c r="N366" i="10"/>
  <c r="X366" i="10" s="1"/>
  <c r="K366" i="10"/>
  <c r="H366" i="10"/>
  <c r="CA365" i="10"/>
  <c r="CI365" i="10" s="1"/>
  <c r="BY365" i="10"/>
  <c r="BV365" i="10"/>
  <c r="BS365" i="10"/>
  <c r="BI365" i="10"/>
  <c r="BQ365" i="10" s="1"/>
  <c r="BG365" i="10"/>
  <c r="BD365" i="10"/>
  <c r="BA365" i="10"/>
  <c r="AO365" i="10"/>
  <c r="AW365" i="10" s="1"/>
  <c r="AM365" i="10"/>
  <c r="AJ365" i="10"/>
  <c r="AG365" i="10"/>
  <c r="N365" i="10"/>
  <c r="X365" i="10" s="1"/>
  <c r="K365" i="10"/>
  <c r="H365" i="10"/>
  <c r="CA364" i="10"/>
  <c r="BY364" i="10"/>
  <c r="BV364" i="10"/>
  <c r="BS364" i="10"/>
  <c r="BI364" i="10"/>
  <c r="BP364" i="10" s="1"/>
  <c r="BG364" i="10"/>
  <c r="BD364" i="10"/>
  <c r="BA364" i="10"/>
  <c r="AO364" i="10"/>
  <c r="AM364" i="10"/>
  <c r="AJ364" i="10"/>
  <c r="AG364" i="10"/>
  <c r="N364" i="10"/>
  <c r="X364" i="10" s="1"/>
  <c r="K364" i="10"/>
  <c r="H364" i="10"/>
  <c r="CA363" i="10"/>
  <c r="BY363" i="10"/>
  <c r="BV363" i="10"/>
  <c r="BS363" i="10"/>
  <c r="BI363" i="10"/>
  <c r="BQ363" i="10" s="1"/>
  <c r="BG363" i="10"/>
  <c r="BD363" i="10"/>
  <c r="BA363" i="10"/>
  <c r="AO363" i="10"/>
  <c r="W363" i="10" s="1"/>
  <c r="AM363" i="10"/>
  <c r="AJ363" i="10"/>
  <c r="AG363" i="10"/>
  <c r="N363" i="10"/>
  <c r="X363" i="10" s="1"/>
  <c r="K363" i="10"/>
  <c r="H363" i="10"/>
  <c r="CA362" i="10"/>
  <c r="CH362" i="10" s="1"/>
  <c r="BY362" i="10"/>
  <c r="BV362" i="10"/>
  <c r="BS362" i="10"/>
  <c r="BI362" i="10"/>
  <c r="BG362" i="10"/>
  <c r="BD362" i="10"/>
  <c r="BA362" i="10"/>
  <c r="AO362" i="10"/>
  <c r="W362" i="10" s="1"/>
  <c r="AM362" i="10"/>
  <c r="AJ362" i="10"/>
  <c r="AG362" i="10"/>
  <c r="N362" i="10"/>
  <c r="X362" i="10" s="1"/>
  <c r="K362" i="10"/>
  <c r="H362" i="10"/>
  <c r="CA361" i="10"/>
  <c r="CI361" i="10" s="1"/>
  <c r="BY361" i="10"/>
  <c r="BV361" i="10"/>
  <c r="BS361" i="10"/>
  <c r="BI361" i="10"/>
  <c r="BG361" i="10"/>
  <c r="BD361" i="10"/>
  <c r="BA361" i="10"/>
  <c r="AO361" i="10"/>
  <c r="AW361" i="10" s="1"/>
  <c r="AM361" i="10"/>
  <c r="AJ361" i="10"/>
  <c r="AG361" i="10"/>
  <c r="N361" i="10"/>
  <c r="X361" i="10" s="1"/>
  <c r="K361" i="10"/>
  <c r="H361" i="10"/>
  <c r="CA360" i="10"/>
  <c r="BY360" i="10"/>
  <c r="BV360" i="10"/>
  <c r="BS360" i="10"/>
  <c r="BI360" i="10"/>
  <c r="BQ360" i="10" s="1"/>
  <c r="BG360" i="10"/>
  <c r="BD360" i="10"/>
  <c r="BA360" i="10"/>
  <c r="AO360" i="10"/>
  <c r="AM360" i="10"/>
  <c r="AJ360" i="10"/>
  <c r="AG360" i="10"/>
  <c r="N360" i="10"/>
  <c r="X360" i="10" s="1"/>
  <c r="K360" i="10"/>
  <c r="H360" i="10"/>
  <c r="CA359" i="10"/>
  <c r="CI359" i="10" s="1"/>
  <c r="BY359" i="10"/>
  <c r="BV359" i="10"/>
  <c r="BS359" i="10"/>
  <c r="BI359" i="10"/>
  <c r="BQ359" i="10" s="1"/>
  <c r="BG359" i="10"/>
  <c r="BD359" i="10"/>
  <c r="BA359" i="10"/>
  <c r="AO359" i="10"/>
  <c r="AV359" i="10" s="1"/>
  <c r="AM359" i="10"/>
  <c r="AJ359" i="10"/>
  <c r="AG359" i="10"/>
  <c r="N359" i="10"/>
  <c r="X359" i="10" s="1"/>
  <c r="K359" i="10"/>
  <c r="H359" i="10"/>
  <c r="CA358" i="10"/>
  <c r="CI358" i="10" s="1"/>
  <c r="BY358" i="10"/>
  <c r="BV358" i="10"/>
  <c r="BS358" i="10"/>
  <c r="BI358" i="10"/>
  <c r="BP358" i="10" s="1"/>
  <c r="BG358" i="10"/>
  <c r="BD358" i="10"/>
  <c r="BA358" i="10"/>
  <c r="AO358" i="10"/>
  <c r="AM358" i="10"/>
  <c r="AJ358" i="10"/>
  <c r="AG358" i="10"/>
  <c r="N358" i="10"/>
  <c r="X358" i="10" s="1"/>
  <c r="K358" i="10"/>
  <c r="H358" i="10"/>
  <c r="CA357" i="10"/>
  <c r="CI357" i="10" s="1"/>
  <c r="BY357" i="10"/>
  <c r="BV357" i="10"/>
  <c r="BS357" i="10"/>
  <c r="BI357" i="10"/>
  <c r="BQ357" i="10" s="1"/>
  <c r="BG357" i="10"/>
  <c r="BD357" i="10"/>
  <c r="BA357" i="10"/>
  <c r="AO357" i="10"/>
  <c r="AV357" i="10" s="1"/>
  <c r="AM357" i="10"/>
  <c r="AJ357" i="10"/>
  <c r="AG357" i="10"/>
  <c r="N357" i="10"/>
  <c r="X357" i="10" s="1"/>
  <c r="K357" i="10"/>
  <c r="H357" i="10"/>
  <c r="CA356" i="10"/>
  <c r="BY356" i="10"/>
  <c r="BV356" i="10"/>
  <c r="BS356" i="10"/>
  <c r="BI356" i="10"/>
  <c r="BP356" i="10" s="1"/>
  <c r="BG356" i="10"/>
  <c r="BD356" i="10"/>
  <c r="BA356" i="10"/>
  <c r="AO356" i="10"/>
  <c r="AM356" i="10"/>
  <c r="AJ356" i="10"/>
  <c r="AG356" i="10"/>
  <c r="N356" i="10"/>
  <c r="X356" i="10" s="1"/>
  <c r="K356" i="10"/>
  <c r="H356" i="10"/>
  <c r="CA355" i="10"/>
  <c r="CH355" i="10" s="1"/>
  <c r="BY355" i="10"/>
  <c r="BV355" i="10"/>
  <c r="BS355" i="10"/>
  <c r="BI355" i="10"/>
  <c r="BQ355" i="10" s="1"/>
  <c r="BG355" i="10"/>
  <c r="BD355" i="10"/>
  <c r="BA355" i="10"/>
  <c r="AO355" i="10"/>
  <c r="AV355" i="10" s="1"/>
  <c r="AM355" i="10"/>
  <c r="AJ355" i="10"/>
  <c r="AG355" i="10"/>
  <c r="N355" i="10"/>
  <c r="X355" i="10" s="1"/>
  <c r="K355" i="10"/>
  <c r="H355" i="10"/>
  <c r="CA354" i="10"/>
  <c r="CH354" i="10" s="1"/>
  <c r="BY354" i="10"/>
  <c r="BV354" i="10"/>
  <c r="BS354" i="10"/>
  <c r="BI354" i="10"/>
  <c r="BG354" i="10"/>
  <c r="BD354" i="10"/>
  <c r="BA354" i="10"/>
  <c r="AO354" i="10"/>
  <c r="W354" i="10" s="1"/>
  <c r="AM354" i="10"/>
  <c r="AJ354" i="10"/>
  <c r="AG354" i="10"/>
  <c r="N354" i="10"/>
  <c r="X354" i="10" s="1"/>
  <c r="K354" i="10"/>
  <c r="H354" i="10"/>
  <c r="CA353" i="10"/>
  <c r="CI353" i="10" s="1"/>
  <c r="BY353" i="10"/>
  <c r="BV353" i="10"/>
  <c r="BS353" i="10"/>
  <c r="BI353" i="10"/>
  <c r="BQ353" i="10" s="1"/>
  <c r="BG353" i="10"/>
  <c r="BD353" i="10"/>
  <c r="BA353" i="10"/>
  <c r="AO353" i="10"/>
  <c r="AW353" i="10" s="1"/>
  <c r="AM353" i="10"/>
  <c r="AJ353" i="10"/>
  <c r="AG353" i="10"/>
  <c r="N353" i="10"/>
  <c r="X353" i="10" s="1"/>
  <c r="K353" i="10"/>
  <c r="H353" i="10"/>
  <c r="CA352" i="10"/>
  <c r="BY352" i="10"/>
  <c r="BV352" i="10"/>
  <c r="BS352" i="10"/>
  <c r="BI352" i="10"/>
  <c r="BQ352" i="10" s="1"/>
  <c r="BG352" i="10"/>
  <c r="BD352" i="10"/>
  <c r="BA352" i="10"/>
  <c r="AO352" i="10"/>
  <c r="AW352" i="10" s="1"/>
  <c r="AM352" i="10"/>
  <c r="AJ352" i="10"/>
  <c r="AG352" i="10"/>
  <c r="N352" i="10"/>
  <c r="X352" i="10" s="1"/>
  <c r="K352" i="10"/>
  <c r="H352" i="10"/>
  <c r="CA351" i="10"/>
  <c r="CI351" i="10" s="1"/>
  <c r="BY351" i="10"/>
  <c r="BV351" i="10"/>
  <c r="BS351" i="10"/>
  <c r="BI351" i="10"/>
  <c r="BQ351" i="10" s="1"/>
  <c r="BG351" i="10"/>
  <c r="BD351" i="10"/>
  <c r="BA351" i="10"/>
  <c r="AO351" i="10"/>
  <c r="W351" i="10" s="1"/>
  <c r="AM351" i="10"/>
  <c r="AJ351" i="10"/>
  <c r="AG351" i="10"/>
  <c r="N351" i="10"/>
  <c r="X351" i="10" s="1"/>
  <c r="K351" i="10"/>
  <c r="H351" i="10"/>
  <c r="CA350" i="10"/>
  <c r="CI350" i="10" s="1"/>
  <c r="BY350" i="10"/>
  <c r="BV350" i="10"/>
  <c r="BS350" i="10"/>
  <c r="BI350" i="10"/>
  <c r="BQ350" i="10" s="1"/>
  <c r="BG350" i="10"/>
  <c r="BD350" i="10"/>
  <c r="BA350" i="10"/>
  <c r="AO350" i="10"/>
  <c r="AM350" i="10"/>
  <c r="AJ350" i="10"/>
  <c r="AG350" i="10"/>
  <c r="N350" i="10"/>
  <c r="X350" i="10" s="1"/>
  <c r="K350" i="10"/>
  <c r="H350" i="10"/>
  <c r="CA349" i="10"/>
  <c r="CI349" i="10" s="1"/>
  <c r="BY349" i="10"/>
  <c r="BV349" i="10"/>
  <c r="BS349" i="10"/>
  <c r="BI349" i="10"/>
  <c r="BQ349" i="10" s="1"/>
  <c r="BG349" i="10"/>
  <c r="BD349" i="10"/>
  <c r="BA349" i="10"/>
  <c r="AO349" i="10"/>
  <c r="AV349" i="10" s="1"/>
  <c r="AM349" i="10"/>
  <c r="AJ349" i="10"/>
  <c r="AG349" i="10"/>
  <c r="N349" i="10"/>
  <c r="X349" i="10" s="1"/>
  <c r="K349" i="10"/>
  <c r="H349" i="10"/>
  <c r="CA348" i="10"/>
  <c r="CI348" i="10" s="1"/>
  <c r="BY348" i="10"/>
  <c r="BV348" i="10"/>
  <c r="BS348" i="10"/>
  <c r="BI348" i="10"/>
  <c r="BP348" i="10" s="1"/>
  <c r="BG348" i="10"/>
  <c r="BD348" i="10"/>
  <c r="BA348" i="10"/>
  <c r="AO348" i="10"/>
  <c r="AM348" i="10"/>
  <c r="AJ348" i="10"/>
  <c r="AG348" i="10"/>
  <c r="N348" i="10"/>
  <c r="X348" i="10" s="1"/>
  <c r="K348" i="10"/>
  <c r="H348" i="10"/>
  <c r="CA347" i="10"/>
  <c r="CI347" i="10" s="1"/>
  <c r="BY347" i="10"/>
  <c r="BV347" i="10"/>
  <c r="BS347" i="10"/>
  <c r="BI347" i="10"/>
  <c r="BG347" i="10"/>
  <c r="BD347" i="10"/>
  <c r="BA347" i="10"/>
  <c r="AO347" i="10"/>
  <c r="AW347" i="10" s="1"/>
  <c r="AM347" i="10"/>
  <c r="AJ347" i="10"/>
  <c r="AG347" i="10"/>
  <c r="N347" i="10"/>
  <c r="X347" i="10" s="1"/>
  <c r="K347" i="10"/>
  <c r="H347" i="10"/>
  <c r="CA346" i="10"/>
  <c r="CH346" i="10" s="1"/>
  <c r="BY346" i="10"/>
  <c r="BV346" i="10"/>
  <c r="BS346" i="10"/>
  <c r="BI346" i="10"/>
  <c r="BG346" i="10"/>
  <c r="BD346" i="10"/>
  <c r="BA346" i="10"/>
  <c r="AO346" i="10"/>
  <c r="W346" i="10" s="1"/>
  <c r="AM346" i="10"/>
  <c r="AJ346" i="10"/>
  <c r="AG346" i="10"/>
  <c r="N346" i="10"/>
  <c r="X346" i="10" s="1"/>
  <c r="K346" i="10"/>
  <c r="H346" i="10"/>
  <c r="CA345" i="10"/>
  <c r="CI345" i="10" s="1"/>
  <c r="BY345" i="10"/>
  <c r="BV345" i="10"/>
  <c r="BS345" i="10"/>
  <c r="BI345" i="10"/>
  <c r="BP345" i="10" s="1"/>
  <c r="BG345" i="10"/>
  <c r="BD345" i="10"/>
  <c r="BA345" i="10"/>
  <c r="AO345" i="10"/>
  <c r="AW345" i="10" s="1"/>
  <c r="AM345" i="10"/>
  <c r="AJ345" i="10"/>
  <c r="AG345" i="10"/>
  <c r="N345" i="10"/>
  <c r="X345" i="10" s="1"/>
  <c r="K345" i="10"/>
  <c r="H345" i="10"/>
  <c r="CA344" i="10"/>
  <c r="BY344" i="10"/>
  <c r="BV344" i="10"/>
  <c r="BS344" i="10"/>
  <c r="BI344" i="10"/>
  <c r="BQ344" i="10" s="1"/>
  <c r="BG344" i="10"/>
  <c r="BD344" i="10"/>
  <c r="BA344" i="10"/>
  <c r="AO344" i="10"/>
  <c r="AW344" i="10" s="1"/>
  <c r="AM344" i="10"/>
  <c r="AJ344" i="10"/>
  <c r="AG344" i="10"/>
  <c r="N344" i="10"/>
  <c r="X344" i="10" s="1"/>
  <c r="K344" i="10"/>
  <c r="H344" i="10"/>
  <c r="CA343" i="10"/>
  <c r="CI343" i="10" s="1"/>
  <c r="BY343" i="10"/>
  <c r="BV343" i="10"/>
  <c r="BS343" i="10"/>
  <c r="BI343" i="10"/>
  <c r="BQ343" i="10" s="1"/>
  <c r="BG343" i="10"/>
  <c r="BD343" i="10"/>
  <c r="BA343" i="10"/>
  <c r="AO343" i="10"/>
  <c r="AV343" i="10" s="1"/>
  <c r="AM343" i="10"/>
  <c r="AJ343" i="10"/>
  <c r="AG343" i="10"/>
  <c r="N343" i="10"/>
  <c r="X343" i="10" s="1"/>
  <c r="K343" i="10"/>
  <c r="H343" i="10"/>
  <c r="CA342" i="10"/>
  <c r="CI342" i="10" s="1"/>
  <c r="BY342" i="10"/>
  <c r="BV342" i="10"/>
  <c r="BS342" i="10"/>
  <c r="BI342" i="10"/>
  <c r="BP342" i="10" s="1"/>
  <c r="BG342" i="10"/>
  <c r="BD342" i="10"/>
  <c r="BA342" i="10"/>
  <c r="AO342" i="10"/>
  <c r="AM342" i="10"/>
  <c r="AJ342" i="10"/>
  <c r="AG342" i="10"/>
  <c r="N342" i="10"/>
  <c r="X342" i="10" s="1"/>
  <c r="K342" i="10"/>
  <c r="H342" i="10"/>
  <c r="CA341" i="10"/>
  <c r="CI341" i="10" s="1"/>
  <c r="BY341" i="10"/>
  <c r="BV341" i="10"/>
  <c r="BS341" i="10"/>
  <c r="BI341" i="10"/>
  <c r="BP341" i="10" s="1"/>
  <c r="BG341" i="10"/>
  <c r="BD341" i="10"/>
  <c r="BA341" i="10"/>
  <c r="AO341" i="10"/>
  <c r="W341" i="10" s="1"/>
  <c r="AM341" i="10"/>
  <c r="AJ341" i="10"/>
  <c r="AG341" i="10"/>
  <c r="N341" i="10"/>
  <c r="X341" i="10" s="1"/>
  <c r="K341" i="10"/>
  <c r="H341" i="10"/>
  <c r="CA340" i="10"/>
  <c r="CH340" i="10" s="1"/>
  <c r="BY340" i="10"/>
  <c r="BV340" i="10"/>
  <c r="BS340" i="10"/>
  <c r="BI340" i="10"/>
  <c r="BG340" i="10"/>
  <c r="BD340" i="10"/>
  <c r="BA340" i="10"/>
  <c r="AO340" i="10"/>
  <c r="AM340" i="10"/>
  <c r="AJ340" i="10"/>
  <c r="AG340" i="10"/>
  <c r="N340" i="10"/>
  <c r="X340" i="10" s="1"/>
  <c r="K340" i="10"/>
  <c r="H340" i="10"/>
  <c r="CA339" i="10"/>
  <c r="CH339" i="10" s="1"/>
  <c r="BY339" i="10"/>
  <c r="BV339" i="10"/>
  <c r="BS339" i="10"/>
  <c r="BI339" i="10"/>
  <c r="BQ339" i="10" s="1"/>
  <c r="BG339" i="10"/>
  <c r="BD339" i="10"/>
  <c r="BA339" i="10"/>
  <c r="AO339" i="10"/>
  <c r="AV339" i="10" s="1"/>
  <c r="AM339" i="10"/>
  <c r="AJ339" i="10"/>
  <c r="AG339" i="10"/>
  <c r="N339" i="10"/>
  <c r="X339" i="10" s="1"/>
  <c r="K339" i="10"/>
  <c r="H339" i="10"/>
  <c r="CA338" i="10"/>
  <c r="CH338" i="10" s="1"/>
  <c r="BY338" i="10"/>
  <c r="BV338" i="10"/>
  <c r="BS338" i="10"/>
  <c r="BI338" i="10"/>
  <c r="BG338" i="10"/>
  <c r="BD338" i="10"/>
  <c r="BA338" i="10"/>
  <c r="AO338" i="10"/>
  <c r="W338" i="10" s="1"/>
  <c r="AM338" i="10"/>
  <c r="AJ338" i="10"/>
  <c r="AG338" i="10"/>
  <c r="N338" i="10"/>
  <c r="X338" i="10" s="1"/>
  <c r="K338" i="10"/>
  <c r="H338" i="10"/>
  <c r="CA337" i="10"/>
  <c r="CI337" i="10" s="1"/>
  <c r="BY337" i="10"/>
  <c r="BV337" i="10"/>
  <c r="BS337" i="10"/>
  <c r="BI337" i="10"/>
  <c r="BQ337" i="10" s="1"/>
  <c r="BG337" i="10"/>
  <c r="BD337" i="10"/>
  <c r="BA337" i="10"/>
  <c r="AO337" i="10"/>
  <c r="AW337" i="10" s="1"/>
  <c r="AM337" i="10"/>
  <c r="AJ337" i="10"/>
  <c r="AG337" i="10"/>
  <c r="N337" i="10"/>
  <c r="X337" i="10" s="1"/>
  <c r="K337" i="10"/>
  <c r="H337" i="10"/>
  <c r="CA336" i="10"/>
  <c r="BY336" i="10"/>
  <c r="BV336" i="10"/>
  <c r="BS336" i="10"/>
  <c r="BI336" i="10"/>
  <c r="BQ336" i="10" s="1"/>
  <c r="BG336" i="10"/>
  <c r="BD336" i="10"/>
  <c r="BA336" i="10"/>
  <c r="AO336" i="10"/>
  <c r="AW336" i="10" s="1"/>
  <c r="AM336" i="10"/>
  <c r="AJ336" i="10"/>
  <c r="AG336" i="10"/>
  <c r="N336" i="10"/>
  <c r="X336" i="10" s="1"/>
  <c r="K336" i="10"/>
  <c r="H336" i="10"/>
  <c r="CA335" i="10"/>
  <c r="BY335" i="10"/>
  <c r="BV335" i="10"/>
  <c r="BS335" i="10"/>
  <c r="BI335" i="10"/>
  <c r="BQ335" i="10" s="1"/>
  <c r="BG335" i="10"/>
  <c r="BD335" i="10"/>
  <c r="BA335" i="10"/>
  <c r="AO335" i="10"/>
  <c r="AV335" i="10" s="1"/>
  <c r="AM335" i="10"/>
  <c r="AJ335" i="10"/>
  <c r="AG335" i="10"/>
  <c r="N335" i="10"/>
  <c r="X335" i="10" s="1"/>
  <c r="K335" i="10"/>
  <c r="H335" i="10"/>
  <c r="CA334" i="10"/>
  <c r="CI334" i="10" s="1"/>
  <c r="BY334" i="10"/>
  <c r="BV334" i="10"/>
  <c r="BS334" i="10"/>
  <c r="BI334" i="10"/>
  <c r="BP334" i="10" s="1"/>
  <c r="BG334" i="10"/>
  <c r="BD334" i="10"/>
  <c r="BA334" i="10"/>
  <c r="AO334" i="10"/>
  <c r="W334" i="10" s="1"/>
  <c r="AM334" i="10"/>
  <c r="AJ334" i="10"/>
  <c r="AG334" i="10"/>
  <c r="N334" i="10"/>
  <c r="X334" i="10" s="1"/>
  <c r="K334" i="10"/>
  <c r="H334" i="10"/>
  <c r="CA333" i="10"/>
  <c r="CI333" i="10" s="1"/>
  <c r="BY333" i="10"/>
  <c r="BV333" i="10"/>
  <c r="BS333" i="10"/>
  <c r="BI333" i="10"/>
  <c r="BQ333" i="10" s="1"/>
  <c r="BG333" i="10"/>
  <c r="BD333" i="10"/>
  <c r="BA333" i="10"/>
  <c r="AO333" i="10"/>
  <c r="AM333" i="10"/>
  <c r="AJ333" i="10"/>
  <c r="AG333" i="10"/>
  <c r="N333" i="10"/>
  <c r="X333" i="10" s="1"/>
  <c r="K333" i="10"/>
  <c r="H333" i="10"/>
  <c r="CA332" i="10"/>
  <c r="CH332" i="10" s="1"/>
  <c r="BY332" i="10"/>
  <c r="BV332" i="10"/>
  <c r="BS332" i="10"/>
  <c r="BI332" i="10"/>
  <c r="BP332" i="10" s="1"/>
  <c r="BG332" i="10"/>
  <c r="BD332" i="10"/>
  <c r="BA332" i="10"/>
  <c r="AO332" i="10"/>
  <c r="AM332" i="10"/>
  <c r="AJ332" i="10"/>
  <c r="AG332" i="10"/>
  <c r="N332" i="10"/>
  <c r="X332" i="10" s="1"/>
  <c r="K332" i="10"/>
  <c r="H332" i="10"/>
  <c r="CA331" i="10"/>
  <c r="CI331" i="10" s="1"/>
  <c r="BY331" i="10"/>
  <c r="BV331" i="10"/>
  <c r="BS331" i="10"/>
  <c r="BI331" i="10"/>
  <c r="BQ331" i="10" s="1"/>
  <c r="BG331" i="10"/>
  <c r="BD331" i="10"/>
  <c r="BA331" i="10"/>
  <c r="AO331" i="10"/>
  <c r="AM331" i="10"/>
  <c r="AJ331" i="10"/>
  <c r="AG331" i="10"/>
  <c r="N331" i="10"/>
  <c r="X331" i="10" s="1"/>
  <c r="K331" i="10"/>
  <c r="H331" i="10"/>
  <c r="CA330" i="10"/>
  <c r="CI330" i="10" s="1"/>
  <c r="BY330" i="10"/>
  <c r="BV330" i="10"/>
  <c r="BS330" i="10"/>
  <c r="BI330" i="10"/>
  <c r="BP330" i="10" s="1"/>
  <c r="BG330" i="10"/>
  <c r="BD330" i="10"/>
  <c r="BA330" i="10"/>
  <c r="AO330" i="10"/>
  <c r="AM330" i="10"/>
  <c r="AJ330" i="10"/>
  <c r="AG330" i="10"/>
  <c r="N330" i="10"/>
  <c r="X330" i="10" s="1"/>
  <c r="K330" i="10"/>
  <c r="H330" i="10"/>
  <c r="CA329" i="10"/>
  <c r="BY329" i="10"/>
  <c r="BV329" i="10"/>
  <c r="BS329" i="10"/>
  <c r="BI329" i="10"/>
  <c r="BQ329" i="10" s="1"/>
  <c r="BG329" i="10"/>
  <c r="BD329" i="10"/>
  <c r="BA329" i="10"/>
  <c r="AO329" i="10"/>
  <c r="AW329" i="10" s="1"/>
  <c r="AM329" i="10"/>
  <c r="AJ329" i="10"/>
  <c r="AG329" i="10"/>
  <c r="N329" i="10"/>
  <c r="X329" i="10" s="1"/>
  <c r="K329" i="10"/>
  <c r="H329" i="10"/>
  <c r="CA328" i="10"/>
  <c r="CH328" i="10" s="1"/>
  <c r="BY328" i="10"/>
  <c r="BV328" i="10"/>
  <c r="BS328" i="10"/>
  <c r="BI328" i="10"/>
  <c r="BG328" i="10"/>
  <c r="BD328" i="10"/>
  <c r="BA328" i="10"/>
  <c r="AO328" i="10"/>
  <c r="AW328" i="10" s="1"/>
  <c r="AM328" i="10"/>
  <c r="AJ328" i="10"/>
  <c r="AG328" i="10"/>
  <c r="N328" i="10"/>
  <c r="X328" i="10" s="1"/>
  <c r="K328" i="10"/>
  <c r="H328" i="10"/>
  <c r="CA327" i="10"/>
  <c r="CI327" i="10" s="1"/>
  <c r="BY327" i="10"/>
  <c r="BV327" i="10"/>
  <c r="BS327" i="10"/>
  <c r="BI327" i="10"/>
  <c r="BG327" i="10"/>
  <c r="BD327" i="10"/>
  <c r="BA327" i="10"/>
  <c r="AO327" i="10"/>
  <c r="W327" i="10" s="1"/>
  <c r="AM327" i="10"/>
  <c r="AJ327" i="10"/>
  <c r="AG327" i="10"/>
  <c r="N327" i="10"/>
  <c r="X327" i="10" s="1"/>
  <c r="K327" i="10"/>
  <c r="H327" i="10"/>
  <c r="CA326" i="10"/>
  <c r="CI326" i="10" s="1"/>
  <c r="BY326" i="10"/>
  <c r="BV326" i="10"/>
  <c r="BS326" i="10"/>
  <c r="BI326" i="10"/>
  <c r="BP326" i="10" s="1"/>
  <c r="BG326" i="10"/>
  <c r="BD326" i="10"/>
  <c r="BA326" i="10"/>
  <c r="AO326" i="10"/>
  <c r="W326" i="10" s="1"/>
  <c r="AM326" i="10"/>
  <c r="AJ326" i="10"/>
  <c r="AG326" i="10"/>
  <c r="N326" i="10"/>
  <c r="X326" i="10" s="1"/>
  <c r="K326" i="10"/>
  <c r="H326" i="10"/>
  <c r="CA325" i="10"/>
  <c r="BY325" i="10"/>
  <c r="BV325" i="10"/>
  <c r="BS325" i="10"/>
  <c r="BI325" i="10"/>
  <c r="BG325" i="10"/>
  <c r="BD325" i="10"/>
  <c r="BA325" i="10"/>
  <c r="AO325" i="10"/>
  <c r="AW325" i="10" s="1"/>
  <c r="AM325" i="10"/>
  <c r="AJ325" i="10"/>
  <c r="AG325" i="10"/>
  <c r="N325" i="10"/>
  <c r="X325" i="10" s="1"/>
  <c r="K325" i="10"/>
  <c r="H325" i="10"/>
  <c r="CA324" i="10"/>
  <c r="CH324" i="10" s="1"/>
  <c r="BY324" i="10"/>
  <c r="BV324" i="10"/>
  <c r="BS324" i="10"/>
  <c r="BI324" i="10"/>
  <c r="BQ324" i="10" s="1"/>
  <c r="BG324" i="10"/>
  <c r="BD324" i="10"/>
  <c r="BA324" i="10"/>
  <c r="AO324" i="10"/>
  <c r="AM324" i="10"/>
  <c r="AJ324" i="10"/>
  <c r="AG324" i="10"/>
  <c r="N324" i="10"/>
  <c r="X324" i="10" s="1"/>
  <c r="K324" i="10"/>
  <c r="H324" i="10"/>
  <c r="CA323" i="10"/>
  <c r="CH323" i="10" s="1"/>
  <c r="BY323" i="10"/>
  <c r="BV323" i="10"/>
  <c r="BS323" i="10"/>
  <c r="BI323" i="10"/>
  <c r="BQ323" i="10" s="1"/>
  <c r="BG323" i="10"/>
  <c r="BD323" i="10"/>
  <c r="BA323" i="10"/>
  <c r="AO323" i="10"/>
  <c r="W323" i="10" s="1"/>
  <c r="AM323" i="10"/>
  <c r="AJ323" i="10"/>
  <c r="AG323" i="10"/>
  <c r="N323" i="10"/>
  <c r="X323" i="10" s="1"/>
  <c r="K323" i="10"/>
  <c r="H323" i="10"/>
  <c r="CA322" i="10"/>
  <c r="CH322" i="10" s="1"/>
  <c r="BY322" i="10"/>
  <c r="BV322" i="10"/>
  <c r="BS322" i="10"/>
  <c r="BI322" i="10"/>
  <c r="BP322" i="10" s="1"/>
  <c r="BG322" i="10"/>
  <c r="BD322" i="10"/>
  <c r="BA322" i="10"/>
  <c r="AO322" i="10"/>
  <c r="AM322" i="10"/>
  <c r="AJ322" i="10"/>
  <c r="AG322" i="10"/>
  <c r="N322" i="10"/>
  <c r="X322" i="10" s="1"/>
  <c r="K322" i="10"/>
  <c r="H322" i="10"/>
  <c r="CA321" i="10"/>
  <c r="CI321" i="10" s="1"/>
  <c r="BY321" i="10"/>
  <c r="BV321" i="10"/>
  <c r="BS321" i="10"/>
  <c r="BI321" i="10"/>
  <c r="BP321" i="10" s="1"/>
  <c r="BG321" i="10"/>
  <c r="BD321" i="10"/>
  <c r="BA321" i="10"/>
  <c r="AO321" i="10"/>
  <c r="W321" i="10" s="1"/>
  <c r="AM321" i="10"/>
  <c r="AJ321" i="10"/>
  <c r="AG321" i="10"/>
  <c r="N321" i="10"/>
  <c r="X321" i="10" s="1"/>
  <c r="K321" i="10"/>
  <c r="H321" i="10"/>
  <c r="CA320" i="10"/>
  <c r="CH320" i="10" s="1"/>
  <c r="BY320" i="10"/>
  <c r="BV320" i="10"/>
  <c r="BS320" i="10"/>
  <c r="BI320" i="10"/>
  <c r="BG320" i="10"/>
  <c r="BD320" i="10"/>
  <c r="BA320" i="10"/>
  <c r="AO320" i="10"/>
  <c r="W320" i="10" s="1"/>
  <c r="AM320" i="10"/>
  <c r="AJ320" i="10"/>
  <c r="AG320" i="10"/>
  <c r="N320" i="10"/>
  <c r="X320" i="10" s="1"/>
  <c r="K320" i="10"/>
  <c r="H320" i="10"/>
  <c r="CA319" i="10"/>
  <c r="CI319" i="10" s="1"/>
  <c r="BY319" i="10"/>
  <c r="BV319" i="10"/>
  <c r="BS319" i="10"/>
  <c r="BI319" i="10"/>
  <c r="BG319" i="10"/>
  <c r="BD319" i="10"/>
  <c r="BA319" i="10"/>
  <c r="AO319" i="10"/>
  <c r="W319" i="10" s="1"/>
  <c r="AM319" i="10"/>
  <c r="AJ319" i="10"/>
  <c r="AG319" i="10"/>
  <c r="N319" i="10"/>
  <c r="X319" i="10" s="1"/>
  <c r="K319" i="10"/>
  <c r="H319" i="10"/>
  <c r="CA318" i="10"/>
  <c r="CI318" i="10" s="1"/>
  <c r="BY318" i="10"/>
  <c r="BV318" i="10"/>
  <c r="BS318" i="10"/>
  <c r="BI318" i="10"/>
  <c r="BQ318" i="10" s="1"/>
  <c r="BG318" i="10"/>
  <c r="BD318" i="10"/>
  <c r="BA318" i="10"/>
  <c r="AO318" i="10"/>
  <c r="W318" i="10" s="1"/>
  <c r="AM318" i="10"/>
  <c r="AJ318" i="10"/>
  <c r="AG318" i="10"/>
  <c r="N318" i="10"/>
  <c r="X318" i="10" s="1"/>
  <c r="K318" i="10"/>
  <c r="H318" i="10"/>
  <c r="CA317" i="10"/>
  <c r="BY317" i="10"/>
  <c r="BV317" i="10"/>
  <c r="BS317" i="10"/>
  <c r="BI317" i="10"/>
  <c r="BP317" i="10" s="1"/>
  <c r="BG317" i="10"/>
  <c r="BD317" i="10"/>
  <c r="BA317" i="10"/>
  <c r="AO317" i="10"/>
  <c r="AW317" i="10" s="1"/>
  <c r="AM317" i="10"/>
  <c r="AJ317" i="10"/>
  <c r="AG317" i="10"/>
  <c r="N317" i="10"/>
  <c r="X317" i="10" s="1"/>
  <c r="K317" i="10"/>
  <c r="H317" i="10"/>
  <c r="CA316" i="10"/>
  <c r="CH316" i="10" s="1"/>
  <c r="BY316" i="10"/>
  <c r="BV316" i="10"/>
  <c r="BS316" i="10"/>
  <c r="BI316" i="10"/>
  <c r="BP316" i="10" s="1"/>
  <c r="BG316" i="10"/>
  <c r="BD316" i="10"/>
  <c r="BA316" i="10"/>
  <c r="AO316" i="10"/>
  <c r="AV316" i="10" s="1"/>
  <c r="AM316" i="10"/>
  <c r="AJ316" i="10"/>
  <c r="AG316" i="10"/>
  <c r="N316" i="10"/>
  <c r="X316" i="10" s="1"/>
  <c r="K316" i="10"/>
  <c r="H316" i="10"/>
  <c r="CA315" i="10"/>
  <c r="CI315" i="10" s="1"/>
  <c r="BY315" i="10"/>
  <c r="BV315" i="10"/>
  <c r="BS315" i="10"/>
  <c r="BI315" i="10"/>
  <c r="BG315" i="10"/>
  <c r="BD315" i="10"/>
  <c r="BA315" i="10"/>
  <c r="AO315" i="10"/>
  <c r="AM315" i="10"/>
  <c r="AJ315" i="10"/>
  <c r="AG315" i="10"/>
  <c r="N315" i="10"/>
  <c r="X315" i="10" s="1"/>
  <c r="K315" i="10"/>
  <c r="H315" i="10"/>
  <c r="CA314" i="10"/>
  <c r="BY314" i="10"/>
  <c r="BV314" i="10"/>
  <c r="BS314" i="10"/>
  <c r="BI314" i="10"/>
  <c r="BP314" i="10" s="1"/>
  <c r="BG314" i="10"/>
  <c r="BD314" i="10"/>
  <c r="BA314" i="10"/>
  <c r="AO314" i="10"/>
  <c r="AM314" i="10"/>
  <c r="AJ314" i="10"/>
  <c r="AG314" i="10"/>
  <c r="N314" i="10"/>
  <c r="X314" i="10" s="1"/>
  <c r="K314" i="10"/>
  <c r="H314" i="10"/>
  <c r="CA313" i="10"/>
  <c r="BY313" i="10"/>
  <c r="BV313" i="10"/>
  <c r="BS313" i="10"/>
  <c r="BI313" i="10"/>
  <c r="BG313" i="10"/>
  <c r="BD313" i="10"/>
  <c r="BA313" i="10"/>
  <c r="AO313" i="10"/>
  <c r="W313" i="10" s="1"/>
  <c r="AM313" i="10"/>
  <c r="AJ313" i="10"/>
  <c r="AG313" i="10"/>
  <c r="N313" i="10"/>
  <c r="X313" i="10" s="1"/>
  <c r="K313" i="10"/>
  <c r="H313" i="10"/>
  <c r="CA312" i="10"/>
  <c r="CH312" i="10" s="1"/>
  <c r="BY312" i="10"/>
  <c r="BV312" i="10"/>
  <c r="BS312" i="10"/>
  <c r="BI312" i="10"/>
  <c r="BG312" i="10"/>
  <c r="BD312" i="10"/>
  <c r="BA312" i="10"/>
  <c r="AO312" i="10"/>
  <c r="AM312" i="10"/>
  <c r="AJ312" i="10"/>
  <c r="AG312" i="10"/>
  <c r="N312" i="10"/>
  <c r="X312" i="10" s="1"/>
  <c r="K312" i="10"/>
  <c r="H312" i="10"/>
  <c r="CA311" i="10"/>
  <c r="BY311" i="10"/>
  <c r="BV311" i="10"/>
  <c r="BS311" i="10"/>
  <c r="BI311" i="10"/>
  <c r="BP311" i="10" s="1"/>
  <c r="BG311" i="10"/>
  <c r="BD311" i="10"/>
  <c r="BA311" i="10"/>
  <c r="AO311" i="10"/>
  <c r="AW311" i="10" s="1"/>
  <c r="AM311" i="10"/>
  <c r="AJ311" i="10"/>
  <c r="AG311" i="10"/>
  <c r="N311" i="10"/>
  <c r="X311" i="10" s="1"/>
  <c r="K311" i="10"/>
  <c r="H311" i="10"/>
  <c r="CA310" i="10"/>
  <c r="BY310" i="10"/>
  <c r="BV310" i="10"/>
  <c r="BS310" i="10"/>
  <c r="BI310" i="10"/>
  <c r="BQ310" i="10" s="1"/>
  <c r="BG310" i="10"/>
  <c r="BD310" i="10"/>
  <c r="BA310" i="10"/>
  <c r="AO310" i="10"/>
  <c r="AV310" i="10" s="1"/>
  <c r="AM310" i="10"/>
  <c r="AJ310" i="10"/>
  <c r="AG310" i="10"/>
  <c r="N310" i="10"/>
  <c r="X310" i="10" s="1"/>
  <c r="K310" i="10"/>
  <c r="H310" i="10"/>
  <c r="CA309" i="10"/>
  <c r="BY309" i="10"/>
  <c r="BV309" i="10"/>
  <c r="BS309" i="10"/>
  <c r="BI309" i="10"/>
  <c r="BQ309" i="10" s="1"/>
  <c r="BG309" i="10"/>
  <c r="BD309" i="10"/>
  <c r="BA309" i="10"/>
  <c r="AO309" i="10"/>
  <c r="W309" i="10" s="1"/>
  <c r="AM309" i="10"/>
  <c r="AJ309" i="10"/>
  <c r="AG309" i="10"/>
  <c r="N309" i="10"/>
  <c r="X309" i="10" s="1"/>
  <c r="K309" i="10"/>
  <c r="H309" i="10"/>
  <c r="CA308" i="10"/>
  <c r="BY308" i="10"/>
  <c r="BV308" i="10"/>
  <c r="BS308" i="10"/>
  <c r="BI308" i="10"/>
  <c r="BG308" i="10"/>
  <c r="BD308" i="10"/>
  <c r="BA308" i="10"/>
  <c r="AO308" i="10"/>
  <c r="AM308" i="10"/>
  <c r="AJ308" i="10"/>
  <c r="AG308" i="10"/>
  <c r="N308" i="10"/>
  <c r="X308" i="10" s="1"/>
  <c r="K308" i="10"/>
  <c r="H308" i="10"/>
  <c r="CA307" i="10"/>
  <c r="CI307" i="10" s="1"/>
  <c r="BY307" i="10"/>
  <c r="BV307" i="10"/>
  <c r="BS307" i="10"/>
  <c r="BI307" i="10"/>
  <c r="BQ307" i="10" s="1"/>
  <c r="BG307" i="10"/>
  <c r="BD307" i="10"/>
  <c r="BA307" i="10"/>
  <c r="AO307" i="10"/>
  <c r="AV307" i="10" s="1"/>
  <c r="AM307" i="10"/>
  <c r="AJ307" i="10"/>
  <c r="AG307" i="10"/>
  <c r="N307" i="10"/>
  <c r="X307" i="10" s="1"/>
  <c r="K307" i="10"/>
  <c r="H307" i="10"/>
  <c r="CA306" i="10"/>
  <c r="BY306" i="10"/>
  <c r="BV306" i="10"/>
  <c r="BS306" i="10"/>
  <c r="BI306" i="10"/>
  <c r="BP306" i="10" s="1"/>
  <c r="BG306" i="10"/>
  <c r="BD306" i="10"/>
  <c r="BA306" i="10"/>
  <c r="AO306" i="10"/>
  <c r="AM306" i="10"/>
  <c r="AJ306" i="10"/>
  <c r="AG306" i="10"/>
  <c r="N306" i="10"/>
  <c r="X306" i="10" s="1"/>
  <c r="K306" i="10"/>
  <c r="H306" i="10"/>
  <c r="CA305" i="10"/>
  <c r="CH305" i="10" s="1"/>
  <c r="BY305" i="10"/>
  <c r="BV305" i="10"/>
  <c r="BS305" i="10"/>
  <c r="BI305" i="10"/>
  <c r="BQ305" i="10" s="1"/>
  <c r="BG305" i="10"/>
  <c r="BD305" i="10"/>
  <c r="BA305" i="10"/>
  <c r="AO305" i="10"/>
  <c r="W305" i="10" s="1"/>
  <c r="AM305" i="10"/>
  <c r="AJ305" i="10"/>
  <c r="AG305" i="10"/>
  <c r="N305" i="10"/>
  <c r="X305" i="10" s="1"/>
  <c r="K305" i="10"/>
  <c r="H305" i="10"/>
  <c r="CA304" i="10"/>
  <c r="BY304" i="10"/>
  <c r="BV304" i="10"/>
  <c r="BS304" i="10"/>
  <c r="BI304" i="10"/>
  <c r="BG304" i="10"/>
  <c r="BD304" i="10"/>
  <c r="BA304" i="10"/>
  <c r="AO304" i="10"/>
  <c r="AW304" i="10" s="1"/>
  <c r="AM304" i="10"/>
  <c r="AJ304" i="10"/>
  <c r="AG304" i="10"/>
  <c r="N304" i="10"/>
  <c r="X304" i="10" s="1"/>
  <c r="K304" i="10"/>
  <c r="H304" i="10"/>
  <c r="CA303" i="10"/>
  <c r="CI303" i="10" s="1"/>
  <c r="BY303" i="10"/>
  <c r="BV303" i="10"/>
  <c r="BS303" i="10"/>
  <c r="BI303" i="10"/>
  <c r="BG303" i="10"/>
  <c r="BD303" i="10"/>
  <c r="BA303" i="10"/>
  <c r="AO303" i="10"/>
  <c r="AW303" i="10" s="1"/>
  <c r="AM303" i="10"/>
  <c r="AJ303" i="10"/>
  <c r="AG303" i="10"/>
  <c r="N303" i="10"/>
  <c r="X303" i="10" s="1"/>
  <c r="K303" i="10"/>
  <c r="H303" i="10"/>
  <c r="CA302" i="10"/>
  <c r="BY302" i="10"/>
  <c r="BV302" i="10"/>
  <c r="BS302" i="10"/>
  <c r="BI302" i="10"/>
  <c r="BG302" i="10"/>
  <c r="BD302" i="10"/>
  <c r="BA302" i="10"/>
  <c r="AO302" i="10"/>
  <c r="AW302" i="10" s="1"/>
  <c r="AM302" i="10"/>
  <c r="AJ302" i="10"/>
  <c r="AG302" i="10"/>
  <c r="N302" i="10"/>
  <c r="X302" i="10" s="1"/>
  <c r="K302" i="10"/>
  <c r="H302" i="10"/>
  <c r="CA301" i="10"/>
  <c r="BY301" i="10"/>
  <c r="BV301" i="10"/>
  <c r="BS301" i="10"/>
  <c r="BI301" i="10"/>
  <c r="BQ301" i="10" s="1"/>
  <c r="BG301" i="10"/>
  <c r="BD301" i="10"/>
  <c r="BA301" i="10"/>
  <c r="AO301" i="10"/>
  <c r="AM301" i="10"/>
  <c r="AJ301" i="10"/>
  <c r="AG301" i="10"/>
  <c r="N301" i="10"/>
  <c r="X301" i="10" s="1"/>
  <c r="K301" i="10"/>
  <c r="H301" i="10"/>
  <c r="CA300" i="10"/>
  <c r="BY300" i="10"/>
  <c r="BV300" i="10"/>
  <c r="BS300" i="10"/>
  <c r="BI300" i="10"/>
  <c r="BP300" i="10" s="1"/>
  <c r="BG300" i="10"/>
  <c r="BD300" i="10"/>
  <c r="BA300" i="10"/>
  <c r="AO300" i="10"/>
  <c r="AV300" i="10" s="1"/>
  <c r="AM300" i="10"/>
  <c r="AJ300" i="10"/>
  <c r="AG300" i="10"/>
  <c r="N300" i="10"/>
  <c r="X300" i="10" s="1"/>
  <c r="K300" i="10"/>
  <c r="H300" i="10"/>
  <c r="CA299" i="10"/>
  <c r="CI299" i="10" s="1"/>
  <c r="BY299" i="10"/>
  <c r="BV299" i="10"/>
  <c r="BS299" i="10"/>
  <c r="BI299" i="10"/>
  <c r="BP299" i="10" s="1"/>
  <c r="BG299" i="10"/>
  <c r="BD299" i="10"/>
  <c r="BA299" i="10"/>
  <c r="AO299" i="10"/>
  <c r="AM299" i="10"/>
  <c r="AJ299" i="10"/>
  <c r="AG299" i="10"/>
  <c r="N299" i="10"/>
  <c r="X299" i="10" s="1"/>
  <c r="K299" i="10"/>
  <c r="H299" i="10"/>
  <c r="CA298" i="10"/>
  <c r="BY298" i="10"/>
  <c r="BV298" i="10"/>
  <c r="BS298" i="10"/>
  <c r="BI298" i="10"/>
  <c r="BG298" i="10"/>
  <c r="BD298" i="10"/>
  <c r="BA298" i="10"/>
  <c r="AO298" i="10"/>
  <c r="AM298" i="10"/>
  <c r="AJ298" i="10"/>
  <c r="AG298" i="10"/>
  <c r="N298" i="10"/>
  <c r="X298" i="10" s="1"/>
  <c r="K298" i="10"/>
  <c r="H298" i="10"/>
  <c r="CA297" i="10"/>
  <c r="CI297" i="10" s="1"/>
  <c r="BY297" i="10"/>
  <c r="BV297" i="10"/>
  <c r="BS297" i="10"/>
  <c r="BI297" i="10"/>
  <c r="BG297" i="10"/>
  <c r="BD297" i="10"/>
  <c r="BA297" i="10"/>
  <c r="AO297" i="10"/>
  <c r="W297" i="10" s="1"/>
  <c r="AM297" i="10"/>
  <c r="AJ297" i="10"/>
  <c r="AG297" i="10"/>
  <c r="N297" i="10"/>
  <c r="X297" i="10" s="1"/>
  <c r="K297" i="10"/>
  <c r="H297" i="10"/>
  <c r="CA296" i="10"/>
  <c r="CH296" i="10" s="1"/>
  <c r="BY296" i="10"/>
  <c r="BV296" i="10"/>
  <c r="BS296" i="10"/>
  <c r="BI296" i="10"/>
  <c r="BG296" i="10"/>
  <c r="BD296" i="10"/>
  <c r="BA296" i="10"/>
  <c r="AO296" i="10"/>
  <c r="AM296" i="10"/>
  <c r="AJ296" i="10"/>
  <c r="AG296" i="10"/>
  <c r="N296" i="10"/>
  <c r="X296" i="10" s="1"/>
  <c r="K296" i="10"/>
  <c r="H296" i="10"/>
  <c r="CA295" i="10"/>
  <c r="CI295" i="10" s="1"/>
  <c r="BY295" i="10"/>
  <c r="BV295" i="10"/>
  <c r="BS295" i="10"/>
  <c r="BI295" i="10"/>
  <c r="BP295" i="10" s="1"/>
  <c r="BG295" i="10"/>
  <c r="BD295" i="10"/>
  <c r="BA295" i="10"/>
  <c r="AO295" i="10"/>
  <c r="AM295" i="10"/>
  <c r="AJ295" i="10"/>
  <c r="AG295" i="10"/>
  <c r="N295" i="10"/>
  <c r="X295" i="10" s="1"/>
  <c r="K295" i="10"/>
  <c r="H295" i="10"/>
  <c r="CA294" i="10"/>
  <c r="BY294" i="10"/>
  <c r="BV294" i="10"/>
  <c r="BS294" i="10"/>
  <c r="BI294" i="10"/>
  <c r="BQ294" i="10" s="1"/>
  <c r="BG294" i="10"/>
  <c r="BD294" i="10"/>
  <c r="BA294" i="10"/>
  <c r="AO294" i="10"/>
  <c r="AV294" i="10" s="1"/>
  <c r="AM294" i="10"/>
  <c r="AJ294" i="10"/>
  <c r="AG294" i="10"/>
  <c r="N294" i="10"/>
  <c r="X294" i="10" s="1"/>
  <c r="K294" i="10"/>
  <c r="H294" i="10"/>
  <c r="CA293" i="10"/>
  <c r="CH293" i="10" s="1"/>
  <c r="BY293" i="10"/>
  <c r="BV293" i="10"/>
  <c r="BS293" i="10"/>
  <c r="BI293" i="10"/>
  <c r="BQ293" i="10" s="1"/>
  <c r="BG293" i="10"/>
  <c r="BD293" i="10"/>
  <c r="BA293" i="10"/>
  <c r="AO293" i="10"/>
  <c r="AV293" i="10" s="1"/>
  <c r="AM293" i="10"/>
  <c r="AJ293" i="10"/>
  <c r="AG293" i="10"/>
  <c r="N293" i="10"/>
  <c r="X293" i="10" s="1"/>
  <c r="K293" i="10"/>
  <c r="H293" i="10"/>
  <c r="CA292" i="10"/>
  <c r="CI292" i="10" s="1"/>
  <c r="BY292" i="10"/>
  <c r="BV292" i="10"/>
  <c r="BS292" i="10"/>
  <c r="BI292" i="10"/>
  <c r="BQ292" i="10" s="1"/>
  <c r="BG292" i="10"/>
  <c r="BD292" i="10"/>
  <c r="BA292" i="10"/>
  <c r="AO292" i="10"/>
  <c r="W292" i="10" s="1"/>
  <c r="AM292" i="10"/>
  <c r="AJ292" i="10"/>
  <c r="AG292" i="10"/>
  <c r="N292" i="10"/>
  <c r="X292" i="10" s="1"/>
  <c r="K292" i="10"/>
  <c r="H292" i="10"/>
  <c r="CA291" i="10"/>
  <c r="CI291" i="10" s="1"/>
  <c r="BY291" i="10"/>
  <c r="BV291" i="10"/>
  <c r="BS291" i="10"/>
  <c r="BI291" i="10"/>
  <c r="BP291" i="10" s="1"/>
  <c r="BG291" i="10"/>
  <c r="BD291" i="10"/>
  <c r="BA291" i="10"/>
  <c r="AO291" i="10"/>
  <c r="AV291" i="10" s="1"/>
  <c r="AM291" i="10"/>
  <c r="AJ291" i="10"/>
  <c r="AG291" i="10"/>
  <c r="N291" i="10"/>
  <c r="X291" i="10" s="1"/>
  <c r="K291" i="10"/>
  <c r="H291" i="10"/>
  <c r="CA290" i="10"/>
  <c r="BY290" i="10"/>
  <c r="BV290" i="10"/>
  <c r="BS290" i="10"/>
  <c r="BI290" i="10"/>
  <c r="BQ290" i="10" s="1"/>
  <c r="BG290" i="10"/>
  <c r="BD290" i="10"/>
  <c r="BA290" i="10"/>
  <c r="AO290" i="10"/>
  <c r="AM290" i="10"/>
  <c r="AJ290" i="10"/>
  <c r="AG290" i="10"/>
  <c r="N290" i="10"/>
  <c r="X290" i="10" s="1"/>
  <c r="K290" i="10"/>
  <c r="H290" i="10"/>
  <c r="CA289" i="10"/>
  <c r="BY289" i="10"/>
  <c r="BV289" i="10"/>
  <c r="BS289" i="10"/>
  <c r="BI289" i="10"/>
  <c r="BQ289" i="10" s="1"/>
  <c r="BG289" i="10"/>
  <c r="BD289" i="10"/>
  <c r="BA289" i="10"/>
  <c r="AO289" i="10"/>
  <c r="AW289" i="10" s="1"/>
  <c r="AM289" i="10"/>
  <c r="AJ289" i="10"/>
  <c r="AG289" i="10"/>
  <c r="N289" i="10"/>
  <c r="X289" i="10" s="1"/>
  <c r="K289" i="10"/>
  <c r="H289" i="10"/>
  <c r="CA288" i="10"/>
  <c r="BY288" i="10"/>
  <c r="BV288" i="10"/>
  <c r="BS288" i="10"/>
  <c r="BI288" i="10"/>
  <c r="BG288" i="10"/>
  <c r="BD288" i="10"/>
  <c r="BA288" i="10"/>
  <c r="AO288" i="10"/>
  <c r="AM288" i="10"/>
  <c r="AJ288" i="10"/>
  <c r="AG288" i="10"/>
  <c r="N288" i="10"/>
  <c r="X288" i="10" s="1"/>
  <c r="K288" i="10"/>
  <c r="H288" i="10"/>
  <c r="CA287" i="10"/>
  <c r="BY287" i="10"/>
  <c r="BV287" i="10"/>
  <c r="BS287" i="10"/>
  <c r="BI287" i="10"/>
  <c r="BG287" i="10"/>
  <c r="BD287" i="10"/>
  <c r="BA287" i="10"/>
  <c r="AO287" i="10"/>
  <c r="AM287" i="10"/>
  <c r="AJ287" i="10"/>
  <c r="AG287" i="10"/>
  <c r="N287" i="10"/>
  <c r="X287" i="10" s="1"/>
  <c r="K287" i="10"/>
  <c r="H287" i="10"/>
  <c r="CA286" i="10"/>
  <c r="BY286" i="10"/>
  <c r="BV286" i="10"/>
  <c r="BS286" i="10"/>
  <c r="BI286" i="10"/>
  <c r="BG286" i="10"/>
  <c r="BD286" i="10"/>
  <c r="BA286" i="10"/>
  <c r="AO286" i="10"/>
  <c r="AW286" i="10" s="1"/>
  <c r="AM286" i="10"/>
  <c r="AJ286" i="10"/>
  <c r="AG286" i="10"/>
  <c r="N286" i="10"/>
  <c r="X286" i="10" s="1"/>
  <c r="K286" i="10"/>
  <c r="H286" i="10"/>
  <c r="CA285" i="10"/>
  <c r="CI285" i="10" s="1"/>
  <c r="BY285" i="10"/>
  <c r="BV285" i="10"/>
  <c r="BS285" i="10"/>
  <c r="BI285" i="10"/>
  <c r="BQ285" i="10" s="1"/>
  <c r="BG285" i="10"/>
  <c r="BD285" i="10"/>
  <c r="BA285" i="10"/>
  <c r="AO285" i="10"/>
  <c r="AV285" i="10" s="1"/>
  <c r="AM285" i="10"/>
  <c r="AJ285" i="10"/>
  <c r="AG285" i="10"/>
  <c r="N285" i="10"/>
  <c r="X285" i="10" s="1"/>
  <c r="K285" i="10"/>
  <c r="H285" i="10"/>
  <c r="CA284" i="10"/>
  <c r="CI284" i="10" s="1"/>
  <c r="BY284" i="10"/>
  <c r="BV284" i="10"/>
  <c r="BS284" i="10"/>
  <c r="BI284" i="10"/>
  <c r="BG284" i="10"/>
  <c r="BD284" i="10"/>
  <c r="BA284" i="10"/>
  <c r="AO284" i="10"/>
  <c r="W284" i="10" s="1"/>
  <c r="AM284" i="10"/>
  <c r="AJ284" i="10"/>
  <c r="AG284" i="10"/>
  <c r="N284" i="10"/>
  <c r="X284" i="10" s="1"/>
  <c r="K284" i="10"/>
  <c r="H284" i="10"/>
  <c r="CA283" i="10"/>
  <c r="CI283" i="10" s="1"/>
  <c r="BY283" i="10"/>
  <c r="BV283" i="10"/>
  <c r="BS283" i="10"/>
  <c r="BI283" i="10"/>
  <c r="BG283" i="10"/>
  <c r="BD283" i="10"/>
  <c r="BA283" i="10"/>
  <c r="AO283" i="10"/>
  <c r="AV283" i="10" s="1"/>
  <c r="AM283" i="10"/>
  <c r="AJ283" i="10"/>
  <c r="AG283" i="10"/>
  <c r="N283" i="10"/>
  <c r="X283" i="10" s="1"/>
  <c r="K283" i="10"/>
  <c r="H283" i="10"/>
  <c r="CA282" i="10"/>
  <c r="CH282" i="10" s="1"/>
  <c r="BY282" i="10"/>
  <c r="BV282" i="10"/>
  <c r="BS282" i="10"/>
  <c r="BI282" i="10"/>
  <c r="BQ282" i="10" s="1"/>
  <c r="BG282" i="10"/>
  <c r="BD282" i="10"/>
  <c r="BA282" i="10"/>
  <c r="AO282" i="10"/>
  <c r="AM282" i="10"/>
  <c r="AJ282" i="10"/>
  <c r="AG282" i="10"/>
  <c r="N282" i="10"/>
  <c r="X282" i="10" s="1"/>
  <c r="K282" i="10"/>
  <c r="H282" i="10"/>
  <c r="CA281" i="10"/>
  <c r="BY281" i="10"/>
  <c r="BV281" i="10"/>
  <c r="BS281" i="10"/>
  <c r="BI281" i="10"/>
  <c r="BQ281" i="10" s="1"/>
  <c r="BG281" i="10"/>
  <c r="BD281" i="10"/>
  <c r="BA281" i="10"/>
  <c r="AO281" i="10"/>
  <c r="AW281" i="10" s="1"/>
  <c r="AM281" i="10"/>
  <c r="AJ281" i="10"/>
  <c r="AG281" i="10"/>
  <c r="N281" i="10"/>
  <c r="X281" i="10" s="1"/>
  <c r="K281" i="10"/>
  <c r="H281" i="10"/>
  <c r="CA280" i="10"/>
  <c r="CI280" i="10" s="1"/>
  <c r="BY280" i="10"/>
  <c r="BV280" i="10"/>
  <c r="BS280" i="10"/>
  <c r="BI280" i="10"/>
  <c r="BG280" i="10"/>
  <c r="BD280" i="10"/>
  <c r="BA280" i="10"/>
  <c r="AO280" i="10"/>
  <c r="W280" i="10" s="1"/>
  <c r="AM280" i="10"/>
  <c r="AJ280" i="10"/>
  <c r="AG280" i="10"/>
  <c r="N280" i="10"/>
  <c r="X280" i="10" s="1"/>
  <c r="K280" i="10"/>
  <c r="H280" i="10"/>
  <c r="CA279" i="10"/>
  <c r="CI279" i="10" s="1"/>
  <c r="BY279" i="10"/>
  <c r="BV279" i="10"/>
  <c r="BS279" i="10"/>
  <c r="BI279" i="10"/>
  <c r="BP279" i="10" s="1"/>
  <c r="BG279" i="10"/>
  <c r="BD279" i="10"/>
  <c r="BA279" i="10"/>
  <c r="AO279" i="10"/>
  <c r="AW279" i="10" s="1"/>
  <c r="AM279" i="10"/>
  <c r="AJ279" i="10"/>
  <c r="AG279" i="10"/>
  <c r="N279" i="10"/>
  <c r="X279" i="10" s="1"/>
  <c r="K279" i="10"/>
  <c r="H279" i="10"/>
  <c r="CA278" i="10"/>
  <c r="BY278" i="10"/>
  <c r="BV278" i="10"/>
  <c r="BS278" i="10"/>
  <c r="BI278" i="10"/>
  <c r="BQ278" i="10" s="1"/>
  <c r="BG278" i="10"/>
  <c r="BD278" i="10"/>
  <c r="BA278" i="10"/>
  <c r="AO278" i="10"/>
  <c r="AM278" i="10"/>
  <c r="AJ278" i="10"/>
  <c r="AG278" i="10"/>
  <c r="N278" i="10"/>
  <c r="X278" i="10" s="1"/>
  <c r="K278" i="10"/>
  <c r="H278" i="10"/>
  <c r="CA277" i="10"/>
  <c r="BY277" i="10"/>
  <c r="BV277" i="10"/>
  <c r="BS277" i="10"/>
  <c r="BI277" i="10"/>
  <c r="BQ277" i="10" s="1"/>
  <c r="BG277" i="10"/>
  <c r="BD277" i="10"/>
  <c r="BA277" i="10"/>
  <c r="AO277" i="10"/>
  <c r="AV277" i="10" s="1"/>
  <c r="AM277" i="10"/>
  <c r="AJ277" i="10"/>
  <c r="AG277" i="10"/>
  <c r="N277" i="10"/>
  <c r="X277" i="10" s="1"/>
  <c r="K277" i="10"/>
  <c r="H277" i="10"/>
  <c r="CA276" i="10"/>
  <c r="CI276" i="10" s="1"/>
  <c r="BY276" i="10"/>
  <c r="BV276" i="10"/>
  <c r="BS276" i="10"/>
  <c r="BI276" i="10"/>
  <c r="BG276" i="10"/>
  <c r="BD276" i="10"/>
  <c r="BA276" i="10"/>
  <c r="AO276" i="10"/>
  <c r="AM276" i="10"/>
  <c r="AJ276" i="10"/>
  <c r="AG276" i="10"/>
  <c r="N276" i="10"/>
  <c r="X276" i="10" s="1"/>
  <c r="K276" i="10"/>
  <c r="H276" i="10"/>
  <c r="CA275" i="10"/>
  <c r="CI275" i="10" s="1"/>
  <c r="BY275" i="10"/>
  <c r="BV275" i="10"/>
  <c r="BS275" i="10"/>
  <c r="BI275" i="10"/>
  <c r="BG275" i="10"/>
  <c r="BD275" i="10"/>
  <c r="BA275" i="10"/>
  <c r="AO275" i="10"/>
  <c r="AM275" i="10"/>
  <c r="AJ275" i="10"/>
  <c r="AG275" i="10"/>
  <c r="N275" i="10"/>
  <c r="X275" i="10" s="1"/>
  <c r="K275" i="10"/>
  <c r="H275" i="10"/>
  <c r="CA274" i="10"/>
  <c r="CI274" i="10" s="1"/>
  <c r="BY274" i="10"/>
  <c r="BV274" i="10"/>
  <c r="BS274" i="10"/>
  <c r="BI274" i="10"/>
  <c r="BP274" i="10" s="1"/>
  <c r="BG274" i="10"/>
  <c r="BD274" i="10"/>
  <c r="BA274" i="10"/>
  <c r="AO274" i="10"/>
  <c r="AM274" i="10"/>
  <c r="AJ274" i="10"/>
  <c r="AG274" i="10"/>
  <c r="N274" i="10"/>
  <c r="X274" i="10" s="1"/>
  <c r="K274" i="10"/>
  <c r="H274" i="10"/>
  <c r="CA273" i="10"/>
  <c r="CI273" i="10" s="1"/>
  <c r="BY273" i="10"/>
  <c r="BV273" i="10"/>
  <c r="BS273" i="10"/>
  <c r="BI273" i="10"/>
  <c r="BQ273" i="10" s="1"/>
  <c r="BG273" i="10"/>
  <c r="BD273" i="10"/>
  <c r="BA273" i="10"/>
  <c r="AO273" i="10"/>
  <c r="AW273" i="10" s="1"/>
  <c r="AM273" i="10"/>
  <c r="AJ273" i="10"/>
  <c r="AG273" i="10"/>
  <c r="N273" i="10"/>
  <c r="X273" i="10" s="1"/>
  <c r="K273" i="10"/>
  <c r="H273" i="10"/>
  <c r="CA272" i="10"/>
  <c r="CI272" i="10" s="1"/>
  <c r="BY272" i="10"/>
  <c r="BV272" i="10"/>
  <c r="BS272" i="10"/>
  <c r="BI272" i="10"/>
  <c r="BG272" i="10"/>
  <c r="BD272" i="10"/>
  <c r="BA272" i="10"/>
  <c r="AO272" i="10"/>
  <c r="W272" i="10" s="1"/>
  <c r="AM272" i="10"/>
  <c r="AJ272" i="10"/>
  <c r="AG272" i="10"/>
  <c r="N272" i="10"/>
  <c r="X272" i="10" s="1"/>
  <c r="K272" i="10"/>
  <c r="H272" i="10"/>
  <c r="CA271" i="10"/>
  <c r="CI271" i="10" s="1"/>
  <c r="BY271" i="10"/>
  <c r="BV271" i="10"/>
  <c r="BS271" i="10"/>
  <c r="BI271" i="10"/>
  <c r="BP271" i="10" s="1"/>
  <c r="BG271" i="10"/>
  <c r="BD271" i="10"/>
  <c r="BA271" i="10"/>
  <c r="AO271" i="10"/>
  <c r="AW271" i="10" s="1"/>
  <c r="AM271" i="10"/>
  <c r="AJ271" i="10"/>
  <c r="AG271" i="10"/>
  <c r="N271" i="10"/>
  <c r="X271" i="10" s="1"/>
  <c r="K271" i="10"/>
  <c r="H271" i="10"/>
  <c r="CA270" i="10"/>
  <c r="BY270" i="10"/>
  <c r="BV270" i="10"/>
  <c r="BS270" i="10"/>
  <c r="BI270" i="10"/>
  <c r="BQ270" i="10" s="1"/>
  <c r="BG270" i="10"/>
  <c r="BD270" i="10"/>
  <c r="BA270" i="10"/>
  <c r="AO270" i="10"/>
  <c r="AW270" i="10" s="1"/>
  <c r="AM270" i="10"/>
  <c r="AJ270" i="10"/>
  <c r="AG270" i="10"/>
  <c r="N270" i="10"/>
  <c r="X270" i="10" s="1"/>
  <c r="K270" i="10"/>
  <c r="H270" i="10"/>
  <c r="CA269" i="10"/>
  <c r="CI269" i="10" s="1"/>
  <c r="BY269" i="10"/>
  <c r="BV269" i="10"/>
  <c r="BS269" i="10"/>
  <c r="BI269" i="10"/>
  <c r="BQ269" i="10" s="1"/>
  <c r="BG269" i="10"/>
  <c r="BD269" i="10"/>
  <c r="BA269" i="10"/>
  <c r="AO269" i="10"/>
  <c r="AM269" i="10"/>
  <c r="AJ269" i="10"/>
  <c r="AG269" i="10"/>
  <c r="N269" i="10"/>
  <c r="X269" i="10" s="1"/>
  <c r="K269" i="10"/>
  <c r="H269" i="10"/>
  <c r="CA268" i="10"/>
  <c r="CI268" i="10" s="1"/>
  <c r="BY268" i="10"/>
  <c r="BV268" i="10"/>
  <c r="BS268" i="10"/>
  <c r="BI268" i="10"/>
  <c r="BQ268" i="10" s="1"/>
  <c r="BG268" i="10"/>
  <c r="BD268" i="10"/>
  <c r="BA268" i="10"/>
  <c r="AO268" i="10"/>
  <c r="AM268" i="10"/>
  <c r="AJ268" i="10"/>
  <c r="AG268" i="10"/>
  <c r="N268" i="10"/>
  <c r="X268" i="10" s="1"/>
  <c r="K268" i="10"/>
  <c r="H268" i="10"/>
  <c r="CA267" i="10"/>
  <c r="CI267" i="10" s="1"/>
  <c r="BY267" i="10"/>
  <c r="BV267" i="10"/>
  <c r="BS267" i="10"/>
  <c r="BI267" i="10"/>
  <c r="BQ267" i="10" s="1"/>
  <c r="BG267" i="10"/>
  <c r="BD267" i="10"/>
  <c r="BA267" i="10"/>
  <c r="AO267" i="10"/>
  <c r="AV267" i="10" s="1"/>
  <c r="AM267" i="10"/>
  <c r="AJ267" i="10"/>
  <c r="AG267" i="10"/>
  <c r="N267" i="10"/>
  <c r="X267" i="10" s="1"/>
  <c r="K267" i="10"/>
  <c r="H267" i="10"/>
  <c r="CA266" i="10"/>
  <c r="BY266" i="10"/>
  <c r="BV266" i="10"/>
  <c r="BS266" i="10"/>
  <c r="BI266" i="10"/>
  <c r="BQ266" i="10" s="1"/>
  <c r="BG266" i="10"/>
  <c r="BD266" i="10"/>
  <c r="BA266" i="10"/>
  <c r="AO266" i="10"/>
  <c r="AM266" i="10"/>
  <c r="AJ266" i="10"/>
  <c r="AG266" i="10"/>
  <c r="N266" i="10"/>
  <c r="X266" i="10" s="1"/>
  <c r="K266" i="10"/>
  <c r="H266" i="10"/>
  <c r="CA265" i="10"/>
  <c r="CI265" i="10" s="1"/>
  <c r="BY265" i="10"/>
  <c r="BV265" i="10"/>
  <c r="BS265" i="10"/>
  <c r="BI265" i="10"/>
  <c r="BQ265" i="10" s="1"/>
  <c r="BG265" i="10"/>
  <c r="BD265" i="10"/>
  <c r="BA265" i="10"/>
  <c r="AO265" i="10"/>
  <c r="AM265" i="10"/>
  <c r="AJ265" i="10"/>
  <c r="AG265" i="10"/>
  <c r="N265" i="10"/>
  <c r="X265" i="10" s="1"/>
  <c r="K265" i="10"/>
  <c r="H265" i="10"/>
  <c r="CA264" i="10"/>
  <c r="CI264" i="10" s="1"/>
  <c r="BY264" i="10"/>
  <c r="BV264" i="10"/>
  <c r="BS264" i="10"/>
  <c r="BI264" i="10"/>
  <c r="BG264" i="10"/>
  <c r="BD264" i="10"/>
  <c r="BA264" i="10"/>
  <c r="AO264" i="10"/>
  <c r="W264" i="10" s="1"/>
  <c r="AM264" i="10"/>
  <c r="AJ264" i="10"/>
  <c r="AG264" i="10"/>
  <c r="N264" i="10"/>
  <c r="X264" i="10" s="1"/>
  <c r="K264" i="10"/>
  <c r="H264" i="10"/>
  <c r="CA263" i="10"/>
  <c r="CI263" i="10" s="1"/>
  <c r="BY263" i="10"/>
  <c r="BV263" i="10"/>
  <c r="BS263" i="10"/>
  <c r="BI263" i="10"/>
  <c r="BG263" i="10"/>
  <c r="BD263" i="10"/>
  <c r="BA263" i="10"/>
  <c r="AO263" i="10"/>
  <c r="AW263" i="10" s="1"/>
  <c r="AM263" i="10"/>
  <c r="AJ263" i="10"/>
  <c r="AG263" i="10"/>
  <c r="N263" i="10"/>
  <c r="X263" i="10" s="1"/>
  <c r="K263" i="10"/>
  <c r="H263" i="10"/>
  <c r="CA262" i="10"/>
  <c r="BY262" i="10"/>
  <c r="BV262" i="10"/>
  <c r="BS262" i="10"/>
  <c r="BI262" i="10"/>
  <c r="BQ262" i="10" s="1"/>
  <c r="BG262" i="10"/>
  <c r="BD262" i="10"/>
  <c r="BA262" i="10"/>
  <c r="AO262" i="10"/>
  <c r="W262" i="10" s="1"/>
  <c r="AM262" i="10"/>
  <c r="AJ262" i="10"/>
  <c r="AG262" i="10"/>
  <c r="N262" i="10"/>
  <c r="X262" i="10" s="1"/>
  <c r="K262" i="10"/>
  <c r="H262" i="10"/>
  <c r="CA261" i="10"/>
  <c r="CI261" i="10" s="1"/>
  <c r="BY261" i="10"/>
  <c r="BV261" i="10"/>
  <c r="BS261" i="10"/>
  <c r="BI261" i="10"/>
  <c r="BQ261" i="10" s="1"/>
  <c r="BG261" i="10"/>
  <c r="BD261" i="10"/>
  <c r="BA261" i="10"/>
  <c r="AO261" i="10"/>
  <c r="W261" i="10" s="1"/>
  <c r="AM261" i="10"/>
  <c r="AJ261" i="10"/>
  <c r="AG261" i="10"/>
  <c r="N261" i="10"/>
  <c r="X261" i="10" s="1"/>
  <c r="K261" i="10"/>
  <c r="H261" i="10"/>
  <c r="CA260" i="10"/>
  <c r="CI260" i="10" s="1"/>
  <c r="BY260" i="10"/>
  <c r="BV260" i="10"/>
  <c r="BS260" i="10"/>
  <c r="BI260" i="10"/>
  <c r="BQ260" i="10" s="1"/>
  <c r="BG260" i="10"/>
  <c r="BD260" i="10"/>
  <c r="BA260" i="10"/>
  <c r="AO260" i="10"/>
  <c r="AW260" i="10" s="1"/>
  <c r="AM260" i="10"/>
  <c r="AJ260" i="10"/>
  <c r="AG260" i="10"/>
  <c r="N260" i="10"/>
  <c r="X260" i="10" s="1"/>
  <c r="K260" i="10"/>
  <c r="H260" i="10"/>
  <c r="CA259" i="10"/>
  <c r="CI259" i="10" s="1"/>
  <c r="BY259" i="10"/>
  <c r="BV259" i="10"/>
  <c r="BS259" i="10"/>
  <c r="BI259" i="10"/>
  <c r="BQ259" i="10" s="1"/>
  <c r="BG259" i="10"/>
  <c r="BD259" i="10"/>
  <c r="BA259" i="10"/>
  <c r="AO259" i="10"/>
  <c r="AM259" i="10"/>
  <c r="AJ259" i="10"/>
  <c r="AG259" i="10"/>
  <c r="N259" i="10"/>
  <c r="X259" i="10" s="1"/>
  <c r="K259" i="10"/>
  <c r="H259" i="10"/>
  <c r="CA258" i="10"/>
  <c r="BY258" i="10"/>
  <c r="BV258" i="10"/>
  <c r="BS258" i="10"/>
  <c r="BI258" i="10"/>
  <c r="BG258" i="10"/>
  <c r="BD258" i="10"/>
  <c r="BA258" i="10"/>
  <c r="AO258" i="10"/>
  <c r="AM258" i="10"/>
  <c r="AJ258" i="10"/>
  <c r="AG258" i="10"/>
  <c r="N258" i="10"/>
  <c r="X258" i="10" s="1"/>
  <c r="K258" i="10"/>
  <c r="H258" i="10"/>
  <c r="CA257" i="10"/>
  <c r="BY257" i="10"/>
  <c r="BV257" i="10"/>
  <c r="BS257" i="10"/>
  <c r="BI257" i="10"/>
  <c r="BQ257" i="10" s="1"/>
  <c r="BG257" i="10"/>
  <c r="BD257" i="10"/>
  <c r="BA257" i="10"/>
  <c r="AO257" i="10"/>
  <c r="AM257" i="10"/>
  <c r="AJ257" i="10"/>
  <c r="AG257" i="10"/>
  <c r="N257" i="10"/>
  <c r="X257" i="10" s="1"/>
  <c r="K257" i="10"/>
  <c r="H257" i="10"/>
  <c r="CA256" i="10"/>
  <c r="CI256" i="10" s="1"/>
  <c r="BY256" i="10"/>
  <c r="BV256" i="10"/>
  <c r="BS256" i="10"/>
  <c r="BI256" i="10"/>
  <c r="BG256" i="10"/>
  <c r="BD256" i="10"/>
  <c r="BA256" i="10"/>
  <c r="AO256" i="10"/>
  <c r="W256" i="10" s="1"/>
  <c r="AM256" i="10"/>
  <c r="AJ256" i="10"/>
  <c r="AG256" i="10"/>
  <c r="N256" i="10"/>
  <c r="X256" i="10" s="1"/>
  <c r="K256" i="10"/>
  <c r="H256" i="10"/>
  <c r="CA255" i="10"/>
  <c r="BY255" i="10"/>
  <c r="BV255" i="10"/>
  <c r="BS255" i="10"/>
  <c r="BI255" i="10"/>
  <c r="BG255" i="10"/>
  <c r="BD255" i="10"/>
  <c r="BA255" i="10"/>
  <c r="AO255" i="10"/>
  <c r="AW255" i="10" s="1"/>
  <c r="AM255" i="10"/>
  <c r="AJ255" i="10"/>
  <c r="AG255" i="10"/>
  <c r="N255" i="10"/>
  <c r="X255" i="10" s="1"/>
  <c r="K255" i="10"/>
  <c r="H255" i="10"/>
  <c r="CA254" i="10"/>
  <c r="BY254" i="10"/>
  <c r="BV254" i="10"/>
  <c r="BS254" i="10"/>
  <c r="BI254" i="10"/>
  <c r="BQ254" i="10" s="1"/>
  <c r="BG254" i="10"/>
  <c r="BD254" i="10"/>
  <c r="BA254" i="10"/>
  <c r="AO254" i="10"/>
  <c r="AW254" i="10" s="1"/>
  <c r="AM254" i="10"/>
  <c r="AJ254" i="10"/>
  <c r="AG254" i="10"/>
  <c r="N254" i="10"/>
  <c r="X254" i="10" s="1"/>
  <c r="K254" i="10"/>
  <c r="H254" i="10"/>
  <c r="CA253" i="10"/>
  <c r="CI253" i="10" s="1"/>
  <c r="BY253" i="10"/>
  <c r="BV253" i="10"/>
  <c r="BS253" i="10"/>
  <c r="BI253" i="10"/>
  <c r="BQ253" i="10" s="1"/>
  <c r="BG253" i="10"/>
  <c r="BD253" i="10"/>
  <c r="BA253" i="10"/>
  <c r="AO253" i="10"/>
  <c r="AM253" i="10"/>
  <c r="AJ253" i="10"/>
  <c r="AG253" i="10"/>
  <c r="N253" i="10"/>
  <c r="X253" i="10" s="1"/>
  <c r="K253" i="10"/>
  <c r="H253" i="10"/>
  <c r="CA252" i="10"/>
  <c r="BY252" i="10"/>
  <c r="BV252" i="10"/>
  <c r="BS252" i="10"/>
  <c r="BI252" i="10"/>
  <c r="BQ252" i="10" s="1"/>
  <c r="BG252" i="10"/>
  <c r="BD252" i="10"/>
  <c r="BA252" i="10"/>
  <c r="AO252" i="10"/>
  <c r="AM252" i="10"/>
  <c r="AJ252" i="10"/>
  <c r="AG252" i="10"/>
  <c r="N252" i="10"/>
  <c r="X252" i="10" s="1"/>
  <c r="K252" i="10"/>
  <c r="H252" i="10"/>
  <c r="CA251" i="10"/>
  <c r="CI251" i="10" s="1"/>
  <c r="BY251" i="10"/>
  <c r="BV251" i="10"/>
  <c r="BS251" i="10"/>
  <c r="BI251" i="10"/>
  <c r="BQ251" i="10" s="1"/>
  <c r="BG251" i="10"/>
  <c r="BD251" i="10"/>
  <c r="BA251" i="10"/>
  <c r="AO251" i="10"/>
  <c r="W251" i="10" s="1"/>
  <c r="AM251" i="10"/>
  <c r="AJ251" i="10"/>
  <c r="AG251" i="10"/>
  <c r="N251" i="10"/>
  <c r="X251" i="10" s="1"/>
  <c r="K251" i="10"/>
  <c r="H251" i="10"/>
  <c r="CA250" i="10"/>
  <c r="CI250" i="10" s="1"/>
  <c r="BY250" i="10"/>
  <c r="BV250" i="10"/>
  <c r="BS250" i="10"/>
  <c r="BI250" i="10"/>
  <c r="BQ250" i="10" s="1"/>
  <c r="BG250" i="10"/>
  <c r="BD250" i="10"/>
  <c r="BA250" i="10"/>
  <c r="AO250" i="10"/>
  <c r="AM250" i="10"/>
  <c r="AJ250" i="10"/>
  <c r="AG250" i="10"/>
  <c r="N250" i="10"/>
  <c r="X250" i="10" s="1"/>
  <c r="K250" i="10"/>
  <c r="H250" i="10"/>
  <c r="CA249" i="10"/>
  <c r="CH249" i="10" s="1"/>
  <c r="BY249" i="10"/>
  <c r="BV249" i="10"/>
  <c r="BS249" i="10"/>
  <c r="BI249" i="10"/>
  <c r="BG249" i="10"/>
  <c r="BD249" i="10"/>
  <c r="BA249" i="10"/>
  <c r="AO249" i="10"/>
  <c r="AM249" i="10"/>
  <c r="AJ249" i="10"/>
  <c r="AG249" i="10"/>
  <c r="N249" i="10"/>
  <c r="X249" i="10" s="1"/>
  <c r="K249" i="10"/>
  <c r="H249" i="10"/>
  <c r="CA248" i="10"/>
  <c r="BY248" i="10"/>
  <c r="BV248" i="10"/>
  <c r="BS248" i="10"/>
  <c r="BI248" i="10"/>
  <c r="BP248" i="10" s="1"/>
  <c r="BG248" i="10"/>
  <c r="BD248" i="10"/>
  <c r="BA248" i="10"/>
  <c r="AO248" i="10"/>
  <c r="AM248" i="10"/>
  <c r="AJ248" i="10"/>
  <c r="AG248" i="10"/>
  <c r="N248" i="10"/>
  <c r="X248" i="10" s="1"/>
  <c r="K248" i="10"/>
  <c r="H248" i="10"/>
  <c r="CA247" i="10"/>
  <c r="BY247" i="10"/>
  <c r="BV247" i="10"/>
  <c r="BS247" i="10"/>
  <c r="BI247" i="10"/>
  <c r="BP247" i="10" s="1"/>
  <c r="BG247" i="10"/>
  <c r="BD247" i="10"/>
  <c r="BA247" i="10"/>
  <c r="AO247" i="10"/>
  <c r="W247" i="10" s="1"/>
  <c r="AM247" i="10"/>
  <c r="AJ247" i="10"/>
  <c r="AG247" i="10"/>
  <c r="N247" i="10"/>
  <c r="X247" i="10" s="1"/>
  <c r="K247" i="10"/>
  <c r="H247" i="10"/>
  <c r="CA246" i="10"/>
  <c r="BY246" i="10"/>
  <c r="BV246" i="10"/>
  <c r="BS246" i="10"/>
  <c r="BI246" i="10"/>
  <c r="BG246" i="10"/>
  <c r="BD246" i="10"/>
  <c r="BA246" i="10"/>
  <c r="AO246" i="10"/>
  <c r="AM246" i="10"/>
  <c r="AJ246" i="10"/>
  <c r="AG246" i="10"/>
  <c r="N246" i="10"/>
  <c r="X246" i="10" s="1"/>
  <c r="K246" i="10"/>
  <c r="H246" i="10"/>
  <c r="CA245" i="10"/>
  <c r="CH245" i="10" s="1"/>
  <c r="BY245" i="10"/>
  <c r="BV245" i="10"/>
  <c r="BS245" i="10"/>
  <c r="BI245" i="10"/>
  <c r="BG245" i="10"/>
  <c r="BD245" i="10"/>
  <c r="BA245" i="10"/>
  <c r="AO245" i="10"/>
  <c r="AV245" i="10" s="1"/>
  <c r="AM245" i="10"/>
  <c r="AJ245" i="10"/>
  <c r="AG245" i="10"/>
  <c r="N245" i="10"/>
  <c r="X245" i="10" s="1"/>
  <c r="K245" i="10"/>
  <c r="H245" i="10"/>
  <c r="CA244" i="10"/>
  <c r="CI244" i="10" s="1"/>
  <c r="BY244" i="10"/>
  <c r="BV244" i="10"/>
  <c r="BS244" i="10"/>
  <c r="BI244" i="10"/>
  <c r="BP244" i="10" s="1"/>
  <c r="BG244" i="10"/>
  <c r="BD244" i="10"/>
  <c r="BA244" i="10"/>
  <c r="AO244" i="10"/>
  <c r="AM244" i="10"/>
  <c r="AJ244" i="10"/>
  <c r="AG244" i="10"/>
  <c r="N244" i="10"/>
  <c r="X244" i="10" s="1"/>
  <c r="K244" i="10"/>
  <c r="H244" i="10"/>
  <c r="CA243" i="10"/>
  <c r="BY243" i="10"/>
  <c r="BV243" i="10"/>
  <c r="BS243" i="10"/>
  <c r="BI243" i="10"/>
  <c r="BG243" i="10"/>
  <c r="BD243" i="10"/>
  <c r="BA243" i="10"/>
  <c r="AO243" i="10"/>
  <c r="AM243" i="10"/>
  <c r="AJ243" i="10"/>
  <c r="AG243" i="10"/>
  <c r="N243" i="10"/>
  <c r="X243" i="10" s="1"/>
  <c r="K243" i="10"/>
  <c r="H243" i="10"/>
  <c r="CA242" i="10"/>
  <c r="BY242" i="10"/>
  <c r="BV242" i="10"/>
  <c r="BS242" i="10"/>
  <c r="BI242" i="10"/>
  <c r="BG242" i="10"/>
  <c r="BD242" i="10"/>
  <c r="BA242" i="10"/>
  <c r="AO242" i="10"/>
  <c r="AM242" i="10"/>
  <c r="AJ242" i="10"/>
  <c r="AG242" i="10"/>
  <c r="N242" i="10"/>
  <c r="X242" i="10" s="1"/>
  <c r="K242" i="10"/>
  <c r="H242" i="10"/>
  <c r="CA241" i="10"/>
  <c r="CI241" i="10" s="1"/>
  <c r="BY241" i="10"/>
  <c r="BV241" i="10"/>
  <c r="BS241" i="10"/>
  <c r="BI241" i="10"/>
  <c r="BG241" i="10"/>
  <c r="BD241" i="10"/>
  <c r="BA241" i="10"/>
  <c r="AO241" i="10"/>
  <c r="AM241" i="10"/>
  <c r="AJ241" i="10"/>
  <c r="AG241" i="10"/>
  <c r="N241" i="10"/>
  <c r="X241" i="10" s="1"/>
  <c r="K241" i="10"/>
  <c r="H241" i="10"/>
  <c r="CA240" i="10"/>
  <c r="BY240" i="10"/>
  <c r="BV240" i="10"/>
  <c r="BS240" i="10"/>
  <c r="BI240" i="10"/>
  <c r="BG240" i="10"/>
  <c r="BD240" i="10"/>
  <c r="BA240" i="10"/>
  <c r="AO240" i="10"/>
  <c r="AV240" i="10" s="1"/>
  <c r="AM240" i="10"/>
  <c r="AJ240" i="10"/>
  <c r="AG240" i="10"/>
  <c r="N240" i="10"/>
  <c r="X240" i="10" s="1"/>
  <c r="K240" i="10"/>
  <c r="H240" i="10"/>
  <c r="CA239" i="10"/>
  <c r="BY239" i="10"/>
  <c r="BV239" i="10"/>
  <c r="BS239" i="10"/>
  <c r="BI239" i="10"/>
  <c r="BG239" i="10"/>
  <c r="BD239" i="10"/>
  <c r="BA239" i="10"/>
  <c r="AO239" i="10"/>
  <c r="AM239" i="10"/>
  <c r="AJ239" i="10"/>
  <c r="AG239" i="10"/>
  <c r="N239" i="10"/>
  <c r="X239" i="10" s="1"/>
  <c r="K239" i="10"/>
  <c r="H239" i="10"/>
  <c r="CA238" i="10"/>
  <c r="CH238" i="10" s="1"/>
  <c r="BY238" i="10"/>
  <c r="BV238" i="10"/>
  <c r="BS238" i="10"/>
  <c r="BI238" i="10"/>
  <c r="BG238" i="10"/>
  <c r="BD238" i="10"/>
  <c r="BA238" i="10"/>
  <c r="AO238" i="10"/>
  <c r="AV238" i="10" s="1"/>
  <c r="AM238" i="10"/>
  <c r="AJ238" i="10"/>
  <c r="AG238" i="10"/>
  <c r="N238" i="10"/>
  <c r="X238" i="10" s="1"/>
  <c r="K238" i="10"/>
  <c r="H238" i="10"/>
  <c r="CA237" i="10"/>
  <c r="CH237" i="10" s="1"/>
  <c r="BY237" i="10"/>
  <c r="BV237" i="10"/>
  <c r="BS237" i="10"/>
  <c r="BI237" i="10"/>
  <c r="BG237" i="10"/>
  <c r="BD237" i="10"/>
  <c r="BA237" i="10"/>
  <c r="AO237" i="10"/>
  <c r="AM237" i="10"/>
  <c r="AJ237" i="10"/>
  <c r="AG237" i="10"/>
  <c r="N237" i="10"/>
  <c r="X237" i="10" s="1"/>
  <c r="K237" i="10"/>
  <c r="H237" i="10"/>
  <c r="CA236" i="10"/>
  <c r="CI236" i="10" s="1"/>
  <c r="BY236" i="10"/>
  <c r="BV236" i="10"/>
  <c r="BS236" i="10"/>
  <c r="BI236" i="10"/>
  <c r="BQ236" i="10" s="1"/>
  <c r="BG236" i="10"/>
  <c r="BD236" i="10"/>
  <c r="BA236" i="10"/>
  <c r="AO236" i="10"/>
  <c r="AM236" i="10"/>
  <c r="AJ236" i="10"/>
  <c r="AG236" i="10"/>
  <c r="N236" i="10"/>
  <c r="X236" i="10" s="1"/>
  <c r="K236" i="10"/>
  <c r="H236" i="10"/>
  <c r="CA235" i="10"/>
  <c r="CI235" i="10" s="1"/>
  <c r="BY235" i="10"/>
  <c r="BV235" i="10"/>
  <c r="BS235" i="10"/>
  <c r="BI235" i="10"/>
  <c r="BQ235" i="10" s="1"/>
  <c r="BG235" i="10"/>
  <c r="BD235" i="10"/>
  <c r="BA235" i="10"/>
  <c r="AO235" i="10"/>
  <c r="AV235" i="10" s="1"/>
  <c r="AM235" i="10"/>
  <c r="AJ235" i="10"/>
  <c r="AG235" i="10"/>
  <c r="N235" i="10"/>
  <c r="X235" i="10" s="1"/>
  <c r="K235" i="10"/>
  <c r="H235" i="10"/>
  <c r="CA234" i="10"/>
  <c r="CH234" i="10" s="1"/>
  <c r="BY234" i="10"/>
  <c r="BV234" i="10"/>
  <c r="BS234" i="10"/>
  <c r="BI234" i="10"/>
  <c r="BG234" i="10"/>
  <c r="BD234" i="10"/>
  <c r="BA234" i="10"/>
  <c r="AO234" i="10"/>
  <c r="AM234" i="10"/>
  <c r="AJ234" i="10"/>
  <c r="AG234" i="10"/>
  <c r="N234" i="10"/>
  <c r="X234" i="10" s="1"/>
  <c r="K234" i="10"/>
  <c r="H234" i="10"/>
  <c r="CA233" i="10"/>
  <c r="BY233" i="10"/>
  <c r="BV233" i="10"/>
  <c r="BS233" i="10"/>
  <c r="BI233" i="10"/>
  <c r="BP233" i="10" s="1"/>
  <c r="BG233" i="10"/>
  <c r="BD233" i="10"/>
  <c r="BA233" i="10"/>
  <c r="AO233" i="10"/>
  <c r="AM233" i="10"/>
  <c r="AJ233" i="10"/>
  <c r="AG233" i="10"/>
  <c r="N233" i="10"/>
  <c r="X233" i="10" s="1"/>
  <c r="K233" i="10"/>
  <c r="H233" i="10"/>
  <c r="CA232" i="10"/>
  <c r="BY232" i="10"/>
  <c r="BV232" i="10"/>
  <c r="BS232" i="10"/>
  <c r="BI232" i="10"/>
  <c r="BG232" i="10"/>
  <c r="BD232" i="10"/>
  <c r="BA232" i="10"/>
  <c r="AO232" i="10"/>
  <c r="W232" i="10" s="1"/>
  <c r="AM232" i="10"/>
  <c r="AJ232" i="10"/>
  <c r="AG232" i="10"/>
  <c r="N232" i="10"/>
  <c r="X232" i="10" s="1"/>
  <c r="K232" i="10"/>
  <c r="H232" i="10"/>
  <c r="CA231" i="10"/>
  <c r="CH231" i="10" s="1"/>
  <c r="BY231" i="10"/>
  <c r="BV231" i="10"/>
  <c r="BS231" i="10"/>
  <c r="BI231" i="10"/>
  <c r="BG231" i="10"/>
  <c r="BD231" i="10"/>
  <c r="BA231" i="10"/>
  <c r="AO231" i="10"/>
  <c r="AM231" i="10"/>
  <c r="AJ231" i="10"/>
  <c r="AG231" i="10"/>
  <c r="N231" i="10"/>
  <c r="X231" i="10" s="1"/>
  <c r="K231" i="10"/>
  <c r="H231" i="10"/>
  <c r="CA230" i="10"/>
  <c r="BY230" i="10"/>
  <c r="BV230" i="10"/>
  <c r="BS230" i="10"/>
  <c r="BI230" i="10"/>
  <c r="BQ230" i="10" s="1"/>
  <c r="BG230" i="10"/>
  <c r="BD230" i="10"/>
  <c r="BA230" i="10"/>
  <c r="AO230" i="10"/>
  <c r="AM230" i="10"/>
  <c r="AJ230" i="10"/>
  <c r="AG230" i="10"/>
  <c r="N230" i="10"/>
  <c r="X230" i="10" s="1"/>
  <c r="K230" i="10"/>
  <c r="H230" i="10"/>
  <c r="CA229" i="10"/>
  <c r="BY229" i="10"/>
  <c r="BV229" i="10"/>
  <c r="BS229" i="10"/>
  <c r="BI229" i="10"/>
  <c r="BQ229" i="10" s="1"/>
  <c r="BG229" i="10"/>
  <c r="BD229" i="10"/>
  <c r="BA229" i="10"/>
  <c r="AO229" i="10"/>
  <c r="W229" i="10" s="1"/>
  <c r="AM229" i="10"/>
  <c r="AJ229" i="10"/>
  <c r="AG229" i="10"/>
  <c r="N229" i="10"/>
  <c r="X229" i="10" s="1"/>
  <c r="K229" i="10"/>
  <c r="H229" i="10"/>
  <c r="CA228" i="10"/>
  <c r="CI228" i="10" s="1"/>
  <c r="BY228" i="10"/>
  <c r="BV228" i="10"/>
  <c r="BS228" i="10"/>
  <c r="BI228" i="10"/>
  <c r="BG228" i="10"/>
  <c r="BD228" i="10"/>
  <c r="BA228" i="10"/>
  <c r="AO228" i="10"/>
  <c r="AM228" i="10"/>
  <c r="AJ228" i="10"/>
  <c r="AG228" i="10"/>
  <c r="N228" i="10"/>
  <c r="X228" i="10" s="1"/>
  <c r="K228" i="10"/>
  <c r="H228" i="10"/>
  <c r="CA227" i="10"/>
  <c r="BY227" i="10"/>
  <c r="BV227" i="10"/>
  <c r="BS227" i="10"/>
  <c r="BI227" i="10"/>
  <c r="BQ227" i="10" s="1"/>
  <c r="BG227" i="10"/>
  <c r="BD227" i="10"/>
  <c r="BA227" i="10"/>
  <c r="AO227" i="10"/>
  <c r="AV227" i="10" s="1"/>
  <c r="AM227" i="10"/>
  <c r="AJ227" i="10"/>
  <c r="AG227" i="10"/>
  <c r="N227" i="10"/>
  <c r="X227" i="10" s="1"/>
  <c r="K227" i="10"/>
  <c r="H227" i="10"/>
  <c r="CA226" i="10"/>
  <c r="CI226" i="10" s="1"/>
  <c r="BY226" i="10"/>
  <c r="BV226" i="10"/>
  <c r="BS226" i="10"/>
  <c r="BI226" i="10"/>
  <c r="BG226" i="10"/>
  <c r="BD226" i="10"/>
  <c r="BA226" i="10"/>
  <c r="AO226" i="10"/>
  <c r="AM226" i="10"/>
  <c r="AJ226" i="10"/>
  <c r="AG226" i="10"/>
  <c r="N226" i="10"/>
  <c r="X226" i="10" s="1"/>
  <c r="K226" i="10"/>
  <c r="H226" i="10"/>
  <c r="CA225" i="10"/>
  <c r="BY225" i="10"/>
  <c r="BV225" i="10"/>
  <c r="BS225" i="10"/>
  <c r="BI225" i="10"/>
  <c r="BG225" i="10"/>
  <c r="BD225" i="10"/>
  <c r="BA225" i="10"/>
  <c r="AO225" i="10"/>
  <c r="AM225" i="10"/>
  <c r="AJ225" i="10"/>
  <c r="AG225" i="10"/>
  <c r="N225" i="10"/>
  <c r="X225" i="10" s="1"/>
  <c r="K225" i="10"/>
  <c r="H225" i="10"/>
  <c r="CA224" i="10"/>
  <c r="BY224" i="10"/>
  <c r="BV224" i="10"/>
  <c r="BS224" i="10"/>
  <c r="BI224" i="10"/>
  <c r="BG224" i="10"/>
  <c r="BD224" i="10"/>
  <c r="BA224" i="10"/>
  <c r="AO224" i="10"/>
  <c r="W224" i="10" s="1"/>
  <c r="AM224" i="10"/>
  <c r="AJ224" i="10"/>
  <c r="AG224" i="10"/>
  <c r="N224" i="10"/>
  <c r="X224" i="10" s="1"/>
  <c r="K224" i="10"/>
  <c r="H224" i="10"/>
  <c r="CA223" i="10"/>
  <c r="CH223" i="10" s="1"/>
  <c r="BY223" i="10"/>
  <c r="BV223" i="10"/>
  <c r="BS223" i="10"/>
  <c r="BI223" i="10"/>
  <c r="BG223" i="10"/>
  <c r="BD223" i="10"/>
  <c r="BA223" i="10"/>
  <c r="AO223" i="10"/>
  <c r="AW223" i="10" s="1"/>
  <c r="AM223" i="10"/>
  <c r="AJ223" i="10"/>
  <c r="AG223" i="10"/>
  <c r="N223" i="10"/>
  <c r="X223" i="10" s="1"/>
  <c r="K223" i="10"/>
  <c r="H223" i="10"/>
  <c r="CA222" i="10"/>
  <c r="BY222" i="10"/>
  <c r="BV222" i="10"/>
  <c r="BS222" i="10"/>
  <c r="BI222" i="10"/>
  <c r="BQ222" i="10" s="1"/>
  <c r="BG222" i="10"/>
  <c r="BD222" i="10"/>
  <c r="BA222" i="10"/>
  <c r="AO222" i="10"/>
  <c r="AM222" i="10"/>
  <c r="AJ222" i="10"/>
  <c r="AG222" i="10"/>
  <c r="N222" i="10"/>
  <c r="X222" i="10" s="1"/>
  <c r="K222" i="10"/>
  <c r="H222" i="10"/>
  <c r="CA221" i="10"/>
  <c r="BY221" i="10"/>
  <c r="BV221" i="10"/>
  <c r="BS221" i="10"/>
  <c r="BI221" i="10"/>
  <c r="BP221" i="10" s="1"/>
  <c r="BG221" i="10"/>
  <c r="BD221" i="10"/>
  <c r="BA221" i="10"/>
  <c r="AO221" i="10"/>
  <c r="W221" i="10" s="1"/>
  <c r="AM221" i="10"/>
  <c r="AJ221" i="10"/>
  <c r="AG221" i="10"/>
  <c r="N221" i="10"/>
  <c r="X221" i="10" s="1"/>
  <c r="K221" i="10"/>
  <c r="H221" i="10"/>
  <c r="CA220" i="10"/>
  <c r="CI220" i="10" s="1"/>
  <c r="BY220" i="10"/>
  <c r="BV220" i="10"/>
  <c r="BS220" i="10"/>
  <c r="BI220" i="10"/>
  <c r="BG220" i="10"/>
  <c r="BD220" i="10"/>
  <c r="BA220" i="10"/>
  <c r="AO220" i="10"/>
  <c r="AM220" i="10"/>
  <c r="AJ220" i="10"/>
  <c r="AG220" i="10"/>
  <c r="N220" i="10"/>
  <c r="X220" i="10" s="1"/>
  <c r="K220" i="10"/>
  <c r="H220" i="10"/>
  <c r="CA219" i="10"/>
  <c r="CH219" i="10" s="1"/>
  <c r="BY219" i="10"/>
  <c r="BV219" i="10"/>
  <c r="BS219" i="10"/>
  <c r="BI219" i="10"/>
  <c r="BG219" i="10"/>
  <c r="BD219" i="10"/>
  <c r="BA219" i="10"/>
  <c r="AO219" i="10"/>
  <c r="AV219" i="10" s="1"/>
  <c r="AM219" i="10"/>
  <c r="AJ219" i="10"/>
  <c r="AG219" i="10"/>
  <c r="N219" i="10"/>
  <c r="X219" i="10" s="1"/>
  <c r="K219" i="10"/>
  <c r="H219" i="10"/>
  <c r="CA218" i="10"/>
  <c r="BY218" i="10"/>
  <c r="BV218" i="10"/>
  <c r="BS218" i="10"/>
  <c r="BI218" i="10"/>
  <c r="BG218" i="10"/>
  <c r="BD218" i="10"/>
  <c r="BA218" i="10"/>
  <c r="AO218" i="10"/>
  <c r="AW218" i="10" s="1"/>
  <c r="AM218" i="10"/>
  <c r="AJ218" i="10"/>
  <c r="AG218" i="10"/>
  <c r="N218" i="10"/>
  <c r="X218" i="10" s="1"/>
  <c r="K218" i="10"/>
  <c r="H218" i="10"/>
  <c r="CA217" i="10"/>
  <c r="BY217" i="10"/>
  <c r="BV217" i="10"/>
  <c r="BS217" i="10"/>
  <c r="BI217" i="10"/>
  <c r="BG217" i="10"/>
  <c r="BD217" i="10"/>
  <c r="BA217" i="10"/>
  <c r="AO217" i="10"/>
  <c r="AM217" i="10"/>
  <c r="AJ217" i="10"/>
  <c r="AG217" i="10"/>
  <c r="N217" i="10"/>
  <c r="X217" i="10" s="1"/>
  <c r="K217" i="10"/>
  <c r="H217" i="10"/>
  <c r="CA216" i="10"/>
  <c r="BY216" i="10"/>
  <c r="BV216" i="10"/>
  <c r="BS216" i="10"/>
  <c r="BI216" i="10"/>
  <c r="BG216" i="10"/>
  <c r="BD216" i="10"/>
  <c r="BA216" i="10"/>
  <c r="AO216" i="10"/>
  <c r="W216" i="10" s="1"/>
  <c r="AM216" i="10"/>
  <c r="AJ216" i="10"/>
  <c r="AG216" i="10"/>
  <c r="N216" i="10"/>
  <c r="X216" i="10" s="1"/>
  <c r="K216" i="10"/>
  <c r="H216" i="10"/>
  <c r="CA215" i="10"/>
  <c r="BY215" i="10"/>
  <c r="BV215" i="10"/>
  <c r="BS215" i="10"/>
  <c r="BI215" i="10"/>
  <c r="BG215" i="10"/>
  <c r="BD215" i="10"/>
  <c r="BA215" i="10"/>
  <c r="AO215" i="10"/>
  <c r="AM215" i="10"/>
  <c r="AJ215" i="10"/>
  <c r="AG215" i="10"/>
  <c r="N215" i="10"/>
  <c r="X215" i="10" s="1"/>
  <c r="K215" i="10"/>
  <c r="H215" i="10"/>
  <c r="CA214" i="10"/>
  <c r="BY214" i="10"/>
  <c r="BV214" i="10"/>
  <c r="BS214" i="10"/>
  <c r="BI214" i="10"/>
  <c r="BQ214" i="10" s="1"/>
  <c r="BG214" i="10"/>
  <c r="BD214" i="10"/>
  <c r="BA214" i="10"/>
  <c r="AO214" i="10"/>
  <c r="AM214" i="10"/>
  <c r="AJ214" i="10"/>
  <c r="AG214" i="10"/>
  <c r="N214" i="10"/>
  <c r="X214" i="10" s="1"/>
  <c r="K214" i="10"/>
  <c r="H214" i="10"/>
  <c r="CA213" i="10"/>
  <c r="BY213" i="10"/>
  <c r="BV213" i="10"/>
  <c r="BS213" i="10"/>
  <c r="BI213" i="10"/>
  <c r="BP213" i="10" s="1"/>
  <c r="BG213" i="10"/>
  <c r="BD213" i="10"/>
  <c r="BA213" i="10"/>
  <c r="AO213" i="10"/>
  <c r="AM213" i="10"/>
  <c r="AJ213" i="10"/>
  <c r="AG213" i="10"/>
  <c r="N213" i="10"/>
  <c r="X213" i="10" s="1"/>
  <c r="K213" i="10"/>
  <c r="H213" i="10"/>
  <c r="CA212" i="10"/>
  <c r="CI212" i="10" s="1"/>
  <c r="BY212" i="10"/>
  <c r="BV212" i="10"/>
  <c r="BS212" i="10"/>
  <c r="BI212" i="10"/>
  <c r="BQ212" i="10" s="1"/>
  <c r="BG212" i="10"/>
  <c r="BD212" i="10"/>
  <c r="BA212" i="10"/>
  <c r="AO212" i="10"/>
  <c r="W212" i="10" s="1"/>
  <c r="AM212" i="10"/>
  <c r="AJ212" i="10"/>
  <c r="AG212" i="10"/>
  <c r="N212" i="10"/>
  <c r="X212" i="10" s="1"/>
  <c r="K212" i="10"/>
  <c r="H212" i="10"/>
  <c r="CA211" i="10"/>
  <c r="CH211" i="10" s="1"/>
  <c r="BY211" i="10"/>
  <c r="BV211" i="10"/>
  <c r="BS211" i="10"/>
  <c r="BI211" i="10"/>
  <c r="BQ211" i="10" s="1"/>
  <c r="BG211" i="10"/>
  <c r="BD211" i="10"/>
  <c r="BA211" i="10"/>
  <c r="AO211" i="10"/>
  <c r="W211" i="10" s="1"/>
  <c r="AM211" i="10"/>
  <c r="AJ211" i="10"/>
  <c r="AG211" i="10"/>
  <c r="N211" i="10"/>
  <c r="X211" i="10" s="1"/>
  <c r="K211" i="10"/>
  <c r="H211" i="10"/>
  <c r="CA210" i="10"/>
  <c r="CI210" i="10" s="1"/>
  <c r="BY210" i="10"/>
  <c r="BV210" i="10"/>
  <c r="BS210" i="10"/>
  <c r="BI210" i="10"/>
  <c r="BG210" i="10"/>
  <c r="BD210" i="10"/>
  <c r="BA210" i="10"/>
  <c r="AO210" i="10"/>
  <c r="AM210" i="10"/>
  <c r="AJ210" i="10"/>
  <c r="AG210" i="10"/>
  <c r="N210" i="10"/>
  <c r="X210" i="10" s="1"/>
  <c r="K210" i="10"/>
  <c r="H210" i="10"/>
  <c r="CA209" i="10"/>
  <c r="BY209" i="10"/>
  <c r="BV209" i="10"/>
  <c r="BS209" i="10"/>
  <c r="BI209" i="10"/>
  <c r="BQ209" i="10" s="1"/>
  <c r="BG209" i="10"/>
  <c r="BD209" i="10"/>
  <c r="BA209" i="10"/>
  <c r="AO209" i="10"/>
  <c r="AV209" i="10" s="1"/>
  <c r="AM209" i="10"/>
  <c r="AJ209" i="10"/>
  <c r="AG209" i="10"/>
  <c r="N209" i="10"/>
  <c r="X209" i="10" s="1"/>
  <c r="K209" i="10"/>
  <c r="H209" i="10"/>
  <c r="CA208" i="10"/>
  <c r="BY208" i="10"/>
  <c r="BV208" i="10"/>
  <c r="BS208" i="10"/>
  <c r="BI208" i="10"/>
  <c r="BQ208" i="10" s="1"/>
  <c r="BG208" i="10"/>
  <c r="BD208" i="10"/>
  <c r="BA208" i="10"/>
  <c r="AO208" i="10"/>
  <c r="AM208" i="10"/>
  <c r="AJ208" i="10"/>
  <c r="AG208" i="10"/>
  <c r="N208" i="10"/>
  <c r="X208" i="10" s="1"/>
  <c r="K208" i="10"/>
  <c r="H208" i="10"/>
  <c r="CA207" i="10"/>
  <c r="CI207" i="10" s="1"/>
  <c r="BY207" i="10"/>
  <c r="BV207" i="10"/>
  <c r="BS207" i="10"/>
  <c r="BI207" i="10"/>
  <c r="BG207" i="10"/>
  <c r="BD207" i="10"/>
  <c r="BA207" i="10"/>
  <c r="AO207" i="10"/>
  <c r="AW207" i="10" s="1"/>
  <c r="AM207" i="10"/>
  <c r="AJ207" i="10"/>
  <c r="AG207" i="10"/>
  <c r="N207" i="10"/>
  <c r="X207" i="10" s="1"/>
  <c r="K207" i="10"/>
  <c r="H207" i="10"/>
  <c r="CA206" i="10"/>
  <c r="BY206" i="10"/>
  <c r="BV206" i="10"/>
  <c r="BS206" i="10"/>
  <c r="BI206" i="10"/>
  <c r="BG206" i="10"/>
  <c r="BD206" i="10"/>
  <c r="BA206" i="10"/>
  <c r="AO206" i="10"/>
  <c r="AM206" i="10"/>
  <c r="AJ206" i="10"/>
  <c r="AG206" i="10"/>
  <c r="N206" i="10"/>
  <c r="X206" i="10" s="1"/>
  <c r="K206" i="10"/>
  <c r="H206" i="10"/>
  <c r="CA205" i="10"/>
  <c r="CI205" i="10" s="1"/>
  <c r="BY205" i="10"/>
  <c r="BV205" i="10"/>
  <c r="BS205" i="10"/>
  <c r="BI205" i="10"/>
  <c r="BQ205" i="10" s="1"/>
  <c r="BG205" i="10"/>
  <c r="BD205" i="10"/>
  <c r="BA205" i="10"/>
  <c r="AO205" i="10"/>
  <c r="W205" i="10" s="1"/>
  <c r="AM205" i="10"/>
  <c r="AJ205" i="10"/>
  <c r="AG205" i="10"/>
  <c r="N205" i="10"/>
  <c r="X205" i="10" s="1"/>
  <c r="K205" i="10"/>
  <c r="H205" i="10"/>
  <c r="CA204" i="10"/>
  <c r="BY204" i="10"/>
  <c r="BV204" i="10"/>
  <c r="BS204" i="10"/>
  <c r="BI204" i="10"/>
  <c r="BP204" i="10" s="1"/>
  <c r="BG204" i="10"/>
  <c r="BD204" i="10"/>
  <c r="BA204" i="10"/>
  <c r="AO204" i="10"/>
  <c r="W204" i="10" s="1"/>
  <c r="AM204" i="10"/>
  <c r="AJ204" i="10"/>
  <c r="AG204" i="10"/>
  <c r="N204" i="10"/>
  <c r="X204" i="10" s="1"/>
  <c r="K204" i="10"/>
  <c r="H204" i="10"/>
  <c r="CA203" i="10"/>
  <c r="CI203" i="10" s="1"/>
  <c r="BY203" i="10"/>
  <c r="BV203" i="10"/>
  <c r="BS203" i="10"/>
  <c r="BI203" i="10"/>
  <c r="BQ203" i="10" s="1"/>
  <c r="BG203" i="10"/>
  <c r="BD203" i="10"/>
  <c r="BA203" i="10"/>
  <c r="AO203" i="10"/>
  <c r="W203" i="10" s="1"/>
  <c r="AM203" i="10"/>
  <c r="AJ203" i="10"/>
  <c r="AG203" i="10"/>
  <c r="N203" i="10"/>
  <c r="X203" i="10" s="1"/>
  <c r="K203" i="10"/>
  <c r="H203" i="10"/>
  <c r="CA202" i="10"/>
  <c r="CI202" i="10" s="1"/>
  <c r="BY202" i="10"/>
  <c r="BV202" i="10"/>
  <c r="BS202" i="10"/>
  <c r="BI202" i="10"/>
  <c r="BG202" i="10"/>
  <c r="BD202" i="10"/>
  <c r="BA202" i="10"/>
  <c r="AO202" i="10"/>
  <c r="AM202" i="10"/>
  <c r="AJ202" i="10"/>
  <c r="AG202" i="10"/>
  <c r="N202" i="10"/>
  <c r="X202" i="10" s="1"/>
  <c r="K202" i="10"/>
  <c r="H202" i="10"/>
  <c r="CA201" i="10"/>
  <c r="BY201" i="10"/>
  <c r="BV201" i="10"/>
  <c r="BS201" i="10"/>
  <c r="BI201" i="10"/>
  <c r="BQ201" i="10" s="1"/>
  <c r="BG201" i="10"/>
  <c r="BD201" i="10"/>
  <c r="BA201" i="10"/>
  <c r="AO201" i="10"/>
  <c r="AM201" i="10"/>
  <c r="AJ201" i="10"/>
  <c r="AG201" i="10"/>
  <c r="N201" i="10"/>
  <c r="X201" i="10" s="1"/>
  <c r="K201" i="10"/>
  <c r="H201" i="10"/>
  <c r="CA200" i="10"/>
  <c r="BY200" i="10"/>
  <c r="BV200" i="10"/>
  <c r="BS200" i="10"/>
  <c r="BI200" i="10"/>
  <c r="BG200" i="10"/>
  <c r="BD200" i="10"/>
  <c r="BA200" i="10"/>
  <c r="AO200" i="10"/>
  <c r="AM200" i="10"/>
  <c r="AJ200" i="10"/>
  <c r="AG200" i="10"/>
  <c r="N200" i="10"/>
  <c r="X200" i="10" s="1"/>
  <c r="K200" i="10"/>
  <c r="H200" i="10"/>
  <c r="CA199" i="10"/>
  <c r="CI199" i="10" s="1"/>
  <c r="BY199" i="10"/>
  <c r="BV199" i="10"/>
  <c r="BS199" i="10"/>
  <c r="BI199" i="10"/>
  <c r="BQ199" i="10" s="1"/>
  <c r="BG199" i="10"/>
  <c r="BD199" i="10"/>
  <c r="BA199" i="10"/>
  <c r="AO199" i="10"/>
  <c r="W199" i="10" s="1"/>
  <c r="AM199" i="10"/>
  <c r="AJ199" i="10"/>
  <c r="AG199" i="10"/>
  <c r="N199" i="10"/>
  <c r="X199" i="10" s="1"/>
  <c r="K199" i="10"/>
  <c r="H199" i="10"/>
  <c r="CA198" i="10"/>
  <c r="CI198" i="10" s="1"/>
  <c r="BY198" i="10"/>
  <c r="BV198" i="10"/>
  <c r="BS198" i="10"/>
  <c r="BI198" i="10"/>
  <c r="BG198" i="10"/>
  <c r="BD198" i="10"/>
  <c r="BA198" i="10"/>
  <c r="AO198" i="10"/>
  <c r="AM198" i="10"/>
  <c r="AJ198" i="10"/>
  <c r="AG198" i="10"/>
  <c r="N198" i="10"/>
  <c r="X198" i="10" s="1"/>
  <c r="K198" i="10"/>
  <c r="H198" i="10"/>
  <c r="CA197" i="10"/>
  <c r="BY197" i="10"/>
  <c r="BV197" i="10"/>
  <c r="BS197" i="10"/>
  <c r="BI197" i="10"/>
  <c r="BQ197" i="10" s="1"/>
  <c r="BG197" i="10"/>
  <c r="BD197" i="10"/>
  <c r="BA197" i="10"/>
  <c r="AO197" i="10"/>
  <c r="AM197" i="10"/>
  <c r="AJ197" i="10"/>
  <c r="AG197" i="10"/>
  <c r="N197" i="10"/>
  <c r="X197" i="10" s="1"/>
  <c r="K197" i="10"/>
  <c r="H197" i="10"/>
  <c r="CA196" i="10"/>
  <c r="BY196" i="10"/>
  <c r="BV196" i="10"/>
  <c r="BS196" i="10"/>
  <c r="BI196" i="10"/>
  <c r="BQ196" i="10" s="1"/>
  <c r="BG196" i="10"/>
  <c r="BD196" i="10"/>
  <c r="BA196" i="10"/>
  <c r="AO196" i="10"/>
  <c r="AM196" i="10"/>
  <c r="AJ196" i="10"/>
  <c r="AG196" i="10"/>
  <c r="N196" i="10"/>
  <c r="X196" i="10" s="1"/>
  <c r="K196" i="10"/>
  <c r="H196" i="10"/>
  <c r="CA195" i="10"/>
  <c r="CI195" i="10" s="1"/>
  <c r="BY195" i="10"/>
  <c r="BV195" i="10"/>
  <c r="BS195" i="10"/>
  <c r="BI195" i="10"/>
  <c r="BQ195" i="10" s="1"/>
  <c r="BG195" i="10"/>
  <c r="BD195" i="10"/>
  <c r="BA195" i="10"/>
  <c r="AO195" i="10"/>
  <c r="W195" i="10" s="1"/>
  <c r="AM195" i="10"/>
  <c r="AJ195" i="10"/>
  <c r="AG195" i="10"/>
  <c r="N195" i="10"/>
  <c r="X195" i="10" s="1"/>
  <c r="K195" i="10"/>
  <c r="H195" i="10"/>
  <c r="CA194" i="10"/>
  <c r="CI194" i="10" s="1"/>
  <c r="BY194" i="10"/>
  <c r="BV194" i="10"/>
  <c r="BS194" i="10"/>
  <c r="BI194" i="10"/>
  <c r="BG194" i="10"/>
  <c r="BD194" i="10"/>
  <c r="BA194" i="10"/>
  <c r="AO194" i="10"/>
  <c r="W194" i="10" s="1"/>
  <c r="AM194" i="10"/>
  <c r="AJ194" i="10"/>
  <c r="AG194" i="10"/>
  <c r="N194" i="10"/>
  <c r="X194" i="10" s="1"/>
  <c r="K194" i="10"/>
  <c r="H194" i="10"/>
  <c r="CA193" i="10"/>
  <c r="CI193" i="10" s="1"/>
  <c r="BY193" i="10"/>
  <c r="BV193" i="10"/>
  <c r="BS193" i="10"/>
  <c r="BI193" i="10"/>
  <c r="BQ193" i="10" s="1"/>
  <c r="BG193" i="10"/>
  <c r="BD193" i="10"/>
  <c r="BA193" i="10"/>
  <c r="AO193" i="10"/>
  <c r="AV193" i="10" s="1"/>
  <c r="AM193" i="10"/>
  <c r="AJ193" i="10"/>
  <c r="AG193" i="10"/>
  <c r="N193" i="10"/>
  <c r="X193" i="10" s="1"/>
  <c r="K193" i="10"/>
  <c r="H193" i="10"/>
  <c r="CA192" i="10"/>
  <c r="BY192" i="10"/>
  <c r="BV192" i="10"/>
  <c r="BS192" i="10"/>
  <c r="BI192" i="10"/>
  <c r="BQ192" i="10" s="1"/>
  <c r="BG192" i="10"/>
  <c r="BD192" i="10"/>
  <c r="BA192" i="10"/>
  <c r="AO192" i="10"/>
  <c r="AM192" i="10"/>
  <c r="AJ192" i="10"/>
  <c r="AG192" i="10"/>
  <c r="N192" i="10"/>
  <c r="X192" i="10" s="1"/>
  <c r="K192" i="10"/>
  <c r="H192" i="10"/>
  <c r="CA191" i="10"/>
  <c r="CH191" i="10" s="1"/>
  <c r="BY191" i="10"/>
  <c r="BV191" i="10"/>
  <c r="BS191" i="10"/>
  <c r="BI191" i="10"/>
  <c r="BQ191" i="10" s="1"/>
  <c r="BG191" i="10"/>
  <c r="BD191" i="10"/>
  <c r="BA191" i="10"/>
  <c r="AO191" i="10"/>
  <c r="W191" i="10" s="1"/>
  <c r="AM191" i="10"/>
  <c r="AJ191" i="10"/>
  <c r="AG191" i="10"/>
  <c r="N191" i="10"/>
  <c r="X191" i="10" s="1"/>
  <c r="K191" i="10"/>
  <c r="H191" i="10"/>
  <c r="CA190" i="10"/>
  <c r="CI190" i="10" s="1"/>
  <c r="BY190" i="10"/>
  <c r="BV190" i="10"/>
  <c r="BS190" i="10"/>
  <c r="BI190" i="10"/>
  <c r="BG190" i="10"/>
  <c r="BD190" i="10"/>
  <c r="BA190" i="10"/>
  <c r="AO190" i="10"/>
  <c r="AM190" i="10"/>
  <c r="AJ190" i="10"/>
  <c r="AG190" i="10"/>
  <c r="N190" i="10"/>
  <c r="X190" i="10" s="1"/>
  <c r="K190" i="10"/>
  <c r="H190" i="10"/>
  <c r="CA189" i="10"/>
  <c r="CI189" i="10" s="1"/>
  <c r="BY189" i="10"/>
  <c r="BV189" i="10"/>
  <c r="BS189" i="10"/>
  <c r="BI189" i="10"/>
  <c r="BG189" i="10"/>
  <c r="BD189" i="10"/>
  <c r="BA189" i="10"/>
  <c r="AO189" i="10"/>
  <c r="AV189" i="10" s="1"/>
  <c r="AM189" i="10"/>
  <c r="AJ189" i="10"/>
  <c r="AG189" i="10"/>
  <c r="N189" i="10"/>
  <c r="X189" i="10" s="1"/>
  <c r="K189" i="10"/>
  <c r="H189" i="10"/>
  <c r="CA188" i="10"/>
  <c r="BY188" i="10"/>
  <c r="BV188" i="10"/>
  <c r="BS188" i="10"/>
  <c r="BI188" i="10"/>
  <c r="BG188" i="10"/>
  <c r="BD188" i="10"/>
  <c r="BA188" i="10"/>
  <c r="AO188" i="10"/>
  <c r="W188" i="10" s="1"/>
  <c r="AM188" i="10"/>
  <c r="AJ188" i="10"/>
  <c r="AG188" i="10"/>
  <c r="N188" i="10"/>
  <c r="X188" i="10" s="1"/>
  <c r="K188" i="10"/>
  <c r="H188" i="10"/>
  <c r="CA187" i="10"/>
  <c r="CI187" i="10" s="1"/>
  <c r="BY187" i="10"/>
  <c r="BV187" i="10"/>
  <c r="BS187" i="10"/>
  <c r="BI187" i="10"/>
  <c r="BQ187" i="10" s="1"/>
  <c r="BG187" i="10"/>
  <c r="BD187" i="10"/>
  <c r="BA187" i="10"/>
  <c r="AO187" i="10"/>
  <c r="AW187" i="10" s="1"/>
  <c r="AM187" i="10"/>
  <c r="AJ187" i="10"/>
  <c r="AG187" i="10"/>
  <c r="N187" i="10"/>
  <c r="X187" i="10" s="1"/>
  <c r="K187" i="10"/>
  <c r="H187" i="10"/>
  <c r="CA186" i="10"/>
  <c r="CI186" i="10" s="1"/>
  <c r="BY186" i="10"/>
  <c r="BV186" i="10"/>
  <c r="BS186" i="10"/>
  <c r="BI186" i="10"/>
  <c r="BP186" i="10" s="1"/>
  <c r="BG186" i="10"/>
  <c r="BD186" i="10"/>
  <c r="BA186" i="10"/>
  <c r="AO186" i="10"/>
  <c r="AM186" i="10"/>
  <c r="AJ186" i="10"/>
  <c r="AG186" i="10"/>
  <c r="N186" i="10"/>
  <c r="X186" i="10" s="1"/>
  <c r="K186" i="10"/>
  <c r="H186" i="10"/>
  <c r="CA185" i="10"/>
  <c r="CI185" i="10" s="1"/>
  <c r="BY185" i="10"/>
  <c r="BV185" i="10"/>
  <c r="BS185" i="10"/>
  <c r="BI185" i="10"/>
  <c r="BP185" i="10" s="1"/>
  <c r="BG185" i="10"/>
  <c r="BD185" i="10"/>
  <c r="BA185" i="10"/>
  <c r="AO185" i="10"/>
  <c r="AV185" i="10" s="1"/>
  <c r="AM185" i="10"/>
  <c r="AJ185" i="10"/>
  <c r="AG185" i="10"/>
  <c r="N185" i="10"/>
  <c r="X185" i="10" s="1"/>
  <c r="K185" i="10"/>
  <c r="H185" i="10"/>
  <c r="CA184" i="10"/>
  <c r="BY184" i="10"/>
  <c r="BV184" i="10"/>
  <c r="BS184" i="10"/>
  <c r="BI184" i="10"/>
  <c r="BP184" i="10" s="1"/>
  <c r="BG184" i="10"/>
  <c r="BD184" i="10"/>
  <c r="BA184" i="10"/>
  <c r="AO184" i="10"/>
  <c r="W184" i="10" s="1"/>
  <c r="AM184" i="10"/>
  <c r="AJ184" i="10"/>
  <c r="AG184" i="10"/>
  <c r="N184" i="10"/>
  <c r="X184" i="10" s="1"/>
  <c r="K184" i="10"/>
  <c r="H184" i="10"/>
  <c r="CA183" i="10"/>
  <c r="CH183" i="10" s="1"/>
  <c r="BY183" i="10"/>
  <c r="BV183" i="10"/>
  <c r="BS183" i="10"/>
  <c r="BI183" i="10"/>
  <c r="BQ183" i="10" s="1"/>
  <c r="BG183" i="10"/>
  <c r="BD183" i="10"/>
  <c r="BA183" i="10"/>
  <c r="AO183" i="10"/>
  <c r="AV183" i="10" s="1"/>
  <c r="AM183" i="10"/>
  <c r="AJ183" i="10"/>
  <c r="AG183" i="10"/>
  <c r="N183" i="10"/>
  <c r="X183" i="10" s="1"/>
  <c r="K183" i="10"/>
  <c r="H183" i="10"/>
  <c r="CA182" i="10"/>
  <c r="BY182" i="10"/>
  <c r="BV182" i="10"/>
  <c r="BS182" i="10"/>
  <c r="BI182" i="10"/>
  <c r="BG182" i="10"/>
  <c r="BD182" i="10"/>
  <c r="BA182" i="10"/>
  <c r="AO182" i="10"/>
  <c r="W182" i="10" s="1"/>
  <c r="AM182" i="10"/>
  <c r="AJ182" i="10"/>
  <c r="AG182" i="10"/>
  <c r="N182" i="10"/>
  <c r="X182" i="10" s="1"/>
  <c r="K182" i="10"/>
  <c r="H182" i="10"/>
  <c r="CA181" i="10"/>
  <c r="BY181" i="10"/>
  <c r="BV181" i="10"/>
  <c r="BS181" i="10"/>
  <c r="BI181" i="10"/>
  <c r="BQ181" i="10" s="1"/>
  <c r="BG181" i="10"/>
  <c r="BD181" i="10"/>
  <c r="BA181" i="10"/>
  <c r="AO181" i="10"/>
  <c r="AM181" i="10"/>
  <c r="AJ181" i="10"/>
  <c r="AG181" i="10"/>
  <c r="N181" i="10"/>
  <c r="X181" i="10" s="1"/>
  <c r="K181" i="10"/>
  <c r="H181" i="10"/>
  <c r="CA180" i="10"/>
  <c r="BY180" i="10"/>
  <c r="BV180" i="10"/>
  <c r="BS180" i="10"/>
  <c r="BI180" i="10"/>
  <c r="BG180" i="10"/>
  <c r="BD180" i="10"/>
  <c r="BA180" i="10"/>
  <c r="AO180" i="10"/>
  <c r="AV180" i="10" s="1"/>
  <c r="AM180" i="10"/>
  <c r="AJ180" i="10"/>
  <c r="AG180" i="10"/>
  <c r="N180" i="10"/>
  <c r="X180" i="10" s="1"/>
  <c r="K180" i="10"/>
  <c r="H180" i="10"/>
  <c r="CA179" i="10"/>
  <c r="CI179" i="10" s="1"/>
  <c r="BY179" i="10"/>
  <c r="BV179" i="10"/>
  <c r="BS179" i="10"/>
  <c r="BI179" i="10"/>
  <c r="BQ179" i="10" s="1"/>
  <c r="BG179" i="10"/>
  <c r="BD179" i="10"/>
  <c r="BA179" i="10"/>
  <c r="AO179" i="10"/>
  <c r="AM179" i="10"/>
  <c r="AJ179" i="10"/>
  <c r="AG179" i="10"/>
  <c r="N179" i="10"/>
  <c r="X179" i="10" s="1"/>
  <c r="K179" i="10"/>
  <c r="H179" i="10"/>
  <c r="CA178" i="10"/>
  <c r="CH178" i="10" s="1"/>
  <c r="BY178" i="10"/>
  <c r="BV178" i="10"/>
  <c r="BS178" i="10"/>
  <c r="BI178" i="10"/>
  <c r="BP178" i="10" s="1"/>
  <c r="BG178" i="10"/>
  <c r="BD178" i="10"/>
  <c r="BA178" i="10"/>
  <c r="AO178" i="10"/>
  <c r="AW178" i="10" s="1"/>
  <c r="AM178" i="10"/>
  <c r="AJ178" i="10"/>
  <c r="AG178" i="10"/>
  <c r="N178" i="10"/>
  <c r="X178" i="10" s="1"/>
  <c r="K178" i="10"/>
  <c r="H178" i="10"/>
  <c r="CA177" i="10"/>
  <c r="BY177" i="10"/>
  <c r="BV177" i="10"/>
  <c r="BS177" i="10"/>
  <c r="BI177" i="10"/>
  <c r="BQ177" i="10" s="1"/>
  <c r="BG177" i="10"/>
  <c r="BD177" i="10"/>
  <c r="BA177" i="10"/>
  <c r="AO177" i="10"/>
  <c r="AM177" i="10"/>
  <c r="AJ177" i="10"/>
  <c r="AG177" i="10"/>
  <c r="N177" i="10"/>
  <c r="X177" i="10" s="1"/>
  <c r="K177" i="10"/>
  <c r="H177" i="10"/>
  <c r="CA176" i="10"/>
  <c r="BY176" i="10"/>
  <c r="BV176" i="10"/>
  <c r="BS176" i="10"/>
  <c r="BI176" i="10"/>
  <c r="BQ176" i="10" s="1"/>
  <c r="BG176" i="10"/>
  <c r="BD176" i="10"/>
  <c r="BA176" i="10"/>
  <c r="AO176" i="10"/>
  <c r="W176" i="10" s="1"/>
  <c r="AM176" i="10"/>
  <c r="AJ176" i="10"/>
  <c r="AG176" i="10"/>
  <c r="N176" i="10"/>
  <c r="X176" i="10" s="1"/>
  <c r="K176" i="10"/>
  <c r="H176" i="10"/>
  <c r="CA175" i="10"/>
  <c r="CH175" i="10" s="1"/>
  <c r="BY175" i="10"/>
  <c r="BV175" i="10"/>
  <c r="BS175" i="10"/>
  <c r="BI175" i="10"/>
  <c r="BG175" i="10"/>
  <c r="BD175" i="10"/>
  <c r="BA175" i="10"/>
  <c r="AO175" i="10"/>
  <c r="AM175" i="10"/>
  <c r="AJ175" i="10"/>
  <c r="AG175" i="10"/>
  <c r="N175" i="10"/>
  <c r="X175" i="10" s="1"/>
  <c r="K175" i="10"/>
  <c r="H175" i="10"/>
  <c r="CA174" i="10"/>
  <c r="CI174" i="10" s="1"/>
  <c r="BY174" i="10"/>
  <c r="BV174" i="10"/>
  <c r="BS174" i="10"/>
  <c r="BI174" i="10"/>
  <c r="BP174" i="10" s="1"/>
  <c r="BG174" i="10"/>
  <c r="BD174" i="10"/>
  <c r="BA174" i="10"/>
  <c r="AO174" i="10"/>
  <c r="AM174" i="10"/>
  <c r="AJ174" i="10"/>
  <c r="AG174" i="10"/>
  <c r="N174" i="10"/>
  <c r="X174" i="10" s="1"/>
  <c r="K174" i="10"/>
  <c r="H174" i="10"/>
  <c r="CA173" i="10"/>
  <c r="BY173" i="10"/>
  <c r="BV173" i="10"/>
  <c r="BS173" i="10"/>
  <c r="BI173" i="10"/>
  <c r="BG173" i="10"/>
  <c r="BD173" i="10"/>
  <c r="BA173" i="10"/>
  <c r="AO173" i="10"/>
  <c r="AW173" i="10" s="1"/>
  <c r="AM173" i="10"/>
  <c r="AJ173" i="10"/>
  <c r="AG173" i="10"/>
  <c r="N173" i="10"/>
  <c r="X173" i="10" s="1"/>
  <c r="K173" i="10"/>
  <c r="H173" i="10"/>
  <c r="CA172" i="10"/>
  <c r="CH172" i="10" s="1"/>
  <c r="BY172" i="10"/>
  <c r="BV172" i="10"/>
  <c r="BS172" i="10"/>
  <c r="BI172" i="10"/>
  <c r="BP172" i="10" s="1"/>
  <c r="BG172" i="10"/>
  <c r="BD172" i="10"/>
  <c r="BA172" i="10"/>
  <c r="AO172" i="10"/>
  <c r="AV172" i="10" s="1"/>
  <c r="AM172" i="10"/>
  <c r="AJ172" i="10"/>
  <c r="AG172" i="10"/>
  <c r="N172" i="10"/>
  <c r="X172" i="10" s="1"/>
  <c r="K172" i="10"/>
  <c r="H172" i="10"/>
  <c r="CA171" i="10"/>
  <c r="CI171" i="10" s="1"/>
  <c r="BY171" i="10"/>
  <c r="BV171" i="10"/>
  <c r="BS171" i="10"/>
  <c r="BI171" i="10"/>
  <c r="BQ171" i="10" s="1"/>
  <c r="BG171" i="10"/>
  <c r="BD171" i="10"/>
  <c r="BA171" i="10"/>
  <c r="AO171" i="10"/>
  <c r="AV171" i="10" s="1"/>
  <c r="AM171" i="10"/>
  <c r="AJ171" i="10"/>
  <c r="AG171" i="10"/>
  <c r="N171" i="10"/>
  <c r="X171" i="10" s="1"/>
  <c r="K171" i="10"/>
  <c r="H171" i="10"/>
  <c r="CA170" i="10"/>
  <c r="CI170" i="10" s="1"/>
  <c r="BY170" i="10"/>
  <c r="BV170" i="10"/>
  <c r="BS170" i="10"/>
  <c r="BI170" i="10"/>
  <c r="BP170" i="10" s="1"/>
  <c r="BG170" i="10"/>
  <c r="BD170" i="10"/>
  <c r="BA170" i="10"/>
  <c r="AO170" i="10"/>
  <c r="W170" i="10" s="1"/>
  <c r="AM170" i="10"/>
  <c r="AJ170" i="10"/>
  <c r="AG170" i="10"/>
  <c r="N170" i="10"/>
  <c r="X170" i="10" s="1"/>
  <c r="K170" i="10"/>
  <c r="H170" i="10"/>
  <c r="CA169" i="10"/>
  <c r="BY169" i="10"/>
  <c r="BV169" i="10"/>
  <c r="BS169" i="10"/>
  <c r="BI169" i="10"/>
  <c r="BQ169" i="10" s="1"/>
  <c r="BG169" i="10"/>
  <c r="BD169" i="10"/>
  <c r="BA169" i="10"/>
  <c r="AO169" i="10"/>
  <c r="AM169" i="10"/>
  <c r="AJ169" i="10"/>
  <c r="AG169" i="10"/>
  <c r="N169" i="10"/>
  <c r="X169" i="10" s="1"/>
  <c r="K169" i="10"/>
  <c r="H169" i="10"/>
  <c r="CA168" i="10"/>
  <c r="CH168" i="10" s="1"/>
  <c r="BY168" i="10"/>
  <c r="BV168" i="10"/>
  <c r="BS168" i="10"/>
  <c r="BI168" i="10"/>
  <c r="BG168" i="10"/>
  <c r="BD168" i="10"/>
  <c r="BA168" i="10"/>
  <c r="AO168" i="10"/>
  <c r="AW168" i="10" s="1"/>
  <c r="AM168" i="10"/>
  <c r="AJ168" i="10"/>
  <c r="AG168" i="10"/>
  <c r="N168" i="10"/>
  <c r="X168" i="10" s="1"/>
  <c r="K168" i="10"/>
  <c r="H168" i="10"/>
  <c r="CA167" i="10"/>
  <c r="CH167" i="10" s="1"/>
  <c r="BY167" i="10"/>
  <c r="BV167" i="10"/>
  <c r="BS167" i="10"/>
  <c r="BI167" i="10"/>
  <c r="BG167" i="10"/>
  <c r="BD167" i="10"/>
  <c r="BA167" i="10"/>
  <c r="AO167" i="10"/>
  <c r="AM167" i="10"/>
  <c r="AJ167" i="10"/>
  <c r="AG167" i="10"/>
  <c r="N167" i="10"/>
  <c r="X167" i="10" s="1"/>
  <c r="K167" i="10"/>
  <c r="H167" i="10"/>
  <c r="CA166" i="10"/>
  <c r="CI166" i="10" s="1"/>
  <c r="BY166" i="10"/>
  <c r="BV166" i="10"/>
  <c r="BS166" i="10"/>
  <c r="BI166" i="10"/>
  <c r="BP166" i="10" s="1"/>
  <c r="BG166" i="10"/>
  <c r="BD166" i="10"/>
  <c r="BA166" i="10"/>
  <c r="AO166" i="10"/>
  <c r="AM166" i="10"/>
  <c r="AJ166" i="10"/>
  <c r="AG166" i="10"/>
  <c r="N166" i="10"/>
  <c r="X166" i="10" s="1"/>
  <c r="K166" i="10"/>
  <c r="H166" i="10"/>
  <c r="CA165" i="10"/>
  <c r="BY165" i="10"/>
  <c r="BV165" i="10"/>
  <c r="BS165" i="10"/>
  <c r="BI165" i="10"/>
  <c r="BG165" i="10"/>
  <c r="BD165" i="10"/>
  <c r="BA165" i="10"/>
  <c r="AO165" i="10"/>
  <c r="AW165" i="10" s="1"/>
  <c r="AM165" i="10"/>
  <c r="AJ165" i="10"/>
  <c r="AG165" i="10"/>
  <c r="N165" i="10"/>
  <c r="X165" i="10" s="1"/>
  <c r="K165" i="10"/>
  <c r="H165" i="10"/>
  <c r="CA164" i="10"/>
  <c r="CH164" i="10" s="1"/>
  <c r="BY164" i="10"/>
  <c r="BV164" i="10"/>
  <c r="BS164" i="10"/>
  <c r="BI164" i="10"/>
  <c r="BP164" i="10" s="1"/>
  <c r="BG164" i="10"/>
  <c r="BD164" i="10"/>
  <c r="BA164" i="10"/>
  <c r="AO164" i="10"/>
  <c r="AV164" i="10" s="1"/>
  <c r="AM164" i="10"/>
  <c r="AJ164" i="10"/>
  <c r="AG164" i="10"/>
  <c r="N164" i="10"/>
  <c r="X164" i="10" s="1"/>
  <c r="K164" i="10"/>
  <c r="H164" i="10"/>
  <c r="CA163" i="10"/>
  <c r="CI163" i="10" s="1"/>
  <c r="BY163" i="10"/>
  <c r="BV163" i="10"/>
  <c r="BS163" i="10"/>
  <c r="BI163" i="10"/>
  <c r="BQ163" i="10" s="1"/>
  <c r="BG163" i="10"/>
  <c r="BD163" i="10"/>
  <c r="BA163" i="10"/>
  <c r="AO163" i="10"/>
  <c r="W163" i="10" s="1"/>
  <c r="AM163" i="10"/>
  <c r="AJ163" i="10"/>
  <c r="AG163" i="10"/>
  <c r="N163" i="10"/>
  <c r="X163" i="10" s="1"/>
  <c r="K163" i="10"/>
  <c r="H163" i="10"/>
  <c r="CA162" i="10"/>
  <c r="CI162" i="10" s="1"/>
  <c r="BY162" i="10"/>
  <c r="BV162" i="10"/>
  <c r="BS162" i="10"/>
  <c r="BI162" i="10"/>
  <c r="BP162" i="10" s="1"/>
  <c r="BG162" i="10"/>
  <c r="BD162" i="10"/>
  <c r="BA162" i="10"/>
  <c r="AO162" i="10"/>
  <c r="AW162" i="10" s="1"/>
  <c r="AM162" i="10"/>
  <c r="AJ162" i="10"/>
  <c r="AG162" i="10"/>
  <c r="N162" i="10"/>
  <c r="X162" i="10" s="1"/>
  <c r="K162" i="10"/>
  <c r="H162" i="10"/>
  <c r="CA161" i="10"/>
  <c r="BY161" i="10"/>
  <c r="BV161" i="10"/>
  <c r="BS161" i="10"/>
  <c r="BI161" i="10"/>
  <c r="BP161" i="10" s="1"/>
  <c r="BG161" i="10"/>
  <c r="BD161" i="10"/>
  <c r="BA161" i="10"/>
  <c r="AO161" i="10"/>
  <c r="W161" i="10" s="1"/>
  <c r="AM161" i="10"/>
  <c r="AJ161" i="10"/>
  <c r="AG161" i="10"/>
  <c r="N161" i="10"/>
  <c r="X161" i="10" s="1"/>
  <c r="K161" i="10"/>
  <c r="H161" i="10"/>
  <c r="CA160" i="10"/>
  <c r="CI160" i="10" s="1"/>
  <c r="BY160" i="10"/>
  <c r="BV160" i="10"/>
  <c r="BS160" i="10"/>
  <c r="BI160" i="10"/>
  <c r="BQ160" i="10" s="1"/>
  <c r="BG160" i="10"/>
  <c r="BD160" i="10"/>
  <c r="BA160" i="10"/>
  <c r="AO160" i="10"/>
  <c r="W160" i="10" s="1"/>
  <c r="AM160" i="10"/>
  <c r="AJ160" i="10"/>
  <c r="AG160" i="10"/>
  <c r="N160" i="10"/>
  <c r="X160" i="10" s="1"/>
  <c r="K160" i="10"/>
  <c r="H160" i="10"/>
  <c r="CA159" i="10"/>
  <c r="CH159" i="10" s="1"/>
  <c r="BY159" i="10"/>
  <c r="BV159" i="10"/>
  <c r="BS159" i="10"/>
  <c r="BI159" i="10"/>
  <c r="BG159" i="10"/>
  <c r="BD159" i="10"/>
  <c r="BA159" i="10"/>
  <c r="AO159" i="10"/>
  <c r="AM159" i="10"/>
  <c r="AJ159" i="10"/>
  <c r="AG159" i="10"/>
  <c r="N159" i="10"/>
  <c r="X159" i="10" s="1"/>
  <c r="K159" i="10"/>
  <c r="H159" i="10"/>
  <c r="CA158" i="10"/>
  <c r="BY158" i="10"/>
  <c r="BV158" i="10"/>
  <c r="BS158" i="10"/>
  <c r="BI158" i="10"/>
  <c r="BQ158" i="10" s="1"/>
  <c r="BG158" i="10"/>
  <c r="BD158" i="10"/>
  <c r="BA158" i="10"/>
  <c r="AO158" i="10"/>
  <c r="W158" i="10" s="1"/>
  <c r="AM158" i="10"/>
  <c r="AJ158" i="10"/>
  <c r="AG158" i="10"/>
  <c r="N158" i="10"/>
  <c r="X158" i="10" s="1"/>
  <c r="K158" i="10"/>
  <c r="H158" i="10"/>
  <c r="CA157" i="10"/>
  <c r="CH157" i="10" s="1"/>
  <c r="BY157" i="10"/>
  <c r="BV157" i="10"/>
  <c r="BS157" i="10"/>
  <c r="BI157" i="10"/>
  <c r="BG157" i="10"/>
  <c r="BD157" i="10"/>
  <c r="BA157" i="10"/>
  <c r="AO157" i="10"/>
  <c r="AM157" i="10"/>
  <c r="AJ157" i="10"/>
  <c r="AG157" i="10"/>
  <c r="N157" i="10"/>
  <c r="X157" i="10" s="1"/>
  <c r="K157" i="10"/>
  <c r="H157" i="10"/>
  <c r="CA156" i="10"/>
  <c r="CI156" i="10" s="1"/>
  <c r="BY156" i="10"/>
  <c r="BV156" i="10"/>
  <c r="BS156" i="10"/>
  <c r="BI156" i="10"/>
  <c r="BQ156" i="10" s="1"/>
  <c r="BG156" i="10"/>
  <c r="BD156" i="10"/>
  <c r="BA156" i="10"/>
  <c r="AO156" i="10"/>
  <c r="AW156" i="10" s="1"/>
  <c r="AM156" i="10"/>
  <c r="AJ156" i="10"/>
  <c r="AG156" i="10"/>
  <c r="N156" i="10"/>
  <c r="X156" i="10" s="1"/>
  <c r="K156" i="10"/>
  <c r="H156" i="10"/>
  <c r="CA155" i="10"/>
  <c r="BY155" i="10"/>
  <c r="BV155" i="10"/>
  <c r="BS155" i="10"/>
  <c r="BI155" i="10"/>
  <c r="BG155" i="10"/>
  <c r="BD155" i="10"/>
  <c r="BA155" i="10"/>
  <c r="AO155" i="10"/>
  <c r="W155" i="10" s="1"/>
  <c r="AM155" i="10"/>
  <c r="AJ155" i="10"/>
  <c r="AG155" i="10"/>
  <c r="N155" i="10"/>
  <c r="X155" i="10" s="1"/>
  <c r="K155" i="10"/>
  <c r="H155" i="10"/>
  <c r="CA154" i="10"/>
  <c r="CH154" i="10" s="1"/>
  <c r="BY154" i="10"/>
  <c r="BV154" i="10"/>
  <c r="BS154" i="10"/>
  <c r="BI154" i="10"/>
  <c r="BG154" i="10"/>
  <c r="BD154" i="10"/>
  <c r="BA154" i="10"/>
  <c r="AO154" i="10"/>
  <c r="AW154" i="10" s="1"/>
  <c r="AM154" i="10"/>
  <c r="AJ154" i="10"/>
  <c r="AG154" i="10"/>
  <c r="N154" i="10"/>
  <c r="X154" i="10" s="1"/>
  <c r="K154" i="10"/>
  <c r="H154" i="10"/>
  <c r="CA153" i="10"/>
  <c r="BY153" i="10"/>
  <c r="BV153" i="10"/>
  <c r="BS153" i="10"/>
  <c r="BI153" i="10"/>
  <c r="BG153" i="10"/>
  <c r="BD153" i="10"/>
  <c r="BA153" i="10"/>
  <c r="AO153" i="10"/>
  <c r="AM153" i="10"/>
  <c r="AJ153" i="10"/>
  <c r="AG153" i="10"/>
  <c r="N153" i="10"/>
  <c r="X153" i="10" s="1"/>
  <c r="K153" i="10"/>
  <c r="H153" i="10"/>
  <c r="CA152" i="10"/>
  <c r="CI152" i="10" s="1"/>
  <c r="BY152" i="10"/>
  <c r="BV152" i="10"/>
  <c r="BS152" i="10"/>
  <c r="BI152" i="10"/>
  <c r="BG152" i="10"/>
  <c r="BD152" i="10"/>
  <c r="BA152" i="10"/>
  <c r="AO152" i="10"/>
  <c r="AW152" i="10" s="1"/>
  <c r="AM152" i="10"/>
  <c r="AJ152" i="10"/>
  <c r="AG152" i="10"/>
  <c r="N152" i="10"/>
  <c r="X152" i="10" s="1"/>
  <c r="K152" i="10"/>
  <c r="H152" i="10"/>
  <c r="CA151" i="10"/>
  <c r="BY151" i="10"/>
  <c r="BV151" i="10"/>
  <c r="BS151" i="10"/>
  <c r="BI151" i="10"/>
  <c r="BG151" i="10"/>
  <c r="BD151" i="10"/>
  <c r="BA151" i="10"/>
  <c r="AO151" i="10"/>
  <c r="AM151" i="10"/>
  <c r="AJ151" i="10"/>
  <c r="AG151" i="10"/>
  <c r="N151" i="10"/>
  <c r="X151" i="10" s="1"/>
  <c r="K151" i="10"/>
  <c r="H151" i="10"/>
  <c r="CA150" i="10"/>
  <c r="BY150" i="10"/>
  <c r="BV150" i="10"/>
  <c r="BS150" i="10"/>
  <c r="BI150" i="10"/>
  <c r="BG150" i="10"/>
  <c r="BD150" i="10"/>
  <c r="BA150" i="10"/>
  <c r="AO150" i="10"/>
  <c r="AW150" i="10" s="1"/>
  <c r="AM150" i="10"/>
  <c r="AJ150" i="10"/>
  <c r="AG150" i="10"/>
  <c r="N150" i="10"/>
  <c r="X150" i="10" s="1"/>
  <c r="K150" i="10"/>
  <c r="H150" i="10"/>
  <c r="CA149" i="10"/>
  <c r="CH149" i="10" s="1"/>
  <c r="BY149" i="10"/>
  <c r="BV149" i="10"/>
  <c r="BS149" i="10"/>
  <c r="BI149" i="10"/>
  <c r="BP149" i="10" s="1"/>
  <c r="BG149" i="10"/>
  <c r="BD149" i="10"/>
  <c r="BA149" i="10"/>
  <c r="AO149" i="10"/>
  <c r="AM149" i="10"/>
  <c r="AJ149" i="10"/>
  <c r="AG149" i="10"/>
  <c r="N149" i="10"/>
  <c r="X149" i="10" s="1"/>
  <c r="K149" i="10"/>
  <c r="H149" i="10"/>
  <c r="CA148" i="10"/>
  <c r="CH148" i="10" s="1"/>
  <c r="BY148" i="10"/>
  <c r="BV148" i="10"/>
  <c r="BS148" i="10"/>
  <c r="BI148" i="10"/>
  <c r="BG148" i="10"/>
  <c r="BD148" i="10"/>
  <c r="BA148" i="10"/>
  <c r="AO148" i="10"/>
  <c r="AM148" i="10"/>
  <c r="AJ148" i="10"/>
  <c r="AG148" i="10"/>
  <c r="N148" i="10"/>
  <c r="X148" i="10" s="1"/>
  <c r="K148" i="10"/>
  <c r="H148" i="10"/>
  <c r="CA147" i="10"/>
  <c r="CH147" i="10" s="1"/>
  <c r="BY147" i="10"/>
  <c r="BV147" i="10"/>
  <c r="BS147" i="10"/>
  <c r="BI147" i="10"/>
  <c r="BG147" i="10"/>
  <c r="BD147" i="10"/>
  <c r="BA147" i="10"/>
  <c r="AO147" i="10"/>
  <c r="W147" i="10" s="1"/>
  <c r="AM147" i="10"/>
  <c r="AJ147" i="10"/>
  <c r="AG147" i="10"/>
  <c r="N147" i="10"/>
  <c r="X147" i="10" s="1"/>
  <c r="K147" i="10"/>
  <c r="H147" i="10"/>
  <c r="CA146" i="10"/>
  <c r="CI146" i="10" s="1"/>
  <c r="BY146" i="10"/>
  <c r="BV146" i="10"/>
  <c r="BS146" i="10"/>
  <c r="BI146" i="10"/>
  <c r="BQ146" i="10" s="1"/>
  <c r="BG146" i="10"/>
  <c r="BD146" i="10"/>
  <c r="BA146" i="10"/>
  <c r="AO146" i="10"/>
  <c r="AW146" i="10" s="1"/>
  <c r="AM146" i="10"/>
  <c r="AJ146" i="10"/>
  <c r="AG146" i="10"/>
  <c r="N146" i="10"/>
  <c r="X146" i="10" s="1"/>
  <c r="K146" i="10"/>
  <c r="H146" i="10"/>
  <c r="CA145" i="10"/>
  <c r="BY145" i="10"/>
  <c r="BV145" i="10"/>
  <c r="BS145" i="10"/>
  <c r="BI145" i="10"/>
  <c r="BP145" i="10" s="1"/>
  <c r="BG145" i="10"/>
  <c r="BD145" i="10"/>
  <c r="BA145" i="10"/>
  <c r="AO145" i="10"/>
  <c r="W145" i="10" s="1"/>
  <c r="AM145" i="10"/>
  <c r="AJ145" i="10"/>
  <c r="AG145" i="10"/>
  <c r="N145" i="10"/>
  <c r="X145" i="10" s="1"/>
  <c r="K145" i="10"/>
  <c r="H145" i="10"/>
  <c r="CA144" i="10"/>
  <c r="CI144" i="10" s="1"/>
  <c r="BY144" i="10"/>
  <c r="BV144" i="10"/>
  <c r="BS144" i="10"/>
  <c r="BI144" i="10"/>
  <c r="BQ144" i="10" s="1"/>
  <c r="BG144" i="10"/>
  <c r="BD144" i="10"/>
  <c r="BA144" i="10"/>
  <c r="AO144" i="10"/>
  <c r="AW144" i="10" s="1"/>
  <c r="AM144" i="10"/>
  <c r="AJ144" i="10"/>
  <c r="AG144" i="10"/>
  <c r="N144" i="10"/>
  <c r="X144" i="10" s="1"/>
  <c r="K144" i="10"/>
  <c r="H144" i="10"/>
  <c r="CA143" i="10"/>
  <c r="CH143" i="10" s="1"/>
  <c r="BY143" i="10"/>
  <c r="BV143" i="10"/>
  <c r="BS143" i="10"/>
  <c r="BI143" i="10"/>
  <c r="BG143" i="10"/>
  <c r="BD143" i="10"/>
  <c r="BA143" i="10"/>
  <c r="AO143" i="10"/>
  <c r="AM143" i="10"/>
  <c r="AJ143" i="10"/>
  <c r="AG143" i="10"/>
  <c r="N143" i="10"/>
  <c r="X143" i="10" s="1"/>
  <c r="K143" i="10"/>
  <c r="H143" i="10"/>
  <c r="CA142" i="10"/>
  <c r="BY142" i="10"/>
  <c r="BV142" i="10"/>
  <c r="BS142" i="10"/>
  <c r="BI142" i="10"/>
  <c r="BQ142" i="10" s="1"/>
  <c r="BG142" i="10"/>
  <c r="BD142" i="10"/>
  <c r="BA142" i="10"/>
  <c r="AO142" i="10"/>
  <c r="AW142" i="10" s="1"/>
  <c r="AM142" i="10"/>
  <c r="AJ142" i="10"/>
  <c r="AG142" i="10"/>
  <c r="N142" i="10"/>
  <c r="X142" i="10" s="1"/>
  <c r="K142" i="10"/>
  <c r="H142" i="10"/>
  <c r="CA141" i="10"/>
  <c r="BY141" i="10"/>
  <c r="BV141" i="10"/>
  <c r="BS141" i="10"/>
  <c r="BI141" i="10"/>
  <c r="BP141" i="10" s="1"/>
  <c r="BG141" i="10"/>
  <c r="BD141" i="10"/>
  <c r="BA141" i="10"/>
  <c r="AO141" i="10"/>
  <c r="AM141" i="10"/>
  <c r="AJ141" i="10"/>
  <c r="AG141" i="10"/>
  <c r="N141" i="10"/>
  <c r="X141" i="10" s="1"/>
  <c r="K141" i="10"/>
  <c r="H141" i="10"/>
  <c r="CA140" i="10"/>
  <c r="CH140" i="10" s="1"/>
  <c r="BY140" i="10"/>
  <c r="BV140" i="10"/>
  <c r="BS140" i="10"/>
  <c r="BI140" i="10"/>
  <c r="BQ140" i="10" s="1"/>
  <c r="BG140" i="10"/>
  <c r="BD140" i="10"/>
  <c r="BA140" i="10"/>
  <c r="AO140" i="10"/>
  <c r="AW140" i="10" s="1"/>
  <c r="AM140" i="10"/>
  <c r="AJ140" i="10"/>
  <c r="AG140" i="10"/>
  <c r="N140" i="10"/>
  <c r="X140" i="10" s="1"/>
  <c r="K140" i="10"/>
  <c r="H140" i="10"/>
  <c r="CA139" i="10"/>
  <c r="BY139" i="10"/>
  <c r="BV139" i="10"/>
  <c r="BS139" i="10"/>
  <c r="BI139" i="10"/>
  <c r="BG139" i="10"/>
  <c r="BD139" i="10"/>
  <c r="BA139" i="10"/>
  <c r="AO139" i="10"/>
  <c r="W139" i="10" s="1"/>
  <c r="AM139" i="10"/>
  <c r="AJ139" i="10"/>
  <c r="AG139" i="10"/>
  <c r="N139" i="10"/>
  <c r="X139" i="10" s="1"/>
  <c r="K139" i="10"/>
  <c r="H139" i="10"/>
  <c r="CA138" i="10"/>
  <c r="CI138" i="10" s="1"/>
  <c r="BY138" i="10"/>
  <c r="BV138" i="10"/>
  <c r="BS138" i="10"/>
  <c r="BI138" i="10"/>
  <c r="BQ138" i="10" s="1"/>
  <c r="BG138" i="10"/>
  <c r="BD138" i="10"/>
  <c r="BA138" i="10"/>
  <c r="AO138" i="10"/>
  <c r="AW138" i="10" s="1"/>
  <c r="AM138" i="10"/>
  <c r="AJ138" i="10"/>
  <c r="AG138" i="10"/>
  <c r="N138" i="10"/>
  <c r="X138" i="10" s="1"/>
  <c r="K138" i="10"/>
  <c r="H138" i="10"/>
  <c r="CA137" i="10"/>
  <c r="BY137" i="10"/>
  <c r="BV137" i="10"/>
  <c r="BS137" i="10"/>
  <c r="BI137" i="10"/>
  <c r="BG137" i="10"/>
  <c r="BD137" i="10"/>
  <c r="BA137" i="10"/>
  <c r="AO137" i="10"/>
  <c r="W137" i="10" s="1"/>
  <c r="AM137" i="10"/>
  <c r="AJ137" i="10"/>
  <c r="AG137" i="10"/>
  <c r="N137" i="10"/>
  <c r="X137" i="10" s="1"/>
  <c r="K137" i="10"/>
  <c r="H137" i="10"/>
  <c r="CA136" i="10"/>
  <c r="CI136" i="10" s="1"/>
  <c r="BY136" i="10"/>
  <c r="BV136" i="10"/>
  <c r="BS136" i="10"/>
  <c r="BI136" i="10"/>
  <c r="BQ136" i="10" s="1"/>
  <c r="BG136" i="10"/>
  <c r="BD136" i="10"/>
  <c r="BA136" i="10"/>
  <c r="AO136" i="10"/>
  <c r="AW136" i="10" s="1"/>
  <c r="AM136" i="10"/>
  <c r="AJ136" i="10"/>
  <c r="AG136" i="10"/>
  <c r="N136" i="10"/>
  <c r="X136" i="10" s="1"/>
  <c r="K136" i="10"/>
  <c r="H136" i="10"/>
  <c r="CA135" i="10"/>
  <c r="CH135" i="10" s="1"/>
  <c r="BY135" i="10"/>
  <c r="BV135" i="10"/>
  <c r="BS135" i="10"/>
  <c r="BI135" i="10"/>
  <c r="BG135" i="10"/>
  <c r="BD135" i="10"/>
  <c r="BA135" i="10"/>
  <c r="AO135" i="10"/>
  <c r="AM135" i="10"/>
  <c r="AJ135" i="10"/>
  <c r="AG135" i="10"/>
  <c r="N135" i="10"/>
  <c r="X135" i="10" s="1"/>
  <c r="K135" i="10"/>
  <c r="H135" i="10"/>
  <c r="CA134" i="10"/>
  <c r="BY134" i="10"/>
  <c r="BV134" i="10"/>
  <c r="BS134" i="10"/>
  <c r="BI134" i="10"/>
  <c r="BQ134" i="10" s="1"/>
  <c r="BG134" i="10"/>
  <c r="BD134" i="10"/>
  <c r="BA134" i="10"/>
  <c r="AO134" i="10"/>
  <c r="AM134" i="10"/>
  <c r="AJ134" i="10"/>
  <c r="AG134" i="10"/>
  <c r="N134" i="10"/>
  <c r="X134" i="10" s="1"/>
  <c r="K134" i="10"/>
  <c r="H134" i="10"/>
  <c r="CA133" i="10"/>
  <c r="BY133" i="10"/>
  <c r="BV133" i="10"/>
  <c r="BS133" i="10"/>
  <c r="BI133" i="10"/>
  <c r="BG133" i="10"/>
  <c r="BD133" i="10"/>
  <c r="BA133" i="10"/>
  <c r="AO133" i="10"/>
  <c r="AM133" i="10"/>
  <c r="AJ133" i="10"/>
  <c r="AG133" i="10"/>
  <c r="N133" i="10"/>
  <c r="X133" i="10" s="1"/>
  <c r="K133" i="10"/>
  <c r="H133" i="10"/>
  <c r="CA132" i="10"/>
  <c r="CI132" i="10" s="1"/>
  <c r="BY132" i="10"/>
  <c r="BV132" i="10"/>
  <c r="BS132" i="10"/>
  <c r="BI132" i="10"/>
  <c r="BG132" i="10"/>
  <c r="BD132" i="10"/>
  <c r="BA132" i="10"/>
  <c r="AO132" i="10"/>
  <c r="AW132" i="10" s="1"/>
  <c r="AM132" i="10"/>
  <c r="AJ132" i="10"/>
  <c r="AG132" i="10"/>
  <c r="N132" i="10"/>
  <c r="X132" i="10" s="1"/>
  <c r="K132" i="10"/>
  <c r="H132" i="10"/>
  <c r="CA131" i="10"/>
  <c r="CH131" i="10" s="1"/>
  <c r="BY131" i="10"/>
  <c r="BV131" i="10"/>
  <c r="BS131" i="10"/>
  <c r="BI131" i="10"/>
  <c r="BG131" i="10"/>
  <c r="BD131" i="10"/>
  <c r="BA131" i="10"/>
  <c r="AO131" i="10"/>
  <c r="AV131" i="10" s="1"/>
  <c r="AM131" i="10"/>
  <c r="AJ131" i="10"/>
  <c r="AG131" i="10"/>
  <c r="N131" i="10"/>
  <c r="X131" i="10" s="1"/>
  <c r="K131" i="10"/>
  <c r="H131" i="10"/>
  <c r="CA130" i="10"/>
  <c r="CI130" i="10" s="1"/>
  <c r="BY130" i="10"/>
  <c r="BV130" i="10"/>
  <c r="BS130" i="10"/>
  <c r="BI130" i="10"/>
  <c r="BQ130" i="10" s="1"/>
  <c r="BG130" i="10"/>
  <c r="BD130" i="10"/>
  <c r="BA130" i="10"/>
  <c r="AO130" i="10"/>
  <c r="AW130" i="10" s="1"/>
  <c r="AM130" i="10"/>
  <c r="AJ130" i="10"/>
  <c r="AG130" i="10"/>
  <c r="N130" i="10"/>
  <c r="X130" i="10" s="1"/>
  <c r="K130" i="10"/>
  <c r="H130" i="10"/>
  <c r="CA129" i="10"/>
  <c r="BY129" i="10"/>
  <c r="BV129" i="10"/>
  <c r="BS129" i="10"/>
  <c r="BI129" i="10"/>
  <c r="BP129" i="10" s="1"/>
  <c r="BG129" i="10"/>
  <c r="BD129" i="10"/>
  <c r="BA129" i="10"/>
  <c r="AO129" i="10"/>
  <c r="W129" i="10" s="1"/>
  <c r="AM129" i="10"/>
  <c r="AJ129" i="10"/>
  <c r="AG129" i="10"/>
  <c r="N129" i="10"/>
  <c r="X129" i="10" s="1"/>
  <c r="K129" i="10"/>
  <c r="H129" i="10"/>
  <c r="CA128" i="10"/>
  <c r="CI128" i="10" s="1"/>
  <c r="BY128" i="10"/>
  <c r="BV128" i="10"/>
  <c r="BS128" i="10"/>
  <c r="BI128" i="10"/>
  <c r="BQ128" i="10" s="1"/>
  <c r="BG128" i="10"/>
  <c r="BD128" i="10"/>
  <c r="BA128" i="10"/>
  <c r="AO128" i="10"/>
  <c r="AW128" i="10" s="1"/>
  <c r="AM128" i="10"/>
  <c r="AJ128" i="10"/>
  <c r="AG128" i="10"/>
  <c r="N128" i="10"/>
  <c r="X128" i="10" s="1"/>
  <c r="K128" i="10"/>
  <c r="H128" i="10"/>
  <c r="CA127" i="10"/>
  <c r="CH127" i="10" s="1"/>
  <c r="BY127" i="10"/>
  <c r="BV127" i="10"/>
  <c r="BS127" i="10"/>
  <c r="BI127" i="10"/>
  <c r="BG127" i="10"/>
  <c r="BD127" i="10"/>
  <c r="BA127" i="10"/>
  <c r="AO127" i="10"/>
  <c r="AM127" i="10"/>
  <c r="AJ127" i="10"/>
  <c r="AG127" i="10"/>
  <c r="N127" i="10"/>
  <c r="X127" i="10" s="1"/>
  <c r="K127" i="10"/>
  <c r="H127" i="10"/>
  <c r="CA126" i="10"/>
  <c r="CI126" i="10" s="1"/>
  <c r="BY126" i="10"/>
  <c r="BV126" i="10"/>
  <c r="BS126" i="10"/>
  <c r="BI126" i="10"/>
  <c r="BQ126" i="10" s="1"/>
  <c r="BG126" i="10"/>
  <c r="BD126" i="10"/>
  <c r="BA126" i="10"/>
  <c r="AO126" i="10"/>
  <c r="W126" i="10" s="1"/>
  <c r="AM126" i="10"/>
  <c r="AJ126" i="10"/>
  <c r="AG126" i="10"/>
  <c r="N126" i="10"/>
  <c r="X126" i="10" s="1"/>
  <c r="K126" i="10"/>
  <c r="H126" i="10"/>
  <c r="CA125" i="10"/>
  <c r="CH125" i="10" s="1"/>
  <c r="BY125" i="10"/>
  <c r="BV125" i="10"/>
  <c r="BS125" i="10"/>
  <c r="BI125" i="10"/>
  <c r="BP125" i="10" s="1"/>
  <c r="BG125" i="10"/>
  <c r="BD125" i="10"/>
  <c r="BA125" i="10"/>
  <c r="AO125" i="10"/>
  <c r="AM125" i="10"/>
  <c r="AJ125" i="10"/>
  <c r="AG125" i="10"/>
  <c r="N125" i="10"/>
  <c r="X125" i="10" s="1"/>
  <c r="K125" i="10"/>
  <c r="H125" i="10"/>
  <c r="CA124" i="10"/>
  <c r="CH124" i="10" s="1"/>
  <c r="BY124" i="10"/>
  <c r="BV124" i="10"/>
  <c r="BS124" i="10"/>
  <c r="BI124" i="10"/>
  <c r="BQ124" i="10" s="1"/>
  <c r="BG124" i="10"/>
  <c r="BD124" i="10"/>
  <c r="BA124" i="10"/>
  <c r="AO124" i="10"/>
  <c r="AW124" i="10" s="1"/>
  <c r="AM124" i="10"/>
  <c r="AJ124" i="10"/>
  <c r="AG124" i="10"/>
  <c r="N124" i="10"/>
  <c r="X124" i="10" s="1"/>
  <c r="K124" i="10"/>
  <c r="H124" i="10"/>
  <c r="CA123" i="10"/>
  <c r="CH123" i="10" s="1"/>
  <c r="BY123" i="10"/>
  <c r="BV123" i="10"/>
  <c r="BS123" i="10"/>
  <c r="BI123" i="10"/>
  <c r="BG123" i="10"/>
  <c r="BD123" i="10"/>
  <c r="BA123" i="10"/>
  <c r="AO123" i="10"/>
  <c r="AW123" i="10" s="1"/>
  <c r="AM123" i="10"/>
  <c r="AJ123" i="10"/>
  <c r="AG123" i="10"/>
  <c r="N123" i="10"/>
  <c r="X123" i="10" s="1"/>
  <c r="K123" i="10"/>
  <c r="H123" i="10"/>
  <c r="CA122" i="10"/>
  <c r="CI122" i="10" s="1"/>
  <c r="BY122" i="10"/>
  <c r="BV122" i="10"/>
  <c r="BS122" i="10"/>
  <c r="BI122" i="10"/>
  <c r="BQ122" i="10" s="1"/>
  <c r="BG122" i="10"/>
  <c r="BD122" i="10"/>
  <c r="BA122" i="10"/>
  <c r="AO122" i="10"/>
  <c r="AM122" i="10"/>
  <c r="AJ122" i="10"/>
  <c r="AG122" i="10"/>
  <c r="N122" i="10"/>
  <c r="X122" i="10" s="1"/>
  <c r="K122" i="10"/>
  <c r="H122" i="10"/>
  <c r="CA121" i="10"/>
  <c r="BY121" i="10"/>
  <c r="BV121" i="10"/>
  <c r="BS121" i="10"/>
  <c r="BI121" i="10"/>
  <c r="BG121" i="10"/>
  <c r="BD121" i="10"/>
  <c r="BA121" i="10"/>
  <c r="AO121" i="10"/>
  <c r="W121" i="10" s="1"/>
  <c r="AM121" i="10"/>
  <c r="AJ121" i="10"/>
  <c r="AG121" i="10"/>
  <c r="N121" i="10"/>
  <c r="X121" i="10" s="1"/>
  <c r="K121" i="10"/>
  <c r="H121" i="10"/>
  <c r="CA120" i="10"/>
  <c r="CI120" i="10" s="1"/>
  <c r="BY120" i="10"/>
  <c r="BV120" i="10"/>
  <c r="BS120" i="10"/>
  <c r="BI120" i="10"/>
  <c r="BP120" i="10" s="1"/>
  <c r="BG120" i="10"/>
  <c r="BD120" i="10"/>
  <c r="BA120" i="10"/>
  <c r="AO120" i="10"/>
  <c r="AM120" i="10"/>
  <c r="AJ120" i="10"/>
  <c r="AG120" i="10"/>
  <c r="N120" i="10"/>
  <c r="X120" i="10" s="1"/>
  <c r="K120" i="10"/>
  <c r="H120" i="10"/>
  <c r="CA119" i="10"/>
  <c r="CH119" i="10" s="1"/>
  <c r="BY119" i="10"/>
  <c r="BV119" i="10"/>
  <c r="BS119" i="10"/>
  <c r="BI119" i="10"/>
  <c r="BG119" i="10"/>
  <c r="BD119" i="10"/>
  <c r="BA119" i="10"/>
  <c r="AO119" i="10"/>
  <c r="AM119" i="10"/>
  <c r="AJ119" i="10"/>
  <c r="AG119" i="10"/>
  <c r="N119" i="10"/>
  <c r="X119" i="10" s="1"/>
  <c r="K119" i="10"/>
  <c r="H119" i="10"/>
  <c r="CA118" i="10"/>
  <c r="CI118" i="10" s="1"/>
  <c r="BY118" i="10"/>
  <c r="BV118" i="10"/>
  <c r="BS118" i="10"/>
  <c r="BI118" i="10"/>
  <c r="BQ118" i="10" s="1"/>
  <c r="BG118" i="10"/>
  <c r="BD118" i="10"/>
  <c r="BA118" i="10"/>
  <c r="AO118" i="10"/>
  <c r="W118" i="10" s="1"/>
  <c r="AM118" i="10"/>
  <c r="AJ118" i="10"/>
  <c r="AG118" i="10"/>
  <c r="N118" i="10"/>
  <c r="X118" i="10" s="1"/>
  <c r="K118" i="10"/>
  <c r="H118" i="10"/>
  <c r="CA117" i="10"/>
  <c r="CH117" i="10" s="1"/>
  <c r="BY117" i="10"/>
  <c r="BV117" i="10"/>
  <c r="BS117" i="10"/>
  <c r="BI117" i="10"/>
  <c r="BP117" i="10" s="1"/>
  <c r="BG117" i="10"/>
  <c r="BD117" i="10"/>
  <c r="BA117" i="10"/>
  <c r="AO117" i="10"/>
  <c r="AM117" i="10"/>
  <c r="AJ117" i="10"/>
  <c r="AG117" i="10"/>
  <c r="N117" i="10"/>
  <c r="X117" i="10" s="1"/>
  <c r="K117" i="10"/>
  <c r="H117" i="10"/>
  <c r="CA116" i="10"/>
  <c r="CI116" i="10" s="1"/>
  <c r="BY116" i="10"/>
  <c r="BV116" i="10"/>
  <c r="BS116" i="10"/>
  <c r="BI116" i="10"/>
  <c r="BQ116" i="10" s="1"/>
  <c r="BG116" i="10"/>
  <c r="BD116" i="10"/>
  <c r="BA116" i="10"/>
  <c r="AO116" i="10"/>
  <c r="AW116" i="10" s="1"/>
  <c r="AM116" i="10"/>
  <c r="AJ116" i="10"/>
  <c r="AG116" i="10"/>
  <c r="N116" i="10"/>
  <c r="X116" i="10" s="1"/>
  <c r="K116" i="10"/>
  <c r="H116" i="10"/>
  <c r="CA115" i="10"/>
  <c r="CH115" i="10" s="1"/>
  <c r="BY115" i="10"/>
  <c r="BV115" i="10"/>
  <c r="BS115" i="10"/>
  <c r="BI115" i="10"/>
  <c r="BG115" i="10"/>
  <c r="BD115" i="10"/>
  <c r="BA115" i="10"/>
  <c r="AO115" i="10"/>
  <c r="W115" i="10" s="1"/>
  <c r="AM115" i="10"/>
  <c r="AJ115" i="10"/>
  <c r="AG115" i="10"/>
  <c r="N115" i="10"/>
  <c r="X115" i="10" s="1"/>
  <c r="K115" i="10"/>
  <c r="H115" i="10"/>
  <c r="CA114" i="10"/>
  <c r="BY114" i="10"/>
  <c r="BV114" i="10"/>
  <c r="BS114" i="10"/>
  <c r="BI114" i="10"/>
  <c r="BQ114" i="10" s="1"/>
  <c r="BG114" i="10"/>
  <c r="BD114" i="10"/>
  <c r="BA114" i="10"/>
  <c r="AO114" i="10"/>
  <c r="W114" i="10" s="1"/>
  <c r="AM114" i="10"/>
  <c r="AJ114" i="10"/>
  <c r="AG114" i="10"/>
  <c r="N114" i="10"/>
  <c r="X114" i="10" s="1"/>
  <c r="K114" i="10"/>
  <c r="H114" i="10"/>
  <c r="CA113" i="10"/>
  <c r="BY113" i="10"/>
  <c r="BV113" i="10"/>
  <c r="BS113" i="10"/>
  <c r="BI113" i="10"/>
  <c r="BP113" i="10" s="1"/>
  <c r="BG113" i="10"/>
  <c r="BD113" i="10"/>
  <c r="BA113" i="10"/>
  <c r="AO113" i="10"/>
  <c r="W113" i="10" s="1"/>
  <c r="AM113" i="10"/>
  <c r="AJ113" i="10"/>
  <c r="AG113" i="10"/>
  <c r="N113" i="10"/>
  <c r="X113" i="10" s="1"/>
  <c r="K113" i="10"/>
  <c r="H113" i="10"/>
  <c r="CA112" i="10"/>
  <c r="CI112" i="10" s="1"/>
  <c r="BY112" i="10"/>
  <c r="BV112" i="10"/>
  <c r="BS112" i="10"/>
  <c r="BI112" i="10"/>
  <c r="BQ112" i="10" s="1"/>
  <c r="BG112" i="10"/>
  <c r="BD112" i="10"/>
  <c r="BA112" i="10"/>
  <c r="AO112" i="10"/>
  <c r="W112" i="10" s="1"/>
  <c r="AM112" i="10"/>
  <c r="AJ112" i="10"/>
  <c r="AG112" i="10"/>
  <c r="N112" i="10"/>
  <c r="X112" i="10" s="1"/>
  <c r="K112" i="10"/>
  <c r="H112" i="10"/>
  <c r="CA111" i="10"/>
  <c r="BY111" i="10"/>
  <c r="BV111" i="10"/>
  <c r="BS111" i="10"/>
  <c r="BI111" i="10"/>
  <c r="BP111" i="10" s="1"/>
  <c r="BG111" i="10"/>
  <c r="BD111" i="10"/>
  <c r="BA111" i="10"/>
  <c r="AO111" i="10"/>
  <c r="AV111" i="10" s="1"/>
  <c r="AM111" i="10"/>
  <c r="AJ111" i="10"/>
  <c r="AG111" i="10"/>
  <c r="N111" i="10"/>
  <c r="X111" i="10" s="1"/>
  <c r="K111" i="10"/>
  <c r="H111" i="10"/>
  <c r="CA110" i="10"/>
  <c r="CH110" i="10" s="1"/>
  <c r="BY110" i="10"/>
  <c r="BV110" i="10"/>
  <c r="BS110" i="10"/>
  <c r="BI110" i="10"/>
  <c r="BG110" i="10"/>
  <c r="BD110" i="10"/>
  <c r="BA110" i="10"/>
  <c r="AO110" i="10"/>
  <c r="AM110" i="10"/>
  <c r="AJ110" i="10"/>
  <c r="AG110" i="10"/>
  <c r="N110" i="10"/>
  <c r="X110" i="10" s="1"/>
  <c r="K110" i="10"/>
  <c r="H110" i="10"/>
  <c r="CA109" i="10"/>
  <c r="CH109" i="10" s="1"/>
  <c r="BY109" i="10"/>
  <c r="BV109" i="10"/>
  <c r="BS109" i="10"/>
  <c r="BI109" i="10"/>
  <c r="BP109" i="10" s="1"/>
  <c r="BG109" i="10"/>
  <c r="BD109" i="10"/>
  <c r="BA109" i="10"/>
  <c r="AO109" i="10"/>
  <c r="AM109" i="10"/>
  <c r="AJ109" i="10"/>
  <c r="AG109" i="10"/>
  <c r="N109" i="10"/>
  <c r="X109" i="10" s="1"/>
  <c r="K109" i="10"/>
  <c r="H109" i="10"/>
  <c r="CA108" i="10"/>
  <c r="CI108" i="10" s="1"/>
  <c r="BY108" i="10"/>
  <c r="BV108" i="10"/>
  <c r="BS108" i="10"/>
  <c r="BI108" i="10"/>
  <c r="BQ108" i="10" s="1"/>
  <c r="BG108" i="10"/>
  <c r="BD108" i="10"/>
  <c r="BA108" i="10"/>
  <c r="AO108" i="10"/>
  <c r="AW108" i="10" s="1"/>
  <c r="AM108" i="10"/>
  <c r="AJ108" i="10"/>
  <c r="AG108" i="10"/>
  <c r="N108" i="10"/>
  <c r="X108" i="10" s="1"/>
  <c r="K108" i="10"/>
  <c r="H108" i="10"/>
  <c r="CA107" i="10"/>
  <c r="CH107" i="10" s="1"/>
  <c r="BY107" i="10"/>
  <c r="BV107" i="10"/>
  <c r="BS107" i="10"/>
  <c r="BI107" i="10"/>
  <c r="BG107" i="10"/>
  <c r="BD107" i="10"/>
  <c r="BA107" i="10"/>
  <c r="AO107" i="10"/>
  <c r="W107" i="10" s="1"/>
  <c r="AM107" i="10"/>
  <c r="AJ107" i="10"/>
  <c r="AG107" i="10"/>
  <c r="N107" i="10"/>
  <c r="X107" i="10" s="1"/>
  <c r="K107" i="10"/>
  <c r="H107" i="10"/>
  <c r="CA106" i="10"/>
  <c r="CI106" i="10" s="1"/>
  <c r="BY106" i="10"/>
  <c r="BV106" i="10"/>
  <c r="BS106" i="10"/>
  <c r="BI106" i="10"/>
  <c r="BQ106" i="10" s="1"/>
  <c r="BG106" i="10"/>
  <c r="BD106" i="10"/>
  <c r="BA106" i="10"/>
  <c r="AO106" i="10"/>
  <c r="AV106" i="10" s="1"/>
  <c r="AM106" i="10"/>
  <c r="AJ106" i="10"/>
  <c r="AG106" i="10"/>
  <c r="N106" i="10"/>
  <c r="X106" i="10" s="1"/>
  <c r="K106" i="10"/>
  <c r="H106" i="10"/>
  <c r="CA105" i="10"/>
  <c r="BY105" i="10"/>
  <c r="BV105" i="10"/>
  <c r="BS105" i="10"/>
  <c r="BI105" i="10"/>
  <c r="BP105" i="10" s="1"/>
  <c r="BG105" i="10"/>
  <c r="BD105" i="10"/>
  <c r="BA105" i="10"/>
  <c r="AO105" i="10"/>
  <c r="W105" i="10" s="1"/>
  <c r="AM105" i="10"/>
  <c r="AJ105" i="10"/>
  <c r="AG105" i="10"/>
  <c r="N105" i="10"/>
  <c r="X105" i="10" s="1"/>
  <c r="K105" i="10"/>
  <c r="H105" i="10"/>
  <c r="CA104" i="10"/>
  <c r="CI104" i="10" s="1"/>
  <c r="BY104" i="10"/>
  <c r="BV104" i="10"/>
  <c r="BS104" i="10"/>
  <c r="BI104" i="10"/>
  <c r="BP104" i="10" s="1"/>
  <c r="BG104" i="10"/>
  <c r="BD104" i="10"/>
  <c r="BA104" i="10"/>
  <c r="AO104" i="10"/>
  <c r="AW104" i="10" s="1"/>
  <c r="AM104" i="10"/>
  <c r="AJ104" i="10"/>
  <c r="AG104" i="10"/>
  <c r="N104" i="10"/>
  <c r="X104" i="10" s="1"/>
  <c r="K104" i="10"/>
  <c r="H104" i="10"/>
  <c r="CA103" i="10"/>
  <c r="CH103" i="10" s="1"/>
  <c r="BY103" i="10"/>
  <c r="BV103" i="10"/>
  <c r="BS103" i="10"/>
  <c r="BI103" i="10"/>
  <c r="BG103" i="10"/>
  <c r="BD103" i="10"/>
  <c r="BA103" i="10"/>
  <c r="AO103" i="10"/>
  <c r="AW103" i="10" s="1"/>
  <c r="AM103" i="10"/>
  <c r="AJ103" i="10"/>
  <c r="AG103" i="10"/>
  <c r="N103" i="10"/>
  <c r="X103" i="10" s="1"/>
  <c r="K103" i="10"/>
  <c r="H103" i="10"/>
  <c r="CA102" i="10"/>
  <c r="CI102" i="10" s="1"/>
  <c r="BY102" i="10"/>
  <c r="BV102" i="10"/>
  <c r="BS102" i="10"/>
  <c r="BI102" i="10"/>
  <c r="BQ102" i="10" s="1"/>
  <c r="BG102" i="10"/>
  <c r="BD102" i="10"/>
  <c r="BA102" i="10"/>
  <c r="AO102" i="10"/>
  <c r="AW102" i="10" s="1"/>
  <c r="AM102" i="10"/>
  <c r="AJ102" i="10"/>
  <c r="AG102" i="10"/>
  <c r="N102" i="10"/>
  <c r="X102" i="10" s="1"/>
  <c r="K102" i="10"/>
  <c r="H102" i="10"/>
  <c r="CA101" i="10"/>
  <c r="CH101" i="10" s="1"/>
  <c r="BY101" i="10"/>
  <c r="BV101" i="10"/>
  <c r="BS101" i="10"/>
  <c r="BI101" i="10"/>
  <c r="BP101" i="10" s="1"/>
  <c r="BG101" i="10"/>
  <c r="BD101" i="10"/>
  <c r="BA101" i="10"/>
  <c r="AO101" i="10"/>
  <c r="AM101" i="10"/>
  <c r="AJ101" i="10"/>
  <c r="AG101" i="10"/>
  <c r="N101" i="10"/>
  <c r="X101" i="10" s="1"/>
  <c r="K101" i="10"/>
  <c r="H101" i="10"/>
  <c r="CA100" i="10"/>
  <c r="CI100" i="10" s="1"/>
  <c r="BY100" i="10"/>
  <c r="BV100" i="10"/>
  <c r="BS100" i="10"/>
  <c r="BI100" i="10"/>
  <c r="BQ100" i="10" s="1"/>
  <c r="BG100" i="10"/>
  <c r="BD100" i="10"/>
  <c r="BA100" i="10"/>
  <c r="AO100" i="10"/>
  <c r="AW100" i="10" s="1"/>
  <c r="AM100" i="10"/>
  <c r="AJ100" i="10"/>
  <c r="AG100" i="10"/>
  <c r="N100" i="10"/>
  <c r="X100" i="10" s="1"/>
  <c r="K100" i="10"/>
  <c r="H100" i="10"/>
  <c r="CA99" i="10"/>
  <c r="CH99" i="10" s="1"/>
  <c r="BY99" i="10"/>
  <c r="BV99" i="10"/>
  <c r="BS99" i="10"/>
  <c r="BI99" i="10"/>
  <c r="BG99" i="10"/>
  <c r="BD99" i="10"/>
  <c r="BA99" i="10"/>
  <c r="AO99" i="10"/>
  <c r="AV99" i="10" s="1"/>
  <c r="AM99" i="10"/>
  <c r="AJ99" i="10"/>
  <c r="AG99" i="10"/>
  <c r="N99" i="10"/>
  <c r="X99" i="10" s="1"/>
  <c r="K99" i="10"/>
  <c r="H99" i="10"/>
  <c r="CA98" i="10"/>
  <c r="CH98" i="10" s="1"/>
  <c r="BY98" i="10"/>
  <c r="BV98" i="10"/>
  <c r="BS98" i="10"/>
  <c r="BI98" i="10"/>
  <c r="BQ98" i="10" s="1"/>
  <c r="BG98" i="10"/>
  <c r="BD98" i="10"/>
  <c r="BA98" i="10"/>
  <c r="AO98" i="10"/>
  <c r="AV98" i="10" s="1"/>
  <c r="AM98" i="10"/>
  <c r="AJ98" i="10"/>
  <c r="AG98" i="10"/>
  <c r="N98" i="10"/>
  <c r="X98" i="10" s="1"/>
  <c r="K98" i="10"/>
  <c r="H98" i="10"/>
  <c r="CA97" i="10"/>
  <c r="BY97" i="10"/>
  <c r="BV97" i="10"/>
  <c r="BS97" i="10"/>
  <c r="BI97" i="10"/>
  <c r="BP97" i="10" s="1"/>
  <c r="BG97" i="10"/>
  <c r="BD97" i="10"/>
  <c r="BA97" i="10"/>
  <c r="AO97" i="10"/>
  <c r="AM97" i="10"/>
  <c r="AJ97" i="10"/>
  <c r="AG97" i="10"/>
  <c r="N97" i="10"/>
  <c r="X97" i="10" s="1"/>
  <c r="K97" i="10"/>
  <c r="H97" i="10"/>
  <c r="CA96" i="10"/>
  <c r="CI96" i="10" s="1"/>
  <c r="BY96" i="10"/>
  <c r="BV96" i="10"/>
  <c r="BS96" i="10"/>
  <c r="BI96" i="10"/>
  <c r="BQ96" i="10" s="1"/>
  <c r="BG96" i="10"/>
  <c r="BD96" i="10"/>
  <c r="BA96" i="10"/>
  <c r="AO96" i="10"/>
  <c r="AW96" i="10" s="1"/>
  <c r="AM96" i="10"/>
  <c r="AJ96" i="10"/>
  <c r="AG96" i="10"/>
  <c r="N96" i="10"/>
  <c r="X96" i="10" s="1"/>
  <c r="K96" i="10"/>
  <c r="H96" i="10"/>
  <c r="CA95" i="10"/>
  <c r="CH95" i="10" s="1"/>
  <c r="BY95" i="10"/>
  <c r="BV95" i="10"/>
  <c r="BS95" i="10"/>
  <c r="BI95" i="10"/>
  <c r="BP95" i="10" s="1"/>
  <c r="BG95" i="10"/>
  <c r="BD95" i="10"/>
  <c r="BA95" i="10"/>
  <c r="AO95" i="10"/>
  <c r="AW95" i="10" s="1"/>
  <c r="AM95" i="10"/>
  <c r="AJ95" i="10"/>
  <c r="AG95" i="10"/>
  <c r="N95" i="10"/>
  <c r="X95" i="10" s="1"/>
  <c r="K95" i="10"/>
  <c r="H95" i="10"/>
  <c r="CA94" i="10"/>
  <c r="CH94" i="10" s="1"/>
  <c r="BY94" i="10"/>
  <c r="BV94" i="10"/>
  <c r="BS94" i="10"/>
  <c r="BI94" i="10"/>
  <c r="BQ94" i="10" s="1"/>
  <c r="BG94" i="10"/>
  <c r="BD94" i="10"/>
  <c r="BA94" i="10"/>
  <c r="AO94" i="10"/>
  <c r="AW94" i="10" s="1"/>
  <c r="AM94" i="10"/>
  <c r="AJ94" i="10"/>
  <c r="AG94" i="10"/>
  <c r="N94" i="10"/>
  <c r="X94" i="10" s="1"/>
  <c r="K94" i="10"/>
  <c r="H94" i="10"/>
  <c r="CA93" i="10"/>
  <c r="CH93" i="10" s="1"/>
  <c r="BY93" i="10"/>
  <c r="BV93" i="10"/>
  <c r="BS93" i="10"/>
  <c r="BI93" i="10"/>
  <c r="BP93" i="10" s="1"/>
  <c r="BG93" i="10"/>
  <c r="BD93" i="10"/>
  <c r="BA93" i="10"/>
  <c r="AO93" i="10"/>
  <c r="AM93" i="10"/>
  <c r="AJ93" i="10"/>
  <c r="AG93" i="10"/>
  <c r="N93" i="10"/>
  <c r="X93" i="10" s="1"/>
  <c r="K93" i="10"/>
  <c r="H93" i="10"/>
  <c r="CA92" i="10"/>
  <c r="CI92" i="10" s="1"/>
  <c r="BY92" i="10"/>
  <c r="BV92" i="10"/>
  <c r="BS92" i="10"/>
  <c r="BI92" i="10"/>
  <c r="BQ92" i="10" s="1"/>
  <c r="BG92" i="10"/>
  <c r="BD92" i="10"/>
  <c r="BA92" i="10"/>
  <c r="AO92" i="10"/>
  <c r="AW92" i="10" s="1"/>
  <c r="AM92" i="10"/>
  <c r="AJ92" i="10"/>
  <c r="AG92" i="10"/>
  <c r="N92" i="10"/>
  <c r="X92" i="10" s="1"/>
  <c r="K92" i="10"/>
  <c r="H92" i="10"/>
  <c r="CA91" i="10"/>
  <c r="CH91" i="10" s="1"/>
  <c r="BY91" i="10"/>
  <c r="BV91" i="10"/>
  <c r="BS91" i="10"/>
  <c r="BI91" i="10"/>
  <c r="BG91" i="10"/>
  <c r="BD91" i="10"/>
  <c r="BA91" i="10"/>
  <c r="AO91" i="10"/>
  <c r="W91" i="10" s="1"/>
  <c r="AM91" i="10"/>
  <c r="AJ91" i="10"/>
  <c r="AG91" i="10"/>
  <c r="N91" i="10"/>
  <c r="X91" i="10" s="1"/>
  <c r="K91" i="10"/>
  <c r="H91" i="10"/>
  <c r="CA90" i="10"/>
  <c r="CI90" i="10" s="1"/>
  <c r="BY90" i="10"/>
  <c r="BV90" i="10"/>
  <c r="BS90" i="10"/>
  <c r="BI90" i="10"/>
  <c r="BQ90" i="10" s="1"/>
  <c r="BG90" i="10"/>
  <c r="BD90" i="10"/>
  <c r="BA90" i="10"/>
  <c r="AO90" i="10"/>
  <c r="AV90" i="10" s="1"/>
  <c r="AM90" i="10"/>
  <c r="AJ90" i="10"/>
  <c r="AG90" i="10"/>
  <c r="N90" i="10"/>
  <c r="X90" i="10" s="1"/>
  <c r="K90" i="10"/>
  <c r="H90" i="10"/>
  <c r="CA89" i="10"/>
  <c r="BY89" i="10"/>
  <c r="BV89" i="10"/>
  <c r="BS89" i="10"/>
  <c r="BI89" i="10"/>
  <c r="BP89" i="10" s="1"/>
  <c r="BG89" i="10"/>
  <c r="BD89" i="10"/>
  <c r="BA89" i="10"/>
  <c r="AO89" i="10"/>
  <c r="W89" i="10" s="1"/>
  <c r="AM89" i="10"/>
  <c r="AJ89" i="10"/>
  <c r="AG89" i="10"/>
  <c r="N89" i="10"/>
  <c r="X89" i="10" s="1"/>
  <c r="K89" i="10"/>
  <c r="H89" i="10"/>
  <c r="CA88" i="10"/>
  <c r="CI88" i="10" s="1"/>
  <c r="BY88" i="10"/>
  <c r="BV88" i="10"/>
  <c r="BS88" i="10"/>
  <c r="BI88" i="10"/>
  <c r="BP88" i="10" s="1"/>
  <c r="BG88" i="10"/>
  <c r="BD88" i="10"/>
  <c r="BA88" i="10"/>
  <c r="AO88" i="10"/>
  <c r="AW88" i="10" s="1"/>
  <c r="AM88" i="10"/>
  <c r="AJ88" i="10"/>
  <c r="AG88" i="10"/>
  <c r="N88" i="10"/>
  <c r="X88" i="10" s="1"/>
  <c r="K88" i="10"/>
  <c r="H88" i="10"/>
  <c r="CA87" i="10"/>
  <c r="CH87" i="10" s="1"/>
  <c r="BY87" i="10"/>
  <c r="BV87" i="10"/>
  <c r="BS87" i="10"/>
  <c r="BI87" i="10"/>
  <c r="BP87" i="10" s="1"/>
  <c r="BG87" i="10"/>
  <c r="BD87" i="10"/>
  <c r="BA87" i="10"/>
  <c r="AO87" i="10"/>
  <c r="AM87" i="10"/>
  <c r="AJ87" i="10"/>
  <c r="AG87" i="10"/>
  <c r="N87" i="10"/>
  <c r="X87" i="10" s="1"/>
  <c r="K87" i="10"/>
  <c r="H87" i="10"/>
  <c r="CA86" i="10"/>
  <c r="CH86" i="10" s="1"/>
  <c r="BY86" i="10"/>
  <c r="BV86" i="10"/>
  <c r="BS86" i="10"/>
  <c r="BI86" i="10"/>
  <c r="BQ86" i="10" s="1"/>
  <c r="BG86" i="10"/>
  <c r="BD86" i="10"/>
  <c r="BA86" i="10"/>
  <c r="AO86" i="10"/>
  <c r="W86" i="10" s="1"/>
  <c r="AM86" i="10"/>
  <c r="AJ86" i="10"/>
  <c r="AG86" i="10"/>
  <c r="N86" i="10"/>
  <c r="X86" i="10" s="1"/>
  <c r="K86" i="10"/>
  <c r="H86" i="10"/>
  <c r="CA85" i="10"/>
  <c r="CH85" i="10" s="1"/>
  <c r="BY85" i="10"/>
  <c r="BV85" i="10"/>
  <c r="BS85" i="10"/>
  <c r="BI85" i="10"/>
  <c r="BP85" i="10" s="1"/>
  <c r="BG85" i="10"/>
  <c r="BD85" i="10"/>
  <c r="BA85" i="10"/>
  <c r="AO85" i="10"/>
  <c r="AM85" i="10"/>
  <c r="AJ85" i="10"/>
  <c r="AG85" i="10"/>
  <c r="N85" i="10"/>
  <c r="X85" i="10" s="1"/>
  <c r="K85" i="10"/>
  <c r="H85" i="10"/>
  <c r="CA84" i="10"/>
  <c r="CI84" i="10" s="1"/>
  <c r="BY84" i="10"/>
  <c r="BV84" i="10"/>
  <c r="BS84" i="10"/>
  <c r="BI84" i="10"/>
  <c r="BQ84" i="10" s="1"/>
  <c r="BG84" i="10"/>
  <c r="BD84" i="10"/>
  <c r="BA84" i="10"/>
  <c r="AO84" i="10"/>
  <c r="AW84" i="10" s="1"/>
  <c r="AM84" i="10"/>
  <c r="AJ84" i="10"/>
  <c r="AG84" i="10"/>
  <c r="N84" i="10"/>
  <c r="X84" i="10" s="1"/>
  <c r="K84" i="10"/>
  <c r="H84" i="10"/>
  <c r="CA83" i="10"/>
  <c r="CH83" i="10" s="1"/>
  <c r="BY83" i="10"/>
  <c r="BV83" i="10"/>
  <c r="BS83" i="10"/>
  <c r="BI83" i="10"/>
  <c r="BG83" i="10"/>
  <c r="BD83" i="10"/>
  <c r="BA83" i="10"/>
  <c r="AO83" i="10"/>
  <c r="AV83" i="10" s="1"/>
  <c r="AM83" i="10"/>
  <c r="AJ83" i="10"/>
  <c r="AG83" i="10"/>
  <c r="N83" i="10"/>
  <c r="X83" i="10" s="1"/>
  <c r="K83" i="10"/>
  <c r="H83" i="10"/>
  <c r="CA82" i="10"/>
  <c r="CI82" i="10" s="1"/>
  <c r="BY82" i="10"/>
  <c r="BV82" i="10"/>
  <c r="BS82" i="10"/>
  <c r="BI82" i="10"/>
  <c r="BQ82" i="10" s="1"/>
  <c r="BG82" i="10"/>
  <c r="BD82" i="10"/>
  <c r="BA82" i="10"/>
  <c r="AO82" i="10"/>
  <c r="W82" i="10" s="1"/>
  <c r="AM82" i="10"/>
  <c r="AJ82" i="10"/>
  <c r="AG82" i="10"/>
  <c r="N82" i="10"/>
  <c r="X82" i="10" s="1"/>
  <c r="K82" i="10"/>
  <c r="H82" i="10"/>
  <c r="CA81" i="10"/>
  <c r="CI81" i="10" s="1"/>
  <c r="BY81" i="10"/>
  <c r="BV81" i="10"/>
  <c r="BS81" i="10"/>
  <c r="BI81" i="10"/>
  <c r="BP81" i="10" s="1"/>
  <c r="BG81" i="10"/>
  <c r="BD81" i="10"/>
  <c r="BA81" i="10"/>
  <c r="AO81" i="10"/>
  <c r="AW81" i="10" s="1"/>
  <c r="AM81" i="10"/>
  <c r="AJ81" i="10"/>
  <c r="AG81" i="10"/>
  <c r="N81" i="10"/>
  <c r="X81" i="10" s="1"/>
  <c r="K81" i="10"/>
  <c r="H81" i="10"/>
  <c r="CA80" i="10"/>
  <c r="BY80" i="10"/>
  <c r="BV80" i="10"/>
  <c r="BS80" i="10"/>
  <c r="BI80" i="10"/>
  <c r="BP80" i="10" s="1"/>
  <c r="BG80" i="10"/>
  <c r="BD80" i="10"/>
  <c r="BA80" i="10"/>
  <c r="AO80" i="10"/>
  <c r="W80" i="10" s="1"/>
  <c r="AM80" i="10"/>
  <c r="AJ80" i="10"/>
  <c r="AG80" i="10"/>
  <c r="N80" i="10"/>
  <c r="X80" i="10" s="1"/>
  <c r="K80" i="10"/>
  <c r="H80" i="10"/>
  <c r="CA79" i="10"/>
  <c r="CI79" i="10" s="1"/>
  <c r="BY79" i="10"/>
  <c r="BV79" i="10"/>
  <c r="BS79" i="10"/>
  <c r="BI79" i="10"/>
  <c r="BQ79" i="10" s="1"/>
  <c r="BG79" i="10"/>
  <c r="BD79" i="10"/>
  <c r="BA79" i="10"/>
  <c r="AO79" i="10"/>
  <c r="AW79" i="10" s="1"/>
  <c r="AM79" i="10"/>
  <c r="AJ79" i="10"/>
  <c r="AG79" i="10"/>
  <c r="N79" i="10"/>
  <c r="X79" i="10" s="1"/>
  <c r="K79" i="10"/>
  <c r="H79" i="10"/>
  <c r="CA78" i="10"/>
  <c r="CH78" i="10" s="1"/>
  <c r="BY78" i="10"/>
  <c r="BV78" i="10"/>
  <c r="BS78" i="10"/>
  <c r="BI78" i="10"/>
  <c r="BQ78" i="10" s="1"/>
  <c r="BG78" i="10"/>
  <c r="BD78" i="10"/>
  <c r="BA78" i="10"/>
  <c r="AO78" i="10"/>
  <c r="AV78" i="10" s="1"/>
  <c r="AM78" i="10"/>
  <c r="AJ78" i="10"/>
  <c r="AG78" i="10"/>
  <c r="N78" i="10"/>
  <c r="X78" i="10" s="1"/>
  <c r="K78" i="10"/>
  <c r="H78" i="10"/>
  <c r="CA77" i="10"/>
  <c r="CH77" i="10" s="1"/>
  <c r="BY77" i="10"/>
  <c r="BV77" i="10"/>
  <c r="BS77" i="10"/>
  <c r="BI77" i="10"/>
  <c r="BQ77" i="10" s="1"/>
  <c r="BG77" i="10"/>
  <c r="BD77" i="10"/>
  <c r="BA77" i="10"/>
  <c r="AO77" i="10"/>
  <c r="AV77" i="10" s="1"/>
  <c r="AM77" i="10"/>
  <c r="AJ77" i="10"/>
  <c r="AG77" i="10"/>
  <c r="N77" i="10"/>
  <c r="X77" i="10" s="1"/>
  <c r="K77" i="10"/>
  <c r="H77" i="10"/>
  <c r="CA76" i="10"/>
  <c r="CI76" i="10" s="1"/>
  <c r="BY76" i="10"/>
  <c r="BV76" i="10"/>
  <c r="BS76" i="10"/>
  <c r="BI76" i="10"/>
  <c r="BP76" i="10" s="1"/>
  <c r="BG76" i="10"/>
  <c r="BD76" i="10"/>
  <c r="BA76" i="10"/>
  <c r="AO76" i="10"/>
  <c r="W76" i="10" s="1"/>
  <c r="AM76" i="10"/>
  <c r="AJ76" i="10"/>
  <c r="AG76" i="10"/>
  <c r="N76" i="10"/>
  <c r="X76" i="10" s="1"/>
  <c r="K76" i="10"/>
  <c r="H76" i="10"/>
  <c r="CA75" i="10"/>
  <c r="CI75" i="10" s="1"/>
  <c r="BY75" i="10"/>
  <c r="BV75" i="10"/>
  <c r="BS75" i="10"/>
  <c r="BI75" i="10"/>
  <c r="BQ75" i="10" s="1"/>
  <c r="BG75" i="10"/>
  <c r="BD75" i="10"/>
  <c r="BA75" i="10"/>
  <c r="AO75" i="10"/>
  <c r="AW75" i="10" s="1"/>
  <c r="AM75" i="10"/>
  <c r="AJ75" i="10"/>
  <c r="AG75" i="10"/>
  <c r="N75" i="10"/>
  <c r="X75" i="10" s="1"/>
  <c r="K75" i="10"/>
  <c r="H75" i="10"/>
  <c r="CA74" i="10"/>
  <c r="CH74" i="10" s="1"/>
  <c r="BY74" i="10"/>
  <c r="BV74" i="10"/>
  <c r="BS74" i="10"/>
  <c r="BI74" i="10"/>
  <c r="BQ74" i="10" s="1"/>
  <c r="BG74" i="10"/>
  <c r="BD74" i="10"/>
  <c r="BA74" i="10"/>
  <c r="AO74" i="10"/>
  <c r="AV74" i="10" s="1"/>
  <c r="AM74" i="10"/>
  <c r="AJ74" i="10"/>
  <c r="AG74" i="10"/>
  <c r="N74" i="10"/>
  <c r="X74" i="10" s="1"/>
  <c r="K74" i="10"/>
  <c r="H74" i="10"/>
  <c r="CA73" i="10"/>
  <c r="CI73" i="10" s="1"/>
  <c r="BY73" i="10"/>
  <c r="BV73" i="10"/>
  <c r="BS73" i="10"/>
  <c r="BI73" i="10"/>
  <c r="BQ73" i="10" s="1"/>
  <c r="BG73" i="10"/>
  <c r="BD73" i="10"/>
  <c r="BA73" i="10"/>
  <c r="AO73" i="10"/>
  <c r="W73" i="10" s="1"/>
  <c r="AM73" i="10"/>
  <c r="AJ73" i="10"/>
  <c r="AG73" i="10"/>
  <c r="N73" i="10"/>
  <c r="X73" i="10" s="1"/>
  <c r="K73" i="10"/>
  <c r="H73" i="10"/>
  <c r="CA72" i="10"/>
  <c r="CI72" i="10" s="1"/>
  <c r="BY72" i="10"/>
  <c r="BV72" i="10"/>
  <c r="BS72" i="10"/>
  <c r="BI72" i="10"/>
  <c r="BP72" i="10" s="1"/>
  <c r="BG72" i="10"/>
  <c r="BD72" i="10"/>
  <c r="BA72" i="10"/>
  <c r="AO72" i="10"/>
  <c r="W72" i="10" s="1"/>
  <c r="AM72" i="10"/>
  <c r="AJ72" i="10"/>
  <c r="AG72" i="10"/>
  <c r="N72" i="10"/>
  <c r="X72" i="10" s="1"/>
  <c r="K72" i="10"/>
  <c r="H72" i="10"/>
  <c r="CA71" i="10"/>
  <c r="CI71" i="10" s="1"/>
  <c r="BY71" i="10"/>
  <c r="BV71" i="10"/>
  <c r="BS71" i="10"/>
  <c r="BI71" i="10"/>
  <c r="BP71" i="10" s="1"/>
  <c r="BG71" i="10"/>
  <c r="BD71" i="10"/>
  <c r="BA71" i="10"/>
  <c r="AO71" i="10"/>
  <c r="AW71" i="10" s="1"/>
  <c r="AM71" i="10"/>
  <c r="AJ71" i="10"/>
  <c r="AG71" i="10"/>
  <c r="N71" i="10"/>
  <c r="X71" i="10" s="1"/>
  <c r="K71" i="10"/>
  <c r="H71" i="10"/>
  <c r="CA70" i="10"/>
  <c r="CH70" i="10" s="1"/>
  <c r="BY70" i="10"/>
  <c r="BV70" i="10"/>
  <c r="BS70" i="10"/>
  <c r="BI70" i="10"/>
  <c r="BQ70" i="10" s="1"/>
  <c r="BG70" i="10"/>
  <c r="BD70" i="10"/>
  <c r="BA70" i="10"/>
  <c r="AO70" i="10"/>
  <c r="AV70" i="10" s="1"/>
  <c r="AM70" i="10"/>
  <c r="AJ70" i="10"/>
  <c r="AG70" i="10"/>
  <c r="N70" i="10"/>
  <c r="X70" i="10" s="1"/>
  <c r="K70" i="10"/>
  <c r="H70" i="10"/>
  <c r="CA69" i="10"/>
  <c r="CI69" i="10" s="1"/>
  <c r="BY69" i="10"/>
  <c r="BV69" i="10"/>
  <c r="BS69" i="10"/>
  <c r="BI69" i="10"/>
  <c r="BQ69" i="10" s="1"/>
  <c r="BG69" i="10"/>
  <c r="BD69" i="10"/>
  <c r="BA69" i="10"/>
  <c r="AO69" i="10"/>
  <c r="W69" i="10" s="1"/>
  <c r="AM69" i="10"/>
  <c r="AJ69" i="10"/>
  <c r="AG69" i="10"/>
  <c r="N69" i="10"/>
  <c r="X69" i="10" s="1"/>
  <c r="K69" i="10"/>
  <c r="H69" i="10"/>
  <c r="CA68" i="10"/>
  <c r="CI68" i="10" s="1"/>
  <c r="BY68" i="10"/>
  <c r="BV68" i="10"/>
  <c r="BS68" i="10"/>
  <c r="BI68" i="10"/>
  <c r="BP68" i="10" s="1"/>
  <c r="BG68" i="10"/>
  <c r="BD68" i="10"/>
  <c r="BA68" i="10"/>
  <c r="AO68" i="10"/>
  <c r="W68" i="10" s="1"/>
  <c r="AM68" i="10"/>
  <c r="AJ68" i="10"/>
  <c r="AG68" i="10"/>
  <c r="N68" i="10"/>
  <c r="X68" i="10" s="1"/>
  <c r="K68" i="10"/>
  <c r="H68" i="10"/>
  <c r="CA67" i="10"/>
  <c r="CI67" i="10" s="1"/>
  <c r="BY67" i="10"/>
  <c r="BV67" i="10"/>
  <c r="BS67" i="10"/>
  <c r="BI67" i="10"/>
  <c r="BQ67" i="10" s="1"/>
  <c r="BG67" i="10"/>
  <c r="BD67" i="10"/>
  <c r="BA67" i="10"/>
  <c r="AO67" i="10"/>
  <c r="AW67" i="10" s="1"/>
  <c r="AM67" i="10"/>
  <c r="AJ67" i="10"/>
  <c r="AG67" i="10"/>
  <c r="N67" i="10"/>
  <c r="X67" i="10" s="1"/>
  <c r="K67" i="10"/>
  <c r="H67" i="10"/>
  <c r="CA66" i="10"/>
  <c r="CH66" i="10" s="1"/>
  <c r="BY66" i="10"/>
  <c r="BV66" i="10"/>
  <c r="BS66" i="10"/>
  <c r="BI66" i="10"/>
  <c r="BQ66" i="10" s="1"/>
  <c r="BG66" i="10"/>
  <c r="BD66" i="10"/>
  <c r="BA66" i="10"/>
  <c r="AO66" i="10"/>
  <c r="AV66" i="10" s="1"/>
  <c r="AM66" i="10"/>
  <c r="AJ66" i="10"/>
  <c r="AG66" i="10"/>
  <c r="N66" i="10"/>
  <c r="X66" i="10" s="1"/>
  <c r="K66" i="10"/>
  <c r="H66" i="10"/>
  <c r="CA65" i="10"/>
  <c r="CH65" i="10" s="1"/>
  <c r="BY65" i="10"/>
  <c r="BV65" i="10"/>
  <c r="BS65" i="10"/>
  <c r="BI65" i="10"/>
  <c r="BQ65" i="10" s="1"/>
  <c r="BG65" i="10"/>
  <c r="BD65" i="10"/>
  <c r="BA65" i="10"/>
  <c r="AO65" i="10"/>
  <c r="W65" i="10" s="1"/>
  <c r="AM65" i="10"/>
  <c r="AJ65" i="10"/>
  <c r="AG65" i="10"/>
  <c r="N65" i="10"/>
  <c r="X65" i="10" s="1"/>
  <c r="K65" i="10"/>
  <c r="H65" i="10"/>
  <c r="CA64" i="10"/>
  <c r="CI64" i="10" s="1"/>
  <c r="BY64" i="10"/>
  <c r="BV64" i="10"/>
  <c r="BS64" i="10"/>
  <c r="BI64" i="10"/>
  <c r="BP64" i="10" s="1"/>
  <c r="BG64" i="10"/>
  <c r="BD64" i="10"/>
  <c r="BA64" i="10"/>
  <c r="AO64" i="10"/>
  <c r="W64" i="10" s="1"/>
  <c r="AM64" i="10"/>
  <c r="AJ64" i="10"/>
  <c r="AG64" i="10"/>
  <c r="N64" i="10"/>
  <c r="X64" i="10" s="1"/>
  <c r="K64" i="10"/>
  <c r="H64" i="10"/>
  <c r="CA63" i="10"/>
  <c r="CI63" i="10" s="1"/>
  <c r="BY63" i="10"/>
  <c r="BV63" i="10"/>
  <c r="BS63" i="10"/>
  <c r="BI63" i="10"/>
  <c r="BQ63" i="10" s="1"/>
  <c r="BG63" i="10"/>
  <c r="BD63" i="10"/>
  <c r="BA63" i="10"/>
  <c r="AO63" i="10"/>
  <c r="AW63" i="10" s="1"/>
  <c r="AM63" i="10"/>
  <c r="AJ63" i="10"/>
  <c r="AG63" i="10"/>
  <c r="N63" i="10"/>
  <c r="X63" i="10" s="1"/>
  <c r="K63" i="10"/>
  <c r="H63" i="10"/>
  <c r="CA62" i="10"/>
  <c r="CH62" i="10" s="1"/>
  <c r="BY62" i="10"/>
  <c r="BV62" i="10"/>
  <c r="BS62" i="10"/>
  <c r="BI62" i="10"/>
  <c r="BQ62" i="10" s="1"/>
  <c r="BG62" i="10"/>
  <c r="BD62" i="10"/>
  <c r="BA62" i="10"/>
  <c r="AO62" i="10"/>
  <c r="W62" i="10" s="1"/>
  <c r="AM62" i="10"/>
  <c r="AJ62" i="10"/>
  <c r="AG62" i="10"/>
  <c r="N62" i="10"/>
  <c r="X62" i="10" s="1"/>
  <c r="K62" i="10"/>
  <c r="H62" i="10"/>
  <c r="CA61" i="10"/>
  <c r="CH61" i="10" s="1"/>
  <c r="BY61" i="10"/>
  <c r="BV61" i="10"/>
  <c r="BS61" i="10"/>
  <c r="BI61" i="10"/>
  <c r="BQ61" i="10" s="1"/>
  <c r="BG61" i="10"/>
  <c r="BD61" i="10"/>
  <c r="BA61" i="10"/>
  <c r="AO61" i="10"/>
  <c r="AV61" i="10" s="1"/>
  <c r="AM61" i="10"/>
  <c r="AJ61" i="10"/>
  <c r="AG61" i="10"/>
  <c r="N61" i="10"/>
  <c r="X61" i="10" s="1"/>
  <c r="K61" i="10"/>
  <c r="H61" i="10"/>
  <c r="CA60" i="10"/>
  <c r="CI60" i="10" s="1"/>
  <c r="BY60" i="10"/>
  <c r="BV60" i="10"/>
  <c r="BS60" i="10"/>
  <c r="BI60" i="10"/>
  <c r="BP60" i="10" s="1"/>
  <c r="BG60" i="10"/>
  <c r="BD60" i="10"/>
  <c r="BA60" i="10"/>
  <c r="AO60" i="10"/>
  <c r="W60" i="10" s="1"/>
  <c r="AM60" i="10"/>
  <c r="AJ60" i="10"/>
  <c r="AG60" i="10"/>
  <c r="N60" i="10"/>
  <c r="X60" i="10" s="1"/>
  <c r="K60" i="10"/>
  <c r="H60" i="10"/>
  <c r="CA59" i="10"/>
  <c r="CI59" i="10" s="1"/>
  <c r="BY59" i="10"/>
  <c r="BV59" i="10"/>
  <c r="BS59" i="10"/>
  <c r="BI59" i="10"/>
  <c r="BQ59" i="10" s="1"/>
  <c r="BG59" i="10"/>
  <c r="BD59" i="10"/>
  <c r="BA59" i="10"/>
  <c r="AO59" i="10"/>
  <c r="AW59" i="10" s="1"/>
  <c r="AM59" i="10"/>
  <c r="AJ59" i="10"/>
  <c r="AG59" i="10"/>
  <c r="N59" i="10"/>
  <c r="X59" i="10" s="1"/>
  <c r="K59" i="10"/>
  <c r="H59" i="10"/>
  <c r="CA58" i="10"/>
  <c r="CH58" i="10" s="1"/>
  <c r="BY58" i="10"/>
  <c r="BV58" i="10"/>
  <c r="BS58" i="10"/>
  <c r="BI58" i="10"/>
  <c r="BQ58" i="10" s="1"/>
  <c r="BG58" i="10"/>
  <c r="BD58" i="10"/>
  <c r="BA58" i="10"/>
  <c r="AO58" i="10"/>
  <c r="AV58" i="10" s="1"/>
  <c r="AM58" i="10"/>
  <c r="AJ58" i="10"/>
  <c r="AG58" i="10"/>
  <c r="N58" i="10"/>
  <c r="X58" i="10" s="1"/>
  <c r="K58" i="10"/>
  <c r="H58" i="10"/>
  <c r="CA57" i="10"/>
  <c r="CI57" i="10" s="1"/>
  <c r="BY57" i="10"/>
  <c r="BV57" i="10"/>
  <c r="BS57" i="10"/>
  <c r="BI57" i="10"/>
  <c r="BQ57" i="10" s="1"/>
  <c r="BG57" i="10"/>
  <c r="BD57" i="10"/>
  <c r="BA57" i="10"/>
  <c r="AO57" i="10"/>
  <c r="W57" i="10" s="1"/>
  <c r="AM57" i="10"/>
  <c r="AJ57" i="10"/>
  <c r="AG57" i="10"/>
  <c r="N57" i="10"/>
  <c r="X57" i="10" s="1"/>
  <c r="K57" i="10"/>
  <c r="H57" i="10"/>
  <c r="CA56" i="10"/>
  <c r="CI56" i="10" s="1"/>
  <c r="BY56" i="10"/>
  <c r="BV56" i="10"/>
  <c r="BS56" i="10"/>
  <c r="BI56" i="10"/>
  <c r="BP56" i="10" s="1"/>
  <c r="BG56" i="10"/>
  <c r="BD56" i="10"/>
  <c r="BA56" i="10"/>
  <c r="AO56" i="10"/>
  <c r="W56" i="10" s="1"/>
  <c r="AM56" i="10"/>
  <c r="AJ56" i="10"/>
  <c r="AG56" i="10"/>
  <c r="N56" i="10"/>
  <c r="X56" i="10" s="1"/>
  <c r="K56" i="10"/>
  <c r="H56" i="10"/>
  <c r="CA55" i="10"/>
  <c r="CI55" i="10" s="1"/>
  <c r="BY55" i="10"/>
  <c r="BV55" i="10"/>
  <c r="BS55" i="10"/>
  <c r="BI55" i="10"/>
  <c r="BP55" i="10" s="1"/>
  <c r="BG55" i="10"/>
  <c r="BD55" i="10"/>
  <c r="BA55" i="10"/>
  <c r="AO55" i="10"/>
  <c r="AW55" i="10" s="1"/>
  <c r="AM55" i="10"/>
  <c r="AJ55" i="10"/>
  <c r="AG55" i="10"/>
  <c r="N55" i="10"/>
  <c r="X55" i="10" s="1"/>
  <c r="K55" i="10"/>
  <c r="H55" i="10"/>
  <c r="CA54" i="10"/>
  <c r="CH54" i="10" s="1"/>
  <c r="BY54" i="10"/>
  <c r="BV54" i="10"/>
  <c r="BS54" i="10"/>
  <c r="BI54" i="10"/>
  <c r="BQ54" i="10" s="1"/>
  <c r="BG54" i="10"/>
  <c r="BD54" i="10"/>
  <c r="BA54" i="10"/>
  <c r="AO54" i="10"/>
  <c r="AV54" i="10" s="1"/>
  <c r="AM54" i="10"/>
  <c r="AJ54" i="10"/>
  <c r="AG54" i="10"/>
  <c r="N54" i="10"/>
  <c r="X54" i="10" s="1"/>
  <c r="K54" i="10"/>
  <c r="H54" i="10"/>
  <c r="CA53" i="10"/>
  <c r="CI53" i="10" s="1"/>
  <c r="BY53" i="10"/>
  <c r="BV53" i="10"/>
  <c r="BS53" i="10"/>
  <c r="BI53" i="10"/>
  <c r="BQ53" i="10" s="1"/>
  <c r="BG53" i="10"/>
  <c r="BD53" i="10"/>
  <c r="BA53" i="10"/>
  <c r="AO53" i="10"/>
  <c r="W53" i="10" s="1"/>
  <c r="AM53" i="10"/>
  <c r="AJ53" i="10"/>
  <c r="AG53" i="10"/>
  <c r="N53" i="10"/>
  <c r="X53" i="10" s="1"/>
  <c r="K53" i="10"/>
  <c r="H53" i="10"/>
  <c r="CA52" i="10"/>
  <c r="CI52" i="10" s="1"/>
  <c r="BY52" i="10"/>
  <c r="BV52" i="10"/>
  <c r="BS52" i="10"/>
  <c r="BI52" i="10"/>
  <c r="BP52" i="10" s="1"/>
  <c r="BG52" i="10"/>
  <c r="BD52" i="10"/>
  <c r="BA52" i="10"/>
  <c r="AO52" i="10"/>
  <c r="W52" i="10" s="1"/>
  <c r="AM52" i="10"/>
  <c r="AJ52" i="10"/>
  <c r="AG52" i="10"/>
  <c r="N52" i="10"/>
  <c r="X52" i="10" s="1"/>
  <c r="K52" i="10"/>
  <c r="H52" i="10"/>
  <c r="CA51" i="10"/>
  <c r="CI51" i="10" s="1"/>
  <c r="BY51" i="10"/>
  <c r="BV51" i="10"/>
  <c r="BS51" i="10"/>
  <c r="BI51" i="10"/>
  <c r="BQ51" i="10" s="1"/>
  <c r="BG51" i="10"/>
  <c r="BD51" i="10"/>
  <c r="BA51" i="10"/>
  <c r="AO51" i="10"/>
  <c r="AW51" i="10" s="1"/>
  <c r="AM51" i="10"/>
  <c r="AJ51" i="10"/>
  <c r="AG51" i="10"/>
  <c r="N51" i="10"/>
  <c r="X51" i="10" s="1"/>
  <c r="K51" i="10"/>
  <c r="H51" i="10"/>
  <c r="CA50" i="10"/>
  <c r="CH50" i="10" s="1"/>
  <c r="BY50" i="10"/>
  <c r="BV50" i="10"/>
  <c r="BS50" i="10"/>
  <c r="BI50" i="10"/>
  <c r="BQ50" i="10" s="1"/>
  <c r="BG50" i="10"/>
  <c r="BD50" i="10"/>
  <c r="BA50" i="10"/>
  <c r="AO50" i="10"/>
  <c r="AV50" i="10" s="1"/>
  <c r="AM50" i="10"/>
  <c r="AJ50" i="10"/>
  <c r="AG50" i="10"/>
  <c r="N50" i="10"/>
  <c r="X50" i="10" s="1"/>
  <c r="K50" i="10"/>
  <c r="H50" i="10"/>
  <c r="CA49" i="10"/>
  <c r="CI49" i="10" s="1"/>
  <c r="BY49" i="10"/>
  <c r="BV49" i="10"/>
  <c r="BS49" i="10"/>
  <c r="BI49" i="10"/>
  <c r="BQ49" i="10" s="1"/>
  <c r="BG49" i="10"/>
  <c r="BD49" i="10"/>
  <c r="BA49" i="10"/>
  <c r="AO49" i="10"/>
  <c r="W49" i="10" s="1"/>
  <c r="AM49" i="10"/>
  <c r="AJ49" i="10"/>
  <c r="AG49" i="10"/>
  <c r="N49" i="10"/>
  <c r="X49" i="10" s="1"/>
  <c r="K49" i="10"/>
  <c r="H49" i="10"/>
  <c r="CA48" i="10"/>
  <c r="CI48" i="10" s="1"/>
  <c r="BY48" i="10"/>
  <c r="BV48" i="10"/>
  <c r="BS48" i="10"/>
  <c r="BI48" i="10"/>
  <c r="BP48" i="10" s="1"/>
  <c r="BG48" i="10"/>
  <c r="BD48" i="10"/>
  <c r="BA48" i="10"/>
  <c r="AO48" i="10"/>
  <c r="W48" i="10" s="1"/>
  <c r="AM48" i="10"/>
  <c r="AJ48" i="10"/>
  <c r="AG48" i="10"/>
  <c r="N48" i="10"/>
  <c r="X48" i="10" s="1"/>
  <c r="K48" i="10"/>
  <c r="H48" i="10"/>
  <c r="CA47" i="10"/>
  <c r="CI47" i="10" s="1"/>
  <c r="BY47" i="10"/>
  <c r="BV47" i="10"/>
  <c r="BS47" i="10"/>
  <c r="BI47" i="10"/>
  <c r="BP47" i="10" s="1"/>
  <c r="BG47" i="10"/>
  <c r="BD47" i="10"/>
  <c r="BA47" i="10"/>
  <c r="AO47" i="10"/>
  <c r="AW47" i="10" s="1"/>
  <c r="AM47" i="10"/>
  <c r="AJ47" i="10"/>
  <c r="AG47" i="10"/>
  <c r="N47" i="10"/>
  <c r="X47" i="10" s="1"/>
  <c r="K47" i="10"/>
  <c r="H47" i="10"/>
  <c r="CA46" i="10"/>
  <c r="CH46" i="10" s="1"/>
  <c r="BY46" i="10"/>
  <c r="BV46" i="10"/>
  <c r="BS46" i="10"/>
  <c r="BI46" i="10"/>
  <c r="BQ46" i="10" s="1"/>
  <c r="BG46" i="10"/>
  <c r="BD46" i="10"/>
  <c r="BA46" i="10"/>
  <c r="AO46" i="10"/>
  <c r="AV46" i="10" s="1"/>
  <c r="AM46" i="10"/>
  <c r="AJ46" i="10"/>
  <c r="AG46" i="10"/>
  <c r="N46" i="10"/>
  <c r="X46" i="10" s="1"/>
  <c r="K46" i="10"/>
  <c r="H46" i="10"/>
  <c r="CA45" i="10"/>
  <c r="CI45" i="10" s="1"/>
  <c r="BY45" i="10"/>
  <c r="BV45" i="10"/>
  <c r="BS45" i="10"/>
  <c r="BI45" i="10"/>
  <c r="BQ45" i="10" s="1"/>
  <c r="BG45" i="10"/>
  <c r="BD45" i="10"/>
  <c r="BA45" i="10"/>
  <c r="AO45" i="10"/>
  <c r="W45" i="10" s="1"/>
  <c r="AM45" i="10"/>
  <c r="AJ45" i="10"/>
  <c r="AG45" i="10"/>
  <c r="N45" i="10"/>
  <c r="X45" i="10" s="1"/>
  <c r="K45" i="10"/>
  <c r="H45" i="10"/>
  <c r="CA44" i="10"/>
  <c r="CI44" i="10" s="1"/>
  <c r="BY44" i="10"/>
  <c r="BV44" i="10"/>
  <c r="BS44" i="10"/>
  <c r="BI44" i="10"/>
  <c r="BP44" i="10" s="1"/>
  <c r="BG44" i="10"/>
  <c r="BD44" i="10"/>
  <c r="BA44" i="10"/>
  <c r="AO44" i="10"/>
  <c r="W44" i="10" s="1"/>
  <c r="AM44" i="10"/>
  <c r="AJ44" i="10"/>
  <c r="AG44" i="10"/>
  <c r="N44" i="10"/>
  <c r="X44" i="10" s="1"/>
  <c r="K44" i="10"/>
  <c r="H44" i="10"/>
  <c r="CA43" i="10"/>
  <c r="CI43" i="10" s="1"/>
  <c r="BY43" i="10"/>
  <c r="BV43" i="10"/>
  <c r="BS43" i="10"/>
  <c r="BI43" i="10"/>
  <c r="BQ43" i="10" s="1"/>
  <c r="BG43" i="10"/>
  <c r="BD43" i="10"/>
  <c r="BA43" i="10"/>
  <c r="AO43" i="10"/>
  <c r="AW43" i="10" s="1"/>
  <c r="AM43" i="10"/>
  <c r="AJ43" i="10"/>
  <c r="AG43" i="10"/>
  <c r="N43" i="10"/>
  <c r="X43" i="10" s="1"/>
  <c r="K43" i="10"/>
  <c r="H43" i="10"/>
  <c r="CA42" i="10"/>
  <c r="CH42" i="10" s="1"/>
  <c r="BY42" i="10"/>
  <c r="BV42" i="10"/>
  <c r="BS42" i="10"/>
  <c r="BI42" i="10"/>
  <c r="BQ42" i="10" s="1"/>
  <c r="BG42" i="10"/>
  <c r="BD42" i="10"/>
  <c r="BA42" i="10"/>
  <c r="AO42" i="10"/>
  <c r="AV42" i="10" s="1"/>
  <c r="AM42" i="10"/>
  <c r="AJ42" i="10"/>
  <c r="AG42" i="10"/>
  <c r="N42" i="10"/>
  <c r="X42" i="10" s="1"/>
  <c r="K42" i="10"/>
  <c r="H42" i="10"/>
  <c r="CA41" i="10"/>
  <c r="CI41" i="10" s="1"/>
  <c r="BY41" i="10"/>
  <c r="BV41" i="10"/>
  <c r="BS41" i="10"/>
  <c r="BI41" i="10"/>
  <c r="BQ41" i="10" s="1"/>
  <c r="BG41" i="10"/>
  <c r="BD41" i="10"/>
  <c r="BA41" i="10"/>
  <c r="AO41" i="10"/>
  <c r="W41" i="10" s="1"/>
  <c r="AM41" i="10"/>
  <c r="AJ41" i="10"/>
  <c r="AG41" i="10"/>
  <c r="N41" i="10"/>
  <c r="X41" i="10" s="1"/>
  <c r="K41" i="10"/>
  <c r="H41" i="10"/>
  <c r="CA40" i="10"/>
  <c r="CI40" i="10" s="1"/>
  <c r="BY40" i="10"/>
  <c r="BV40" i="10"/>
  <c r="BS40" i="10"/>
  <c r="BI40" i="10"/>
  <c r="BP40" i="10" s="1"/>
  <c r="BG40" i="10"/>
  <c r="BD40" i="10"/>
  <c r="BA40" i="10"/>
  <c r="AO40" i="10"/>
  <c r="W40" i="10" s="1"/>
  <c r="AM40" i="10"/>
  <c r="AJ40" i="10"/>
  <c r="AG40" i="10"/>
  <c r="N40" i="10"/>
  <c r="X40" i="10" s="1"/>
  <c r="K40" i="10"/>
  <c r="H40" i="10"/>
  <c r="CA39" i="10"/>
  <c r="CI39" i="10" s="1"/>
  <c r="BY39" i="10"/>
  <c r="BV39" i="10"/>
  <c r="BS39" i="10"/>
  <c r="BI39" i="10"/>
  <c r="BQ39" i="10" s="1"/>
  <c r="BG39" i="10"/>
  <c r="BD39" i="10"/>
  <c r="BA39" i="10"/>
  <c r="AO39" i="10"/>
  <c r="AM39" i="10"/>
  <c r="AJ39" i="10"/>
  <c r="AG39" i="10"/>
  <c r="N39" i="10"/>
  <c r="X39" i="10" s="1"/>
  <c r="K39" i="10"/>
  <c r="H39" i="10"/>
  <c r="CA38" i="10"/>
  <c r="CH38" i="10" s="1"/>
  <c r="BY38" i="10"/>
  <c r="BV38" i="10"/>
  <c r="BS38" i="10"/>
  <c r="BI38" i="10"/>
  <c r="BQ38" i="10" s="1"/>
  <c r="BG38" i="10"/>
  <c r="BD38" i="10"/>
  <c r="BA38" i="10"/>
  <c r="AO38" i="10"/>
  <c r="AV38" i="10" s="1"/>
  <c r="AM38" i="10"/>
  <c r="AJ38" i="10"/>
  <c r="AG38" i="10"/>
  <c r="N38" i="10"/>
  <c r="X38" i="10" s="1"/>
  <c r="K38" i="10"/>
  <c r="H38" i="10"/>
  <c r="CA37" i="10"/>
  <c r="CI37" i="10" s="1"/>
  <c r="BY37" i="10"/>
  <c r="BV37" i="10"/>
  <c r="BS37" i="10"/>
  <c r="BI37" i="10"/>
  <c r="BQ37" i="10" s="1"/>
  <c r="BG37" i="10"/>
  <c r="BD37" i="10"/>
  <c r="BA37" i="10"/>
  <c r="AO37" i="10"/>
  <c r="AV37" i="10" s="1"/>
  <c r="AM37" i="10"/>
  <c r="AJ37" i="10"/>
  <c r="AG37" i="10"/>
  <c r="N37" i="10"/>
  <c r="X37" i="10" s="1"/>
  <c r="K37" i="10"/>
  <c r="H37" i="10"/>
  <c r="CA36" i="10"/>
  <c r="CI36" i="10" s="1"/>
  <c r="BY36" i="10"/>
  <c r="BV36" i="10"/>
  <c r="BS36" i="10"/>
  <c r="BI36" i="10"/>
  <c r="BP36" i="10" s="1"/>
  <c r="BG36" i="10"/>
  <c r="BD36" i="10"/>
  <c r="BA36" i="10"/>
  <c r="AO36" i="10"/>
  <c r="W36" i="10" s="1"/>
  <c r="AM36" i="10"/>
  <c r="AJ36" i="10"/>
  <c r="AG36" i="10"/>
  <c r="N36" i="10"/>
  <c r="X36" i="10" s="1"/>
  <c r="K36" i="10"/>
  <c r="H36" i="10"/>
  <c r="CA35" i="10"/>
  <c r="CI35" i="10" s="1"/>
  <c r="BY35" i="10"/>
  <c r="BV35" i="10"/>
  <c r="BS35" i="10"/>
  <c r="BI35" i="10"/>
  <c r="BQ35" i="10" s="1"/>
  <c r="BG35" i="10"/>
  <c r="BD35" i="10"/>
  <c r="BA35" i="10"/>
  <c r="AO35" i="10"/>
  <c r="AM35" i="10"/>
  <c r="AJ35" i="10"/>
  <c r="AG35" i="10"/>
  <c r="N35" i="10"/>
  <c r="X35" i="10" s="1"/>
  <c r="K35" i="10"/>
  <c r="H35" i="10"/>
  <c r="CA34" i="10"/>
  <c r="CH34" i="10" s="1"/>
  <c r="BY34" i="10"/>
  <c r="BV34" i="10"/>
  <c r="BS34" i="10"/>
  <c r="BI34" i="10"/>
  <c r="BQ34" i="10" s="1"/>
  <c r="BG34" i="10"/>
  <c r="BD34" i="10"/>
  <c r="BA34" i="10"/>
  <c r="AO34" i="10"/>
  <c r="AV34" i="10" s="1"/>
  <c r="AM34" i="10"/>
  <c r="AJ34" i="10"/>
  <c r="AG34" i="10"/>
  <c r="N34" i="10"/>
  <c r="X34" i="10" s="1"/>
  <c r="K34" i="10"/>
  <c r="H34" i="10"/>
  <c r="CA33" i="10"/>
  <c r="CI33" i="10" s="1"/>
  <c r="BY33" i="10"/>
  <c r="BV33" i="10"/>
  <c r="BS33" i="10"/>
  <c r="BI33" i="10"/>
  <c r="BQ33" i="10" s="1"/>
  <c r="BG33" i="10"/>
  <c r="BD33" i="10"/>
  <c r="BA33" i="10"/>
  <c r="AO33" i="10"/>
  <c r="W33" i="10" s="1"/>
  <c r="AM33" i="10"/>
  <c r="AJ33" i="10"/>
  <c r="AG33" i="10"/>
  <c r="N33" i="10"/>
  <c r="X33" i="10" s="1"/>
  <c r="K33" i="10"/>
  <c r="H33" i="10"/>
  <c r="CA32" i="10"/>
  <c r="CI32" i="10" s="1"/>
  <c r="BY32" i="10"/>
  <c r="BV32" i="10"/>
  <c r="BS32" i="10"/>
  <c r="BI32" i="10"/>
  <c r="BP32" i="10" s="1"/>
  <c r="BG32" i="10"/>
  <c r="BD32" i="10"/>
  <c r="BA32" i="10"/>
  <c r="AO32" i="10"/>
  <c r="W32" i="10" s="1"/>
  <c r="AM32" i="10"/>
  <c r="AJ32" i="10"/>
  <c r="AG32" i="10"/>
  <c r="N32" i="10"/>
  <c r="X32" i="10" s="1"/>
  <c r="K32" i="10"/>
  <c r="H32" i="10"/>
  <c r="CA31" i="10"/>
  <c r="CI31" i="10" s="1"/>
  <c r="BY31" i="10"/>
  <c r="BV31" i="10"/>
  <c r="BS31" i="10"/>
  <c r="BI31" i="10"/>
  <c r="BQ31" i="10" s="1"/>
  <c r="BG31" i="10"/>
  <c r="BD31" i="10"/>
  <c r="BA31" i="10"/>
  <c r="AO31" i="10"/>
  <c r="AM31" i="10"/>
  <c r="AJ31" i="10"/>
  <c r="AG31" i="10"/>
  <c r="N31" i="10"/>
  <c r="X31" i="10" s="1"/>
  <c r="K31" i="10"/>
  <c r="H31" i="10"/>
  <c r="CA30" i="10"/>
  <c r="CH30" i="10" s="1"/>
  <c r="BY30" i="10"/>
  <c r="BV30" i="10"/>
  <c r="BS30" i="10"/>
  <c r="BI30" i="10"/>
  <c r="BQ30" i="10" s="1"/>
  <c r="BG30" i="10"/>
  <c r="BD30" i="10"/>
  <c r="BA30" i="10"/>
  <c r="AO30" i="10"/>
  <c r="AV30" i="10" s="1"/>
  <c r="AM30" i="10"/>
  <c r="AJ30" i="10"/>
  <c r="AG30" i="10"/>
  <c r="N30" i="10"/>
  <c r="X30" i="10" s="1"/>
  <c r="K30" i="10"/>
  <c r="H30" i="10"/>
  <c r="CA29" i="10"/>
  <c r="CI29" i="10" s="1"/>
  <c r="BY29" i="10"/>
  <c r="BV29" i="10"/>
  <c r="BS29" i="10"/>
  <c r="BI29" i="10"/>
  <c r="BQ29" i="10" s="1"/>
  <c r="BG29" i="10"/>
  <c r="BD29" i="10"/>
  <c r="BA29" i="10"/>
  <c r="AO29" i="10"/>
  <c r="AV29" i="10" s="1"/>
  <c r="AM29" i="10"/>
  <c r="AJ29" i="10"/>
  <c r="AG29" i="10"/>
  <c r="N29" i="10"/>
  <c r="X29" i="10" s="1"/>
  <c r="K29" i="10"/>
  <c r="H29" i="10"/>
  <c r="CA28" i="10"/>
  <c r="CI28" i="10" s="1"/>
  <c r="BY28" i="10"/>
  <c r="BV28" i="10"/>
  <c r="BS28" i="10"/>
  <c r="BI28" i="10"/>
  <c r="BQ28" i="10" s="1"/>
  <c r="BG28" i="10"/>
  <c r="BD28" i="10"/>
  <c r="BA28" i="10"/>
  <c r="AO28" i="10"/>
  <c r="W28" i="10" s="1"/>
  <c r="AM28" i="10"/>
  <c r="AJ28" i="10"/>
  <c r="AG28" i="10"/>
  <c r="N28" i="10"/>
  <c r="X28" i="10" s="1"/>
  <c r="K28" i="10"/>
  <c r="H28" i="10"/>
  <c r="CA27" i="10"/>
  <c r="CI27" i="10" s="1"/>
  <c r="BY27" i="10"/>
  <c r="BV27" i="10"/>
  <c r="BS27" i="10"/>
  <c r="BI27" i="10"/>
  <c r="BQ27" i="10" s="1"/>
  <c r="BG27" i="10"/>
  <c r="BD27" i="10"/>
  <c r="BA27" i="10"/>
  <c r="AO27" i="10"/>
  <c r="AM27" i="10"/>
  <c r="AJ27" i="10"/>
  <c r="AG27" i="10"/>
  <c r="N27" i="10"/>
  <c r="X27" i="10" s="1"/>
  <c r="K27" i="10"/>
  <c r="H27" i="10"/>
  <c r="CA26" i="10"/>
  <c r="CH26" i="10" s="1"/>
  <c r="BY26" i="10"/>
  <c r="BV26" i="10"/>
  <c r="BS26" i="10"/>
  <c r="BI26" i="10"/>
  <c r="BQ26" i="10" s="1"/>
  <c r="BG26" i="10"/>
  <c r="BD26" i="10"/>
  <c r="BA26" i="10"/>
  <c r="AO26" i="10"/>
  <c r="AV26" i="10" s="1"/>
  <c r="AM26" i="10"/>
  <c r="AJ26" i="10"/>
  <c r="AG26" i="10"/>
  <c r="N26" i="10"/>
  <c r="X26" i="10" s="1"/>
  <c r="K26" i="10"/>
  <c r="H26" i="10"/>
  <c r="CA25" i="10"/>
  <c r="CI25" i="10" s="1"/>
  <c r="BY25" i="10"/>
  <c r="BV25" i="10"/>
  <c r="BS25" i="10"/>
  <c r="BI25" i="10"/>
  <c r="BQ25" i="10" s="1"/>
  <c r="BG25" i="10"/>
  <c r="BD25" i="10"/>
  <c r="BA25" i="10"/>
  <c r="AO25" i="10"/>
  <c r="W25" i="10" s="1"/>
  <c r="AM25" i="10"/>
  <c r="AJ25" i="10"/>
  <c r="AG25" i="10"/>
  <c r="N25" i="10"/>
  <c r="X25" i="10" s="1"/>
  <c r="K25" i="10"/>
  <c r="H25" i="10"/>
  <c r="CA24" i="10"/>
  <c r="CI24" i="10" s="1"/>
  <c r="BY24" i="10"/>
  <c r="BV24" i="10"/>
  <c r="BS24" i="10"/>
  <c r="BI24" i="10"/>
  <c r="BP24" i="10" s="1"/>
  <c r="BG24" i="10"/>
  <c r="BD24" i="10"/>
  <c r="BA24" i="10"/>
  <c r="AO24" i="10"/>
  <c r="AM24" i="10"/>
  <c r="AJ24" i="10"/>
  <c r="AG24" i="10"/>
  <c r="W24" i="10"/>
  <c r="N24" i="10"/>
  <c r="X24" i="10" s="1"/>
  <c r="K24" i="10"/>
  <c r="H24" i="10"/>
  <c r="N17" i="10"/>
  <c r="S41" i="9"/>
  <c r="AC41" i="9" s="1"/>
  <c r="Q41" i="9"/>
  <c r="AA41" i="9" s="1"/>
  <c r="K41" i="9"/>
  <c r="S40" i="9"/>
  <c r="AC40" i="9" s="1"/>
  <c r="Q40" i="9"/>
  <c r="AA40" i="9" s="1"/>
  <c r="K40" i="9"/>
  <c r="S39" i="9"/>
  <c r="AC39" i="9" s="1"/>
  <c r="Q39" i="9"/>
  <c r="AA39" i="9" s="1"/>
  <c r="K39" i="9"/>
  <c r="S38" i="9"/>
  <c r="AC38" i="9" s="1"/>
  <c r="Q38" i="9"/>
  <c r="AA38" i="9" s="1"/>
  <c r="K38" i="9"/>
  <c r="S37" i="9"/>
  <c r="AC37" i="9" s="1"/>
  <c r="Q37" i="9"/>
  <c r="AA37" i="9" s="1"/>
  <c r="K37" i="9"/>
  <c r="S36" i="9"/>
  <c r="AC36" i="9" s="1"/>
  <c r="Q36" i="9"/>
  <c r="AA36" i="9" s="1"/>
  <c r="K36" i="9"/>
  <c r="S35" i="9"/>
  <c r="AC35" i="9" s="1"/>
  <c r="Q35" i="9"/>
  <c r="AA35" i="9" s="1"/>
  <c r="K35" i="9"/>
  <c r="S34" i="9"/>
  <c r="AC34" i="9" s="1"/>
  <c r="Q34" i="9"/>
  <c r="AA34" i="9" s="1"/>
  <c r="K34" i="9"/>
  <c r="S33" i="9"/>
  <c r="Q33" i="9"/>
  <c r="AA33" i="9" s="1"/>
  <c r="K33" i="9"/>
  <c r="S32" i="9"/>
  <c r="AC32" i="9" s="1"/>
  <c r="Q32" i="9"/>
  <c r="AA32" i="9" s="1"/>
  <c r="K32" i="9"/>
  <c r="S26" i="9"/>
  <c r="AC26" i="9" s="1"/>
  <c r="Q26" i="9"/>
  <c r="AA26" i="9" s="1"/>
  <c r="K26" i="9"/>
  <c r="S25" i="9"/>
  <c r="AC25" i="9" s="1"/>
  <c r="Q25" i="9"/>
  <c r="AA25" i="9" s="1"/>
  <c r="K25" i="9"/>
  <c r="S24" i="9"/>
  <c r="AC24" i="9" s="1"/>
  <c r="Q24" i="9"/>
  <c r="AA24" i="9" s="1"/>
  <c r="K24" i="9"/>
  <c r="S23" i="9"/>
  <c r="AC23" i="9" s="1"/>
  <c r="Q23" i="9"/>
  <c r="AA23" i="9" s="1"/>
  <c r="K23" i="9"/>
  <c r="S22" i="9"/>
  <c r="AC22" i="9" s="1"/>
  <c r="Q22" i="9"/>
  <c r="AA22" i="9" s="1"/>
  <c r="K22" i="9"/>
  <c r="S21" i="9"/>
  <c r="AC21" i="9" s="1"/>
  <c r="Q21" i="9"/>
  <c r="AA21" i="9" s="1"/>
  <c r="K21" i="9"/>
  <c r="S20" i="9"/>
  <c r="AC20" i="9" s="1"/>
  <c r="Q20" i="9"/>
  <c r="AA20" i="9" s="1"/>
  <c r="K20" i="9"/>
  <c r="S19" i="9"/>
  <c r="AC19" i="9" s="1"/>
  <c r="Q19" i="9"/>
  <c r="AA19" i="9" s="1"/>
  <c r="K19" i="9"/>
  <c r="S18" i="9"/>
  <c r="AC18" i="9" s="1"/>
  <c r="Q18" i="9"/>
  <c r="AA18" i="9" s="1"/>
  <c r="K18" i="9"/>
  <c r="S17" i="9"/>
  <c r="AC17" i="9" s="1"/>
  <c r="Q17" i="9"/>
  <c r="AA17" i="9" s="1"/>
  <c r="K17" i="9"/>
  <c r="V73" i="8"/>
  <c r="R73" i="8"/>
  <c r="N73" i="8"/>
  <c r="AR68" i="8"/>
  <c r="AN68" i="8"/>
  <c r="AJ68" i="8"/>
  <c r="AP68" i="8"/>
  <c r="AL68" i="8"/>
  <c r="AR66" i="8"/>
  <c r="AN66" i="8"/>
  <c r="AJ66" i="8"/>
  <c r="AP66" i="8"/>
  <c r="Q34" i="11" s="1"/>
  <c r="AL66" i="8"/>
  <c r="O34" i="11" s="1"/>
  <c r="AR62" i="8"/>
  <c r="AN62" i="8"/>
  <c r="AJ62" i="8"/>
  <c r="T62" i="8"/>
  <c r="AP62" i="8" s="1"/>
  <c r="Q13" i="11" s="1"/>
  <c r="P62" i="8"/>
  <c r="AL62" i="8" s="1"/>
  <c r="O13" i="11" s="1"/>
  <c r="AR60" i="8"/>
  <c r="AN60" i="8"/>
  <c r="AJ60" i="8"/>
  <c r="T60" i="8"/>
  <c r="AP60" i="8" s="1"/>
  <c r="Q32" i="11" s="1"/>
  <c r="AL60" i="8"/>
  <c r="O32" i="11" s="1"/>
  <c r="AR58" i="8"/>
  <c r="AN58" i="8"/>
  <c r="AJ58" i="8"/>
  <c r="T58" i="8"/>
  <c r="AP58" i="8" s="1"/>
  <c r="Q10" i="11" s="1"/>
  <c r="P58" i="8"/>
  <c r="AL58" i="8" s="1"/>
  <c r="O10" i="11" s="1"/>
  <c r="AR56" i="8"/>
  <c r="AN56" i="8"/>
  <c r="AJ56" i="8"/>
  <c r="T56" i="8"/>
  <c r="AP56" i="8" s="1"/>
  <c r="Q31" i="11" s="1"/>
  <c r="P56" i="8"/>
  <c r="AL56" i="8" s="1"/>
  <c r="O31" i="11" s="1"/>
  <c r="AR54" i="8"/>
  <c r="AN54" i="8"/>
  <c r="AJ54" i="8"/>
  <c r="T54" i="8"/>
  <c r="AP54" i="8" s="1"/>
  <c r="Q30" i="11" s="1"/>
  <c r="P54" i="8"/>
  <c r="AL54" i="8" s="1"/>
  <c r="O30" i="11" s="1"/>
  <c r="AR52" i="8"/>
  <c r="AN52" i="8"/>
  <c r="AJ52" i="8"/>
  <c r="T52" i="8"/>
  <c r="AP52" i="8" s="1"/>
  <c r="Q12" i="11" s="1"/>
  <c r="AL52" i="8"/>
  <c r="O12" i="11" s="1"/>
  <c r="AR50" i="8"/>
  <c r="AN50" i="8"/>
  <c r="AJ50" i="8"/>
  <c r="T50" i="8"/>
  <c r="AP50" i="8" s="1"/>
  <c r="Q11" i="11" s="1"/>
  <c r="P50" i="8"/>
  <c r="AL50" i="8" s="1"/>
  <c r="O11" i="11" s="1"/>
  <c r="AR48" i="8"/>
  <c r="AN48" i="8"/>
  <c r="AJ48" i="8"/>
  <c r="T48" i="8"/>
  <c r="AP48" i="8" s="1"/>
  <c r="Q29" i="11" s="1"/>
  <c r="P48" i="8"/>
  <c r="AL48" i="8" s="1"/>
  <c r="O29" i="11" s="1"/>
  <c r="AR46" i="8"/>
  <c r="AN46" i="8"/>
  <c r="AJ46" i="8"/>
  <c r="T46" i="8"/>
  <c r="AP46" i="8" s="1"/>
  <c r="Q28" i="11" s="1"/>
  <c r="P46" i="8"/>
  <c r="AL46" i="8" s="1"/>
  <c r="O28" i="11" s="1"/>
  <c r="AR44" i="8"/>
  <c r="AN44" i="8"/>
  <c r="AJ44" i="8"/>
  <c r="T44" i="8"/>
  <c r="AP44" i="8" s="1"/>
  <c r="Q27" i="11" s="1"/>
  <c r="P44" i="8"/>
  <c r="AL44" i="8" s="1"/>
  <c r="O27" i="11" s="1"/>
  <c r="AR42" i="8"/>
  <c r="AP42" i="8"/>
  <c r="AN42" i="8"/>
  <c r="AL42" i="8"/>
  <c r="AJ42" i="8"/>
  <c r="K42" i="8"/>
  <c r="AR40" i="8"/>
  <c r="AN40" i="8"/>
  <c r="AJ40" i="8"/>
  <c r="T40" i="8"/>
  <c r="AP40" i="8" s="1"/>
  <c r="Q26" i="11" s="1"/>
  <c r="P40" i="8"/>
  <c r="AL40" i="8" s="1"/>
  <c r="O26" i="11" s="1"/>
  <c r="AR38" i="8"/>
  <c r="AN38" i="8"/>
  <c r="AJ38" i="8"/>
  <c r="T38" i="8"/>
  <c r="AP38" i="8" s="1"/>
  <c r="Q25" i="11" s="1"/>
  <c r="P38" i="8"/>
  <c r="AL38" i="8" s="1"/>
  <c r="O25" i="11" s="1"/>
  <c r="AR36" i="8"/>
  <c r="AN36" i="8"/>
  <c r="AJ36" i="8"/>
  <c r="T36" i="8"/>
  <c r="AP36" i="8" s="1"/>
  <c r="Q24" i="11" s="1"/>
  <c r="P36" i="8"/>
  <c r="AL36" i="8" s="1"/>
  <c r="O24" i="11" s="1"/>
  <c r="AR34" i="8"/>
  <c r="AN34" i="8"/>
  <c r="AJ34" i="8"/>
  <c r="T34" i="8"/>
  <c r="AP34" i="8" s="1"/>
  <c r="Q23" i="11" s="1"/>
  <c r="P34" i="8"/>
  <c r="AL34" i="8" s="1"/>
  <c r="O23" i="11" s="1"/>
  <c r="AR32" i="8"/>
  <c r="AN32" i="8"/>
  <c r="AJ32" i="8"/>
  <c r="T32" i="8"/>
  <c r="AP32" i="8" s="1"/>
  <c r="Q22" i="11" s="1"/>
  <c r="P32" i="8"/>
  <c r="AL32" i="8" s="1"/>
  <c r="O22" i="11" s="1"/>
  <c r="AR30" i="8"/>
  <c r="AN30" i="8"/>
  <c r="AJ30" i="8"/>
  <c r="T30" i="8"/>
  <c r="AP30" i="8" s="1"/>
  <c r="Q21" i="11" s="1"/>
  <c r="P30" i="8"/>
  <c r="AL30" i="8" s="1"/>
  <c r="O21" i="11" s="1"/>
  <c r="AR28" i="8"/>
  <c r="AN28" i="8"/>
  <c r="AJ28" i="8"/>
  <c r="T28" i="8"/>
  <c r="AP28" i="8" s="1"/>
  <c r="Q20" i="11" s="1"/>
  <c r="P28" i="8"/>
  <c r="AL28" i="8" s="1"/>
  <c r="O20" i="11" s="1"/>
  <c r="AR26" i="8"/>
  <c r="AN26" i="8"/>
  <c r="AJ26" i="8"/>
  <c r="T26" i="8"/>
  <c r="AP26" i="8" s="1"/>
  <c r="Q19" i="11" s="1"/>
  <c r="P26" i="8"/>
  <c r="AL26" i="8" s="1"/>
  <c r="O19" i="11" s="1"/>
  <c r="AR24" i="8"/>
  <c r="AN24" i="8"/>
  <c r="AJ24" i="8"/>
  <c r="T24" i="8"/>
  <c r="AP24" i="8" s="1"/>
  <c r="Q18" i="11" s="1"/>
  <c r="P24" i="8"/>
  <c r="AL24" i="8" s="1"/>
  <c r="O18" i="11" s="1"/>
  <c r="AR22" i="8"/>
  <c r="AN22" i="8"/>
  <c r="AJ22" i="8"/>
  <c r="T22" i="8"/>
  <c r="AP22" i="8" s="1"/>
  <c r="Q17" i="11" s="1"/>
  <c r="P22" i="8"/>
  <c r="AL22" i="8" s="1"/>
  <c r="O17" i="11" s="1"/>
  <c r="AR20" i="8"/>
  <c r="AN20" i="8"/>
  <c r="AJ20" i="8"/>
  <c r="T20" i="8"/>
  <c r="AP20" i="8" s="1"/>
  <c r="Q16" i="11" s="1"/>
  <c r="P20" i="8"/>
  <c r="AL20" i="8" s="1"/>
  <c r="O16" i="11" s="1"/>
  <c r="V18" i="8"/>
  <c r="R18" i="8"/>
  <c r="AD18" i="8" s="1"/>
  <c r="N18" i="8"/>
  <c r="AJ18" i="8" s="1"/>
  <c r="E2" i="2"/>
  <c r="N2" i="2" s="1"/>
  <c r="D2" i="2"/>
  <c r="M2" i="2" s="1"/>
  <c r="W353" i="10" l="1"/>
  <c r="BP171" i="10"/>
  <c r="CI245" i="10"/>
  <c r="AW39" i="10"/>
  <c r="AW35" i="10"/>
  <c r="C20" i="22"/>
  <c r="W42" i="10"/>
  <c r="CI316" i="10"/>
  <c r="AV317" i="10"/>
  <c r="AV320" i="10"/>
  <c r="AN73" i="8"/>
  <c r="AW164" i="10"/>
  <c r="CH285" i="10"/>
  <c r="BQ317" i="10"/>
  <c r="BP318" i="10"/>
  <c r="T18" i="8"/>
  <c r="AF18" i="8" s="1"/>
  <c r="AN18" i="8"/>
  <c r="Z18" i="8"/>
  <c r="AR73" i="8"/>
  <c r="P18" i="8"/>
  <c r="Q10" i="9" s="1"/>
  <c r="AJ73" i="8"/>
  <c r="AW24" i="10"/>
  <c r="CI94" i="10"/>
  <c r="AV156" i="10"/>
  <c r="AW171" i="10"/>
  <c r="BQ330" i="10"/>
  <c r="AW351" i="10"/>
  <c r="AW31" i="10"/>
  <c r="AW27" i="10"/>
  <c r="J90" i="21"/>
  <c r="K90" i="21" s="1"/>
  <c r="M90" i="21" s="1"/>
  <c r="J95" i="21"/>
  <c r="K95" i="21" s="1"/>
  <c r="M95" i="21" s="1"/>
  <c r="Q8" i="11"/>
  <c r="S10" i="9"/>
  <c r="Y10" i="9" s="1"/>
  <c r="AC10" i="9" s="1"/>
  <c r="AR18" i="8"/>
  <c r="BP227" i="10"/>
  <c r="J88" i="21"/>
  <c r="K88" i="21" s="1"/>
  <c r="M88" i="21" s="1"/>
  <c r="J94" i="21"/>
  <c r="K94" i="21" s="1"/>
  <c r="M94" i="21" s="1"/>
  <c r="CI61" i="10"/>
  <c r="CI62" i="10"/>
  <c r="W67" i="10"/>
  <c r="W404" i="10"/>
  <c r="W423" i="10"/>
  <c r="BP449" i="10"/>
  <c r="M99" i="21"/>
  <c r="AH18" i="8"/>
  <c r="AW42" i="10"/>
  <c r="CI86" i="10"/>
  <c r="BQ117" i="10"/>
  <c r="BP126" i="10"/>
  <c r="AW139" i="10"/>
  <c r="CI140" i="10"/>
  <c r="W384" i="10"/>
  <c r="CI415" i="10"/>
  <c r="CI416" i="10"/>
  <c r="W522" i="10"/>
  <c r="M63" i="21"/>
  <c r="W429" i="10"/>
  <c r="BQ316" i="10"/>
  <c r="CH420" i="10"/>
  <c r="CI147" i="10"/>
  <c r="W152" i="10"/>
  <c r="BQ221" i="10"/>
  <c r="AV229" i="10"/>
  <c r="AV262" i="10"/>
  <c r="CH273" i="10"/>
  <c r="CH274" i="10"/>
  <c r="BP371" i="10"/>
  <c r="BQ372" i="10"/>
  <c r="CI388" i="10"/>
  <c r="CI389" i="10"/>
  <c r="CI440" i="10"/>
  <c r="CH241" i="10"/>
  <c r="CH264" i="10"/>
  <c r="CI231" i="10"/>
  <c r="BQ184" i="10"/>
  <c r="BQ204" i="10"/>
  <c r="CI211" i="10"/>
  <c r="BQ233" i="10"/>
  <c r="CI324" i="10"/>
  <c r="AW335" i="10"/>
  <c r="W420" i="10"/>
  <c r="AV483" i="10"/>
  <c r="CI485" i="10"/>
  <c r="AV160" i="10"/>
  <c r="AW54" i="10"/>
  <c r="W58" i="10"/>
  <c r="CI65" i="10"/>
  <c r="BP128" i="10"/>
  <c r="BQ129" i="10"/>
  <c r="BQ161" i="10"/>
  <c r="AV221" i="10"/>
  <c r="W477" i="10"/>
  <c r="BQ483" i="10"/>
  <c r="BP518" i="10"/>
  <c r="AW53" i="10"/>
  <c r="CH256" i="10"/>
  <c r="CI296" i="10"/>
  <c r="AV297" i="10"/>
  <c r="W335" i="10"/>
  <c r="BP437" i="10"/>
  <c r="CI98" i="10"/>
  <c r="BQ104" i="10"/>
  <c r="BP75" i="10"/>
  <c r="BP79" i="10"/>
  <c r="CI109" i="10"/>
  <c r="CI125" i="10"/>
  <c r="AV126" i="10"/>
  <c r="CI131" i="10"/>
  <c r="W138" i="10"/>
  <c r="AV154" i="10"/>
  <c r="CH156" i="10"/>
  <c r="CI157" i="10"/>
  <c r="AW161" i="10"/>
  <c r="AW219" i="10"/>
  <c r="CI237" i="10"/>
  <c r="BP260" i="10"/>
  <c r="BP266" i="10"/>
  <c r="BP273" i="10"/>
  <c r="CH326" i="10"/>
  <c r="AV327" i="10"/>
  <c r="BP429" i="10"/>
  <c r="CI124" i="10"/>
  <c r="AW37" i="10"/>
  <c r="CH49" i="10"/>
  <c r="BQ76" i="10"/>
  <c r="W77" i="10"/>
  <c r="W92" i="10"/>
  <c r="BQ95" i="10"/>
  <c r="BQ97" i="10"/>
  <c r="W98" i="10"/>
  <c r="CI107" i="10"/>
  <c r="BP124" i="10"/>
  <c r="CH132" i="10"/>
  <c r="AW147" i="10"/>
  <c r="CI149" i="10"/>
  <c r="AV152" i="10"/>
  <c r="BP229" i="10"/>
  <c r="AV270" i="10"/>
  <c r="W302" i="10"/>
  <c r="BQ40" i="10"/>
  <c r="CH162" i="10"/>
  <c r="CH190" i="10"/>
  <c r="CH244" i="10"/>
  <c r="CH271" i="10"/>
  <c r="CH272" i="10"/>
  <c r="BP282" i="10"/>
  <c r="CH292" i="10"/>
  <c r="CI293" i="10"/>
  <c r="CI305" i="10"/>
  <c r="W345" i="10"/>
  <c r="AV399" i="10"/>
  <c r="CI400" i="10"/>
  <c r="CI412" i="10"/>
  <c r="AV432" i="10"/>
  <c r="BP441" i="10"/>
  <c r="CI460" i="10"/>
  <c r="CI461" i="10"/>
  <c r="BP467" i="10"/>
  <c r="BP489" i="10"/>
  <c r="AW497" i="10"/>
  <c r="AW517" i="10"/>
  <c r="W71" i="10"/>
  <c r="W51" i="10"/>
  <c r="BP357" i="10"/>
  <c r="BP421" i="10"/>
  <c r="BQ422" i="10"/>
  <c r="AW432" i="10"/>
  <c r="BQ64" i="10"/>
  <c r="CI95" i="10"/>
  <c r="BP116" i="10"/>
  <c r="W144" i="10"/>
  <c r="BQ162" i="10"/>
  <c r="AW183" i="10"/>
  <c r="CH253" i="10"/>
  <c r="BQ271" i="10"/>
  <c r="BP290" i="10"/>
  <c r="BQ291" i="10"/>
  <c r="BP292" i="10"/>
  <c r="BQ321" i="10"/>
  <c r="AV336" i="10"/>
  <c r="W383" i="10"/>
  <c r="BQ386" i="10"/>
  <c r="BP387" i="10"/>
  <c r="BQ398" i="10"/>
  <c r="W402" i="10"/>
  <c r="BP450" i="10"/>
  <c r="BP451" i="10"/>
  <c r="BP482" i="10"/>
  <c r="AW492" i="10"/>
  <c r="AW493" i="10"/>
  <c r="CH503" i="10"/>
  <c r="CH504" i="10"/>
  <c r="W46" i="10"/>
  <c r="AV65" i="10"/>
  <c r="AW69" i="10"/>
  <c r="AW70" i="10"/>
  <c r="CH73" i="10"/>
  <c r="CI85" i="10"/>
  <c r="AV86" i="10"/>
  <c r="AV94" i="10"/>
  <c r="BP100" i="10"/>
  <c r="AW113" i="10"/>
  <c r="AV130" i="10"/>
  <c r="BQ164" i="10"/>
  <c r="BP169" i="10"/>
  <c r="BQ178" i="10"/>
  <c r="BP181" i="10"/>
  <c r="AV205" i="10"/>
  <c r="AV207" i="10"/>
  <c r="CI219" i="10"/>
  <c r="AV223" i="10"/>
  <c r="AW238" i="10"/>
  <c r="BP251" i="10"/>
  <c r="AW262" i="10"/>
  <c r="CI328" i="10"/>
  <c r="CI339" i="10"/>
  <c r="CI340" i="10"/>
  <c r="AV341" i="10"/>
  <c r="BQ345" i="10"/>
  <c r="CI355" i="10"/>
  <c r="AV392" i="10"/>
  <c r="BP403" i="10"/>
  <c r="BP446" i="10"/>
  <c r="W453" i="10"/>
  <c r="BP457" i="10"/>
  <c r="BQ458" i="10"/>
  <c r="BP462" i="10"/>
  <c r="W505" i="10"/>
  <c r="BP514" i="10"/>
  <c r="AW26" i="10"/>
  <c r="AW38" i="10"/>
  <c r="BP34" i="10"/>
  <c r="BQ36" i="10"/>
  <c r="W37" i="10"/>
  <c r="W47" i="10"/>
  <c r="AW58" i="10"/>
  <c r="AW65" i="10"/>
  <c r="AW77" i="10"/>
  <c r="AW86" i="10"/>
  <c r="CI117" i="10"/>
  <c r="AV118" i="10"/>
  <c r="CH130" i="10"/>
  <c r="AW131" i="10"/>
  <c r="AV138" i="10"/>
  <c r="AV146" i="10"/>
  <c r="BP160" i="10"/>
  <c r="AV162" i="10"/>
  <c r="W171" i="10"/>
  <c r="CH171" i="10"/>
  <c r="W183" i="10"/>
  <c r="BP199" i="10"/>
  <c r="BP201" i="10"/>
  <c r="BP203" i="10"/>
  <c r="W219" i="10"/>
  <c r="BQ244" i="10"/>
  <c r="BQ248" i="10"/>
  <c r="W84" i="10"/>
  <c r="W270" i="10"/>
  <c r="AW277" i="10"/>
  <c r="CH303" i="10"/>
  <c r="AW316" i="10"/>
  <c r="BQ334" i="10"/>
  <c r="AW343" i="10"/>
  <c r="W361" i="10"/>
  <c r="CI367" i="10"/>
  <c r="BP411" i="10"/>
  <c r="CI423" i="10"/>
  <c r="AW424" i="10"/>
  <c r="AW425" i="10"/>
  <c r="BP469" i="10"/>
  <c r="BP470" i="10"/>
  <c r="BQ506" i="10"/>
  <c r="W26" i="10"/>
  <c r="W38" i="10"/>
  <c r="W130" i="10"/>
  <c r="W223" i="10"/>
  <c r="BP235" i="10"/>
  <c r="W238" i="10"/>
  <c r="W328" i="10"/>
  <c r="BQ391" i="10"/>
  <c r="W392" i="10"/>
  <c r="BP406" i="10"/>
  <c r="BQ414" i="10"/>
  <c r="CI426" i="10"/>
  <c r="BP26" i="10"/>
  <c r="BP27" i="10"/>
  <c r="BP94" i="10"/>
  <c r="CH100" i="10"/>
  <c r="BQ113" i="10"/>
  <c r="BQ125" i="10"/>
  <c r="CH126" i="10"/>
  <c r="CI127" i="10"/>
  <c r="BQ145" i="10"/>
  <c r="CH166" i="10"/>
  <c r="AW170" i="10"/>
  <c r="AV182" i="10"/>
  <c r="BQ185" i="10"/>
  <c r="CH198" i="10"/>
  <c r="CH202" i="10"/>
  <c r="BP205" i="10"/>
  <c r="BP208" i="10"/>
  <c r="BP209" i="10"/>
  <c r="BP211" i="10"/>
  <c r="CH261" i="10"/>
  <c r="W279" i="10"/>
  <c r="W303" i="10"/>
  <c r="W316" i="10"/>
  <c r="AW320" i="10"/>
  <c r="AW334" i="10"/>
  <c r="BP337" i="10"/>
  <c r="BQ341" i="10"/>
  <c r="BQ342" i="10"/>
  <c r="W343" i="10"/>
  <c r="CH345" i="10"/>
  <c r="CI346" i="10"/>
  <c r="AV380" i="10"/>
  <c r="CH384" i="10"/>
  <c r="AW385" i="10"/>
  <c r="AW411" i="10"/>
  <c r="BQ423" i="10"/>
  <c r="CI444" i="10"/>
  <c r="AW453" i="10"/>
  <c r="CH464" i="10"/>
  <c r="CH468" i="10"/>
  <c r="CH472" i="10"/>
  <c r="AW488" i="10"/>
  <c r="AW505" i="10"/>
  <c r="CI512" i="10"/>
  <c r="CH33" i="10"/>
  <c r="AW46" i="10"/>
  <c r="CI34" i="10"/>
  <c r="CI83" i="10"/>
  <c r="BQ88" i="10"/>
  <c r="BQ109" i="10"/>
  <c r="AV123" i="10"/>
  <c r="AW129" i="10"/>
  <c r="W132" i="10"/>
  <c r="BQ141" i="10"/>
  <c r="W154" i="10"/>
  <c r="W156" i="10"/>
  <c r="CH160" i="10"/>
  <c r="CH194" i="10"/>
  <c r="AV195" i="10"/>
  <c r="CH199" i="10"/>
  <c r="CH203" i="10"/>
  <c r="CH226" i="10"/>
  <c r="CI234" i="10"/>
  <c r="AW235" i="10"/>
  <c r="CH269" i="10"/>
  <c r="BQ279" i="10"/>
  <c r="BQ299" i="10"/>
  <c r="AV309" i="10"/>
  <c r="CH321" i="10"/>
  <c r="CI323" i="10"/>
  <c r="W344" i="10"/>
  <c r="CI376" i="10"/>
  <c r="CH377" i="10"/>
  <c r="CI378" i="10"/>
  <c r="CH387" i="10"/>
  <c r="CI404" i="10"/>
  <c r="AV405" i="10"/>
  <c r="AW419" i="10"/>
  <c r="CI505" i="10"/>
  <c r="AW508" i="10"/>
  <c r="AW509" i="10"/>
  <c r="BQ225" i="10"/>
  <c r="BP225" i="10"/>
  <c r="BQ255" i="10"/>
  <c r="BP255" i="10"/>
  <c r="CI26" i="10"/>
  <c r="AW29" i="10"/>
  <c r="CI30" i="10"/>
  <c r="CH40" i="10"/>
  <c r="AV41" i="10"/>
  <c r="BQ87" i="10"/>
  <c r="W99" i="10"/>
  <c r="AW105" i="10"/>
  <c r="BP108" i="10"/>
  <c r="AV114" i="10"/>
  <c r="CI123" i="10"/>
  <c r="W131" i="10"/>
  <c r="CI135" i="10"/>
  <c r="AV142" i="10"/>
  <c r="CI143" i="10"/>
  <c r="BP146" i="10"/>
  <c r="AV150" i="10"/>
  <c r="BP156" i="10"/>
  <c r="AV158" i="10"/>
  <c r="CI159" i="10"/>
  <c r="BP163" i="10"/>
  <c r="AW172" i="10"/>
  <c r="CI183" i="10"/>
  <c r="BP187" i="10"/>
  <c r="AV191" i="10"/>
  <c r="BP193" i="10"/>
  <c r="AW195" i="10"/>
  <c r="BP196" i="10"/>
  <c r="BP197" i="10"/>
  <c r="AV203" i="10"/>
  <c r="CH207" i="10"/>
  <c r="BP212" i="10"/>
  <c r="BQ213" i="10"/>
  <c r="BQ224" i="10"/>
  <c r="BP224" i="10"/>
  <c r="BP236" i="10"/>
  <c r="BQ249" i="10"/>
  <c r="BP249" i="10"/>
  <c r="CI301" i="10"/>
  <c r="CH301" i="10"/>
  <c r="CH306" i="10"/>
  <c r="CI306" i="10"/>
  <c r="W104" i="10"/>
  <c r="AW114" i="10"/>
  <c r="W123" i="10"/>
  <c r="W164" i="10"/>
  <c r="AW191" i="10"/>
  <c r="AW203" i="10"/>
  <c r="BQ239" i="10"/>
  <c r="BP239" i="10"/>
  <c r="BQ242" i="10"/>
  <c r="BP242" i="10"/>
  <c r="CI300" i="10"/>
  <c r="CH300" i="10"/>
  <c r="AV36" i="10"/>
  <c r="W39" i="10"/>
  <c r="AV45" i="10"/>
  <c r="BQ47" i="10"/>
  <c r="BP51" i="10"/>
  <c r="W54" i="10"/>
  <c r="AW61" i="10"/>
  <c r="BP67" i="10"/>
  <c r="W70" i="10"/>
  <c r="CI74" i="10"/>
  <c r="W83" i="10"/>
  <c r="BP92" i="10"/>
  <c r="W94" i="10"/>
  <c r="W102" i="10"/>
  <c r="CH106" i="10"/>
  <c r="BQ111" i="10"/>
  <c r="CI115" i="10"/>
  <c r="AW137" i="10"/>
  <c r="W140" i="10"/>
  <c r="AV144" i="10"/>
  <c r="AW145" i="10"/>
  <c r="BQ149" i="10"/>
  <c r="CH152" i="10"/>
  <c r="AV163" i="10"/>
  <c r="CH170" i="10"/>
  <c r="W172" i="10"/>
  <c r="CH174" i="10"/>
  <c r="CH179" i="10"/>
  <c r="CH186" i="10"/>
  <c r="CH195" i="10"/>
  <c r="W207" i="10"/>
  <c r="CH210" i="10"/>
  <c r="AW211" i="10"/>
  <c r="AV211" i="10"/>
  <c r="AV215" i="10"/>
  <c r="W215" i="10"/>
  <c r="AW215" i="10"/>
  <c r="W226" i="10"/>
  <c r="AV226" i="10"/>
  <c r="AW253" i="10"/>
  <c r="AV253" i="10"/>
  <c r="W253" i="10"/>
  <c r="W276" i="10"/>
  <c r="AW276" i="10"/>
  <c r="AV276" i="10"/>
  <c r="BQ284" i="10"/>
  <c r="BP284" i="10"/>
  <c r="AW295" i="10"/>
  <c r="W295" i="10"/>
  <c r="AW45" i="10"/>
  <c r="W55" i="10"/>
  <c r="W142" i="10"/>
  <c r="W150" i="10"/>
  <c r="AW163" i="10"/>
  <c r="CI222" i="10"/>
  <c r="CH222" i="10"/>
  <c r="CI225" i="10"/>
  <c r="CH225" i="10"/>
  <c r="CI255" i="10"/>
  <c r="CH255" i="10"/>
  <c r="CI258" i="10"/>
  <c r="CH258" i="10"/>
  <c r="AW199" i="10"/>
  <c r="AV199" i="10"/>
  <c r="CH230" i="10"/>
  <c r="CI230" i="10"/>
  <c r="W241" i="10"/>
  <c r="AW241" i="10"/>
  <c r="AW243" i="10"/>
  <c r="AV243" i="10"/>
  <c r="W249" i="10"/>
  <c r="AW249" i="10"/>
  <c r="CH257" i="10"/>
  <c r="CI257" i="10"/>
  <c r="CI288" i="10"/>
  <c r="CH288" i="10"/>
  <c r="AW25" i="10"/>
  <c r="BP35" i="10"/>
  <c r="W43" i="10"/>
  <c r="BQ44" i="10"/>
  <c r="BQ55" i="10"/>
  <c r="BQ60" i="10"/>
  <c r="W61" i="10"/>
  <c r="BQ71" i="10"/>
  <c r="CI77" i="10"/>
  <c r="CH82" i="10"/>
  <c r="CI87" i="10"/>
  <c r="AW90" i="10"/>
  <c r="AW99" i="10"/>
  <c r="BQ105" i="10"/>
  <c r="W106" i="10"/>
  <c r="AW111" i="10"/>
  <c r="CH118" i="10"/>
  <c r="CI119" i="10"/>
  <c r="AW121" i="10"/>
  <c r="CH122" i="10"/>
  <c r="BP136" i="10"/>
  <c r="CH138" i="10"/>
  <c r="CH146" i="10"/>
  <c r="CH163" i="10"/>
  <c r="BQ172" i="10"/>
  <c r="BP176" i="10"/>
  <c r="AW182" i="10"/>
  <c r="CH187" i="10"/>
  <c r="BP192" i="10"/>
  <c r="CH193" i="10"/>
  <c r="AV194" i="10"/>
  <c r="BP195" i="10"/>
  <c r="CI223" i="10"/>
  <c r="AV241" i="10"/>
  <c r="CH242" i="10"/>
  <c r="CI242" i="10"/>
  <c r="AW287" i="10"/>
  <c r="W287" i="10"/>
  <c r="BQ303" i="10"/>
  <c r="BP303" i="10"/>
  <c r="BQ298" i="10"/>
  <c r="BP298" i="10"/>
  <c r="CH309" i="10"/>
  <c r="CI309" i="10"/>
  <c r="BQ313" i="10"/>
  <c r="BP313" i="10"/>
  <c r="CI249" i="10"/>
  <c r="CH250" i="10"/>
  <c r="BP252" i="10"/>
  <c r="CH265" i="10"/>
  <c r="BP267" i="10"/>
  <c r="BP268" i="10"/>
  <c r="BQ274" i="10"/>
  <c r="CH280" i="10"/>
  <c r="AV292" i="10"/>
  <c r="BP294" i="10"/>
  <c r="AW297" i="10"/>
  <c r="BQ300" i="10"/>
  <c r="AV302" i="10"/>
  <c r="BQ306" i="10"/>
  <c r="CI312" i="10"/>
  <c r="AW313" i="10"/>
  <c r="AV319" i="10"/>
  <c r="CI322" i="10"/>
  <c r="CH327" i="10"/>
  <c r="W329" i="10"/>
  <c r="CI332" i="10"/>
  <c r="W347" i="10"/>
  <c r="CH353" i="10"/>
  <c r="BQ358" i="10"/>
  <c r="W359" i="10"/>
  <c r="CH361" i="10"/>
  <c r="CI362" i="10"/>
  <c r="AV363" i="10"/>
  <c r="BQ366" i="10"/>
  <c r="BP369" i="10"/>
  <c r="AV384" i="10"/>
  <c r="AV394" i="10"/>
  <c r="CH409" i="10"/>
  <c r="CI413" i="10"/>
  <c r="W425" i="10"/>
  <c r="AV429" i="10"/>
  <c r="CH452" i="10"/>
  <c r="BP454" i="10"/>
  <c r="CH456" i="10"/>
  <c r="AV464" i="10"/>
  <c r="AV485" i="10"/>
  <c r="BQ490" i="10"/>
  <c r="W497" i="10"/>
  <c r="W510" i="10"/>
  <c r="W513" i="10"/>
  <c r="AW516" i="10"/>
  <c r="CI520" i="10"/>
  <c r="CH235" i="10"/>
  <c r="BQ247" i="10"/>
  <c r="BP257" i="10"/>
  <c r="W263" i="10"/>
  <c r="CI282" i="10"/>
  <c r="AV284" i="10"/>
  <c r="BQ295" i="10"/>
  <c r="CH297" i="10"/>
  <c r="BP307" i="10"/>
  <c r="W310" i="10"/>
  <c r="CH315" i="10"/>
  <c r="CH319" i="10"/>
  <c r="W336" i="10"/>
  <c r="CH337" i="10"/>
  <c r="CI338" i="10"/>
  <c r="AW339" i="10"/>
  <c r="AV344" i="10"/>
  <c r="CI354" i="10"/>
  <c r="W371" i="10"/>
  <c r="BP382" i="10"/>
  <c r="W390" i="10"/>
  <c r="CI394" i="10"/>
  <c r="W400" i="10"/>
  <c r="BP405" i="10"/>
  <c r="AV411" i="10"/>
  <c r="W413" i="10"/>
  <c r="AV419" i="10"/>
  <c r="W421" i="10"/>
  <c r="W426" i="10"/>
  <c r="CH441" i="10"/>
  <c r="W448" i="10"/>
  <c r="W456" i="10"/>
  <c r="AW464" i="10"/>
  <c r="W469" i="10"/>
  <c r="CI469" i="10"/>
  <c r="CI476" i="10"/>
  <c r="AW485" i="10"/>
  <c r="BP513" i="10"/>
  <c r="W514" i="10"/>
  <c r="AV517" i="10"/>
  <c r="BQ519" i="10"/>
  <c r="W520" i="10"/>
  <c r="AW521" i="10"/>
  <c r="BP259" i="10"/>
  <c r="AW285" i="10"/>
  <c r="AW294" i="10"/>
  <c r="AV304" i="10"/>
  <c r="AV305" i="10"/>
  <c r="BP310" i="10"/>
  <c r="W311" i="10"/>
  <c r="BQ322" i="10"/>
  <c r="AV328" i="10"/>
  <c r="BQ332" i="10"/>
  <c r="W337" i="10"/>
  <c r="AV351" i="10"/>
  <c r="BP353" i="10"/>
  <c r="AW366" i="10"/>
  <c r="BQ393" i="10"/>
  <c r="W394" i="10"/>
  <c r="CH396" i="10"/>
  <c r="AV397" i="10"/>
  <c r="BQ402" i="10"/>
  <c r="W409" i="10"/>
  <c r="AW412" i="10"/>
  <c r="CH419" i="10"/>
  <c r="CH431" i="10"/>
  <c r="W441" i="10"/>
  <c r="AW444" i="10"/>
  <c r="CI453" i="10"/>
  <c r="AV461" i="10"/>
  <c r="CI465" i="10"/>
  <c r="AV472" i="10"/>
  <c r="BP475" i="10"/>
  <c r="CI480" i="10"/>
  <c r="CH496" i="10"/>
  <c r="BQ498" i="10"/>
  <c r="BQ503" i="10"/>
  <c r="CI517" i="10"/>
  <c r="AW461" i="10"/>
  <c r="AW472" i="10"/>
  <c r="W521" i="10"/>
  <c r="BP333" i="10"/>
  <c r="CH347" i="10"/>
  <c r="BP349" i="10"/>
  <c r="CH351" i="10"/>
  <c r="AW359" i="10"/>
  <c r="BP363" i="10"/>
  <c r="BQ364" i="10"/>
  <c r="BP373" i="10"/>
  <c r="BQ374" i="10"/>
  <c r="CH380" i="10"/>
  <c r="AV381" i="10"/>
  <c r="AW436" i="10"/>
  <c r="CH446" i="10"/>
  <c r="CH447" i="10"/>
  <c r="W285" i="10"/>
  <c r="W294" i="10"/>
  <c r="CH295" i="10"/>
  <c r="W304" i="10"/>
  <c r="AW310" i="10"/>
  <c r="AV318" i="10"/>
  <c r="BP324" i="10"/>
  <c r="AV325" i="10"/>
  <c r="CH331" i="10"/>
  <c r="BP339" i="10"/>
  <c r="CH348" i="10"/>
  <c r="BP350" i="10"/>
  <c r="CH359" i="10"/>
  <c r="BP365" i="10"/>
  <c r="CH369" i="10"/>
  <c r="AV371" i="10"/>
  <c r="BP377" i="10"/>
  <c r="CH382" i="10"/>
  <c r="BP395" i="10"/>
  <c r="AV400" i="10"/>
  <c r="W405" i="10"/>
  <c r="CH407" i="10"/>
  <c r="AV413" i="10"/>
  <c r="AV421" i="10"/>
  <c r="CI428" i="10"/>
  <c r="BQ430" i="10"/>
  <c r="CI432" i="10"/>
  <c r="CI433" i="10"/>
  <c r="CH439" i="10"/>
  <c r="AV440" i="10"/>
  <c r="BP443" i="10"/>
  <c r="W444" i="10"/>
  <c r="AW448" i="10"/>
  <c r="AV456" i="10"/>
  <c r="AV469" i="10"/>
  <c r="BQ471" i="10"/>
  <c r="CH473" i="10"/>
  <c r="BQ479" i="10"/>
  <c r="W480" i="10"/>
  <c r="AV484" i="10"/>
  <c r="BQ486" i="10"/>
  <c r="W489" i="10"/>
  <c r="CH497" i="10"/>
  <c r="AV520" i="10"/>
  <c r="AW318" i="10"/>
  <c r="W399" i="10"/>
  <c r="AW484" i="10"/>
  <c r="BQ495" i="10"/>
  <c r="AW500" i="10"/>
  <c r="AW501" i="10"/>
  <c r="AV515" i="10"/>
  <c r="AV516" i="10"/>
  <c r="W518" i="10"/>
  <c r="N10" i="10"/>
  <c r="BP28" i="10"/>
  <c r="CH29" i="10"/>
  <c r="CH41" i="10"/>
  <c r="BP43" i="10"/>
  <c r="AW78" i="10"/>
  <c r="AV82" i="10"/>
  <c r="BP86" i="10"/>
  <c r="CH90" i="10"/>
  <c r="CH92" i="10"/>
  <c r="AV104" i="10"/>
  <c r="AV122" i="10"/>
  <c r="W122" i="10"/>
  <c r="BP127" i="10"/>
  <c r="BQ127" i="10"/>
  <c r="CH133" i="10"/>
  <c r="CI133" i="10"/>
  <c r="CI134" i="10"/>
  <c r="CH134" i="10"/>
  <c r="CH141" i="10"/>
  <c r="CI141" i="10"/>
  <c r="W153" i="10"/>
  <c r="AW153" i="10"/>
  <c r="W179" i="10"/>
  <c r="AW179" i="10"/>
  <c r="AV179" i="10"/>
  <c r="W186" i="10"/>
  <c r="AW186" i="10"/>
  <c r="CI201" i="10"/>
  <c r="CH201" i="10"/>
  <c r="W206" i="10"/>
  <c r="AV206" i="10"/>
  <c r="W214" i="10"/>
  <c r="AV214" i="10"/>
  <c r="CH227" i="10"/>
  <c r="CI227" i="10"/>
  <c r="W237" i="10"/>
  <c r="AW237" i="10"/>
  <c r="AV237" i="10"/>
  <c r="BQ258" i="10"/>
  <c r="BP258" i="10"/>
  <c r="CH281" i="10"/>
  <c r="CI281" i="10"/>
  <c r="BP308" i="10"/>
  <c r="BQ308" i="10"/>
  <c r="CH314" i="10"/>
  <c r="CI314" i="10"/>
  <c r="CI371" i="10"/>
  <c r="CH371" i="10"/>
  <c r="AV376" i="10"/>
  <c r="W376" i="10"/>
  <c r="AW376" i="10"/>
  <c r="BQ491" i="10"/>
  <c r="BP491" i="10"/>
  <c r="CH24" i="10"/>
  <c r="BP31" i="10"/>
  <c r="AW34" i="10"/>
  <c r="AV49" i="10"/>
  <c r="CI58" i="10"/>
  <c r="AV62" i="10"/>
  <c r="BP63" i="10"/>
  <c r="N12" i="10"/>
  <c r="AV25" i="10"/>
  <c r="N13" i="10"/>
  <c r="W29" i="10"/>
  <c r="AW30" i="10"/>
  <c r="BQ32" i="10"/>
  <c r="CH37" i="10"/>
  <c r="BP39" i="10"/>
  <c r="CH45" i="10"/>
  <c r="AW49" i="10"/>
  <c r="AV53" i="10"/>
  <c r="BP57" i="10"/>
  <c r="AW62" i="10"/>
  <c r="AV69" i="10"/>
  <c r="CI78" i="10"/>
  <c r="BQ80" i="10"/>
  <c r="W81" i="10"/>
  <c r="AW82" i="10"/>
  <c r="CH84" i="10"/>
  <c r="AV88" i="10"/>
  <c r="BQ89" i="10"/>
  <c r="W90" i="10"/>
  <c r="CI93" i="10"/>
  <c r="AV96" i="10"/>
  <c r="W97" i="10"/>
  <c r="AW97" i="10"/>
  <c r="BP102" i="10"/>
  <c r="BP103" i="10"/>
  <c r="BQ103" i="10"/>
  <c r="CH108" i="10"/>
  <c r="BP112" i="10"/>
  <c r="CI114" i="10"/>
  <c r="CH114" i="10"/>
  <c r="AV115" i="10"/>
  <c r="AW115" i="10"/>
  <c r="AW122" i="10"/>
  <c r="W124" i="10"/>
  <c r="AV143" i="10"/>
  <c r="AW143" i="10"/>
  <c r="BP144" i="10"/>
  <c r="BP151" i="10"/>
  <c r="BQ151" i="10"/>
  <c r="AV159" i="10"/>
  <c r="AW159" i="10"/>
  <c r="BQ173" i="10"/>
  <c r="BP173" i="10"/>
  <c r="BQ175" i="10"/>
  <c r="BP175" i="10"/>
  <c r="CI178" i="10"/>
  <c r="W187" i="10"/>
  <c r="AV187" i="10"/>
  <c r="CI191" i="10"/>
  <c r="AW206" i="10"/>
  <c r="CI206" i="10"/>
  <c r="CH206" i="10"/>
  <c r="AW214" i="10"/>
  <c r="CH214" i="10"/>
  <c r="CI214" i="10"/>
  <c r="W230" i="10"/>
  <c r="AV230" i="10"/>
  <c r="AW230" i="10"/>
  <c r="AW231" i="10"/>
  <c r="AV231" i="10"/>
  <c r="W231" i="10"/>
  <c r="BP263" i="10"/>
  <c r="BQ263" i="10"/>
  <c r="BP287" i="10"/>
  <c r="BQ287" i="10"/>
  <c r="CH313" i="10"/>
  <c r="CI313" i="10"/>
  <c r="CH356" i="10"/>
  <c r="CI356" i="10"/>
  <c r="CI158" i="10"/>
  <c r="CH158" i="10"/>
  <c r="BQ188" i="10"/>
  <c r="BP188" i="10"/>
  <c r="CI218" i="10"/>
  <c r="CH218" i="10"/>
  <c r="W252" i="10"/>
  <c r="AW252" i="10"/>
  <c r="AV252" i="10"/>
  <c r="W268" i="10"/>
  <c r="AV268" i="10"/>
  <c r="AW268" i="10"/>
  <c r="AV396" i="10"/>
  <c r="AW396" i="10"/>
  <c r="AV465" i="10"/>
  <c r="W465" i="10"/>
  <c r="AW465" i="10"/>
  <c r="BQ24" i="10"/>
  <c r="CH25" i="10"/>
  <c r="W27" i="10"/>
  <c r="AV28" i="10"/>
  <c r="CI38" i="10"/>
  <c r="CI42" i="10"/>
  <c r="CI46" i="10"/>
  <c r="BQ48" i="10"/>
  <c r="AW50" i="10"/>
  <c r="CH53" i="10"/>
  <c r="AV57" i="10"/>
  <c r="AW66" i="10"/>
  <c r="CH69" i="10"/>
  <c r="AV73" i="10"/>
  <c r="W75" i="10"/>
  <c r="W78" i="10"/>
  <c r="BQ81" i="10"/>
  <c r="BP84" i="10"/>
  <c r="W88" i="10"/>
  <c r="AV91" i="10"/>
  <c r="W96" i="10"/>
  <c r="W100" i="10"/>
  <c r="CI101" i="10"/>
  <c r="W108" i="10"/>
  <c r="CI110" i="10"/>
  <c r="BP118" i="10"/>
  <c r="BP119" i="10"/>
  <c r="BQ119" i="10"/>
  <c r="BQ132" i="10"/>
  <c r="BP132" i="10"/>
  <c r="BP135" i="10"/>
  <c r="BQ135" i="10"/>
  <c r="BP140" i="10"/>
  <c r="W146" i="10"/>
  <c r="AW148" i="10"/>
  <c r="AV148" i="10"/>
  <c r="W148" i="10"/>
  <c r="BQ152" i="10"/>
  <c r="BP152" i="10"/>
  <c r="CI154" i="10"/>
  <c r="AW155" i="10"/>
  <c r="CH155" i="10"/>
  <c r="CI155" i="10"/>
  <c r="BP157" i="10"/>
  <c r="BQ157" i="10"/>
  <c r="CI167" i="10"/>
  <c r="BP177" i="10"/>
  <c r="W197" i="10"/>
  <c r="AV197" i="10"/>
  <c r="W198" i="10"/>
  <c r="AW198" i="10"/>
  <c r="AV198" i="10"/>
  <c r="BQ200" i="10"/>
  <c r="BP200" i="10"/>
  <c r="AW246" i="10"/>
  <c r="AV246" i="10"/>
  <c r="W246" i="10"/>
  <c r="CH246" i="10"/>
  <c r="CI246" i="10"/>
  <c r="W257" i="10"/>
  <c r="AW257" i="10"/>
  <c r="AV257" i="10"/>
  <c r="AW269" i="10"/>
  <c r="AV269" i="10"/>
  <c r="W269" i="10"/>
  <c r="W271" i="10"/>
  <c r="BQ276" i="10"/>
  <c r="BP276" i="10"/>
  <c r="CH304" i="10"/>
  <c r="CI304" i="10"/>
  <c r="BP361" i="10"/>
  <c r="BQ361" i="10"/>
  <c r="CI142" i="10"/>
  <c r="CH142" i="10"/>
  <c r="W167" i="10"/>
  <c r="AW167" i="10"/>
  <c r="AV167" i="10"/>
  <c r="CI181" i="10"/>
  <c r="CH181" i="10"/>
  <c r="CI217" i="10"/>
  <c r="CH217" i="10"/>
  <c r="CI385" i="10"/>
  <c r="CH385" i="10"/>
  <c r="BP427" i="10"/>
  <c r="BQ427" i="10"/>
  <c r="BP438" i="10"/>
  <c r="BQ438" i="10"/>
  <c r="N11" i="10"/>
  <c r="W30" i="10"/>
  <c r="CI50" i="10"/>
  <c r="BQ52" i="10"/>
  <c r="AW57" i="10"/>
  <c r="W59" i="10"/>
  <c r="CI66" i="10"/>
  <c r="BQ68" i="10"/>
  <c r="AW73" i="10"/>
  <c r="AW83" i="10"/>
  <c r="AW89" i="10"/>
  <c r="AW91" i="10"/>
  <c r="AW98" i="10"/>
  <c r="AV102" i="10"/>
  <c r="AW106" i="10"/>
  <c r="CH111" i="10"/>
  <c r="CI111" i="10"/>
  <c r="AW112" i="10"/>
  <c r="AV112" i="10"/>
  <c r="CH116" i="10"/>
  <c r="BQ120" i="10"/>
  <c r="AV127" i="10"/>
  <c r="AW127" i="10"/>
  <c r="W128" i="10"/>
  <c r="AV128" i="10"/>
  <c r="BP133" i="10"/>
  <c r="BQ133" i="10"/>
  <c r="BP134" i="10"/>
  <c r="CI148" i="10"/>
  <c r="BP153" i="10"/>
  <c r="BQ153" i="10"/>
  <c r="CI169" i="10"/>
  <c r="CH169" i="10"/>
  <c r="CH182" i="10"/>
  <c r="CI182" i="10"/>
  <c r="CI197" i="10"/>
  <c r="CH197" i="10"/>
  <c r="W210" i="10"/>
  <c r="AW210" i="10"/>
  <c r="AV210" i="10"/>
  <c r="BP228" i="10"/>
  <c r="BQ228" i="10"/>
  <c r="W234" i="10"/>
  <c r="AW234" i="10"/>
  <c r="AV234" i="10"/>
  <c r="AW301" i="10"/>
  <c r="AV301" i="10"/>
  <c r="W301" i="10"/>
  <c r="BQ302" i="10"/>
  <c r="BP302" i="10"/>
  <c r="W79" i="10"/>
  <c r="BP121" i="10"/>
  <c r="BQ121" i="10"/>
  <c r="BP143" i="10"/>
  <c r="BQ143" i="10"/>
  <c r="AV151" i="10"/>
  <c r="AW151" i="10"/>
  <c r="CH151" i="10"/>
  <c r="CI151" i="10"/>
  <c r="BP159" i="10"/>
  <c r="BQ159" i="10"/>
  <c r="CI173" i="10"/>
  <c r="CH173" i="10"/>
  <c r="W175" i="10"/>
  <c r="AW175" i="10"/>
  <c r="AV175" i="10"/>
  <c r="BQ180" i="10"/>
  <c r="BP180" i="10"/>
  <c r="W190" i="10"/>
  <c r="AW190" i="10"/>
  <c r="AV190" i="10"/>
  <c r="CI209" i="10"/>
  <c r="CH209" i="10"/>
  <c r="AV242" i="10"/>
  <c r="AW242" i="10"/>
  <c r="AW331" i="10"/>
  <c r="AV331" i="10"/>
  <c r="W331" i="10"/>
  <c r="CH335" i="10"/>
  <c r="CI335" i="10"/>
  <c r="W110" i="10"/>
  <c r="AW110" i="10"/>
  <c r="AV110" i="10"/>
  <c r="BQ150" i="10"/>
  <c r="BP150" i="10"/>
  <c r="CI165" i="10"/>
  <c r="CH165" i="10"/>
  <c r="AV168" i="10"/>
  <c r="W168" i="10"/>
  <c r="BQ189" i="10"/>
  <c r="BP189" i="10"/>
  <c r="BQ220" i="10"/>
  <c r="BP220" i="10"/>
  <c r="W31" i="10"/>
  <c r="CH32" i="10"/>
  <c r="AV33" i="10"/>
  <c r="W35" i="10"/>
  <c r="W50" i="10"/>
  <c r="CI54" i="10"/>
  <c r="BQ56" i="10"/>
  <c r="CH57" i="10"/>
  <c r="BP59" i="10"/>
  <c r="W63" i="10"/>
  <c r="W66" i="10"/>
  <c r="CI70" i="10"/>
  <c r="BQ72" i="10"/>
  <c r="AW74" i="10"/>
  <c r="BP96" i="10"/>
  <c r="CH102" i="10"/>
  <c r="CI103" i="10"/>
  <c r="AV107" i="10"/>
  <c r="AW107" i="10"/>
  <c r="BQ110" i="10"/>
  <c r="BP110" i="10"/>
  <c r="W116" i="10"/>
  <c r="BP137" i="10"/>
  <c r="BQ137" i="10"/>
  <c r="CH139" i="10"/>
  <c r="CI139" i="10"/>
  <c r="BP142" i="10"/>
  <c r="CI150" i="10"/>
  <c r="CH150" i="10"/>
  <c r="BQ154" i="10"/>
  <c r="BP154" i="10"/>
  <c r="BP158" i="10"/>
  <c r="BQ165" i="10"/>
  <c r="BP165" i="10"/>
  <c r="BQ167" i="10"/>
  <c r="BP167" i="10"/>
  <c r="CI175" i="10"/>
  <c r="CH176" i="10"/>
  <c r="CI176" i="10"/>
  <c r="W178" i="10"/>
  <c r="AV178" i="10"/>
  <c r="BP216" i="10"/>
  <c r="BQ216" i="10"/>
  <c r="W222" i="10"/>
  <c r="AW222" i="10"/>
  <c r="AV222" i="10"/>
  <c r="W265" i="10"/>
  <c r="AW265" i="10"/>
  <c r="AV265" i="10"/>
  <c r="W278" i="10"/>
  <c r="AV278" i="10"/>
  <c r="AW278" i="10"/>
  <c r="CI289" i="10"/>
  <c r="CH289" i="10"/>
  <c r="CI290" i="10"/>
  <c r="CH290" i="10"/>
  <c r="AV119" i="10"/>
  <c r="AW119" i="10"/>
  <c r="AW120" i="10"/>
  <c r="W120" i="10"/>
  <c r="AV120" i="10"/>
  <c r="W134" i="10"/>
  <c r="AV134" i="10"/>
  <c r="AV135" i="10"/>
  <c r="AW135" i="10"/>
  <c r="W136" i="10"/>
  <c r="AV136" i="10"/>
  <c r="BQ148" i="10"/>
  <c r="BP148" i="10"/>
  <c r="CI177" i="10"/>
  <c r="CH177" i="10"/>
  <c r="W202" i="10"/>
  <c r="AW202" i="10"/>
  <c r="AV202" i="10"/>
  <c r="BQ232" i="10"/>
  <c r="BP232" i="10"/>
  <c r="BQ238" i="10"/>
  <c r="BP238" i="10"/>
  <c r="W244" i="10"/>
  <c r="AV244" i="10"/>
  <c r="AW244" i="10"/>
  <c r="CI277" i="10"/>
  <c r="CH277" i="10"/>
  <c r="CI311" i="10"/>
  <c r="CH311" i="10"/>
  <c r="AW312" i="10"/>
  <c r="W312" i="10"/>
  <c r="AV312" i="10"/>
  <c r="AW194" i="10"/>
  <c r="BQ217" i="10"/>
  <c r="BP217" i="10"/>
  <c r="AW261" i="10"/>
  <c r="AV261" i="10"/>
  <c r="BQ286" i="10"/>
  <c r="BP286" i="10"/>
  <c r="W293" i="10"/>
  <c r="BQ297" i="10"/>
  <c r="BP297" i="10"/>
  <c r="CI329" i="10"/>
  <c r="CH329" i="10"/>
  <c r="CH363" i="10"/>
  <c r="CI363" i="10"/>
  <c r="AV375" i="10"/>
  <c r="W375" i="10"/>
  <c r="AW375" i="10"/>
  <c r="AV416" i="10"/>
  <c r="W416" i="10"/>
  <c r="AW416" i="10"/>
  <c r="CH417" i="10"/>
  <c r="CI417" i="10"/>
  <c r="CI521" i="10"/>
  <c r="CH521" i="10"/>
  <c r="AW118" i="10"/>
  <c r="AW158" i="10"/>
  <c r="AW160" i="10"/>
  <c r="BQ219" i="10"/>
  <c r="BP219" i="10"/>
  <c r="W227" i="10"/>
  <c r="AW227" i="10"/>
  <c r="W235" i="10"/>
  <c r="BP240" i="10"/>
  <c r="BQ240" i="10"/>
  <c r="CI248" i="10"/>
  <c r="CH248" i="10"/>
  <c r="W296" i="10"/>
  <c r="AV296" i="10"/>
  <c r="AW323" i="10"/>
  <c r="AV323" i="10"/>
  <c r="W339" i="10"/>
  <c r="AV367" i="10"/>
  <c r="W367" i="10"/>
  <c r="AW367" i="10"/>
  <c r="AV368" i="10"/>
  <c r="W368" i="10"/>
  <c r="AW368" i="10"/>
  <c r="BP463" i="10"/>
  <c r="BQ463" i="10"/>
  <c r="W468" i="10"/>
  <c r="AW468" i="10"/>
  <c r="AV468" i="10"/>
  <c r="BQ474" i="10"/>
  <c r="BP474" i="10"/>
  <c r="CI481" i="10"/>
  <c r="CH481" i="10"/>
  <c r="CI489" i="10"/>
  <c r="CH489" i="10"/>
  <c r="W162" i="10"/>
  <c r="CI215" i="10"/>
  <c r="CH215" i="10"/>
  <c r="W218" i="10"/>
  <c r="AV218" i="10"/>
  <c r="W245" i="10"/>
  <c r="AW245" i="10"/>
  <c r="BQ246" i="10"/>
  <c r="BP246" i="10"/>
  <c r="CI266" i="10"/>
  <c r="CH266" i="10"/>
  <c r="W286" i="10"/>
  <c r="AV286" i="10"/>
  <c r="W308" i="10"/>
  <c r="AW308" i="10"/>
  <c r="AV308" i="10"/>
  <c r="AV342" i="10"/>
  <c r="AW342" i="10"/>
  <c r="CI508" i="10"/>
  <c r="CH508" i="10"/>
  <c r="CI308" i="10"/>
  <c r="CH308" i="10"/>
  <c r="BP325" i="10"/>
  <c r="BQ325" i="10"/>
  <c r="AV360" i="10"/>
  <c r="W360" i="10"/>
  <c r="AW360" i="10"/>
  <c r="BP404" i="10"/>
  <c r="BQ404" i="10"/>
  <c r="CH425" i="10"/>
  <c r="CI425" i="10"/>
  <c r="AV433" i="10"/>
  <c r="W433" i="10"/>
  <c r="CI436" i="10"/>
  <c r="CH436" i="10"/>
  <c r="AV449" i="10"/>
  <c r="W449" i="10"/>
  <c r="AW449" i="10"/>
  <c r="CI513" i="10"/>
  <c r="CH513" i="10"/>
  <c r="CI233" i="10"/>
  <c r="CH233" i="10"/>
  <c r="BQ243" i="10"/>
  <c r="BP243" i="10"/>
  <c r="W254" i="10"/>
  <c r="AV254" i="10"/>
  <c r="W260" i="10"/>
  <c r="AV260" i="10"/>
  <c r="W273" i="10"/>
  <c r="AV273" i="10"/>
  <c r="BQ283" i="10"/>
  <c r="BP283" i="10"/>
  <c r="AW293" i="10"/>
  <c r="BQ326" i="10"/>
  <c r="BP340" i="10"/>
  <c r="BQ340" i="10"/>
  <c r="AV393" i="10"/>
  <c r="AW393" i="10"/>
  <c r="AV401" i="10"/>
  <c r="W401" i="10"/>
  <c r="CH401" i="10"/>
  <c r="CI401" i="10"/>
  <c r="BQ419" i="10"/>
  <c r="BP419" i="10"/>
  <c r="CI449" i="10"/>
  <c r="CH449" i="10"/>
  <c r="W213" i="10"/>
  <c r="AV213" i="10"/>
  <c r="AW251" i="10"/>
  <c r="AV251" i="10"/>
  <c r="BQ275" i="10"/>
  <c r="BP275" i="10"/>
  <c r="W281" i="10"/>
  <c r="AV281" i="10"/>
  <c r="W288" i="10"/>
  <c r="AV288" i="10"/>
  <c r="W289" i="10"/>
  <c r="AV289" i="10"/>
  <c r="CI298" i="10"/>
  <c r="CH298" i="10"/>
  <c r="W300" i="10"/>
  <c r="AW300" i="10"/>
  <c r="BQ315" i="10"/>
  <c r="BP315" i="10"/>
  <c r="BQ347" i="10"/>
  <c r="BP347" i="10"/>
  <c r="CI500" i="10"/>
  <c r="CH500" i="10"/>
  <c r="W277" i="10"/>
  <c r="AW319" i="10"/>
  <c r="BQ320" i="10"/>
  <c r="BP320" i="10"/>
  <c r="AW363" i="10"/>
  <c r="CI375" i="10"/>
  <c r="CH375" i="10"/>
  <c r="BP407" i="10"/>
  <c r="BQ407" i="10"/>
  <c r="W435" i="10"/>
  <c r="AV435" i="10"/>
  <c r="W443" i="10"/>
  <c r="AV443" i="10"/>
  <c r="W445" i="10"/>
  <c r="AV481" i="10"/>
  <c r="W481" i="10"/>
  <c r="CI487" i="10"/>
  <c r="CH487" i="10"/>
  <c r="BQ494" i="10"/>
  <c r="BP494" i="10"/>
  <c r="CI511" i="10"/>
  <c r="CH511" i="10"/>
  <c r="AW284" i="10"/>
  <c r="AW309" i="10"/>
  <c r="AW327" i="10"/>
  <c r="AW349" i="10"/>
  <c r="W349" i="10"/>
  <c r="W352" i="10"/>
  <c r="AV352" i="10"/>
  <c r="AW357" i="10"/>
  <c r="W357" i="10"/>
  <c r="CH364" i="10"/>
  <c r="CI364" i="10"/>
  <c r="AW386" i="10"/>
  <c r="W386" i="10"/>
  <c r="AV386" i="10"/>
  <c r="AW397" i="10"/>
  <c r="CH397" i="10"/>
  <c r="CI397" i="10"/>
  <c r="W403" i="10"/>
  <c r="AW403" i="10"/>
  <c r="W424" i="10"/>
  <c r="W428" i="10"/>
  <c r="AW437" i="10"/>
  <c r="W437" i="10"/>
  <c r="AV437" i="10"/>
  <c r="W452" i="10"/>
  <c r="AW452" i="10"/>
  <c r="AV452" i="10"/>
  <c r="CI467" i="10"/>
  <c r="CH467" i="10"/>
  <c r="W504" i="10"/>
  <c r="AW504" i="10"/>
  <c r="AV504" i="10"/>
  <c r="CH372" i="10"/>
  <c r="CI372" i="10"/>
  <c r="AW410" i="10"/>
  <c r="W410" i="10"/>
  <c r="AV410" i="10"/>
  <c r="BQ424" i="10"/>
  <c r="BP424" i="10"/>
  <c r="CI430" i="10"/>
  <c r="CH430" i="10"/>
  <c r="AW431" i="10"/>
  <c r="W431" i="10"/>
  <c r="AV431" i="10"/>
  <c r="CI451" i="10"/>
  <c r="CH451" i="10"/>
  <c r="AV473" i="10"/>
  <c r="W473" i="10"/>
  <c r="AW473" i="10"/>
  <c r="BQ507" i="10"/>
  <c r="BP507" i="10"/>
  <c r="AW226" i="10"/>
  <c r="AW292" i="10"/>
  <c r="AW305" i="10"/>
  <c r="CH343" i="10"/>
  <c r="AV347" i="10"/>
  <c r="BQ348" i="10"/>
  <c r="AV350" i="10"/>
  <c r="AW350" i="10"/>
  <c r="BP355" i="10"/>
  <c r="AV358" i="10"/>
  <c r="AW358" i="10"/>
  <c r="AV365" i="10"/>
  <c r="AW373" i="10"/>
  <c r="AV373" i="10"/>
  <c r="BQ379" i="10"/>
  <c r="BP380" i="10"/>
  <c r="BQ380" i="10"/>
  <c r="AV383" i="10"/>
  <c r="W389" i="10"/>
  <c r="AW389" i="10"/>
  <c r="BP390" i="10"/>
  <c r="CI393" i="10"/>
  <c r="BP401" i="10"/>
  <c r="BP408" i="10"/>
  <c r="CH414" i="10"/>
  <c r="AW415" i="10"/>
  <c r="W415" i="10"/>
  <c r="AV415" i="10"/>
  <c r="W427" i="10"/>
  <c r="AV427" i="10"/>
  <c r="BQ433" i="10"/>
  <c r="W457" i="10"/>
  <c r="AW457" i="10"/>
  <c r="AV457" i="10"/>
  <c r="W460" i="10"/>
  <c r="AW460" i="10"/>
  <c r="AV460" i="10"/>
  <c r="CH492" i="10"/>
  <c r="W496" i="10"/>
  <c r="AW496" i="10"/>
  <c r="AV496" i="10"/>
  <c r="AV249" i="10"/>
  <c r="W255" i="10"/>
  <c r="BQ311" i="10"/>
  <c r="BQ314" i="10"/>
  <c r="W317" i="10"/>
  <c r="CI320" i="10"/>
  <c r="AW326" i="10"/>
  <c r="BP329" i="10"/>
  <c r="BQ356" i="10"/>
  <c r="AW374" i="10"/>
  <c r="CI383" i="10"/>
  <c r="BP385" i="10"/>
  <c r="BQ385" i="10"/>
  <c r="AV389" i="10"/>
  <c r="W395" i="10"/>
  <c r="AW395" i="10"/>
  <c r="CI399" i="10"/>
  <c r="BP409" i="10"/>
  <c r="BQ417" i="10"/>
  <c r="BQ425" i="10"/>
  <c r="AW427" i="10"/>
  <c r="BP434" i="10"/>
  <c r="BQ434" i="10"/>
  <c r="BQ435" i="10"/>
  <c r="BP435" i="10"/>
  <c r="CH438" i="10"/>
  <c r="AV445" i="10"/>
  <c r="CH445" i="10"/>
  <c r="CI445" i="10"/>
  <c r="BQ455" i="10"/>
  <c r="BP466" i="10"/>
  <c r="W476" i="10"/>
  <c r="AW476" i="10"/>
  <c r="CI484" i="10"/>
  <c r="CH484" i="10"/>
  <c r="CH495" i="10"/>
  <c r="BQ499" i="10"/>
  <c r="BP499" i="10"/>
  <c r="BP522" i="10"/>
  <c r="W355" i="10"/>
  <c r="AW355" i="10"/>
  <c r="W365" i="10"/>
  <c r="W369" i="10"/>
  <c r="CH370" i="10"/>
  <c r="CI370" i="10"/>
  <c r="W408" i="10"/>
  <c r="AV408" i="10"/>
  <c r="BQ502" i="10"/>
  <c r="BP502" i="10"/>
  <c r="CI516" i="10"/>
  <c r="CH516" i="10"/>
  <c r="W412" i="10"/>
  <c r="AV488" i="10"/>
  <c r="AV493" i="10"/>
  <c r="BP497" i="10"/>
  <c r="AV501" i="10"/>
  <c r="BP505" i="10"/>
  <c r="AV509" i="10"/>
  <c r="BP510" i="10"/>
  <c r="AV512" i="10"/>
  <c r="BP515" i="10"/>
  <c r="CH519" i="10"/>
  <c r="AW512" i="10"/>
  <c r="BP523" i="10"/>
  <c r="AW381" i="10"/>
  <c r="AW440" i="10"/>
  <c r="CH457" i="10"/>
  <c r="BP459" i="10"/>
  <c r="CH471" i="10"/>
  <c r="AV477" i="10"/>
  <c r="BP478" i="10"/>
  <c r="AV480" i="10"/>
  <c r="BQ487" i="10"/>
  <c r="CH488" i="10"/>
  <c r="AV491" i="10"/>
  <c r="CI493" i="10"/>
  <c r="W498" i="10"/>
  <c r="AV499" i="10"/>
  <c r="CI501" i="10"/>
  <c r="W506" i="10"/>
  <c r="AV507" i="10"/>
  <c r="CI509" i="10"/>
  <c r="BQ511" i="10"/>
  <c r="BP521" i="10"/>
  <c r="AW441" i="10"/>
  <c r="BQ442" i="10"/>
  <c r="BP473" i="10"/>
  <c r="CI477" i="10"/>
  <c r="AW489" i="10"/>
  <c r="AV492" i="10"/>
  <c r="AV500" i="10"/>
  <c r="AV508" i="10"/>
  <c r="AW513" i="10"/>
  <c r="AV523" i="10"/>
  <c r="S43" i="9"/>
  <c r="Q39" i="11" s="1"/>
  <c r="Q43" i="9"/>
  <c r="O39" i="11" s="1"/>
  <c r="X10" i="10"/>
  <c r="Q46" i="11" s="1"/>
  <c r="AV417" i="10"/>
  <c r="W417" i="10"/>
  <c r="AW417" i="10"/>
  <c r="CI448" i="10"/>
  <c r="CH448" i="10"/>
  <c r="CI458" i="10"/>
  <c r="CH458" i="10"/>
  <c r="W459" i="10"/>
  <c r="AW459" i="10"/>
  <c r="AV459" i="10"/>
  <c r="CI240" i="10"/>
  <c r="CH240" i="10"/>
  <c r="W250" i="10"/>
  <c r="AV250" i="10"/>
  <c r="AW250" i="10"/>
  <c r="AV24" i="10"/>
  <c r="CH28" i="10"/>
  <c r="BP30" i="10"/>
  <c r="AV32" i="10"/>
  <c r="AW33" i="10"/>
  <c r="W34" i="10"/>
  <c r="CH36" i="10"/>
  <c r="BP38" i="10"/>
  <c r="AV40" i="10"/>
  <c r="AW41" i="10"/>
  <c r="CH44" i="10"/>
  <c r="BP46" i="10"/>
  <c r="AV48" i="10"/>
  <c r="CH52" i="10"/>
  <c r="BP54" i="10"/>
  <c r="AV56" i="10"/>
  <c r="CH60" i="10"/>
  <c r="BP62" i="10"/>
  <c r="AV64" i="10"/>
  <c r="CH68" i="10"/>
  <c r="BP70" i="10"/>
  <c r="AV72" i="10"/>
  <c r="W74" i="10"/>
  <c r="CH76" i="10"/>
  <c r="BP78" i="10"/>
  <c r="AV80" i="10"/>
  <c r="CH81" i="10"/>
  <c r="BQ85" i="10"/>
  <c r="AV87" i="10"/>
  <c r="W87" i="10"/>
  <c r="W101" i="10"/>
  <c r="AW101" i="10"/>
  <c r="AV101" i="10"/>
  <c r="CI113" i="10"/>
  <c r="CH113" i="10"/>
  <c r="CI129" i="10"/>
  <c r="CH129" i="10"/>
  <c r="BQ139" i="10"/>
  <c r="BP139" i="10"/>
  <c r="CI145" i="10"/>
  <c r="CH145" i="10"/>
  <c r="W157" i="10"/>
  <c r="AW157" i="10"/>
  <c r="AV157" i="10"/>
  <c r="BQ231" i="10"/>
  <c r="BP231" i="10"/>
  <c r="CI232" i="10"/>
  <c r="CH232" i="10"/>
  <c r="W233" i="10"/>
  <c r="AW233" i="10"/>
  <c r="AV233" i="10"/>
  <c r="BQ234" i="10"/>
  <c r="BP234" i="10"/>
  <c r="CI137" i="10"/>
  <c r="CH137" i="10"/>
  <c r="BQ194" i="10"/>
  <c r="BP194" i="10"/>
  <c r="I2" i="2"/>
  <c r="I28" i="2" s="1"/>
  <c r="AC33" i="9"/>
  <c r="CH27" i="10"/>
  <c r="BP29" i="10"/>
  <c r="AV31" i="10"/>
  <c r="AW32" i="10"/>
  <c r="CH35" i="10"/>
  <c r="BP37" i="10"/>
  <c r="AV39" i="10"/>
  <c r="AW40" i="10"/>
  <c r="CH43" i="10"/>
  <c r="BP45" i="10"/>
  <c r="AV47" i="10"/>
  <c r="AW48" i="10"/>
  <c r="CH51" i="10"/>
  <c r="BP53" i="10"/>
  <c r="AV55" i="10"/>
  <c r="AW56" i="10"/>
  <c r="CH59" i="10"/>
  <c r="BP61" i="10"/>
  <c r="AV63" i="10"/>
  <c r="AW64" i="10"/>
  <c r="CH67" i="10"/>
  <c r="BP69" i="10"/>
  <c r="AV71" i="10"/>
  <c r="AW72" i="10"/>
  <c r="CH75" i="10"/>
  <c r="BP77" i="10"/>
  <c r="AV79" i="10"/>
  <c r="AW80" i="10"/>
  <c r="AW87" i="10"/>
  <c r="CI89" i="10"/>
  <c r="CH89" i="10"/>
  <c r="CI91" i="10"/>
  <c r="BQ107" i="10"/>
  <c r="BP107" i="10"/>
  <c r="BQ115" i="10"/>
  <c r="BP115" i="10"/>
  <c r="BQ123" i="10"/>
  <c r="BP123" i="10"/>
  <c r="W141" i="10"/>
  <c r="AW141" i="10"/>
  <c r="AV141" i="10"/>
  <c r="AW220" i="10"/>
  <c r="AV220" i="10"/>
  <c r="W220" i="10"/>
  <c r="BQ83" i="10"/>
  <c r="BP83" i="10"/>
  <c r="BQ93" i="10"/>
  <c r="AV95" i="10"/>
  <c r="W95" i="10"/>
  <c r="W109" i="10"/>
  <c r="AW109" i="10"/>
  <c r="AV109" i="10"/>
  <c r="W117" i="10"/>
  <c r="AW117" i="10"/>
  <c r="AV117" i="10"/>
  <c r="W125" i="10"/>
  <c r="AW125" i="10"/>
  <c r="AV125" i="10"/>
  <c r="BQ131" i="10"/>
  <c r="BP131" i="10"/>
  <c r="BQ147" i="10"/>
  <c r="BP147" i="10"/>
  <c r="CI161" i="10"/>
  <c r="CH161" i="10"/>
  <c r="AW169" i="10"/>
  <c r="W169" i="10"/>
  <c r="AV169" i="10"/>
  <c r="AW181" i="10"/>
  <c r="W181" i="10"/>
  <c r="AV181" i="10"/>
  <c r="J2" i="2"/>
  <c r="J28" i="2" s="1"/>
  <c r="CI80" i="10"/>
  <c r="CH80" i="10"/>
  <c r="W85" i="10"/>
  <c r="AW85" i="10"/>
  <c r="AV85" i="10"/>
  <c r="W133" i="10"/>
  <c r="AW133" i="10"/>
  <c r="AV133" i="10"/>
  <c r="W166" i="10"/>
  <c r="AW166" i="10"/>
  <c r="AV166" i="10"/>
  <c r="W174" i="10"/>
  <c r="AW174" i="10"/>
  <c r="AV174" i="10"/>
  <c r="BP42" i="10"/>
  <c r="AV44" i="10"/>
  <c r="CH48" i="10"/>
  <c r="BP50" i="10"/>
  <c r="AV52" i="10"/>
  <c r="CH56" i="10"/>
  <c r="BP58" i="10"/>
  <c r="AV60" i="10"/>
  <c r="CH64" i="10"/>
  <c r="BP66" i="10"/>
  <c r="AV68" i="10"/>
  <c r="CH72" i="10"/>
  <c r="BP74" i="10"/>
  <c r="AV76" i="10"/>
  <c r="BQ91" i="10"/>
  <c r="BP91" i="10"/>
  <c r="CI97" i="10"/>
  <c r="CH97" i="10"/>
  <c r="CI99" i="10"/>
  <c r="W149" i="10"/>
  <c r="AW149" i="10"/>
  <c r="AV149" i="10"/>
  <c r="CI153" i="10"/>
  <c r="CH153" i="10"/>
  <c r="BQ207" i="10"/>
  <c r="BP207" i="10"/>
  <c r="BQ99" i="10"/>
  <c r="BP99" i="10"/>
  <c r="CI121" i="10"/>
  <c r="CH121" i="10"/>
  <c r="BP25" i="10"/>
  <c r="AV27" i="10"/>
  <c r="AW28" i="10"/>
  <c r="CH31" i="10"/>
  <c r="BP33" i="10"/>
  <c r="AV35" i="10"/>
  <c r="AW36" i="10"/>
  <c r="CH39" i="10"/>
  <c r="BP41" i="10"/>
  <c r="AV43" i="10"/>
  <c r="AW44" i="10"/>
  <c r="CH47" i="10"/>
  <c r="BP49" i="10"/>
  <c r="AV51" i="10"/>
  <c r="AW52" i="10"/>
  <c r="CH55" i="10"/>
  <c r="AV59" i="10"/>
  <c r="AW60" i="10"/>
  <c r="CH63" i="10"/>
  <c r="BP65" i="10"/>
  <c r="AV67" i="10"/>
  <c r="AW68" i="10"/>
  <c r="CH71" i="10"/>
  <c r="BP73" i="10"/>
  <c r="AV75" i="10"/>
  <c r="AW76" i="10"/>
  <c r="CH79" i="10"/>
  <c r="AV81" i="10"/>
  <c r="W93" i="10"/>
  <c r="AW93" i="10"/>
  <c r="AV93" i="10"/>
  <c r="BQ101" i="10"/>
  <c r="CH184" i="10"/>
  <c r="CI184" i="10"/>
  <c r="CI105" i="10"/>
  <c r="CH105" i="10"/>
  <c r="AV103" i="10"/>
  <c r="W103" i="10"/>
  <c r="BQ155" i="10"/>
  <c r="BP155" i="10"/>
  <c r="BQ168" i="10"/>
  <c r="BP168" i="10"/>
  <c r="W111" i="10"/>
  <c r="W119" i="10"/>
  <c r="AW126" i="10"/>
  <c r="W127" i="10"/>
  <c r="AW134" i="10"/>
  <c r="W135" i="10"/>
  <c r="W143" i="10"/>
  <c r="W151" i="10"/>
  <c r="W159" i="10"/>
  <c r="W185" i="10"/>
  <c r="AW185" i="10"/>
  <c r="CI188" i="10"/>
  <c r="CH188" i="10"/>
  <c r="W189" i="10"/>
  <c r="AW189" i="10"/>
  <c r="AW204" i="10"/>
  <c r="AV204" i="10"/>
  <c r="CI208" i="10"/>
  <c r="CH208" i="10"/>
  <c r="W209" i="10"/>
  <c r="AW209" i="10"/>
  <c r="BP82" i="10"/>
  <c r="AV84" i="10"/>
  <c r="CH88" i="10"/>
  <c r="BP90" i="10"/>
  <c r="AV92" i="10"/>
  <c r="CH96" i="10"/>
  <c r="BP98" i="10"/>
  <c r="AV100" i="10"/>
  <c r="CH104" i="10"/>
  <c r="BP106" i="10"/>
  <c r="AV108" i="10"/>
  <c r="CH112" i="10"/>
  <c r="BP114" i="10"/>
  <c r="AV116" i="10"/>
  <c r="CH120" i="10"/>
  <c r="BP122" i="10"/>
  <c r="AV124" i="10"/>
  <c r="CH128" i="10"/>
  <c r="BP130" i="10"/>
  <c r="AV132" i="10"/>
  <c r="CH136" i="10"/>
  <c r="BP138" i="10"/>
  <c r="AV140" i="10"/>
  <c r="CH144" i="10"/>
  <c r="BQ182" i="10"/>
  <c r="BP182" i="10"/>
  <c r="BQ190" i="10"/>
  <c r="BP190" i="10"/>
  <c r="W200" i="10"/>
  <c r="AW200" i="10"/>
  <c r="AV200" i="10"/>
  <c r="BQ210" i="10"/>
  <c r="BP210" i="10"/>
  <c r="AW228" i="10"/>
  <c r="AV228" i="10"/>
  <c r="CI247" i="10"/>
  <c r="CH247" i="10"/>
  <c r="CI270" i="10"/>
  <c r="CH270" i="10"/>
  <c r="BQ272" i="10"/>
  <c r="BP272" i="10"/>
  <c r="AV139" i="10"/>
  <c r="AV147" i="10"/>
  <c r="AV155" i="10"/>
  <c r="CI164" i="10"/>
  <c r="BQ170" i="10"/>
  <c r="CI172" i="10"/>
  <c r="AW176" i="10"/>
  <c r="AV176" i="10"/>
  <c r="BQ186" i="10"/>
  <c r="CI204" i="10"/>
  <c r="CH204" i="10"/>
  <c r="CI213" i="10"/>
  <c r="CH213" i="10"/>
  <c r="AW196" i="10"/>
  <c r="AV196" i="10"/>
  <c r="CI200" i="10"/>
  <c r="CH200" i="10"/>
  <c r="W201" i="10"/>
  <c r="AW201" i="10"/>
  <c r="BQ206" i="10"/>
  <c r="BP206" i="10"/>
  <c r="BQ215" i="10"/>
  <c r="BP215" i="10"/>
  <c r="CI216" i="10"/>
  <c r="CH216" i="10"/>
  <c r="W217" i="10"/>
  <c r="AW217" i="10"/>
  <c r="AV217" i="10"/>
  <c r="BQ218" i="10"/>
  <c r="BP218" i="10"/>
  <c r="AW236" i="10"/>
  <c r="AV236" i="10"/>
  <c r="BQ237" i="10"/>
  <c r="BP237" i="10"/>
  <c r="AV89" i="10"/>
  <c r="AV97" i="10"/>
  <c r="AV105" i="10"/>
  <c r="AV113" i="10"/>
  <c r="AV121" i="10"/>
  <c r="AV129" i="10"/>
  <c r="AV137" i="10"/>
  <c r="AV145" i="10"/>
  <c r="AV153" i="10"/>
  <c r="AV161" i="10"/>
  <c r="AV165" i="10"/>
  <c r="AV170" i="10"/>
  <c r="AV173" i="10"/>
  <c r="BP179" i="10"/>
  <c r="AW180" i="10"/>
  <c r="CH185" i="10"/>
  <c r="AV186" i="10"/>
  <c r="CH189" i="10"/>
  <c r="W192" i="10"/>
  <c r="AW192" i="10"/>
  <c r="AV192" i="10"/>
  <c r="AV201" i="10"/>
  <c r="BQ202" i="10"/>
  <c r="BP202" i="10"/>
  <c r="CI221" i="10"/>
  <c r="CH221" i="10"/>
  <c r="W228" i="10"/>
  <c r="W299" i="10"/>
  <c r="AW299" i="10"/>
  <c r="AV299" i="10"/>
  <c r="W177" i="10"/>
  <c r="AW177" i="10"/>
  <c r="AW184" i="10"/>
  <c r="AV184" i="10"/>
  <c r="CI196" i="10"/>
  <c r="CH196" i="10"/>
  <c r="AW212" i="10"/>
  <c r="AV212" i="10"/>
  <c r="BQ223" i="10"/>
  <c r="BP223" i="10"/>
  <c r="CI224" i="10"/>
  <c r="CH224" i="10"/>
  <c r="W225" i="10"/>
  <c r="AW225" i="10"/>
  <c r="AV225" i="10"/>
  <c r="BQ226" i="10"/>
  <c r="BP226" i="10"/>
  <c r="CI239" i="10"/>
  <c r="CH239" i="10"/>
  <c r="BQ241" i="10"/>
  <c r="BP241" i="10"/>
  <c r="W165" i="10"/>
  <c r="BQ166" i="10"/>
  <c r="CI168" i="10"/>
  <c r="W173" i="10"/>
  <c r="BQ174" i="10"/>
  <c r="AV177" i="10"/>
  <c r="W180" i="10"/>
  <c r="CI180" i="10"/>
  <c r="CH180" i="10"/>
  <c r="BP183" i="10"/>
  <c r="AW188" i="10"/>
  <c r="AV188" i="10"/>
  <c r="BP191" i="10"/>
  <c r="CI192" i="10"/>
  <c r="CH192" i="10"/>
  <c r="W193" i="10"/>
  <c r="AW193" i="10"/>
  <c r="W196" i="10"/>
  <c r="BQ198" i="10"/>
  <c r="BP198" i="10"/>
  <c r="CH205" i="10"/>
  <c r="W208" i="10"/>
  <c r="AW208" i="10"/>
  <c r="AV208" i="10"/>
  <c r="CI229" i="10"/>
  <c r="CH229" i="10"/>
  <c r="W236" i="10"/>
  <c r="CI287" i="10"/>
  <c r="CH287" i="10"/>
  <c r="W248" i="10"/>
  <c r="AW248" i="10"/>
  <c r="W259" i="10"/>
  <c r="AW259" i="10"/>
  <c r="W274" i="10"/>
  <c r="AW274" i="10"/>
  <c r="AV274" i="10"/>
  <c r="BQ304" i="10"/>
  <c r="BP304" i="10"/>
  <c r="W315" i="10"/>
  <c r="AW315" i="10"/>
  <c r="AW333" i="10"/>
  <c r="W333" i="10"/>
  <c r="AV377" i="10"/>
  <c r="W377" i="10"/>
  <c r="AW377" i="10"/>
  <c r="BP426" i="10"/>
  <c r="BQ426" i="10"/>
  <c r="BP447" i="10"/>
  <c r="BQ447" i="10"/>
  <c r="CH212" i="10"/>
  <c r="BP214" i="10"/>
  <c r="AV216" i="10"/>
  <c r="CH220" i="10"/>
  <c r="BP222" i="10"/>
  <c r="AV224" i="10"/>
  <c r="CH228" i="10"/>
  <c r="BP230" i="10"/>
  <c r="AV232" i="10"/>
  <c r="CH236" i="10"/>
  <c r="CI238" i="10"/>
  <c r="BQ245" i="10"/>
  <c r="BP245" i="10"/>
  <c r="AV248" i="10"/>
  <c r="AV259" i="10"/>
  <c r="CH263" i="10"/>
  <c r="BP265" i="10"/>
  <c r="CI278" i="10"/>
  <c r="CH278" i="10"/>
  <c r="BQ280" i="10"/>
  <c r="BP280" i="10"/>
  <c r="BP289" i="10"/>
  <c r="CI294" i="10"/>
  <c r="CH294" i="10"/>
  <c r="W306" i="10"/>
  <c r="AW306" i="10"/>
  <c r="AV306" i="10"/>
  <c r="AV315" i="10"/>
  <c r="AV324" i="10"/>
  <c r="W324" i="10"/>
  <c r="AW324" i="10"/>
  <c r="AV333" i="10"/>
  <c r="AW216" i="10"/>
  <c r="AW224" i="10"/>
  <c r="AW232" i="10"/>
  <c r="AW239" i="10"/>
  <c r="AV239" i="10"/>
  <c r="W242" i="10"/>
  <c r="W267" i="10"/>
  <c r="AW267" i="10"/>
  <c r="W282" i="10"/>
  <c r="AW282" i="10"/>
  <c r="AV282" i="10"/>
  <c r="W291" i="10"/>
  <c r="AW291" i="10"/>
  <c r="BQ296" i="10"/>
  <c r="BP296" i="10"/>
  <c r="CI254" i="10"/>
  <c r="CH254" i="10"/>
  <c r="BQ256" i="10"/>
  <c r="BP256" i="10"/>
  <c r="W298" i="10"/>
  <c r="AW298" i="10"/>
  <c r="AV298" i="10"/>
  <c r="CI310" i="10"/>
  <c r="CH310" i="10"/>
  <c r="W322" i="10"/>
  <c r="AW322" i="10"/>
  <c r="CI252" i="10"/>
  <c r="CH252" i="10"/>
  <c r="W258" i="10"/>
  <c r="AW258" i="10"/>
  <c r="AV258" i="10"/>
  <c r="W275" i="10"/>
  <c r="AW275" i="10"/>
  <c r="CI286" i="10"/>
  <c r="CH286" i="10"/>
  <c r="BP305" i="10"/>
  <c r="BQ312" i="10"/>
  <c r="BP312" i="10"/>
  <c r="W314" i="10"/>
  <c r="AW314" i="10"/>
  <c r="AV314" i="10"/>
  <c r="BQ319" i="10"/>
  <c r="BP319" i="10"/>
  <c r="AV322" i="10"/>
  <c r="AW197" i="10"/>
  <c r="AW205" i="10"/>
  <c r="AW213" i="10"/>
  <c r="AW221" i="10"/>
  <c r="AW229" i="10"/>
  <c r="W239" i="10"/>
  <c r="W240" i="10"/>
  <c r="AW240" i="10"/>
  <c r="AW247" i="10"/>
  <c r="AV247" i="10"/>
  <c r="BP250" i="10"/>
  <c r="CI262" i="10"/>
  <c r="CH262" i="10"/>
  <c r="BQ264" i="10"/>
  <c r="BP264" i="10"/>
  <c r="AV275" i="10"/>
  <c r="CH279" i="10"/>
  <c r="BP281" i="10"/>
  <c r="BQ288" i="10"/>
  <c r="BP288" i="10"/>
  <c r="W307" i="10"/>
  <c r="AW307" i="10"/>
  <c r="W243" i="10"/>
  <c r="CI243" i="10"/>
  <c r="CH243" i="10"/>
  <c r="W266" i="10"/>
  <c r="AW266" i="10"/>
  <c r="AV266" i="10"/>
  <c r="W283" i="10"/>
  <c r="AW283" i="10"/>
  <c r="W290" i="10"/>
  <c r="AW290" i="10"/>
  <c r="AV290" i="10"/>
  <c r="CI302" i="10"/>
  <c r="CH302" i="10"/>
  <c r="W325" i="10"/>
  <c r="CI325" i="10"/>
  <c r="CH325" i="10"/>
  <c r="BQ328" i="10"/>
  <c r="BP328" i="10"/>
  <c r="W332" i="10"/>
  <c r="AV332" i="10"/>
  <c r="CI368" i="10"/>
  <c r="CH368" i="10"/>
  <c r="BQ370" i="10"/>
  <c r="BP370" i="10"/>
  <c r="CH392" i="10"/>
  <c r="CI392" i="10"/>
  <c r="AV398" i="10"/>
  <c r="W398" i="10"/>
  <c r="AW398" i="10"/>
  <c r="AV313" i="10"/>
  <c r="CH318" i="10"/>
  <c r="BP323" i="10"/>
  <c r="AV326" i="10"/>
  <c r="W330" i="10"/>
  <c r="AW330" i="10"/>
  <c r="AV330" i="10"/>
  <c r="AW332" i="10"/>
  <c r="AV334" i="10"/>
  <c r="W372" i="10"/>
  <c r="AW372" i="10"/>
  <c r="AV372" i="10"/>
  <c r="CH442" i="10"/>
  <c r="CI442" i="10"/>
  <c r="BP254" i="10"/>
  <c r="AV256" i="10"/>
  <c r="CH260" i="10"/>
  <c r="BP262" i="10"/>
  <c r="AV264" i="10"/>
  <c r="CH268" i="10"/>
  <c r="BP270" i="10"/>
  <c r="AV272" i="10"/>
  <c r="CH276" i="10"/>
  <c r="BP278" i="10"/>
  <c r="AV280" i="10"/>
  <c r="CH284" i="10"/>
  <c r="CI360" i="10"/>
  <c r="CH360" i="10"/>
  <c r="BQ362" i="10"/>
  <c r="BP362" i="10"/>
  <c r="BQ376" i="10"/>
  <c r="BP376" i="10"/>
  <c r="CH418" i="10"/>
  <c r="CI418" i="10"/>
  <c r="CH251" i="10"/>
  <c r="BP253" i="10"/>
  <c r="AV255" i="10"/>
  <c r="AW256" i="10"/>
  <c r="CH259" i="10"/>
  <c r="BP261" i="10"/>
  <c r="AV263" i="10"/>
  <c r="AW264" i="10"/>
  <c r="CH267" i="10"/>
  <c r="BP269" i="10"/>
  <c r="AV271" i="10"/>
  <c r="AW272" i="10"/>
  <c r="CH275" i="10"/>
  <c r="BP277" i="10"/>
  <c r="AV279" i="10"/>
  <c r="AW280" i="10"/>
  <c r="CH283" i="10"/>
  <c r="BP285" i="10"/>
  <c r="AV287" i="10"/>
  <c r="AW288" i="10"/>
  <c r="CH291" i="10"/>
  <c r="BP293" i="10"/>
  <c r="AV295" i="10"/>
  <c r="AW296" i="10"/>
  <c r="CH299" i="10"/>
  <c r="BP301" i="10"/>
  <c r="AV303" i="10"/>
  <c r="CH307" i="10"/>
  <c r="BP309" i="10"/>
  <c r="AV311" i="10"/>
  <c r="AW321" i="10"/>
  <c r="AV321" i="10"/>
  <c r="BQ327" i="10"/>
  <c r="BP327" i="10"/>
  <c r="CH330" i="10"/>
  <c r="BP331" i="10"/>
  <c r="CI336" i="10"/>
  <c r="CH336" i="10"/>
  <c r="BQ338" i="10"/>
  <c r="BP338" i="10"/>
  <c r="CI344" i="10"/>
  <c r="CH344" i="10"/>
  <c r="BQ346" i="10"/>
  <c r="BP346" i="10"/>
  <c r="W364" i="10"/>
  <c r="AW364" i="10"/>
  <c r="AV364" i="10"/>
  <c r="CH381" i="10"/>
  <c r="CI381" i="10"/>
  <c r="CI317" i="10"/>
  <c r="CH317" i="10"/>
  <c r="W340" i="10"/>
  <c r="AW340" i="10"/>
  <c r="AV340" i="10"/>
  <c r="W348" i="10"/>
  <c r="AW348" i="10"/>
  <c r="AV348" i="10"/>
  <c r="CI352" i="10"/>
  <c r="CH352" i="10"/>
  <c r="BQ354" i="10"/>
  <c r="BP354" i="10"/>
  <c r="CI406" i="10"/>
  <c r="CH406" i="10"/>
  <c r="BP428" i="10"/>
  <c r="BQ428" i="10"/>
  <c r="AW434" i="10"/>
  <c r="W434" i="10"/>
  <c r="AV434" i="10"/>
  <c r="W356" i="10"/>
  <c r="AW356" i="10"/>
  <c r="AV356" i="10"/>
  <c r="W388" i="10"/>
  <c r="AW388" i="10"/>
  <c r="AV388" i="10"/>
  <c r="AW391" i="10"/>
  <c r="W391" i="10"/>
  <c r="AV391" i="10"/>
  <c r="BQ400" i="10"/>
  <c r="BP400" i="10"/>
  <c r="CI411" i="10"/>
  <c r="CH411" i="10"/>
  <c r="AW341" i="10"/>
  <c r="W342" i="10"/>
  <c r="W350" i="10"/>
  <c r="W358" i="10"/>
  <c r="W366" i="10"/>
  <c r="W374" i="10"/>
  <c r="W378" i="10"/>
  <c r="AW380" i="10"/>
  <c r="W418" i="10"/>
  <c r="AW439" i="10"/>
  <c r="W439" i="10"/>
  <c r="W442" i="10"/>
  <c r="AV414" i="10"/>
  <c r="W414" i="10"/>
  <c r="AW490" i="10"/>
  <c r="AV490" i="10"/>
  <c r="W490" i="10"/>
  <c r="CH334" i="10"/>
  <c r="BP336" i="10"/>
  <c r="AV338" i="10"/>
  <c r="CH342" i="10"/>
  <c r="BP344" i="10"/>
  <c r="AV346" i="10"/>
  <c r="CH350" i="10"/>
  <c r="BP352" i="10"/>
  <c r="AV354" i="10"/>
  <c r="CH358" i="10"/>
  <c r="BP360" i="10"/>
  <c r="AV362" i="10"/>
  <c r="CH366" i="10"/>
  <c r="BP368" i="10"/>
  <c r="AV370" i="10"/>
  <c r="CH374" i="10"/>
  <c r="BQ375" i="10"/>
  <c r="AV379" i="10"/>
  <c r="AW382" i="10"/>
  <c r="BP384" i="10"/>
  <c r="CI386" i="10"/>
  <c r="CH391" i="10"/>
  <c r="W396" i="10"/>
  <c r="BP397" i="10"/>
  <c r="BQ399" i="10"/>
  <c r="AV407" i="10"/>
  <c r="CI408" i="10"/>
  <c r="AW414" i="10"/>
  <c r="BP416" i="10"/>
  <c r="CH422" i="10"/>
  <c r="CH427" i="10"/>
  <c r="AW433" i="10"/>
  <c r="CI434" i="10"/>
  <c r="W436" i="10"/>
  <c r="BQ453" i="10"/>
  <c r="BP453" i="10"/>
  <c r="BQ456" i="10"/>
  <c r="BP456" i="10"/>
  <c r="CI470" i="10"/>
  <c r="CH470" i="10"/>
  <c r="W471" i="10"/>
  <c r="AW471" i="10"/>
  <c r="AV471" i="10"/>
  <c r="AW482" i="10"/>
  <c r="AV482" i="10"/>
  <c r="W482" i="10"/>
  <c r="AV329" i="10"/>
  <c r="CH333" i="10"/>
  <c r="BP335" i="10"/>
  <c r="AV337" i="10"/>
  <c r="AW338" i="10"/>
  <c r="CH341" i="10"/>
  <c r="BP343" i="10"/>
  <c r="AV345" i="10"/>
  <c r="AW346" i="10"/>
  <c r="CH349" i="10"/>
  <c r="BP351" i="10"/>
  <c r="AV353" i="10"/>
  <c r="AW354" i="10"/>
  <c r="CH357" i="10"/>
  <c r="BP359" i="10"/>
  <c r="AV361" i="10"/>
  <c r="AW362" i="10"/>
  <c r="CH365" i="10"/>
  <c r="BP367" i="10"/>
  <c r="AV369" i="10"/>
  <c r="AW370" i="10"/>
  <c r="CH373" i="10"/>
  <c r="BP378" i="10"/>
  <c r="AW379" i="10"/>
  <c r="BP381" i="10"/>
  <c r="AV387" i="10"/>
  <c r="AW390" i="10"/>
  <c r="BP392" i="10"/>
  <c r="CH398" i="10"/>
  <c r="CH403" i="10"/>
  <c r="AW409" i="10"/>
  <c r="CI410" i="10"/>
  <c r="BQ418" i="10"/>
  <c r="BQ420" i="10"/>
  <c r="AV426" i="10"/>
  <c r="AW428" i="10"/>
  <c r="CI429" i="10"/>
  <c r="AV430" i="10"/>
  <c r="W430" i="10"/>
  <c r="BP440" i="10"/>
  <c r="CH443" i="10"/>
  <c r="AW447" i="10"/>
  <c r="AV447" i="10"/>
  <c r="W447" i="10"/>
  <c r="AW466" i="10"/>
  <c r="AV466" i="10"/>
  <c r="W466" i="10"/>
  <c r="W382" i="10"/>
  <c r="BQ383" i="10"/>
  <c r="W385" i="10"/>
  <c r="AW387" i="10"/>
  <c r="BP389" i="10"/>
  <c r="W393" i="10"/>
  <c r="BQ394" i="10"/>
  <c r="BQ396" i="10"/>
  <c r="AV402" i="10"/>
  <c r="AW404" i="10"/>
  <c r="CI405" i="10"/>
  <c r="AV406" i="10"/>
  <c r="W406" i="10"/>
  <c r="W407" i="10"/>
  <c r="BP413" i="10"/>
  <c r="BQ415" i="10"/>
  <c r="AV423" i="10"/>
  <c r="CI424" i="10"/>
  <c r="AW430" i="10"/>
  <c r="BP432" i="10"/>
  <c r="BQ436" i="10"/>
  <c r="BQ445" i="10"/>
  <c r="BP445" i="10"/>
  <c r="CI463" i="10"/>
  <c r="CH463" i="10"/>
  <c r="BQ481" i="10"/>
  <c r="BP481" i="10"/>
  <c r="BQ465" i="10"/>
  <c r="BP465" i="10"/>
  <c r="AV378" i="10"/>
  <c r="CH379" i="10"/>
  <c r="BQ388" i="10"/>
  <c r="CH390" i="10"/>
  <c r="CH395" i="10"/>
  <c r="AW401" i="10"/>
  <c r="CI402" i="10"/>
  <c r="BQ410" i="10"/>
  <c r="BQ412" i="10"/>
  <c r="AV418" i="10"/>
  <c r="AW420" i="10"/>
  <c r="CI421" i="10"/>
  <c r="AV422" i="10"/>
  <c r="W422" i="10"/>
  <c r="BQ431" i="10"/>
  <c r="CH435" i="10"/>
  <c r="CI437" i="10"/>
  <c r="AV438" i="10"/>
  <c r="W438" i="10"/>
  <c r="AW438" i="10"/>
  <c r="BQ439" i="10"/>
  <c r="AV442" i="10"/>
  <c r="BQ444" i="10"/>
  <c r="AW446" i="10"/>
  <c r="BQ468" i="10"/>
  <c r="BP468" i="10"/>
  <c r="W446" i="10"/>
  <c r="BQ448" i="10"/>
  <c r="BP448" i="10"/>
  <c r="AW458" i="10"/>
  <c r="AV458" i="10"/>
  <c r="BP461" i="10"/>
  <c r="CI462" i="10"/>
  <c r="CH462" i="10"/>
  <c r="W463" i="10"/>
  <c r="AW463" i="10"/>
  <c r="AW474" i="10"/>
  <c r="AV474" i="10"/>
  <c r="BP477" i="10"/>
  <c r="CI478" i="10"/>
  <c r="CH478" i="10"/>
  <c r="W479" i="10"/>
  <c r="AW479" i="10"/>
  <c r="AW454" i="10"/>
  <c r="AV454" i="10"/>
  <c r="BQ464" i="10"/>
  <c r="BP464" i="10"/>
  <c r="BQ480" i="10"/>
  <c r="BP480" i="10"/>
  <c r="CI483" i="10"/>
  <c r="CH483" i="10"/>
  <c r="CI486" i="10"/>
  <c r="CH486" i="10"/>
  <c r="W487" i="10"/>
  <c r="AW487" i="10"/>
  <c r="AV487" i="10"/>
  <c r="BQ488" i="10"/>
  <c r="BP488" i="10"/>
  <c r="CI491" i="10"/>
  <c r="CH491" i="10"/>
  <c r="W495" i="10"/>
  <c r="AW495" i="10"/>
  <c r="AV495" i="10"/>
  <c r="CI499" i="10"/>
  <c r="CH499" i="10"/>
  <c r="W503" i="10"/>
  <c r="AW503" i="10"/>
  <c r="AV503" i="10"/>
  <c r="CI507" i="10"/>
  <c r="CH507" i="10"/>
  <c r="AW470" i="10"/>
  <c r="AV470" i="10"/>
  <c r="CI474" i="10"/>
  <c r="CH474" i="10"/>
  <c r="W475" i="10"/>
  <c r="AW475" i="10"/>
  <c r="BQ485" i="10"/>
  <c r="BP485" i="10"/>
  <c r="BQ493" i="10"/>
  <c r="BP493" i="10"/>
  <c r="BQ501" i="10"/>
  <c r="BP501" i="10"/>
  <c r="BQ509" i="10"/>
  <c r="BP509" i="10"/>
  <c r="W511" i="10"/>
  <c r="AW511" i="10"/>
  <c r="AV511" i="10"/>
  <c r="CI515" i="10"/>
  <c r="CH515" i="10"/>
  <c r="AW450" i="10"/>
  <c r="AV450" i="10"/>
  <c r="CI454" i="10"/>
  <c r="CH454" i="10"/>
  <c r="W455" i="10"/>
  <c r="AW455" i="10"/>
  <c r="W458" i="10"/>
  <c r="BQ460" i="10"/>
  <c r="BP460" i="10"/>
  <c r="W474" i="10"/>
  <c r="AV475" i="10"/>
  <c r="BQ476" i="10"/>
  <c r="BP476" i="10"/>
  <c r="CH479" i="10"/>
  <c r="BQ517" i="10"/>
  <c r="BP517" i="10"/>
  <c r="W519" i="10"/>
  <c r="AW519" i="10"/>
  <c r="AV519" i="10"/>
  <c r="CI523" i="10"/>
  <c r="CH523" i="10"/>
  <c r="CI450" i="10"/>
  <c r="CH450" i="10"/>
  <c r="W451" i="10"/>
  <c r="AW451" i="10"/>
  <c r="W470" i="10"/>
  <c r="BQ472" i="10"/>
  <c r="BP472" i="10"/>
  <c r="AV451" i="10"/>
  <c r="BQ452" i="10"/>
  <c r="BP452" i="10"/>
  <c r="CH455" i="10"/>
  <c r="CH459" i="10"/>
  <c r="AW462" i="10"/>
  <c r="AV462" i="10"/>
  <c r="CI466" i="10"/>
  <c r="CH466" i="10"/>
  <c r="W467" i="10"/>
  <c r="AW467" i="10"/>
  <c r="CH475" i="10"/>
  <c r="AW478" i="10"/>
  <c r="AV478" i="10"/>
  <c r="AW483" i="10"/>
  <c r="AW491" i="10"/>
  <c r="CH494" i="10"/>
  <c r="BP496" i="10"/>
  <c r="AV498" i="10"/>
  <c r="AW499" i="10"/>
  <c r="CH502" i="10"/>
  <c r="BP504" i="10"/>
  <c r="AV506" i="10"/>
  <c r="AW507" i="10"/>
  <c r="CH510" i="10"/>
  <c r="BP512" i="10"/>
  <c r="AV514" i="10"/>
  <c r="AW515" i="10"/>
  <c r="CH518" i="10"/>
  <c r="BP520" i="10"/>
  <c r="AV522" i="10"/>
  <c r="AW523" i="10"/>
  <c r="M66" i="21"/>
  <c r="J86" i="21"/>
  <c r="K86" i="21" s="1"/>
  <c r="M86" i="21" s="1"/>
  <c r="J68" i="21"/>
  <c r="K68" i="21" s="1"/>
  <c r="J89" i="21"/>
  <c r="K89" i="21" s="1"/>
  <c r="M89" i="21" s="1"/>
  <c r="J65" i="21"/>
  <c r="K65" i="21" s="1"/>
  <c r="M68" i="21"/>
  <c r="J87" i="21"/>
  <c r="K87" i="21" s="1"/>
  <c r="M87" i="21" s="1"/>
  <c r="CH482" i="10"/>
  <c r="BP484" i="10"/>
  <c r="AV486" i="10"/>
  <c r="CH490" i="10"/>
  <c r="BP492" i="10"/>
  <c r="AV494" i="10"/>
  <c r="CH498" i="10"/>
  <c r="BP500" i="10"/>
  <c r="AV502" i="10"/>
  <c r="CH506" i="10"/>
  <c r="BP508" i="10"/>
  <c r="AV510" i="10"/>
  <c r="CH514" i="10"/>
  <c r="BP516" i="10"/>
  <c r="AV518" i="10"/>
  <c r="CH522" i="10"/>
  <c r="AW486" i="10"/>
  <c r="AW494" i="10"/>
  <c r="AW502" i="10"/>
  <c r="J66" i="21"/>
  <c r="K66" i="21" s="1"/>
  <c r="C49" i="22"/>
  <c r="C50" i="22" s="1"/>
  <c r="S28" i="9"/>
  <c r="Q37" i="11" s="1"/>
  <c r="Q28" i="9"/>
  <c r="O37" i="11" s="1"/>
  <c r="O41" i="11" s="1"/>
  <c r="P73" i="8"/>
  <c r="T73" i="8"/>
  <c r="AL73" i="8"/>
  <c r="AP73" i="8"/>
  <c r="C21" i="22"/>
  <c r="AP18" i="8" l="1"/>
  <c r="AL18" i="8"/>
  <c r="AB18" i="8"/>
  <c r="M70" i="21"/>
  <c r="M72" i="21" s="1"/>
  <c r="M74" i="21" s="1"/>
  <c r="M77" i="21" s="1"/>
  <c r="O8" i="11"/>
  <c r="W10" i="9"/>
  <c r="AA10" i="9" s="1"/>
  <c r="X11" i="10"/>
  <c r="Q47" i="11" s="1"/>
  <c r="X12" i="10"/>
  <c r="Q48" i="11" s="1"/>
  <c r="X13" i="10"/>
  <c r="Q49" i="11" s="1"/>
  <c r="Q41" i="11"/>
  <c r="AA43" i="9"/>
  <c r="AC43" i="9"/>
  <c r="M98" i="21"/>
  <c r="M100" i="21" s="1"/>
  <c r="R100" i="21" s="1"/>
  <c r="E34" i="2"/>
  <c r="AA28" i="9"/>
  <c r="E31" i="2"/>
  <c r="AC28" i="9"/>
  <c r="M78" i="21" l="1"/>
  <c r="M76" i="21"/>
  <c r="Q51" i="11"/>
  <c r="Q43" i="11"/>
  <c r="M80" i="21" l="1"/>
  <c r="R80" i="21" s="1"/>
  <c r="Q53" i="11"/>
  <c r="N16" i="10" s="1"/>
  <c r="BE4" i="2" s="1"/>
  <c r="N15" i="10"/>
  <c r="BE3" i="2" s="1"/>
  <c r="P105" i="21" l="1"/>
  <c r="R105" i="21"/>
  <c r="BE11" i="2" s="1"/>
</calcChain>
</file>

<file path=xl/comments1.xml><?xml version="1.0" encoding="utf-8"?>
<comments xmlns="http://schemas.openxmlformats.org/spreadsheetml/2006/main">
  <authors>
    <author>Michiel Doeven</author>
    <author>Hans van der Steen</author>
  </authors>
  <commentList>
    <comment ref="BK2" authorId="0" shapeId="0">
      <text>
        <r>
          <rPr>
            <sz val="9"/>
            <color indexed="81"/>
            <rFont val="Tahoma"/>
            <family val="2"/>
          </rPr>
          <t>Deze ranges geven aan waar data staat. Dit wordt gebruikt in code om deze te wissen als gebruiker opnieuw wil beginnen</t>
        </r>
      </text>
    </comment>
    <comment ref="B8" authorId="1" shapeId="0">
      <text>
        <r>
          <rPr>
            <sz val="9"/>
            <color indexed="81"/>
            <rFont val="Tahoma"/>
            <family val="2"/>
          </rPr>
          <t xml:space="preserve">Deze 0 niet verwijderen (defaultvalue)
</t>
        </r>
      </text>
    </comment>
  </commentList>
</comments>
</file>

<file path=xl/sharedStrings.xml><?xml version="1.0" encoding="utf-8"?>
<sst xmlns="http://schemas.openxmlformats.org/spreadsheetml/2006/main" count="22667" uniqueCount="8502">
  <si>
    <t>Rekenhulp personele bekostiging</t>
  </si>
  <si>
    <t>Scherm 3_1</t>
  </si>
  <si>
    <t>Scherm 2</t>
  </si>
  <si>
    <t>Scherm 3_2</t>
  </si>
  <si>
    <t>Gemeentelijke subsidies</t>
  </si>
  <si>
    <t>Contractactiviteiten</t>
  </si>
  <si>
    <t>ESF-subsidies</t>
  </si>
  <si>
    <t>Scherm 1</t>
  </si>
  <si>
    <t>Geen data</t>
  </si>
  <si>
    <t>Scherm 3_3</t>
  </si>
  <si>
    <t>Scherm 4_1</t>
  </si>
  <si>
    <t>Beeindigingsdatum</t>
  </si>
  <si>
    <t>Loonkosten</t>
  </si>
  <si>
    <t>Persoon Aan/Uit</t>
  </si>
  <si>
    <t>Naam persoon</t>
  </si>
  <si>
    <t>Schaal</t>
  </si>
  <si>
    <t>Trede</t>
  </si>
  <si>
    <t>Uitloopschaal</t>
  </si>
  <si>
    <t>Werktijdfactor</t>
  </si>
  <si>
    <t xml:space="preserve">Toelage directeuren </t>
  </si>
  <si>
    <t>Participatiefonds</t>
  </si>
  <si>
    <t>Project:</t>
  </si>
  <si>
    <t>VUIST</t>
  </si>
  <si>
    <t>Deelproject:</t>
  </si>
  <si>
    <t>Reglementen</t>
  </si>
  <si>
    <t>Onderdeel:</t>
  </si>
  <si>
    <t>Rekentool Bekostiging</t>
  </si>
  <si>
    <t>Onderwerp:</t>
  </si>
  <si>
    <t>Uitleg Concepttool</t>
  </si>
  <si>
    <t>Dit is een concept Rekentool t.b.v. ontslagaanvragen o.b.v. de oude artikelen 7 (vast en tijdelijk) en 7a (tijdelijk)</t>
  </si>
  <si>
    <t>Dit tool omvat de volgende werkbladen die door de schoolbesturen kunnen worden ingevuld (de velden in blauw moeten worden ingevuld):</t>
  </si>
  <si>
    <t>-</t>
  </si>
  <si>
    <t>DUO_CFI</t>
  </si>
  <si>
    <t>In dit werkblad worden door het schoolbestuur een aantal bedragen ingevuld die kunnen worden overgenomen van de website DUO-CFI.nl</t>
  </si>
  <si>
    <t>Deze bedragen worden ingevuld in de kolommen N tm V</t>
  </si>
  <si>
    <t>Bijlage 1</t>
  </si>
  <si>
    <t>In dit werkblad worden door het schoolbestuur de relevante overige bekostingen opgevoerd.</t>
  </si>
  <si>
    <t xml:space="preserve">Hiervoor worden de kolommen K (naamgeving bekostiging),  Q en S (bedragen) gebruikt </t>
  </si>
  <si>
    <t>Bijlage 2</t>
  </si>
  <si>
    <t xml:space="preserve">In dit werkblad worden door het schoolbestuur de ontslaggegevens ingevuld. </t>
  </si>
  <si>
    <t>In de kolom H wordt de naam, onder K de datum beëindiging, in M de soort ontslag en in kolom N de Netto loonkosten op jaarbasis ingevuld.</t>
  </si>
  <si>
    <t>Door in de kolom M een "v" in te vullen, wordt het betreffende ontslag meegerekend in de ontslagruimte.</t>
  </si>
  <si>
    <t>De Netto ontslagvergoedingen v.w.b. de typen (T - tijdelijk, W - beëindiging met wederzijds goedvinden en V - ontslag uit vaste dienst) zijn zichtbaar binnen de omlijsting in kolom N (regels 10 tem 12)</t>
  </si>
  <si>
    <t>In het werkblad "Consolidatie" komt het resultaat van de aangevinkte ontslagen tot uiting en wordt meegenomen in het tonen van de validiteit van de aangevinkte ontslagen</t>
  </si>
  <si>
    <t>Consolidatie</t>
  </si>
  <si>
    <t>Dit werkblad consolideert alle gegevens uit voorgaande werkbladen in één overzicht, waarbij alle benodigde berekeningen</t>
  </si>
  <si>
    <t>(zoals toepassing van het deelpercentage van 65% voor Personeels- en arbeidsmarktbeleid) worden doorgevoerd.</t>
  </si>
  <si>
    <t>Het verschil (Bekostiging -  Ontslagen) tenslotte laat zien in hoeverre de ontslagen volgens opgave rechtmatig zijn (bedrag moet &lt;= 0 zijn)</t>
  </si>
  <si>
    <t>In bijlage 2 kan het resultaat van deze berekening worden beïnvloed door het al dan niet aanvinken van opgegegevn ontslagen.</t>
  </si>
  <si>
    <t>T.b.v. DUO-Upf zijn aan de verschillende werkbladen een aantal controle en correctiekolommen toegevoegd en er is een extra werkblad toegevoegd waarin het eindresultaat te zien is</t>
  </si>
  <si>
    <t>NB:</t>
  </si>
  <si>
    <t>Zeer waarschijnlijk is het gebruik onderstaande functionaliteit niet toegestaan omdat het waarschijnlijk om juridische redenen niet is toegestaan nog wijzingen aan te brengen op een ingevuld en ingediend document.</t>
  </si>
  <si>
    <t>Het definitieve tool mag deze functionaliteit waarschijnlijk niet bevatten; reden om deze in eerste instantie ook gewoon weg te laten</t>
  </si>
  <si>
    <t>Om deze controle- en correctiekolommen te kunnen openen moeten de beveiliging van de betreffende werkbladen worden verwijderd (Menu &gt; Controleren &gt; Beveiligen blad opheffen)</t>
  </si>
  <si>
    <t>In dit werkblad worden door het schoolbestuur een aantal bedragen ingevuld die allen kunnen worden overgenomen van de website DUO-CFI.nl</t>
  </si>
  <si>
    <t>Door te drukken op het plusje (+) boven in het werkblad worden een aantal extra kolommen zichtbaar voor controle en correctie</t>
  </si>
  <si>
    <t>Door in kolom S een "v" in te voeren worden de door het schoolbestuur ingevulde waarden geaccordeerd.</t>
  </si>
  <si>
    <t>Indien de ingevulde waarden niet correct zijn kunnen de correcte waarden in de kolommen V, X en Z worden ingevoerd.</t>
  </si>
  <si>
    <t>De kolommen AB, AD en AF tenslotte worden gebruikt voor de eindberekening (hierin zijn de geaccordeerde dan wel gecorrigeerde bedragen weergegeven).</t>
  </si>
  <si>
    <t>In dit werkblad wordendoor het schoolbestuur de relevante overige bekostingen opgevoerd.</t>
  </si>
  <si>
    <t>Door in kolom U een "v" in te voeren worden de door het schoolbestuur ingevulde waarden geaccordeerd.</t>
  </si>
  <si>
    <t>Indien de ingevulde waarden niet correct zijn kunnen de correcte waarden in de kolommen W en Y worden ingevoerd.</t>
  </si>
  <si>
    <t>De kolommen AA en AC tenslotte worden gebruikt voor de eindberekening (hierin zijn de geaccordeerde dan wel gecorrigeerde bedragen weergegeven).</t>
  </si>
  <si>
    <t>Door in kolom R een "v" in te voeren worden de door het schoolbestuur ingevulde waarden geaccordeerd.</t>
  </si>
  <si>
    <t>Indien de ingevulde waarden niet correct zijn kunnen de correcte waarden in de kolommen T en U worden ingevoerd.</t>
  </si>
  <si>
    <t>De Netto ontslagvergoedingen v.w.b. de typen (T - tijdelijk, W - beëindiging met wederzijds goedvinden en V - ontslag uit vaste dienst) zijn zichtbaar binnen de omlijsting in kolom X (regels 10 tem 12)</t>
  </si>
  <si>
    <t>Tenslotte is er nog een aantal werkblad in deze map:</t>
  </si>
  <si>
    <t>Vragen</t>
  </si>
  <si>
    <t>Waarin een aantal openstaande en beantwoorde vragen zijn verwoord (vervalt in het definitieve tool).(op dit moment geen courante vragen)</t>
  </si>
  <si>
    <t>1.</t>
  </si>
  <si>
    <t>Nee</t>
  </si>
  <si>
    <t>2.</t>
  </si>
  <si>
    <t>Rekentool Bekostiging - personeel</t>
  </si>
  <si>
    <t>Algoritmes</t>
  </si>
  <si>
    <t>a.</t>
  </si>
  <si>
    <t>Op tabblad DUO-CFI worden bedragen overgenomen die betrekking hebben op het betreffende schoolbestuurd en die op website van DUO-CFI zijn gepubliceerd.</t>
  </si>
  <si>
    <t>b.</t>
  </si>
  <si>
    <t>Op tabblad Bijlage 1: moeten onder 1. de Bijdragen van derden en onder 2. de inkomsten Zorgformatie volgens opgave Bestuur worden opgegegeven.</t>
  </si>
  <si>
    <t>c.</t>
  </si>
  <si>
    <t>Op het tabblad Consolidatie worden alle relevante bedragen, met eventueel onderliggende berekeningen, verzameld</t>
  </si>
  <si>
    <t>d.</t>
  </si>
  <si>
    <t>Hierbij wordt de som van alle bedragen (DUO-CFI en Bijlage 1) van het huidige schooljaar vergeleken met de som van die bedragen van het vorige schooljaar</t>
  </si>
  <si>
    <t>e.</t>
  </si>
  <si>
    <t>Het verschil SOM (huidig schooljaar) - SOM (vorig schooljaar) wordt berekend en indien dit getal negatief is, is er sprake van ontslagruimte</t>
  </si>
  <si>
    <t>f.</t>
  </si>
  <si>
    <t>Die ontslagruimte mag worden gevuld door de ontslagen die op bijlage 2 worden aangemeld op basis van loonkosten.</t>
  </si>
  <si>
    <t>g.</t>
  </si>
  <si>
    <t xml:space="preserve">De som van de loonkosten voor de ontslagen worden daartoe opgeteld bij het negatieve saldo van de ontslagruimte </t>
  </si>
  <si>
    <t>h.</t>
  </si>
  <si>
    <t>Het uiteindelijke saldo moet daarbij negatief blijven, anders zijn er teveel mensen ontslagen.</t>
  </si>
  <si>
    <t>i.</t>
  </si>
  <si>
    <t>Dit bekostigingstool wordt éénmalig per schooljaar door het schoolbestuur ingevuld en meegezonden met het vergoedingsverzoek voor het ontslag (binnen de ontslagruimte)</t>
  </si>
  <si>
    <t>De bedragen op werkblad DUO-CFI worden overgezet naar werkblad Consolidatie met de onderliggende bewerkingen:</t>
  </si>
  <si>
    <t>Alleen de bedragen waarvan kolom L (werkblad DUO-CFI) leeg is tellen mee; als er in deze kolom 'niet relevant' staat dan wordt de waarde in de consolidatie 0,00</t>
  </si>
  <si>
    <t>Bedragen van kalenderjaren worden toegewezen aan schooljaren als volgt:</t>
  </si>
  <si>
    <t xml:space="preserve">- </t>
  </si>
  <si>
    <t>Voor schooljaar m / n geldt: (5/12 x m) + (7/12 x n)</t>
  </si>
  <si>
    <t xml:space="preserve">Soms is er sprake dat slechts 65% van de bekostiging meetelt; in kolom K (werkblad DUO-CFI) staat dan dit percentage vermeld </t>
  </si>
  <si>
    <t>3.</t>
  </si>
  <si>
    <t>Op werkblad Bijlage_1 vinden de volgende bewerkingen plaats:</t>
  </si>
  <si>
    <t>Handmatig ingeven van:</t>
  </si>
  <si>
    <t>Financiële bijdragen van derden</t>
  </si>
  <si>
    <t>Zorgformatie opgave bestuur (niet van toepassing voor instellingen onder de WEC)</t>
  </si>
  <si>
    <t>Deze bedragen worden 1:1 overgezet naar het werkblad Consolidatie (zonder aanvullende berekeningen)</t>
  </si>
  <si>
    <t>4.</t>
  </si>
  <si>
    <t>Op werkblad Bijlage_2 worden de voorgenomen ontslagen ingevuld op basis van jaarsalaris volgens de loonkostenberekening</t>
  </si>
  <si>
    <t>Onderscheid wordt gemaakt tussen 3 categoriën:</t>
  </si>
  <si>
    <t>Beëindigingen - Tijdelijke dienstverbanden</t>
  </si>
  <si>
    <t xml:space="preserve">Beëindigingen - Vaste dienstverbanden met wederzijds goedvinden </t>
  </si>
  <si>
    <t xml:space="preserve">Ontslagen - Vaste dienstverbanden </t>
  </si>
  <si>
    <t>In kolom P (Vink) heeft de werkgever de mogelijkheid om aan te geven welke ontslagen meedoen in de vergelijking</t>
  </si>
  <si>
    <t>5.</t>
  </si>
  <si>
    <t>Op werkblad Consolidatie worden bepaald:</t>
  </si>
  <si>
    <t>De totalen Bekostiging voor 2 opeenvolgende schooljaren op basis van hetgeen verwoord is onder 2. en 3.</t>
  </si>
  <si>
    <t>Het verschil tussen Bekostingen (Huidig - voorgaand) wordt bepaald</t>
  </si>
  <si>
    <t>Indien dit resultaat een negatief bedrag is, vormt dat de ontslagruimte voor het huidige schooljaar</t>
  </si>
  <si>
    <t xml:space="preserve">Het totaal van de aangevinkte ontslagen van Bijlage_2 wordt opgeteld bij het resultaat van b. </t>
  </si>
  <si>
    <t xml:space="preserve">Zolang het resultaat van d. negatief blijft, is er sprake van ontslag binnen ontslagruimte en komt een vergoedingsverzoek op grond van dit tool voor vergoeding in aanmerking </t>
  </si>
  <si>
    <t>Werkgevers kunnen zelf d.m.v. vinkjes (kolom P van Bijlage_2) ervoor zorgen dat zij binnen de ontslagruimte blijven.</t>
  </si>
  <si>
    <t>De volgorde van aanvinken is als volgt:</t>
  </si>
  <si>
    <t>Eerst alle Beëindigingen - Tijdelijke dienstverbanden</t>
  </si>
  <si>
    <t>- deze mogen random worden aangevinkt</t>
  </si>
  <si>
    <t xml:space="preserve">Daarna alle Beëindigingen - Vaste dienstverbanden met wederzijds goedvinden </t>
  </si>
  <si>
    <t>- deze moeten in volgorde boven naar beneden worden aangevinkt als a. vol is</t>
  </si>
  <si>
    <t xml:space="preserve">Daarna alle Beëindigingen - Ontslagen - Vaste dienstverbanden </t>
  </si>
  <si>
    <t>- deze moeten in volgorde boven naar beneden worden aangevinkt als a. en b. vol zijn</t>
  </si>
  <si>
    <t>Rekentool - personele bekostiging</t>
  </si>
  <si>
    <t>Behorend bij:</t>
  </si>
  <si>
    <t>Reglement 2013 - 2014</t>
  </si>
  <si>
    <t>Opgave DUO-CFI</t>
  </si>
  <si>
    <t>Opgave van:</t>
  </si>
  <si>
    <t>Stichting BOOR</t>
  </si>
  <si>
    <t>Werkgeversnummer:</t>
  </si>
  <si>
    <t>Kolommen:</t>
  </si>
  <si>
    <t>N</t>
  </si>
  <si>
    <t>P</t>
  </si>
  <si>
    <t>R</t>
  </si>
  <si>
    <t>T</t>
  </si>
  <si>
    <t>V</t>
  </si>
  <si>
    <t>X</t>
  </si>
  <si>
    <t>Z</t>
  </si>
  <si>
    <t>AB</t>
  </si>
  <si>
    <t>AD</t>
  </si>
  <si>
    <t>AF</t>
  </si>
  <si>
    <t>AH</t>
  </si>
  <si>
    <t>AJ</t>
  </si>
  <si>
    <t>AL</t>
  </si>
  <si>
    <t>AN</t>
  </si>
  <si>
    <t>AP</t>
  </si>
  <si>
    <t>AR</t>
  </si>
  <si>
    <t>Opgave DUO-CFI via website</t>
  </si>
  <si>
    <t>Overzicht DUO - CFI</t>
  </si>
  <si>
    <t>Uitsluitend voor gebruik DUO-CFI</t>
  </si>
  <si>
    <t>Voor gebruik Rekentool</t>
  </si>
  <si>
    <t>Opgave</t>
  </si>
  <si>
    <t>Correctie</t>
  </si>
  <si>
    <t>Definitief</t>
  </si>
  <si>
    <t>Bekostigingsonderwerp</t>
  </si>
  <si>
    <t>Percentage</t>
  </si>
  <si>
    <t>Bekostiging impulsgebieden</t>
  </si>
  <si>
    <t>v</t>
  </si>
  <si>
    <t>Bijzondere bekostiging aanwezigheid visueel gehandicapte kinderen</t>
  </si>
  <si>
    <t>Bijzondere bekostiging aanwezigheid schipperskinderen</t>
  </si>
  <si>
    <t>Bijzondere bekostiging aanwezigheid zigeunerkinderen</t>
  </si>
  <si>
    <t>Bijzondere bekostiging eerste opvang vreemdelingen</t>
  </si>
  <si>
    <t>Bijzondere bekostiging groei scholen voor (V)SO</t>
  </si>
  <si>
    <t>Bijzondere bekostiging justitiele jeugdinrichtingen (V)SO ZMOK</t>
  </si>
  <si>
    <t>Bijzondere bekostiging leerlingen uit blijf van mijn lijf huizen</t>
  </si>
  <si>
    <t>Bijzondere bekostiging leerlingen van wie de ouders een trekkend bestaan leiden</t>
  </si>
  <si>
    <t>Bijzondere bekostiging opvang en begeleiding van leerlingen met autisme</t>
  </si>
  <si>
    <t>Bijzondere bekostiging toename aantal asielzoekerskinderen</t>
  </si>
  <si>
    <t>Bijzondere bekostiging wegens samenvoeging</t>
  </si>
  <si>
    <t xml:space="preserve">Bijzondere bekostiging ZMLK-leerlingen in de groepen 3 tm 8  </t>
  </si>
  <si>
    <t>Internationaal georiënteerd basisonderwijs</t>
  </si>
  <si>
    <t>Personeels- en arbeidsmarktbeleid</t>
  </si>
  <si>
    <t>Personele bekostiging groei 1-10</t>
  </si>
  <si>
    <t>Personele bekostiging groei 16-1</t>
  </si>
  <si>
    <t>Personele bekostiging regulier</t>
  </si>
  <si>
    <t>Prestatiebox Primair Onderwijs</t>
  </si>
  <si>
    <t>Aanvullen</t>
  </si>
  <si>
    <t>Totaal</t>
  </si>
  <si>
    <t>Rekentool</t>
  </si>
  <si>
    <t>Bijlage 1: Financiële bijdragen van derden en zorgformatie</t>
  </si>
  <si>
    <t>K</t>
  </si>
  <si>
    <t>Q</t>
  </si>
  <si>
    <t>S</t>
  </si>
  <si>
    <t>U</t>
  </si>
  <si>
    <t>W</t>
  </si>
  <si>
    <t>Y</t>
  </si>
  <si>
    <t>AA</t>
  </si>
  <si>
    <t>AC</t>
  </si>
  <si>
    <t>Bijlage 1 -Financiële bijdragen van derden en zorgformatie</t>
  </si>
  <si>
    <t xml:space="preserve">Opgave </t>
  </si>
  <si>
    <t>Bijlage 2: Beëindigingen / ontslagen</t>
  </si>
  <si>
    <t>H</t>
  </si>
  <si>
    <t>M</t>
  </si>
  <si>
    <t>Bijlage 2 - beëindigingen / ontslagen</t>
  </si>
  <si>
    <t>Tijdelijken</t>
  </si>
  <si>
    <t>Vast - wederzijds goedvinden</t>
  </si>
  <si>
    <t>Vast - ontslag</t>
  </si>
  <si>
    <t>Ontslagruimte (uitsluitend als negatief)</t>
  </si>
  <si>
    <t>Verschil ontslagruimte - aangevinkt (moet negatief blijven)</t>
  </si>
  <si>
    <t>Naam</t>
  </si>
  <si>
    <t>Beëindigings</t>
  </si>
  <si>
    <t>Netto loonkosten</t>
  </si>
  <si>
    <t>Vink</t>
  </si>
  <si>
    <t>Resultaat</t>
  </si>
  <si>
    <t>datum</t>
  </si>
  <si>
    <t>op jaarbasis</t>
  </si>
  <si>
    <t xml:space="preserve">Beëindigingen - Tijdelijke dienstverbanden </t>
  </si>
  <si>
    <t>Beëindigingen - Vaste dienstverbanden met wederzijds goedvinden</t>
  </si>
  <si>
    <t>Ontslagen - Vaste dienstverbanden</t>
  </si>
  <si>
    <t>(deze mogen in willekeurige volgorde worden aangevinkt)</t>
  </si>
  <si>
    <t>(deze moeten in volgorde beëindigingsdatum worden aangevinkt)</t>
  </si>
  <si>
    <t>(moeten in volgorde ontslag volgens CAO worden aangevinkt)</t>
  </si>
  <si>
    <t>naam</t>
  </si>
  <si>
    <t>datum beeidiging</t>
  </si>
  <si>
    <t>loonkosten</t>
  </si>
  <si>
    <t>Consolidatieformulier</t>
  </si>
  <si>
    <t>Reguliere Rijksbekostiging</t>
  </si>
  <si>
    <t>(percentage:</t>
  </si>
  <si>
    <t>)</t>
  </si>
  <si>
    <t>Aanvullende Rijksbekostiging</t>
  </si>
  <si>
    <t>Totalen bekostiging</t>
  </si>
  <si>
    <t>Totaal verschil in bekostiging (actuele jaar - vorige jaar)</t>
  </si>
  <si>
    <t>Beëindigingen / ontslagen</t>
  </si>
  <si>
    <t>Totaal beëindigingen / ontslagen</t>
  </si>
  <si>
    <t>Verschil (Bekostiging - Ontslagen)</t>
  </si>
  <si>
    <t xml:space="preserve">Indien negatief binnen ontslagruimte: </t>
  </si>
  <si>
    <r>
      <t>–</t>
    </r>
    <r>
      <rPr>
        <sz val="10"/>
        <color indexed="8"/>
        <rFont val="Arial"/>
        <family val="2"/>
      </rPr>
      <t>      Justitiële jeugdinrichtingen en instellingen voor gesloten jeugdzorg verbonden aan scholen voor Cluster 4 (artikel 35)</t>
    </r>
  </si>
  <si>
    <t>VfPf</t>
  </si>
  <si>
    <t>Organisatie:</t>
  </si>
  <si>
    <t>Reglement</t>
  </si>
  <si>
    <t>Bekostigingstool</t>
  </si>
  <si>
    <t>Salarisschalen PO - Directie</t>
  </si>
  <si>
    <t>Carrièrepatronen directeuren</t>
  </si>
  <si>
    <t>Bedoeld in artikel 6.22 en 6.23 van de CAO PO</t>
  </si>
  <si>
    <t>Bedragen op 1 januari 2013 (Loonpeil 1 januari 2009)</t>
  </si>
  <si>
    <r>
      <t xml:space="preserve"> </t>
    </r>
    <r>
      <rPr>
        <sz val="11"/>
        <color indexed="8"/>
        <rFont val="Arial"/>
        <family val="2"/>
      </rPr>
      <t xml:space="preserve">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</si>
  <si>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</si>
  <si>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2707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</si>
  <si>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</si>
  <si>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</si>
  <si>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</si>
  <si>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</si>
  <si>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2912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</si>
  <si>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</si>
  <si>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3067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</si>
  <si>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</si>
  <si>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</si>
  <si>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</si>
  <si>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3285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</si>
  <si>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</si>
  <si>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</si>
  <si>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</si>
  <si>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3527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</si>
  <si>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</si>
  <si>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</si>
  <si>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</si>
  <si>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</si>
  <si>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</si>
  <si>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3725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</si>
  <si>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3837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</si>
  <si>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</si>
  <si>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3424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</si>
  <si>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4053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</si>
  <si>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</si>
  <si>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</si>
  <si>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</si>
  <si>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</si>
  <si>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</si>
  <si>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</si>
  <si>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</si>
  <si>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</si>
  <si>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</si>
  <si>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</si>
  <si>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4157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</si>
  <si>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</si>
  <si>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</si>
  <si>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</si>
  <si>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</si>
  <si>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</si>
  <si>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4350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</si>
  <si>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4726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</si>
  <si>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</si>
  <si>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</si>
  <si>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4862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</si>
  <si>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</si>
  <si>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</si>
  <si>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</si>
  <si>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</si>
  <si>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</si>
  <si>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</si>
  <si>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</si>
  <si>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</si>
  <si>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</si>
  <si>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5270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</si>
  <si>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</si>
  <si>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4863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</si>
  <si>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5414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</si>
  <si>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</si>
  <si>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4965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</si>
  <si>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</si>
  <si>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5561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</si>
  <si>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</si>
  <si>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5067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</si>
  <si>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</si>
  <si>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</si>
  <si>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5713 </t>
    </r>
    <r>
      <rPr>
        <sz val="11"/>
        <color theme="1"/>
        <rFont val="Calibri"/>
        <family val="2"/>
        <scheme val="minor"/>
      </rPr>
      <t xml:space="preserve"> </t>
    </r>
  </si>
  <si>
    <t>Carrièrepatronen meerhoofdige schoolleiding basisschool</t>
  </si>
  <si>
    <t>Bedoeld in artikel 6.22, vierde lid, van de CAO PO</t>
  </si>
  <si>
    <r>
      <t xml:space="preserve"> </t>
    </r>
    <r>
      <rPr>
        <sz val="11"/>
        <color indexed="8"/>
        <rFont val="Arial"/>
        <family val="2"/>
      </rPr>
      <t xml:space="preserve">U16 </t>
    </r>
    <r>
      <rPr>
        <sz val="11"/>
        <color theme="1"/>
        <rFont val="Calibri"/>
        <family val="2"/>
        <scheme val="minor"/>
      </rPr>
      <t xml:space="preserve"> </t>
    </r>
  </si>
  <si>
    <t>Carrièrepatronen meerhoofdige schoolleiding aan speciale school basisonderwijs</t>
  </si>
  <si>
    <r>
      <t xml:space="preserve"> </t>
    </r>
    <r>
      <rPr>
        <sz val="11"/>
        <color indexed="8"/>
        <rFont val="Arial"/>
        <family val="2"/>
      </rPr>
      <t xml:space="preserve">U14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</si>
  <si>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U15 </t>
    </r>
    <r>
      <rPr>
        <sz val="11"/>
        <color theme="1"/>
        <rFont val="Calibri"/>
        <family val="2"/>
        <scheme val="minor"/>
      </rPr>
      <t xml:space="preserve"> </t>
    </r>
  </si>
  <si>
    <t>Carrièrepatronen adjunct-directeuren</t>
  </si>
  <si>
    <r>
      <t xml:space="preserve"> </t>
    </r>
    <r>
      <rPr>
        <sz val="11"/>
        <color indexed="8"/>
        <rFont val="Arial"/>
        <family val="2"/>
      </rPr>
      <t xml:space="preserve">2385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</si>
  <si>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</si>
  <si>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</si>
  <si>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</si>
  <si>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</si>
  <si>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</si>
  <si>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2611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</si>
  <si>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</si>
  <si>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</si>
  <si>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</si>
  <si>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3344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</si>
  <si>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</si>
  <si>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</si>
  <si>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</si>
  <si>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</si>
  <si>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</si>
  <si>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3786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</si>
  <si>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3072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</si>
  <si>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3449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</si>
  <si>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</si>
  <si>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3179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</si>
  <si>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</si>
  <si>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</si>
  <si>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</si>
  <si>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</si>
  <si>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</si>
  <si>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</si>
  <si>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</si>
  <si>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</si>
  <si>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</si>
  <si>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4441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</si>
  <si>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</si>
  <si>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</si>
  <si>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</si>
  <si>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4927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</si>
  <si>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5064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</si>
  <si>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</si>
  <si>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5201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</si>
  <si>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</si>
  <si>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</si>
  <si>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</si>
  <si>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4859 </t>
    </r>
    <r>
      <rPr>
        <sz val="11"/>
        <color theme="1"/>
        <rFont val="Calibri"/>
        <family val="2"/>
        <scheme val="minor"/>
      </rPr>
      <t xml:space="preserve"> </t>
    </r>
  </si>
  <si>
    <t>Salarisschalen PO - Leraren - OOP - ID</t>
  </si>
  <si>
    <t>Carrièrepatronen leraren</t>
  </si>
  <si>
    <t>Bedoeld in artikel 6.30 van de CAO PO</t>
  </si>
  <si>
    <t>Bedragen op 1 januari 2013 (Loonpeil 1 januari 2011)</t>
  </si>
  <si>
    <r>
      <t xml:space="preserve"> </t>
    </r>
    <r>
      <rPr>
        <sz val="11"/>
        <color indexed="8"/>
        <rFont val="Arial"/>
        <family val="2"/>
      </rPr>
      <t xml:space="preserve">2290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</si>
  <si>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</si>
  <si>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2387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</si>
  <si>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</si>
  <si>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</si>
  <si>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</si>
  <si>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</si>
  <si>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</si>
  <si>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</si>
  <si>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</si>
  <si>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</si>
  <si>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2621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</si>
  <si>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</si>
  <si>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</si>
  <si>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</si>
  <si>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</si>
  <si>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</si>
  <si>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</si>
  <si>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2489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</si>
  <si>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2622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</si>
  <si>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</si>
  <si>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</si>
  <si>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3746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</si>
  <si>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2548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</si>
  <si>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</si>
  <si>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</si>
  <si>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</si>
  <si>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</si>
  <si>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2610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</si>
  <si>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2771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</si>
  <si>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</si>
  <si>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</si>
  <si>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</si>
  <si>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</si>
  <si>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2855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</si>
  <si>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3234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</si>
  <si>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3473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</si>
  <si>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4188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</si>
  <si>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</si>
  <si>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2953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</si>
  <si>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3368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</si>
  <si>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</si>
  <si>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4336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</si>
  <si>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2829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</si>
  <si>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3052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</si>
  <si>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</si>
  <si>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3828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</si>
  <si>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</si>
  <si>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</si>
  <si>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</si>
  <si>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3642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</si>
  <si>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4014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</si>
  <si>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4632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</si>
  <si>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3003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</si>
  <si>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3269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</si>
  <si>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</si>
  <si>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4781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</si>
  <si>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3099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</si>
  <si>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3384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</si>
  <si>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</si>
  <si>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4405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</si>
  <si>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4930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</si>
  <si>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3198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</si>
  <si>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</si>
  <si>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</si>
  <si>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</si>
  <si>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</si>
  <si>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</si>
  <si>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</si>
  <si>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4197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</si>
  <si>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</si>
  <si>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5178 </t>
    </r>
    <r>
      <rPr>
        <sz val="11"/>
        <color theme="1"/>
        <rFont val="Calibri"/>
        <family val="2"/>
        <scheme val="minor"/>
      </rPr>
      <t xml:space="preserve"> </t>
    </r>
  </si>
  <si>
    <t>Carrièrepatronen onderwijsondersteunend personeel (OOP)</t>
  </si>
  <si>
    <t>Bedoeld in artikel 6.32 van de CAO PO</t>
  </si>
  <si>
    <r>
      <t xml:space="preserve"> </t>
    </r>
    <r>
      <rPr>
        <sz val="11"/>
        <color indexed="8"/>
        <rFont val="Arial"/>
        <family val="2"/>
      </rPr>
      <t>1469,40</t>
    </r>
    <r>
      <rPr>
        <sz val="6"/>
        <color indexed="8"/>
        <rFont val="Arial"/>
        <family val="2"/>
      </rPr>
      <t>17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</si>
  <si>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1469,40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</si>
  <si>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1477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</si>
  <si>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</si>
  <si>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1566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</si>
  <si>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1674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</si>
  <si>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</si>
  <si>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2180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</si>
  <si>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2292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</si>
  <si>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3087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</si>
  <si>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3748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</si>
  <si>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4295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</si>
  <si>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1538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</si>
  <si>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1631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</si>
  <si>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</si>
  <si>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1950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</si>
  <si>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2400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</si>
  <si>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3204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</si>
  <si>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3861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</si>
  <si>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1598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</si>
  <si>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1840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</si>
  <si>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2056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</si>
  <si>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2518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</si>
  <si>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3306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</si>
  <si>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3968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</si>
  <si>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4619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</si>
  <si>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2270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</si>
  <si>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</si>
  <si>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3413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</si>
  <si>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4078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</si>
  <si>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4754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</si>
  <si>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1783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</si>
  <si>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2004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</si>
  <si>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2158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</si>
  <si>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2376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</si>
  <si>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2759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</si>
  <si>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3516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</si>
  <si>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4182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</si>
  <si>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4891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</si>
  <si>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2216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</si>
  <si>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2494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</si>
  <si>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2873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</si>
  <si>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3633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</si>
  <si>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5028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</si>
  <si>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2108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</si>
  <si>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2560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</si>
  <si>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2980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</si>
  <si>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4509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</si>
  <si>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5163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</si>
  <si>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2322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</si>
  <si>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5301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</si>
  <si>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2675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</si>
  <si>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5447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</si>
  <si>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2434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</si>
  <si>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2733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</si>
  <si>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5593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</si>
  <si>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2791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</si>
  <si>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5746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</si>
  <si>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2845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</si>
  <si>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</si>
  <si>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2896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</si>
  <si>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5230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</si>
  <si>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4823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</si>
  <si>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4239 </t>
    </r>
    <r>
      <rPr>
        <sz val="11"/>
        <color theme="1"/>
        <rFont val="Calibri"/>
        <family val="2"/>
        <scheme val="minor"/>
      </rPr>
      <t xml:space="preserve"> </t>
    </r>
  </si>
  <si>
    <t>Carrièrepatronen I/D-banen</t>
  </si>
  <si>
    <t>Bedragen op 1 januari 2013 (Loonpeil 1 januari 2010)</t>
  </si>
  <si>
    <t xml:space="preserve">Instroombaan 
</t>
  </si>
  <si>
    <t xml:space="preserve">Doorstroom-baan 
</t>
  </si>
  <si>
    <r>
      <t xml:space="preserve">Doorstroom-baan 
 </t>
    </r>
    <r>
      <rPr>
        <b/>
        <sz val="10"/>
        <rFont val="Arial"/>
        <family val="2"/>
      </rPr>
      <t xml:space="preserve"> </t>
    </r>
  </si>
  <si>
    <t xml:space="preserve">Schaal 1  </t>
  </si>
  <si>
    <t xml:space="preserve">Schaal 2  </t>
  </si>
  <si>
    <t>Schaal 3</t>
  </si>
  <si>
    <r>
      <t xml:space="preserve"> </t>
    </r>
    <r>
      <rPr>
        <b/>
        <sz val="11"/>
        <rFont val="Arial"/>
        <family val="2"/>
      </rPr>
      <t xml:space="preserve">nr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</si>
  <si>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bedrag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</si>
  <si>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a1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</si>
  <si>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>1469,40</t>
    </r>
    <r>
      <rPr>
        <sz val="6"/>
        <color indexed="8"/>
        <rFont val="Arial"/>
        <family val="2"/>
      </rPr>
      <t>18</t>
    </r>
    <r>
      <rPr>
        <sz val="11"/>
        <color indexed="8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</si>
  <si>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>1469,40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</si>
  <si>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</t>
    </r>
    <r>
      <rPr>
        <sz val="11"/>
        <color indexed="8"/>
        <rFont val="Arial"/>
        <family val="2"/>
      </rPr>
      <t xml:space="preserve">a2 </t>
    </r>
    <r>
      <rPr>
        <sz val="11"/>
        <color theme="1"/>
        <rFont val="Calibri"/>
        <family val="2"/>
        <scheme val="minor"/>
      </rPr>
      <t xml:space="preserve"> </t>
    </r>
  </si>
  <si>
    <t>Salarisschalen integraal</t>
  </si>
  <si>
    <t>Directeuren</t>
  </si>
  <si>
    <r>
      <t xml:space="preserve"> </t>
    </r>
    <r>
      <rPr>
        <b/>
        <sz val="11"/>
        <rFont val="Arial"/>
        <family val="2"/>
      </rPr>
      <t>DC+U</t>
    </r>
  </si>
  <si>
    <t>Meerhoofdige schoolleiding</t>
  </si>
  <si>
    <t>Meerhoofdige schoolleiding SBO</t>
  </si>
  <si>
    <t>Adjunct directeuren</t>
  </si>
  <si>
    <t>Leraren</t>
  </si>
  <si>
    <t>Onderwijs Ondersteunend Personeel</t>
  </si>
  <si>
    <t>ID-banen</t>
  </si>
  <si>
    <r>
      <t xml:space="preserve"> </t>
    </r>
    <r>
      <rPr>
        <b/>
        <sz val="11"/>
        <rFont val="Arial"/>
        <family val="2"/>
      </rPr>
      <t>Schaal 2</t>
    </r>
  </si>
  <si>
    <r>
      <t xml:space="preserve"> </t>
    </r>
    <r>
      <rPr>
        <b/>
        <sz val="11"/>
        <rFont val="Arial"/>
        <family val="2"/>
      </rPr>
      <t>Schaal 3</t>
    </r>
  </si>
  <si>
    <t>Salarisschalen PO ineengeschoven (Uitloop niet weergegeven)</t>
  </si>
  <si>
    <t>(Adjunct-) Directeuren / Meerhoofdige schoolleiding</t>
  </si>
  <si>
    <t>Onderwijs Ondersteunend Personeel / ID banen</t>
  </si>
  <si>
    <t>nr</t>
  </si>
  <si>
    <t>id</t>
  </si>
  <si>
    <t>AE</t>
  </si>
  <si>
    <t>DA</t>
  </si>
  <si>
    <t>DB</t>
  </si>
  <si>
    <t>DC</t>
  </si>
  <si>
    <t>DD</t>
  </si>
  <si>
    <t>DE</t>
  </si>
  <si>
    <t>LA</t>
  </si>
  <si>
    <t>LB</t>
  </si>
  <si>
    <t>LC</t>
  </si>
  <si>
    <t>LD</t>
  </si>
  <si>
    <t>LE</t>
  </si>
  <si>
    <t>1</t>
  </si>
  <si>
    <t>2</t>
  </si>
  <si>
    <t>3</t>
  </si>
  <si>
    <t>a1</t>
  </si>
  <si>
    <t>a2</t>
  </si>
  <si>
    <t>Artikel</t>
  </si>
  <si>
    <t>6.1, 6.8, 6.9, 6.31</t>
  </si>
  <si>
    <t>6.13</t>
  </si>
  <si>
    <t>6.14</t>
  </si>
  <si>
    <t>6.14a</t>
  </si>
  <si>
    <t>6.14b</t>
  </si>
  <si>
    <t>6.15</t>
  </si>
  <si>
    <t>6.33</t>
  </si>
  <si>
    <t>6.29a</t>
  </si>
  <si>
    <t>6.14c</t>
  </si>
  <si>
    <t>Berekening jaarsalaris</t>
  </si>
  <si>
    <t>Artikel in CAO-PO</t>
  </si>
  <si>
    <t>Salariscomponent</t>
  </si>
  <si>
    <t>Bedrag</t>
  </si>
  <si>
    <t>per</t>
  </si>
  <si>
    <t>Opmerking</t>
  </si>
  <si>
    <t>Van toepassing</t>
  </si>
  <si>
    <t>VU</t>
  </si>
  <si>
    <t>SEJU</t>
  </si>
  <si>
    <t>wtf</t>
  </si>
  <si>
    <t>Salaris</t>
  </si>
  <si>
    <t>Ja</t>
  </si>
  <si>
    <t>Auto</t>
  </si>
  <si>
    <t>Uitlooptoeslag</t>
  </si>
  <si>
    <t>maand</t>
  </si>
  <si>
    <t>Bindingstoelage</t>
  </si>
  <si>
    <t>Leraar</t>
  </si>
  <si>
    <t>jaar</t>
  </si>
  <si>
    <t>Directiefunctie</t>
  </si>
  <si>
    <t>16,17,18</t>
  </si>
  <si>
    <t>OOP salarisschaal 9</t>
  </si>
  <si>
    <t>Altijd</t>
  </si>
  <si>
    <t>Inkomenstoelage</t>
  </si>
  <si>
    <t>bij een normbetrekking</t>
  </si>
  <si>
    <t>Schaaluitloopbedrag</t>
  </si>
  <si>
    <t>Structurele eindejaarsuitkering</t>
  </si>
  <si>
    <t>Eindejaarsuitkering OOP</t>
  </si>
  <si>
    <t>Schaal 1 t/m 5</t>
  </si>
  <si>
    <t>per 1/1/2013</t>
  </si>
  <si>
    <t>Schaal 6 t/m 8</t>
  </si>
  <si>
    <t>Manueel</t>
  </si>
  <si>
    <t>Toelage directeuren</t>
  </si>
  <si>
    <t>DA t/m DC + U</t>
  </si>
  <si>
    <t>Niet in tool</t>
  </si>
  <si>
    <t>Toelage i.v.m. directeurswerkzaamheden</t>
  </si>
  <si>
    <t>Moet worden meegenomen in</t>
  </si>
  <si>
    <t>nvt</t>
  </si>
  <si>
    <t>aan een andere instelling</t>
  </si>
  <si>
    <t>voorgaand onderdeel</t>
  </si>
  <si>
    <t>Nominale uitkering dag van de leraar</t>
  </si>
  <si>
    <t>8.24</t>
  </si>
  <si>
    <t>Uitkering levensloop</t>
  </si>
  <si>
    <t>Vakantie-uitkering</t>
  </si>
  <si>
    <t>(minimum is 140,49 / mnd)</t>
  </si>
  <si>
    <t>Toelage senior leraar SBO / WEC</t>
  </si>
  <si>
    <t>1e jaar</t>
  </si>
  <si>
    <t>2e jaar</t>
  </si>
  <si>
    <t>Salarisberekening</t>
  </si>
  <si>
    <t>U invullen als er sprake is van uitloopschaal</t>
  </si>
  <si>
    <t>DA,DB,DC,DD,DE</t>
  </si>
  <si>
    <t>/mnd</t>
  </si>
  <si>
    <t>Salariscomponenten waarop VU eb SEJU van toepassing zijn</t>
  </si>
  <si>
    <t>Maandsalaris volgens schaal</t>
  </si>
  <si>
    <t>schaal&amp;trede</t>
  </si>
  <si>
    <t>toeslag 1 = true</t>
  </si>
  <si>
    <t>Als  Uitloopschaal U bevat</t>
  </si>
  <si>
    <t>Zet de schalen en treden  per toeslag in de gele vlakken</t>
  </si>
  <si>
    <t>LA15, LB15</t>
  </si>
  <si>
    <t>LA15</t>
  </si>
  <si>
    <t>LB15</t>
  </si>
  <si>
    <t>LC15, LD15</t>
  </si>
  <si>
    <t>LC15</t>
  </si>
  <si>
    <t>LD15</t>
  </si>
  <si>
    <t>Maandsalaris</t>
  </si>
  <si>
    <t>x</t>
  </si>
  <si>
    <t>Maanden</t>
  </si>
  <si>
    <t>Jaarsalaris op basis 12 maanden</t>
  </si>
  <si>
    <t>/jaar</t>
  </si>
  <si>
    <t>Vakantieuitkering</t>
  </si>
  <si>
    <t>Jaarsalaris incl VU en SEJU</t>
  </si>
  <si>
    <t>Toelagen</t>
  </si>
  <si>
    <t>(vast bedrag)</t>
  </si>
  <si>
    <t>Directie</t>
  </si>
  <si>
    <t>DA13, DB15</t>
  </si>
  <si>
    <t>DA13</t>
  </si>
  <si>
    <t>DB15</t>
  </si>
  <si>
    <t>DC16,17,18</t>
  </si>
  <si>
    <t>DC16</t>
  </si>
  <si>
    <t>DC17</t>
  </si>
  <si>
    <t>DC18</t>
  </si>
  <si>
    <t>DD18, DE18</t>
  </si>
  <si>
    <t>DD18</t>
  </si>
  <si>
    <t>DE18</t>
  </si>
  <si>
    <t>OOP</t>
  </si>
  <si>
    <t>9-10</t>
  </si>
  <si>
    <t>910</t>
  </si>
  <si>
    <t>Zet de schalen  per toeslag in de gele vlakken</t>
  </si>
  <si>
    <t>1, 2, 3, 4, 5</t>
  </si>
  <si>
    <t>4</t>
  </si>
  <si>
    <t>5</t>
  </si>
  <si>
    <t>6, 7, 8</t>
  </si>
  <si>
    <t>6</t>
  </si>
  <si>
    <t>7</t>
  </si>
  <si>
    <t>8</t>
  </si>
  <si>
    <t>Totaal toelagen (excl dir) op basis full-time</t>
  </si>
  <si>
    <t>Totaal toelagen (excl dir)</t>
  </si>
  <si>
    <t>Scherm 4_2</t>
  </si>
  <si>
    <t>Ontslagruimte verschil:</t>
  </si>
  <si>
    <t>Ontslagruimte:</t>
  </si>
  <si>
    <t>Scherm 4_3</t>
  </si>
  <si>
    <r>
      <t xml:space="preserve"> </t>
    </r>
    <r>
      <rPr>
        <b/>
        <sz val="9"/>
        <rFont val="Arial"/>
        <family val="2"/>
      </rPr>
      <t xml:space="preserve">BO Y &lt;200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</si>
  <si>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200-400 
SBO Y &lt; 200 
SO q &lt; 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</si>
  <si>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400-900 
SBO Y200-400 
SO q 100-200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</si>
  <si>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BO Y ≥ 900 
SBO Y ≥ 400  
SO q ≥ 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</si>
  <si>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Niet normfuncties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</si>
  <si>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Niet  normfuncties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</si>
  <si>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</si>
  <si>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</si>
  <si>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</si>
  <si>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DC + uitloop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</si>
  <si>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</si>
  <si>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DE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</si>
  <si>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 xml:space="preserve">nr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</si>
  <si>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 xml:space="preserve">bedrag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</si>
  <si>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&lt;200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</si>
  <si>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200-400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</si>
  <si>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400-900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</si>
  <si>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≥ 900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</si>
  <si>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</si>
  <si>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</si>
  <si>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DB + uitloop </t>
    </r>
    <r>
      <rPr>
        <sz val="10"/>
        <rFont val="Arial"/>
        <family val="2"/>
      </rPr>
      <t xml:space="preserve"> </t>
    </r>
  </si>
  <si>
    <r>
      <t xml:space="preserve"> </t>
    </r>
    <r>
      <rPr>
        <sz val="9.9"/>
        <rFont val="Arial"/>
        <family val="2"/>
      </rPr>
      <t>bedrag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</si>
  <si>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>SBO Y &lt;100</t>
    </r>
    <r>
      <rPr>
        <b/>
        <sz val="9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</si>
  <si>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100-200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</si>
  <si>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200-400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</si>
  <si>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SBO Y ≥ 400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</si>
  <si>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DA 10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</si>
  <si>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&lt; 900 
SBO Y &lt; 200 
SO q 50-100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</si>
  <si>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BO Y  ≥ 900 
SBO Y ≥ 200 
SO q ≥ 100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</si>
  <si>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9.9"/>
        <rFont val="Arial"/>
        <family val="2"/>
      </rPr>
      <t xml:space="preserve">Niet normfuncties 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</si>
  <si>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</si>
  <si>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</si>
  <si>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</si>
  <si>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AE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</si>
  <si>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</si>
  <si>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LB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</si>
  <si>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LC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</si>
  <si>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LD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</si>
  <si>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LE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</si>
  <si>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 xml:space="preserve">nr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</si>
  <si>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 xml:space="preserve">bedrag </t>
    </r>
    <r>
      <rPr>
        <sz val="10"/>
        <rFont val="Arial"/>
        <family val="2"/>
      </rPr>
      <t xml:space="preserve"> </t>
    </r>
  </si>
  <si>
    <r>
      <t xml:space="preserve"> </t>
    </r>
    <r>
      <rPr>
        <sz val="11"/>
        <rFont val="Arial"/>
        <family val="2"/>
      </rPr>
      <t>bedrag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</si>
  <si>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</si>
  <si>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2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</si>
  <si>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</si>
  <si>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4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</si>
  <si>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5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</si>
  <si>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6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</si>
  <si>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7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</si>
  <si>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8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</si>
  <si>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9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</si>
  <si>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10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</si>
  <si>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11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</si>
  <si>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12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</si>
  <si>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13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</si>
  <si>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Schaal 14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</si>
  <si>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1"/>
        <rFont val="Arial"/>
        <family val="2"/>
      </rPr>
      <t xml:space="preserve">DB+U </t>
    </r>
    <r>
      <rPr>
        <sz val="10"/>
        <rFont val="Arial"/>
        <family val="2"/>
      </rPr>
      <t xml:space="preserve"> </t>
    </r>
  </si>
  <si>
    <t>ѵ</t>
  </si>
  <si>
    <t>Vinkjes Aan/Uit</t>
  </si>
  <si>
    <t>Scherm 3</t>
  </si>
  <si>
    <t>Scherm 4</t>
  </si>
  <si>
    <t>Scherm 5</t>
  </si>
  <si>
    <t>Vinkjes laten staan!!</t>
  </si>
  <si>
    <t>Gemeentelijke subsidies (popup)</t>
  </si>
  <si>
    <t>Scherm 4_4</t>
  </si>
  <si>
    <t>Beëindigingen - Natuurlijk verloop en andere…</t>
  </si>
  <si>
    <t>(deze moeten zijn aangevinkt)</t>
  </si>
  <si>
    <t>Jaarsalaris inclusief toeslagen vermeerderd met 35 % tbv bruto salaris</t>
  </si>
  <si>
    <t>netto</t>
  </si>
  <si>
    <t>bruto</t>
  </si>
  <si>
    <t>Natuurlijk verloop e.d.</t>
  </si>
  <si>
    <t>Vastgestelde berekening voor het schooljaar 2012-2013:</t>
  </si>
  <si>
    <t>totaal  2012/2013</t>
  </si>
  <si>
    <t>opbrengstgericht werken (per lln)</t>
  </si>
  <si>
    <t>Informatie van rekenmodel PO-raad</t>
  </si>
  <si>
    <t>professionalisering (per lln)</t>
  </si>
  <si>
    <t>subsidie cultuureducatie (per lln)</t>
  </si>
  <si>
    <t>bedrag per leerling</t>
  </si>
  <si>
    <t>bedrag per school (prof. schoolleiders)</t>
  </si>
  <si>
    <t>Volgende elementen:</t>
  </si>
  <si>
    <t>&lt;= invoerveld</t>
  </si>
  <si>
    <t>Bedrag per leerling</t>
  </si>
  <si>
    <t>vast gegeven</t>
  </si>
  <si>
    <t>Bedrag per brinnummer</t>
  </si>
  <si>
    <t>Totaal prestatiebox</t>
  </si>
  <si>
    <t>&lt;= aantal ll * 82,99 + aantal brinnummers * 1954</t>
  </si>
  <si>
    <t xml:space="preserve">meenemen voor bekostigingsvergelijking </t>
  </si>
  <si>
    <t>De volgende bedragen zijn gepubliceerd:</t>
  </si>
  <si>
    <t>Artikel 39. Vaststelling bedragen prestatiebox primair onderwijs</t>
  </si>
  <si>
    <t>2, eerste lid (opbrengstgericht werken basisonderwijs)</t>
  </si>
  <si>
    <t>volgens mij zijn de gearceerde velden</t>
  </si>
  <si>
    <t>2, eerste lid (professionalisering leraren basisonderwijs)</t>
  </si>
  <si>
    <t>van toepassing</t>
  </si>
  <si>
    <t>2, tweede lid (taal en rekenen,toetsen (voortgezet) speciaal onderwijs)</t>
  </si>
  <si>
    <t>2, tweede lid (professionalisering leraren (voortgezet) speciaal onderwijs)</t>
  </si>
  <si>
    <t>2, derde lid (cultuureducatieve activiteiten)</t>
  </si>
  <si>
    <t xml:space="preserve">bedrag per school </t>
  </si>
  <si>
    <t>leerlingaantal op 1 oktober 2012</t>
  </si>
  <si>
    <t>aantal brinnummers op 1 oktober 2012</t>
  </si>
  <si>
    <t>&lt;= aantal ll * 86,46 + aantal brinnummers * 1983</t>
  </si>
  <si>
    <t>meenemen voor bekostigingsvergelijking</t>
  </si>
  <si>
    <t>Leerlingaantal 01-10-2012</t>
  </si>
  <si>
    <t>Aantal BRIN-nummers 01-10-2012</t>
  </si>
  <si>
    <t>Prestatiebox 2013-2014</t>
  </si>
  <si>
    <t>niet meer in gebruik</t>
  </si>
  <si>
    <t>Performancebox (popup)</t>
  </si>
  <si>
    <t>10a</t>
  </si>
  <si>
    <t>Bijzondere bekostiging Professionalisering schoolleiding</t>
  </si>
  <si>
    <t>Prestatiebox in verband met de bekostigingsvergelijking 1 augustus 2014</t>
  </si>
  <si>
    <t>Rekenhulp schooljaar 2013-2014:</t>
  </si>
  <si>
    <t>Vastgestelde berekening voor het schooljaar 2014-2015:</t>
  </si>
  <si>
    <t>vanaf 1 augustus 2014 wordt de prestatiebox opgenomen in de regeling personele bekostiging 2014-2015.</t>
  </si>
  <si>
    <t>Rekenhulp 2014-2015</t>
  </si>
  <si>
    <t>leerlingaantal op 1 oktober 2013</t>
  </si>
  <si>
    <t>aantal brinnummers op 1 oktober 2013</t>
  </si>
  <si>
    <t>Resp. '13-'14-'15</t>
  </si>
  <si>
    <t>Leerlingaantal 01-10-2013</t>
  </si>
  <si>
    <t>Aantal BRIN-nummers 01-10-2013</t>
  </si>
  <si>
    <t>Prestatiebox 2014-2015</t>
  </si>
  <si>
    <t>NVT 16-5-14</t>
  </si>
  <si>
    <t>Bekostiging (bron: https://instellingsinformatie.duo.nl/public/websitecfi)</t>
  </si>
  <si>
    <t>Zorg-/ondersteuningsformatie volgens opgave bestuur</t>
  </si>
  <si>
    <t>Loonkostensubsidie OOP</t>
  </si>
  <si>
    <t>Middelen fusiecompensatieregeling</t>
  </si>
  <si>
    <r>
      <t>Omschrijving</t>
    </r>
    <r>
      <rPr>
        <b/>
        <i/>
        <sz val="8"/>
        <color indexed="10"/>
        <rFont val="Calibri"/>
        <family val="2"/>
      </rPr>
      <t xml:space="preserve"> (cursief zijn vaste waarden)</t>
    </r>
  </si>
  <si>
    <t>Formatie vanuit ondersteuningsplan</t>
  </si>
  <si>
    <t>Correctie werkdrukgelden</t>
  </si>
  <si>
    <t>Peildatum</t>
  </si>
  <si>
    <t>Schaalcodes</t>
  </si>
  <si>
    <t>L10</t>
  </si>
  <si>
    <t>L11</t>
  </si>
  <si>
    <t>L12</t>
  </si>
  <si>
    <t>L13</t>
  </si>
  <si>
    <t>L14</t>
  </si>
  <si>
    <t>Uitleg:</t>
  </si>
  <si>
    <t>Schaalcodes (kolom A) bevat een lijst met alle codes die gekozen kunnen worden</t>
  </si>
  <si>
    <t>D38:D39</t>
  </si>
  <si>
    <t>I3:J27</t>
  </si>
  <si>
    <t>I29:J38</t>
  </si>
  <si>
    <t>M3:N12</t>
  </si>
  <si>
    <t>P3:BB502</t>
  </si>
  <si>
    <t>BI3:BI14</t>
  </si>
  <si>
    <t>D3:E27</t>
  </si>
  <si>
    <t>Ranges met data</t>
  </si>
  <si>
    <t>Leerlingaantal</t>
  </si>
  <si>
    <t>Werkdrukbedrag totaal</t>
  </si>
  <si>
    <t>00AO</t>
  </si>
  <si>
    <t>Vso</t>
  </si>
  <si>
    <t>00AP</t>
  </si>
  <si>
    <t>Bo</t>
  </si>
  <si>
    <t>00AR</t>
  </si>
  <si>
    <t>00AV</t>
  </si>
  <si>
    <t>00AW</t>
  </si>
  <si>
    <t>So</t>
  </si>
  <si>
    <t>00AZ</t>
  </si>
  <si>
    <t>00BA</t>
  </si>
  <si>
    <t>00BB</t>
  </si>
  <si>
    <t>00BS</t>
  </si>
  <si>
    <t>00BW</t>
  </si>
  <si>
    <t>00BZ</t>
  </si>
  <si>
    <t>Sbo</t>
  </si>
  <si>
    <t>00CD</t>
  </si>
  <si>
    <t>00CG</t>
  </si>
  <si>
    <t>00CS</t>
  </si>
  <si>
    <t>00CU</t>
  </si>
  <si>
    <t>00CV</t>
  </si>
  <si>
    <t>00DA</t>
  </si>
  <si>
    <t>00DD</t>
  </si>
  <si>
    <t>00DM</t>
  </si>
  <si>
    <t>00DN</t>
  </si>
  <si>
    <t>00DO</t>
  </si>
  <si>
    <t>00DW</t>
  </si>
  <si>
    <t>00DX</t>
  </si>
  <si>
    <t>00DY</t>
  </si>
  <si>
    <t>00DZ</t>
  </si>
  <si>
    <t>00EB</t>
  </si>
  <si>
    <t>00EH</t>
  </si>
  <si>
    <t>00EI</t>
  </si>
  <si>
    <t>00EM</t>
  </si>
  <si>
    <t>00FE</t>
  </si>
  <si>
    <t>00FG</t>
  </si>
  <si>
    <t>00FI</t>
  </si>
  <si>
    <t>00FQ</t>
  </si>
  <si>
    <t>00GQ</t>
  </si>
  <si>
    <t>00GR</t>
  </si>
  <si>
    <t>00GV</t>
  </si>
  <si>
    <t>00GX</t>
  </si>
  <si>
    <t>00GZ</t>
  </si>
  <si>
    <t>00HA</t>
  </si>
  <si>
    <t>00HH</t>
  </si>
  <si>
    <t>00HZ</t>
  </si>
  <si>
    <t>00IF</t>
  </si>
  <si>
    <t>00IH</t>
  </si>
  <si>
    <t>00IJ</t>
  </si>
  <si>
    <t>00IM</t>
  </si>
  <si>
    <t>00JH</t>
  </si>
  <si>
    <t>00JL</t>
  </si>
  <si>
    <t>00JY</t>
  </si>
  <si>
    <t>00KK</t>
  </si>
  <si>
    <t>00KM</t>
  </si>
  <si>
    <t>00KU</t>
  </si>
  <si>
    <t>00KX</t>
  </si>
  <si>
    <t>00KZ</t>
  </si>
  <si>
    <t>00LD</t>
  </si>
  <si>
    <t>00LH</t>
  </si>
  <si>
    <t>00LS</t>
  </si>
  <si>
    <t>00MI</t>
  </si>
  <si>
    <t>00MN</t>
  </si>
  <si>
    <t>00MS</t>
  </si>
  <si>
    <t>00MU</t>
  </si>
  <si>
    <t>00MY</t>
  </si>
  <si>
    <t>00NT</t>
  </si>
  <si>
    <t>00NY</t>
  </si>
  <si>
    <t>00OJ</t>
  </si>
  <si>
    <t>00ON</t>
  </si>
  <si>
    <t>00OQ</t>
  </si>
  <si>
    <t>00OS</t>
  </si>
  <si>
    <t>00PQ</t>
  </si>
  <si>
    <t>00PZ</t>
  </si>
  <si>
    <t>00RK</t>
  </si>
  <si>
    <t>00RL</t>
  </si>
  <si>
    <t>00RS</t>
  </si>
  <si>
    <t>00RT</t>
  </si>
  <si>
    <t>00RU</t>
  </si>
  <si>
    <t>00RX</t>
  </si>
  <si>
    <t>00SH</t>
  </si>
  <si>
    <t>00SI</t>
  </si>
  <si>
    <t>00SL</t>
  </si>
  <si>
    <t>00SO</t>
  </si>
  <si>
    <t>00SQ</t>
  </si>
  <si>
    <t>00SU</t>
  </si>
  <si>
    <t>00TN</t>
  </si>
  <si>
    <t>00TO</t>
  </si>
  <si>
    <t>00UE</t>
  </si>
  <si>
    <t>00UI</t>
  </si>
  <si>
    <t>00UN</t>
  </si>
  <si>
    <t>00UT</t>
  </si>
  <si>
    <t>00UY</t>
  </si>
  <si>
    <t>00VD</t>
  </si>
  <si>
    <t>00VV</t>
  </si>
  <si>
    <t>00VW</t>
  </si>
  <si>
    <t>00WK</t>
  </si>
  <si>
    <t>00WO</t>
  </si>
  <si>
    <t>00YG</t>
  </si>
  <si>
    <t>00ZF</t>
  </si>
  <si>
    <t>00ZN</t>
  </si>
  <si>
    <t>00ZR</t>
  </si>
  <si>
    <t>00ZS</t>
  </si>
  <si>
    <t>01AC</t>
  </si>
  <si>
    <t>01AI</t>
  </si>
  <si>
    <t>01AJ</t>
  </si>
  <si>
    <t>01AK</t>
  </si>
  <si>
    <t>01BO</t>
  </si>
  <si>
    <t>01BS</t>
  </si>
  <si>
    <t>01CE</t>
  </si>
  <si>
    <t>01CN</t>
  </si>
  <si>
    <t>01CX</t>
  </si>
  <si>
    <t>01DM</t>
  </si>
  <si>
    <t>01FJ</t>
  </si>
  <si>
    <t>01FN</t>
  </si>
  <si>
    <t>01FX</t>
  </si>
  <si>
    <t>01GE</t>
  </si>
  <si>
    <t>01GF</t>
  </si>
  <si>
    <t>01GQ</t>
  </si>
  <si>
    <t>01JE</t>
  </si>
  <si>
    <t>01JH</t>
  </si>
  <si>
    <t>01JO</t>
  </si>
  <si>
    <t>01JQ</t>
  </si>
  <si>
    <t>01JR</t>
  </si>
  <si>
    <t>01JW</t>
  </si>
  <si>
    <t>01KI</t>
  </si>
  <si>
    <t>01KJ</t>
  </si>
  <si>
    <t>01KX</t>
  </si>
  <si>
    <t>01KY</t>
  </si>
  <si>
    <t>01KZ</t>
  </si>
  <si>
    <t>01LB</t>
  </si>
  <si>
    <t>01LP</t>
  </si>
  <si>
    <t>01MI</t>
  </si>
  <si>
    <t>01OY</t>
  </si>
  <si>
    <t>01OZ</t>
  </si>
  <si>
    <t>01PA</t>
  </si>
  <si>
    <t>01PD</t>
  </si>
  <si>
    <t>01PJ</t>
  </si>
  <si>
    <t>01QH</t>
  </si>
  <si>
    <t>01RB</t>
  </si>
  <si>
    <t>01RE</t>
  </si>
  <si>
    <t>01ST</t>
  </si>
  <si>
    <t>01TQ</t>
  </si>
  <si>
    <t>01UB</t>
  </si>
  <si>
    <t>01UC</t>
  </si>
  <si>
    <t>01UO</t>
  </si>
  <si>
    <t>01UQ</t>
  </si>
  <si>
    <t>01UR</t>
  </si>
  <si>
    <t>01VE</t>
  </si>
  <si>
    <t>01VF</t>
  </si>
  <si>
    <t>01VG</t>
  </si>
  <si>
    <t>01VI</t>
  </si>
  <si>
    <t>01VQ</t>
  </si>
  <si>
    <t>01VR</t>
  </si>
  <si>
    <t>01VY</t>
  </si>
  <si>
    <t>01WQ</t>
  </si>
  <si>
    <t>01WU</t>
  </si>
  <si>
    <t>01WX</t>
  </si>
  <si>
    <t>01XH</t>
  </si>
  <si>
    <t>01XT</t>
  </si>
  <si>
    <t>01XU</t>
  </si>
  <si>
    <t>01ZA</t>
  </si>
  <si>
    <t>02AC</t>
  </si>
  <si>
    <t>02AJ</t>
  </si>
  <si>
    <t>02BJ</t>
  </si>
  <si>
    <t>02CK</t>
  </si>
  <si>
    <t>02CO</t>
  </si>
  <si>
    <t>02CP</t>
  </si>
  <si>
    <t>02CQ</t>
  </si>
  <si>
    <t>02CX</t>
  </si>
  <si>
    <t>02DE</t>
  </si>
  <si>
    <t>02EG</t>
  </si>
  <si>
    <t>02EH</t>
  </si>
  <si>
    <t>02EJ</t>
  </si>
  <si>
    <t>02EP</t>
  </si>
  <si>
    <t>02EY</t>
  </si>
  <si>
    <t>02FI</t>
  </si>
  <si>
    <t>02GA</t>
  </si>
  <si>
    <t>02GD</t>
  </si>
  <si>
    <t>02GM</t>
  </si>
  <si>
    <t>02KX</t>
  </si>
  <si>
    <t>02NY</t>
  </si>
  <si>
    <t>02PQ</t>
  </si>
  <si>
    <t>02QV</t>
  </si>
  <si>
    <t>02RC</t>
  </si>
  <si>
    <t>02RF</t>
  </si>
  <si>
    <t>02RG</t>
  </si>
  <si>
    <t>02RH</t>
  </si>
  <si>
    <t>02RK</t>
  </si>
  <si>
    <t>02RM</t>
  </si>
  <si>
    <t>02RO</t>
  </si>
  <si>
    <t>02RQ</t>
  </si>
  <si>
    <t>02RS</t>
  </si>
  <si>
    <t>02RT</t>
  </si>
  <si>
    <t>02RU</t>
  </si>
  <si>
    <t>02RV</t>
  </si>
  <si>
    <t>02SG</t>
  </si>
  <si>
    <t>02SJ</t>
  </si>
  <si>
    <t>02SK</t>
  </si>
  <si>
    <t>02SO</t>
  </si>
  <si>
    <t>02SP</t>
  </si>
  <si>
    <t>02SW</t>
  </si>
  <si>
    <t>02SZ</t>
  </si>
  <si>
    <t>02TL</t>
  </si>
  <si>
    <t>02VX</t>
  </si>
  <si>
    <t>02WC</t>
  </si>
  <si>
    <t>02WR</t>
  </si>
  <si>
    <t>02WU</t>
  </si>
  <si>
    <t>02WW</t>
  </si>
  <si>
    <t>02WY</t>
  </si>
  <si>
    <t>02WZ</t>
  </si>
  <si>
    <t>02XF</t>
  </si>
  <si>
    <t>02XG</t>
  </si>
  <si>
    <t>02XM</t>
  </si>
  <si>
    <t>02YE</t>
  </si>
  <si>
    <t>02YJ</t>
  </si>
  <si>
    <t>02YL</t>
  </si>
  <si>
    <t>02YM</t>
  </si>
  <si>
    <t>02YN</t>
  </si>
  <si>
    <t>02YP</t>
  </si>
  <si>
    <t>02YR</t>
  </si>
  <si>
    <t>02YT</t>
  </si>
  <si>
    <t>02YU</t>
  </si>
  <si>
    <t>02ZF</t>
  </si>
  <si>
    <t>02ZW</t>
  </si>
  <si>
    <t>02ZX</t>
  </si>
  <si>
    <t>02ZY</t>
  </si>
  <si>
    <t>03AE</t>
  </si>
  <si>
    <t>03AF</t>
  </si>
  <si>
    <t>03AG</t>
  </si>
  <si>
    <t>03AH</t>
  </si>
  <si>
    <t>03AI</t>
  </si>
  <si>
    <t>03AN</t>
  </si>
  <si>
    <t>03AP</t>
  </si>
  <si>
    <t>03AZ</t>
  </si>
  <si>
    <t>03BA</t>
  </si>
  <si>
    <t>03BI</t>
  </si>
  <si>
    <t>03BR</t>
  </si>
  <si>
    <t>03BS</t>
  </si>
  <si>
    <t>03BT</t>
  </si>
  <si>
    <t>03BU</t>
  </si>
  <si>
    <t>03BV</t>
  </si>
  <si>
    <t>03BX</t>
  </si>
  <si>
    <t>03BY</t>
  </si>
  <si>
    <t>03CG</t>
  </si>
  <si>
    <t>03CJ</t>
  </si>
  <si>
    <t>03CL</t>
  </si>
  <si>
    <t>03CO</t>
  </si>
  <si>
    <t>03CT</t>
  </si>
  <si>
    <t>03CV</t>
  </si>
  <si>
    <t>03DF</t>
  </si>
  <si>
    <t>03DG</t>
  </si>
  <si>
    <t>03DH</t>
  </si>
  <si>
    <t>03DJ</t>
  </si>
  <si>
    <t>03DK</t>
  </si>
  <si>
    <t>03DV</t>
  </si>
  <si>
    <t>03DW</t>
  </si>
  <si>
    <t>03DX</t>
  </si>
  <si>
    <t>03EE</t>
  </si>
  <si>
    <t>03EH</t>
  </si>
  <si>
    <t>03EI</t>
  </si>
  <si>
    <t>03EJ</t>
  </si>
  <si>
    <t>03ES</t>
  </si>
  <si>
    <t>03EU</t>
  </si>
  <si>
    <t>03EV</t>
  </si>
  <si>
    <t>03FH</t>
  </si>
  <si>
    <t>03FJ</t>
  </si>
  <si>
    <t>03FS</t>
  </si>
  <si>
    <t>03FT</t>
  </si>
  <si>
    <t>03FU</t>
  </si>
  <si>
    <t>03GD</t>
  </si>
  <si>
    <t>03GE</t>
  </si>
  <si>
    <t>03GJ</t>
  </si>
  <si>
    <t>03GL</t>
  </si>
  <si>
    <t>03GP</t>
  </si>
  <si>
    <t>03GR</t>
  </si>
  <si>
    <t>03GT</t>
  </si>
  <si>
    <t>03GW</t>
  </si>
  <si>
    <t>03HA</t>
  </si>
  <si>
    <t>03HB</t>
  </si>
  <si>
    <t>03HC</t>
  </si>
  <si>
    <t>03HD</t>
  </si>
  <si>
    <t>03HE</t>
  </si>
  <si>
    <t>03HF</t>
  </si>
  <si>
    <t>03HG</t>
  </si>
  <si>
    <t>03HH</t>
  </si>
  <si>
    <t>03HI</t>
  </si>
  <si>
    <t>03HK</t>
  </si>
  <si>
    <t>03HL</t>
  </si>
  <si>
    <t>03HM</t>
  </si>
  <si>
    <t>03HO</t>
  </si>
  <si>
    <t>03HP</t>
  </si>
  <si>
    <t>03HQ</t>
  </si>
  <si>
    <t>03HR</t>
  </si>
  <si>
    <t>03HS</t>
  </si>
  <si>
    <t>03HT</t>
  </si>
  <si>
    <t>03HU</t>
  </si>
  <si>
    <t>03HV</t>
  </si>
  <si>
    <t>03HW</t>
  </si>
  <si>
    <t>03HY</t>
  </si>
  <si>
    <t>03HZ</t>
  </si>
  <si>
    <t>03IA</t>
  </si>
  <si>
    <t>03IB</t>
  </si>
  <si>
    <t>03IC</t>
  </si>
  <si>
    <t>03IH</t>
  </si>
  <si>
    <t>03IJ</t>
  </si>
  <si>
    <t>03IK</t>
  </si>
  <si>
    <t>03IV</t>
  </si>
  <si>
    <t>03IW</t>
  </si>
  <si>
    <t>03IX</t>
  </si>
  <si>
    <t>03IY</t>
  </si>
  <si>
    <t>03IZ</t>
  </si>
  <si>
    <t>03JB</t>
  </si>
  <si>
    <t>03JC</t>
  </si>
  <si>
    <t>03JD</t>
  </si>
  <si>
    <t>03JE</t>
  </si>
  <si>
    <t>03JH</t>
  </si>
  <si>
    <t>03JI</t>
  </si>
  <si>
    <t>03JL</t>
  </si>
  <si>
    <t>03JP</t>
  </si>
  <si>
    <t>03JQ</t>
  </si>
  <si>
    <t>03JS</t>
  </si>
  <si>
    <t>03JW</t>
  </si>
  <si>
    <t>03JX</t>
  </si>
  <si>
    <t>03KA</t>
  </si>
  <si>
    <t>03KF</t>
  </si>
  <si>
    <t>03KI</t>
  </si>
  <si>
    <t>03KJ</t>
  </si>
  <si>
    <t>03KM</t>
  </si>
  <si>
    <t>03KP</t>
  </si>
  <si>
    <t>03KR</t>
  </si>
  <si>
    <t>03KS</t>
  </si>
  <si>
    <t>03KT</t>
  </si>
  <si>
    <t>03KV</t>
  </si>
  <si>
    <t>03KW</t>
  </si>
  <si>
    <t>03KX</t>
  </si>
  <si>
    <t>03LA</t>
  </si>
  <si>
    <t>03LC</t>
  </si>
  <si>
    <t>03LD</t>
  </si>
  <si>
    <t>03LE</t>
  </si>
  <si>
    <t>03LK</t>
  </si>
  <si>
    <t>03LN</t>
  </si>
  <si>
    <t>03LO</t>
  </si>
  <si>
    <t>03LQ</t>
  </si>
  <si>
    <t>03LR</t>
  </si>
  <si>
    <t>03LS</t>
  </si>
  <si>
    <t>03LT</t>
  </si>
  <si>
    <t>03LX</t>
  </si>
  <si>
    <t>03LY</t>
  </si>
  <si>
    <t>03MA</t>
  </si>
  <si>
    <t>03MF</t>
  </si>
  <si>
    <t>03MH</t>
  </si>
  <si>
    <t>03MI</t>
  </si>
  <si>
    <t>03MJ</t>
  </si>
  <si>
    <t>03MK</t>
  </si>
  <si>
    <t>03ML</t>
  </si>
  <si>
    <t>03MO</t>
  </si>
  <si>
    <t>03MQ</t>
  </si>
  <si>
    <t>03MR</t>
  </si>
  <si>
    <t>03MT</t>
  </si>
  <si>
    <t>03MW</t>
  </si>
  <si>
    <t>03MX</t>
  </si>
  <si>
    <t>03NB</t>
  </si>
  <si>
    <t>03NC</t>
  </si>
  <si>
    <t>03ND</t>
  </si>
  <si>
    <t>03NE</t>
  </si>
  <si>
    <t>03NF</t>
  </si>
  <si>
    <t>03NH</t>
  </si>
  <si>
    <t>03NI</t>
  </si>
  <si>
    <t>03NJ</t>
  </si>
  <si>
    <t>03NN</t>
  </si>
  <si>
    <t>03NO</t>
  </si>
  <si>
    <t>03NP</t>
  </si>
  <si>
    <t>03NR</t>
  </si>
  <si>
    <t>03NT</t>
  </si>
  <si>
    <t>03NU</t>
  </si>
  <si>
    <t>03NW</t>
  </si>
  <si>
    <t>03NY</t>
  </si>
  <si>
    <t>03NZ</t>
  </si>
  <si>
    <t>03OA</t>
  </si>
  <si>
    <t>03OB</t>
  </si>
  <si>
    <t>03OC</t>
  </si>
  <si>
    <t>03OJ</t>
  </si>
  <si>
    <t>03OK</t>
  </si>
  <si>
    <t>03OM</t>
  </si>
  <si>
    <t>03ON</t>
  </si>
  <si>
    <t>03OP</t>
  </si>
  <si>
    <t>03OR</t>
  </si>
  <si>
    <t>03OT</t>
  </si>
  <si>
    <t>03OU</t>
  </si>
  <si>
    <t>03PB</t>
  </si>
  <si>
    <t>03PC</t>
  </si>
  <si>
    <t>03PD</t>
  </si>
  <si>
    <t>03PE</t>
  </si>
  <si>
    <t>03PF</t>
  </si>
  <si>
    <t>03PH</t>
  </si>
  <si>
    <t>03PJ</t>
  </si>
  <si>
    <t>03PK</t>
  </si>
  <si>
    <t>03PL</t>
  </si>
  <si>
    <t>03PM</t>
  </si>
  <si>
    <t>03PN</t>
  </si>
  <si>
    <t>03PP</t>
  </si>
  <si>
    <t>03PQ</t>
  </si>
  <si>
    <t>03PS</t>
  </si>
  <si>
    <t>03PV</t>
  </si>
  <si>
    <t>03PW</t>
  </si>
  <si>
    <t>03PX</t>
  </si>
  <si>
    <t>03PY</t>
  </si>
  <si>
    <t>03QA</t>
  </si>
  <si>
    <t>03QB</t>
  </si>
  <si>
    <t>03QC</t>
  </si>
  <si>
    <t>03QD</t>
  </si>
  <si>
    <t>03QF</t>
  </si>
  <si>
    <t>03QI</t>
  </si>
  <si>
    <t>03QJ</t>
  </si>
  <si>
    <t>03QK</t>
  </si>
  <si>
    <t>03QL</t>
  </si>
  <si>
    <t>03QN</t>
  </si>
  <si>
    <t>03QO</t>
  </si>
  <si>
    <t>03QP</t>
  </si>
  <si>
    <t>03QQ</t>
  </si>
  <si>
    <t>03QR</t>
  </si>
  <si>
    <t>03QS</t>
  </si>
  <si>
    <t>03QT</t>
  </si>
  <si>
    <t>03QW</t>
  </si>
  <si>
    <t>03QY</t>
  </si>
  <si>
    <t>03QZ</t>
  </si>
  <si>
    <t>03RA</t>
  </si>
  <si>
    <t>03RC</t>
  </si>
  <si>
    <t>03RD</t>
  </si>
  <si>
    <t>03RE</t>
  </si>
  <si>
    <t>03RG</t>
  </si>
  <si>
    <t>03RH</t>
  </si>
  <si>
    <t>03RK</t>
  </si>
  <si>
    <t>03RL</t>
  </si>
  <si>
    <t>03RM</t>
  </si>
  <si>
    <t>03RN</t>
  </si>
  <si>
    <t>03RO</t>
  </si>
  <si>
    <t>03RP</t>
  </si>
  <si>
    <t>03RQ</t>
  </si>
  <si>
    <t>03RS</t>
  </si>
  <si>
    <t>03RT</t>
  </si>
  <si>
    <t>03RV</t>
  </si>
  <si>
    <t>03RW</t>
  </si>
  <si>
    <t>03RX</t>
  </si>
  <si>
    <t>03RY</t>
  </si>
  <si>
    <t>03RZ</t>
  </si>
  <si>
    <t>03SB</t>
  </si>
  <si>
    <t>03SC</t>
  </si>
  <si>
    <t>03SE</t>
  </si>
  <si>
    <t>03SG</t>
  </si>
  <si>
    <t>03SH</t>
  </si>
  <si>
    <t>03SJ</t>
  </si>
  <si>
    <t>03SK</t>
  </si>
  <si>
    <t>03SL</t>
  </si>
  <si>
    <t>03SM</t>
  </si>
  <si>
    <t>03SN</t>
  </si>
  <si>
    <t>03SO</t>
  </si>
  <si>
    <t>03SP</t>
  </si>
  <si>
    <t>03SR</t>
  </si>
  <si>
    <t>03ST</t>
  </si>
  <si>
    <t>03SV</t>
  </si>
  <si>
    <t>03SW</t>
  </si>
  <si>
    <t>03SY</t>
  </si>
  <si>
    <t>03TA</t>
  </si>
  <si>
    <t>03TB</t>
  </si>
  <si>
    <t>03TC</t>
  </si>
  <si>
    <t>03TD</t>
  </si>
  <si>
    <t>03TF</t>
  </si>
  <si>
    <t>03TG</t>
  </si>
  <si>
    <t>03TH</t>
  </si>
  <si>
    <t>03TJ</t>
  </si>
  <si>
    <t>03TL</t>
  </si>
  <si>
    <t>03TM</t>
  </si>
  <si>
    <t>03TN</t>
  </si>
  <si>
    <t>03TO</t>
  </si>
  <si>
    <t>03TP</t>
  </si>
  <si>
    <t>03TQ</t>
  </si>
  <si>
    <t>03TR</t>
  </si>
  <si>
    <t>03TS</t>
  </si>
  <si>
    <t>03TT</t>
  </si>
  <si>
    <t>03TU</t>
  </si>
  <si>
    <t>03TV</t>
  </si>
  <si>
    <t>03TW</t>
  </si>
  <si>
    <t>03TX</t>
  </si>
  <si>
    <t>03TY</t>
  </si>
  <si>
    <t>03TZ</t>
  </si>
  <si>
    <t>03UA</t>
  </si>
  <si>
    <t>03UB</t>
  </si>
  <si>
    <t>03UC</t>
  </si>
  <si>
    <t>03UE</t>
  </si>
  <si>
    <t>03UG</t>
  </si>
  <si>
    <t>03UJ</t>
  </si>
  <si>
    <t>03UL</t>
  </si>
  <si>
    <t>03UM</t>
  </si>
  <si>
    <t>03UN</t>
  </si>
  <si>
    <t>03UO</t>
  </si>
  <si>
    <t>03UQ</t>
  </si>
  <si>
    <t>03UR</t>
  </si>
  <si>
    <t>03US</t>
  </si>
  <si>
    <t>03UU</t>
  </si>
  <si>
    <t>03UW</t>
  </si>
  <si>
    <t>03UY</t>
  </si>
  <si>
    <t>03UZ</t>
  </si>
  <si>
    <t>03VA</t>
  </si>
  <si>
    <t>03VB</t>
  </si>
  <si>
    <t>03VC</t>
  </si>
  <si>
    <t>03VD</t>
  </si>
  <si>
    <t>03VE</t>
  </si>
  <si>
    <t>03VG</t>
  </si>
  <si>
    <t>03VH</t>
  </si>
  <si>
    <t>03VI</t>
  </si>
  <si>
    <t>03VK</t>
  </si>
  <si>
    <t>03VL</t>
  </si>
  <si>
    <t>03VP</t>
  </si>
  <si>
    <t>03VQ</t>
  </si>
  <si>
    <t>03VR</t>
  </si>
  <si>
    <t>03VS</t>
  </si>
  <si>
    <t>03VT</t>
  </si>
  <si>
    <t>03VV</t>
  </si>
  <si>
    <t>03VW</t>
  </si>
  <si>
    <t>03VX</t>
  </si>
  <si>
    <t>03VZ</t>
  </si>
  <si>
    <t>03WD</t>
  </si>
  <si>
    <t>03WE</t>
  </si>
  <si>
    <t>03WF</t>
  </si>
  <si>
    <t>03WG</t>
  </si>
  <si>
    <t>03WH</t>
  </si>
  <si>
    <t>03WI</t>
  </si>
  <si>
    <t>03WK</t>
  </si>
  <si>
    <t>03WL</t>
  </si>
  <si>
    <t>03WM</t>
  </si>
  <si>
    <t>03WN</t>
  </si>
  <si>
    <t>03WT</t>
  </si>
  <si>
    <t>03WU</t>
  </si>
  <si>
    <t>03WV</t>
  </si>
  <si>
    <t>03WX</t>
  </si>
  <si>
    <t>03WY</t>
  </si>
  <si>
    <t>03XA</t>
  </si>
  <si>
    <t>03XB</t>
  </si>
  <si>
    <t>03XC</t>
  </si>
  <si>
    <t>03XE</t>
  </si>
  <si>
    <t>03XH</t>
  </si>
  <si>
    <t>03XI</t>
  </si>
  <si>
    <t>03XJ</t>
  </si>
  <si>
    <t>03XK</t>
  </si>
  <si>
    <t>03XN</t>
  </si>
  <si>
    <t>03XO</t>
  </si>
  <si>
    <t>03XP</t>
  </si>
  <si>
    <t>03XQ</t>
  </si>
  <si>
    <t>03XT</t>
  </si>
  <si>
    <t>03XV</t>
  </si>
  <si>
    <t>03XW</t>
  </si>
  <si>
    <t>03XX</t>
  </si>
  <si>
    <t>03XY</t>
  </si>
  <si>
    <t>03XZ</t>
  </si>
  <si>
    <t>03YB</t>
  </si>
  <si>
    <t>03YC</t>
  </si>
  <si>
    <t>03YG</t>
  </si>
  <si>
    <t>03YH</t>
  </si>
  <si>
    <t>03YI</t>
  </si>
  <si>
    <t>03YJ</t>
  </si>
  <si>
    <t>03YL</t>
  </si>
  <si>
    <t>03YM</t>
  </si>
  <si>
    <t>03YN</t>
  </si>
  <si>
    <t>03YO</t>
  </si>
  <si>
    <t>03YP</t>
  </si>
  <si>
    <t>03YS</t>
  </si>
  <si>
    <t>03YW</t>
  </si>
  <si>
    <t>03YY</t>
  </si>
  <si>
    <t>03YZ</t>
  </si>
  <si>
    <t>03ZB</t>
  </si>
  <si>
    <t>03ZD</t>
  </si>
  <si>
    <t>03ZE</t>
  </si>
  <si>
    <t>03ZF</t>
  </si>
  <si>
    <t>03ZH</t>
  </si>
  <si>
    <t>03ZJ</t>
  </si>
  <si>
    <t>03ZN</t>
  </si>
  <si>
    <t>03ZV</t>
  </si>
  <si>
    <t>04AA</t>
  </si>
  <si>
    <t>04AD</t>
  </si>
  <si>
    <t>04AJ</t>
  </si>
  <si>
    <t>04AK</t>
  </si>
  <si>
    <t>04AM</t>
  </si>
  <si>
    <t>04AN</t>
  </si>
  <si>
    <t>04AW</t>
  </si>
  <si>
    <t>04AZ</t>
  </si>
  <si>
    <t>04BD</t>
  </si>
  <si>
    <t>04BF</t>
  </si>
  <si>
    <t>04BK</t>
  </si>
  <si>
    <t>04BT</t>
  </si>
  <si>
    <t>04BX</t>
  </si>
  <si>
    <t>04CN</t>
  </si>
  <si>
    <t>04CT</t>
  </si>
  <si>
    <t>04CV</t>
  </si>
  <si>
    <t>04DA</t>
  </si>
  <si>
    <t>04DE</t>
  </si>
  <si>
    <t>04DG</t>
  </si>
  <si>
    <t>04DR</t>
  </si>
  <si>
    <t>04DT</t>
  </si>
  <si>
    <t>04DY</t>
  </si>
  <si>
    <t>04DZ</t>
  </si>
  <si>
    <t>04EC</t>
  </si>
  <si>
    <t>04ED</t>
  </si>
  <si>
    <t>04EF</t>
  </si>
  <si>
    <t>04EJ</t>
  </si>
  <si>
    <t>04EN</t>
  </si>
  <si>
    <t>04EP</t>
  </si>
  <si>
    <t>04EV</t>
  </si>
  <si>
    <t>04EW</t>
  </si>
  <si>
    <t>04EY</t>
  </si>
  <si>
    <t>04FB</t>
  </si>
  <si>
    <t>04FC</t>
  </si>
  <si>
    <t>04FD</t>
  </si>
  <si>
    <t>04FE</t>
  </si>
  <si>
    <t>04FF</t>
  </si>
  <si>
    <t>04FH</t>
  </si>
  <si>
    <t>04FI</t>
  </si>
  <si>
    <t>04FJ</t>
  </si>
  <si>
    <t>04FL</t>
  </si>
  <si>
    <t>04FM</t>
  </si>
  <si>
    <t>04FP</t>
  </si>
  <si>
    <t>04FQ</t>
  </si>
  <si>
    <t>04FT</t>
  </si>
  <si>
    <t>04FV</t>
  </si>
  <si>
    <t>04FX</t>
  </si>
  <si>
    <t>04GB</t>
  </si>
  <si>
    <t>04GD</t>
  </si>
  <si>
    <t>04GF</t>
  </si>
  <si>
    <t>04GH</t>
  </si>
  <si>
    <t>04GJ</t>
  </si>
  <si>
    <t>04GK</t>
  </si>
  <si>
    <t>04GX</t>
  </si>
  <si>
    <t>04HB</t>
  </si>
  <si>
    <t>04HC</t>
  </si>
  <si>
    <t>04HM</t>
  </si>
  <si>
    <t>04HO</t>
  </si>
  <si>
    <t>04HS</t>
  </si>
  <si>
    <t>04HT</t>
  </si>
  <si>
    <t>04HU</t>
  </si>
  <si>
    <t>04HW</t>
  </si>
  <si>
    <t>04HX</t>
  </si>
  <si>
    <t>04HY</t>
  </si>
  <si>
    <t>04HZ</t>
  </si>
  <si>
    <t>04IA</t>
  </si>
  <si>
    <t>04IB</t>
  </si>
  <si>
    <t>04IM</t>
  </si>
  <si>
    <t>04IP</t>
  </si>
  <si>
    <t>04IQ</t>
  </si>
  <si>
    <t>04IR</t>
  </si>
  <si>
    <t>04IT</t>
  </si>
  <si>
    <t>04IU</t>
  </si>
  <si>
    <t>04IY</t>
  </si>
  <si>
    <t>04IZ</t>
  </si>
  <si>
    <t>04JA</t>
  </si>
  <si>
    <t>04JF</t>
  </si>
  <si>
    <t>04JI</t>
  </si>
  <si>
    <t>04JJ</t>
  </si>
  <si>
    <t>04JO</t>
  </si>
  <si>
    <t>04JR</t>
  </si>
  <si>
    <t>04JS</t>
  </si>
  <si>
    <t>04JU</t>
  </si>
  <si>
    <t>04JV</t>
  </si>
  <si>
    <t>04JW</t>
  </si>
  <si>
    <t>04JX</t>
  </si>
  <si>
    <t>04KC</t>
  </si>
  <si>
    <t>04KD</t>
  </si>
  <si>
    <t>04KI</t>
  </si>
  <si>
    <t>04KJ</t>
  </si>
  <si>
    <t>04KM</t>
  </si>
  <si>
    <t>04KN</t>
  </si>
  <si>
    <t>04KU</t>
  </si>
  <si>
    <t>04KY</t>
  </si>
  <si>
    <t>04KZ</t>
  </si>
  <si>
    <t>04LA</t>
  </si>
  <si>
    <t>04LB</t>
  </si>
  <si>
    <t>04LD</t>
  </si>
  <si>
    <t>04LG</t>
  </si>
  <si>
    <t>04LI</t>
  </si>
  <si>
    <t>04LJ</t>
  </si>
  <si>
    <t>04LK</t>
  </si>
  <si>
    <t>04LL</t>
  </si>
  <si>
    <t>04LM</t>
  </si>
  <si>
    <t>04LN</t>
  </si>
  <si>
    <t>04LO</t>
  </si>
  <si>
    <t>04LP</t>
  </si>
  <si>
    <t>04LR</t>
  </si>
  <si>
    <t>04LV</t>
  </si>
  <si>
    <t>04LX</t>
  </si>
  <si>
    <t>04LY</t>
  </si>
  <si>
    <t>04MA</t>
  </si>
  <si>
    <t>04MB</t>
  </si>
  <si>
    <t>04MD</t>
  </si>
  <si>
    <t>04MF</t>
  </si>
  <si>
    <t>04MG</t>
  </si>
  <si>
    <t>04MJ</t>
  </si>
  <si>
    <t>04MK</t>
  </si>
  <si>
    <t>04ML</t>
  </si>
  <si>
    <t>04MN</t>
  </si>
  <si>
    <t>04MS</t>
  </si>
  <si>
    <t>04MU</t>
  </si>
  <si>
    <t>04MV</t>
  </si>
  <si>
    <t>04MY</t>
  </si>
  <si>
    <t>04MZ</t>
  </si>
  <si>
    <t>04NA</t>
  </si>
  <si>
    <t>04NB</t>
  </si>
  <si>
    <t>04NC</t>
  </si>
  <si>
    <t>04ND</t>
  </si>
  <si>
    <t>04NH</t>
  </si>
  <si>
    <t>04NI</t>
  </si>
  <si>
    <t>04NN</t>
  </si>
  <si>
    <t>04NO</t>
  </si>
  <si>
    <t>04NP</t>
  </si>
  <si>
    <t>04NR</t>
  </si>
  <si>
    <t>04NS</t>
  </si>
  <si>
    <t>04NT</t>
  </si>
  <si>
    <t>04NU</t>
  </si>
  <si>
    <t>04NV</t>
  </si>
  <si>
    <t>04NW</t>
  </si>
  <si>
    <t>04OA</t>
  </si>
  <si>
    <t>04OB</t>
  </si>
  <si>
    <t>04OC</t>
  </si>
  <si>
    <t>04OE</t>
  </si>
  <si>
    <t>04OF</t>
  </si>
  <si>
    <t>04OH</t>
  </si>
  <si>
    <t>04OL</t>
  </si>
  <si>
    <t>04OM</t>
  </si>
  <si>
    <t>04ON</t>
  </si>
  <si>
    <t>04OR</t>
  </si>
  <si>
    <t>04OS</t>
  </si>
  <si>
    <t>04OT</t>
  </si>
  <si>
    <t>04OV</t>
  </si>
  <si>
    <t>04OW</t>
  </si>
  <si>
    <t>04PA</t>
  </si>
  <si>
    <t>04PC</t>
  </si>
  <si>
    <t>04PE</t>
  </si>
  <si>
    <t>04PF</t>
  </si>
  <si>
    <t>04PH</t>
  </si>
  <si>
    <t>04PI</t>
  </si>
  <si>
    <t>04PJ</t>
  </si>
  <si>
    <t>04PK</t>
  </si>
  <si>
    <t>04PL</t>
  </si>
  <si>
    <t>04PN</t>
  </si>
  <si>
    <t>04PO</t>
  </si>
  <si>
    <t>04PP</t>
  </si>
  <si>
    <t>04PQ</t>
  </si>
  <si>
    <t>04PR</t>
  </si>
  <si>
    <t>04PS</t>
  </si>
  <si>
    <t>04PT</t>
  </si>
  <si>
    <t>04PV</t>
  </si>
  <si>
    <t>04PW</t>
  </si>
  <si>
    <t>04PX</t>
  </si>
  <si>
    <t>04PY</t>
  </si>
  <si>
    <t>04PZ</t>
  </si>
  <si>
    <t>04QC</t>
  </si>
  <si>
    <t>04QD</t>
  </si>
  <si>
    <t>04QE</t>
  </si>
  <si>
    <t>04QG</t>
  </si>
  <si>
    <t>04QH</t>
  </si>
  <si>
    <t>04QI</t>
  </si>
  <si>
    <t>04QL</t>
  </si>
  <si>
    <t>04QM</t>
  </si>
  <si>
    <t>04QN</t>
  </si>
  <si>
    <t>04QP</t>
  </si>
  <si>
    <t>04QQ</t>
  </si>
  <si>
    <t>04QR</t>
  </si>
  <si>
    <t>04QT</t>
  </si>
  <si>
    <t>04QU</t>
  </si>
  <si>
    <t>04QV</t>
  </si>
  <si>
    <t>04QY</t>
  </si>
  <si>
    <t>04RA</t>
  </si>
  <si>
    <t>04RC</t>
  </si>
  <si>
    <t>04RF</t>
  </si>
  <si>
    <t>04RH</t>
  </si>
  <si>
    <t>04RI</t>
  </si>
  <si>
    <t>04RJ</t>
  </si>
  <si>
    <t>04RK</t>
  </si>
  <si>
    <t>04RL</t>
  </si>
  <si>
    <t>04RM</t>
  </si>
  <si>
    <t>04RP</t>
  </si>
  <si>
    <t>04RQ</t>
  </si>
  <si>
    <t>04RS</t>
  </si>
  <si>
    <t>04RT</t>
  </si>
  <si>
    <t>04RU</t>
  </si>
  <si>
    <t>04RV</t>
  </si>
  <si>
    <t>04RX</t>
  </si>
  <si>
    <t>04SB</t>
  </si>
  <si>
    <t>04SC</t>
  </si>
  <si>
    <t>04SG</t>
  </si>
  <si>
    <t>04SJ</t>
  </si>
  <si>
    <t>04SK</t>
  </si>
  <si>
    <t>04SL</t>
  </si>
  <si>
    <t>04SN</t>
  </si>
  <si>
    <t>04SO</t>
  </si>
  <si>
    <t>04SP</t>
  </si>
  <si>
    <t>04SR</t>
  </si>
  <si>
    <t>04ST</t>
  </si>
  <si>
    <t>04SV</t>
  </si>
  <si>
    <t>04SW</t>
  </si>
  <si>
    <t>04SX</t>
  </si>
  <si>
    <t>04SY</t>
  </si>
  <si>
    <t>04TA</t>
  </si>
  <si>
    <t>04TB</t>
  </si>
  <si>
    <t>04TC</t>
  </si>
  <si>
    <t>04TD</t>
  </si>
  <si>
    <t>04TE</t>
  </si>
  <si>
    <t>04TF</t>
  </si>
  <si>
    <t>04TG</t>
  </si>
  <si>
    <t>04TH</t>
  </si>
  <si>
    <t>04TK</t>
  </si>
  <si>
    <t>04TL</t>
  </si>
  <si>
    <t>04TM</t>
  </si>
  <si>
    <t>04TN</t>
  </si>
  <si>
    <t>04TP</t>
  </si>
  <si>
    <t>04TQ</t>
  </si>
  <si>
    <t>04TT</t>
  </si>
  <si>
    <t>04TU</t>
  </si>
  <si>
    <t>04TV</t>
  </si>
  <si>
    <t>04TW</t>
  </si>
  <si>
    <t>04TX</t>
  </si>
  <si>
    <t>04UA</t>
  </si>
  <si>
    <t>04UB</t>
  </si>
  <si>
    <t>04UC</t>
  </si>
  <si>
    <t>04UD</t>
  </si>
  <si>
    <t>04UF</t>
  </si>
  <si>
    <t>04UG</t>
  </si>
  <si>
    <t>04UH</t>
  </si>
  <si>
    <t>04UI</t>
  </si>
  <si>
    <t>04UK</t>
  </si>
  <si>
    <t>04UL</t>
  </si>
  <si>
    <t>04UN</t>
  </si>
  <si>
    <t>04UO</t>
  </si>
  <si>
    <t>04UQ</t>
  </si>
  <si>
    <t>04UR</t>
  </si>
  <si>
    <t>04US</t>
  </si>
  <si>
    <t>04UT</t>
  </si>
  <si>
    <t>04UU</t>
  </si>
  <si>
    <t>04UV</t>
  </si>
  <si>
    <t>04UW</t>
  </si>
  <si>
    <t>04UZ</t>
  </si>
  <si>
    <t>04VA</t>
  </si>
  <si>
    <t>04VC</t>
  </si>
  <si>
    <t>04VD</t>
  </si>
  <si>
    <t>04VF</t>
  </si>
  <si>
    <t>04VG</t>
  </si>
  <si>
    <t>04VH</t>
  </si>
  <si>
    <t>04VI</t>
  </si>
  <si>
    <t>04VJ</t>
  </si>
  <si>
    <t>04VK</t>
  </si>
  <si>
    <t>04VL</t>
  </si>
  <si>
    <t>04VM</t>
  </si>
  <si>
    <t>04VN</t>
  </si>
  <si>
    <t>04VO</t>
  </si>
  <si>
    <t>04VQ</t>
  </si>
  <si>
    <t>04VR</t>
  </si>
  <si>
    <t>04VS</t>
  </si>
  <si>
    <t>04VT</t>
  </si>
  <si>
    <t>04VV</t>
  </si>
  <si>
    <t>04VW</t>
  </si>
  <si>
    <t>04VX</t>
  </si>
  <si>
    <t>04VY</t>
  </si>
  <si>
    <t>04WC</t>
  </si>
  <si>
    <t>04WD</t>
  </si>
  <si>
    <t>04WG</t>
  </si>
  <si>
    <t>04WJ</t>
  </si>
  <si>
    <t>04WL</t>
  </si>
  <si>
    <t>04WM</t>
  </si>
  <si>
    <t>04WO</t>
  </si>
  <si>
    <t>04WQ</t>
  </si>
  <si>
    <t>04WR</t>
  </si>
  <si>
    <t>04WS</t>
  </si>
  <si>
    <t>04WT</t>
  </si>
  <si>
    <t>04WU</t>
  </si>
  <si>
    <t>04WV</t>
  </si>
  <si>
    <t>04WW</t>
  </si>
  <si>
    <t>04WX</t>
  </si>
  <si>
    <t>04XA</t>
  </si>
  <si>
    <t>04XB</t>
  </si>
  <si>
    <t>04XC</t>
  </si>
  <si>
    <t>04XD</t>
  </si>
  <si>
    <t>04XH</t>
  </si>
  <si>
    <t>04XL</t>
  </si>
  <si>
    <t>04XS</t>
  </si>
  <si>
    <t>04XT</t>
  </si>
  <si>
    <t>04XW</t>
  </si>
  <si>
    <t>04XX</t>
  </si>
  <si>
    <t>04XZ</t>
  </si>
  <si>
    <t>04YG</t>
  </si>
  <si>
    <t>04YJ</t>
  </si>
  <si>
    <t>04YK</t>
  </si>
  <si>
    <t>04YQ</t>
  </si>
  <si>
    <t>04YR</t>
  </si>
  <si>
    <t>04YT</t>
  </si>
  <si>
    <t>04YU</t>
  </si>
  <si>
    <t>04YY</t>
  </si>
  <si>
    <t>04YZ</t>
  </si>
  <si>
    <t>04ZB</t>
  </si>
  <si>
    <t>04ZF</t>
  </si>
  <si>
    <t>04ZG</t>
  </si>
  <si>
    <t>04ZI</t>
  </si>
  <si>
    <t>04ZM</t>
  </si>
  <si>
    <t>04ZO</t>
  </si>
  <si>
    <t>04ZS</t>
  </si>
  <si>
    <t>04ZT</t>
  </si>
  <si>
    <t>04ZV</t>
  </si>
  <si>
    <t>04ZW</t>
  </si>
  <si>
    <t>04ZX</t>
  </si>
  <si>
    <t>05AF</t>
  </si>
  <si>
    <t>05AI</t>
  </si>
  <si>
    <t>05AO</t>
  </si>
  <si>
    <t>05AT</t>
  </si>
  <si>
    <t>05AU</t>
  </si>
  <si>
    <t>05AY</t>
  </si>
  <si>
    <t>05BB</t>
  </si>
  <si>
    <t>05BC</t>
  </si>
  <si>
    <t>05BE</t>
  </si>
  <si>
    <t>05BF</t>
  </si>
  <si>
    <t>05BG</t>
  </si>
  <si>
    <t>05BH</t>
  </si>
  <si>
    <t>05BI</t>
  </si>
  <si>
    <t>05BJ</t>
  </si>
  <si>
    <t>05BK</t>
  </si>
  <si>
    <t>05BL</t>
  </si>
  <si>
    <t>05BM</t>
  </si>
  <si>
    <t>05BN</t>
  </si>
  <si>
    <t>05BO</t>
  </si>
  <si>
    <t>05BQ</t>
  </si>
  <si>
    <t>05BR</t>
  </si>
  <si>
    <t>05BS</t>
  </si>
  <si>
    <t>05BT</t>
  </si>
  <si>
    <t>05BU</t>
  </si>
  <si>
    <t>05BX</t>
  </si>
  <si>
    <t>05BY</t>
  </si>
  <si>
    <t>05CB</t>
  </si>
  <si>
    <t>05CC</t>
  </si>
  <si>
    <t>05CD</t>
  </si>
  <si>
    <t>05CH</t>
  </si>
  <si>
    <t>05CJ</t>
  </si>
  <si>
    <t>05CN</t>
  </si>
  <si>
    <t>05CO</t>
  </si>
  <si>
    <t>05CP</t>
  </si>
  <si>
    <t>05CS</t>
  </si>
  <si>
    <t>05CT</t>
  </si>
  <si>
    <t>05CX</t>
  </si>
  <si>
    <t>05CZ</t>
  </si>
  <si>
    <t>05DA</t>
  </si>
  <si>
    <t>05DB</t>
  </si>
  <si>
    <t>05DC</t>
  </si>
  <si>
    <t>05DD</t>
  </si>
  <si>
    <t>05DF</t>
  </si>
  <si>
    <t>05DG</t>
  </si>
  <si>
    <t>05DH</t>
  </si>
  <si>
    <t>05DJ</t>
  </si>
  <si>
    <t>05DK</t>
  </si>
  <si>
    <t>05DM</t>
  </si>
  <si>
    <t>05DN</t>
  </si>
  <si>
    <t>05DO</t>
  </si>
  <si>
    <t>05DP</t>
  </si>
  <si>
    <t>05DQ</t>
  </si>
  <si>
    <t>05DT</t>
  </si>
  <si>
    <t>05DU</t>
  </si>
  <si>
    <t>05DV</t>
  </si>
  <si>
    <t>05DW</t>
  </si>
  <si>
    <t>05DX</t>
  </si>
  <si>
    <t>05ED</t>
  </si>
  <si>
    <t>05EF</t>
  </si>
  <si>
    <t>05EG</t>
  </si>
  <si>
    <t>05EH</t>
  </si>
  <si>
    <t>05EJ</t>
  </si>
  <si>
    <t>05EN</t>
  </si>
  <si>
    <t>05EO</t>
  </si>
  <si>
    <t>05EP</t>
  </si>
  <si>
    <t>05ER</t>
  </si>
  <si>
    <t>05ES</t>
  </si>
  <si>
    <t>05EV</t>
  </si>
  <si>
    <t>05EY</t>
  </si>
  <si>
    <t>05EZ</t>
  </si>
  <si>
    <t>05FA</t>
  </si>
  <si>
    <t>05FG</t>
  </si>
  <si>
    <t>05FH</t>
  </si>
  <si>
    <t>05FK</t>
  </si>
  <si>
    <t>05FM</t>
  </si>
  <si>
    <t>05FP</t>
  </si>
  <si>
    <t>05FR</t>
  </si>
  <si>
    <t>05FS</t>
  </si>
  <si>
    <t>05FU</t>
  </si>
  <si>
    <t>05FV</t>
  </si>
  <si>
    <t>05FX</t>
  </si>
  <si>
    <t>05FZ</t>
  </si>
  <si>
    <t>05GC</t>
  </si>
  <si>
    <t>05GE</t>
  </si>
  <si>
    <t>05GF</t>
  </si>
  <si>
    <t>05GH</t>
  </si>
  <si>
    <t>05GJ</t>
  </si>
  <si>
    <t>05GK</t>
  </si>
  <si>
    <t>05GL</t>
  </si>
  <si>
    <t>05GM</t>
  </si>
  <si>
    <t>05GP</t>
  </si>
  <si>
    <t>05GQ</t>
  </si>
  <si>
    <t>05GR</t>
  </si>
  <si>
    <t>05GT</t>
  </si>
  <si>
    <t>05GU</t>
  </si>
  <si>
    <t>05GY</t>
  </si>
  <si>
    <t>05HA</t>
  </si>
  <si>
    <t>05HC</t>
  </si>
  <si>
    <t>05HD</t>
  </si>
  <si>
    <t>05HF</t>
  </si>
  <si>
    <t>05HH</t>
  </si>
  <si>
    <t>05HJ</t>
  </si>
  <si>
    <t>05HL</t>
  </si>
  <si>
    <t>05HO</t>
  </si>
  <si>
    <t>05HS</t>
  </si>
  <si>
    <t>05HU</t>
  </si>
  <si>
    <t>05HV</t>
  </si>
  <si>
    <t>05HW</t>
  </si>
  <si>
    <t>05HZ</t>
  </si>
  <si>
    <t>05IA</t>
  </si>
  <si>
    <t>05IB</t>
  </si>
  <si>
    <t>05ID</t>
  </si>
  <si>
    <t>05IE</t>
  </si>
  <si>
    <t>05IF</t>
  </si>
  <si>
    <t>05IH</t>
  </si>
  <si>
    <t>05IJ</t>
  </si>
  <si>
    <t>05IK</t>
  </si>
  <si>
    <t>05IL</t>
  </si>
  <si>
    <t>05IM</t>
  </si>
  <si>
    <t>05IQ</t>
  </si>
  <si>
    <t>05IS</t>
  </si>
  <si>
    <t>05IU</t>
  </si>
  <si>
    <t>05IV</t>
  </si>
  <si>
    <t>05IW</t>
  </si>
  <si>
    <t>05IX</t>
  </si>
  <si>
    <t>05IZ</t>
  </si>
  <si>
    <t>05JA</t>
  </si>
  <si>
    <t>05JC</t>
  </si>
  <si>
    <t>05JE</t>
  </si>
  <si>
    <t>05JF</t>
  </si>
  <si>
    <t>05JG</t>
  </si>
  <si>
    <t>05JH</t>
  </si>
  <si>
    <t>05JI</t>
  </si>
  <si>
    <t>05JJ</t>
  </si>
  <si>
    <t>05JK</t>
  </si>
  <si>
    <t>05JL</t>
  </si>
  <si>
    <t>05JM</t>
  </si>
  <si>
    <t>05JN</t>
  </si>
  <si>
    <t>05JO</t>
  </si>
  <si>
    <t>05JP</t>
  </si>
  <si>
    <t>05JQ</t>
  </si>
  <si>
    <t>05JR</t>
  </si>
  <si>
    <t>05JT</t>
  </si>
  <si>
    <t>05JU</t>
  </si>
  <si>
    <t>05JV</t>
  </si>
  <si>
    <t>05JW</t>
  </si>
  <si>
    <t>05JX</t>
  </si>
  <si>
    <t>05JY</t>
  </si>
  <si>
    <t>05JZ</t>
  </si>
  <si>
    <t>05KA</t>
  </si>
  <si>
    <t>05KB</t>
  </si>
  <si>
    <t>05KH</t>
  </si>
  <si>
    <t>05KK</t>
  </si>
  <si>
    <t>05KL</t>
  </si>
  <si>
    <t>05KP</t>
  </si>
  <si>
    <t>05KQ</t>
  </si>
  <si>
    <t>05KR</t>
  </si>
  <si>
    <t>05KT</t>
  </si>
  <si>
    <t>05KU</t>
  </si>
  <si>
    <t>05KW</t>
  </si>
  <si>
    <t>05KX</t>
  </si>
  <si>
    <t>05LB</t>
  </si>
  <si>
    <t>05LC</t>
  </si>
  <si>
    <t>05LL</t>
  </si>
  <si>
    <t>05LN</t>
  </si>
  <si>
    <t>05LP</t>
  </si>
  <si>
    <t>05LQ</t>
  </si>
  <si>
    <t>05LR</t>
  </si>
  <si>
    <t>05LS</t>
  </si>
  <si>
    <t>05LU</t>
  </si>
  <si>
    <t>05LV</t>
  </si>
  <si>
    <t>05LW</t>
  </si>
  <si>
    <t>05LX</t>
  </si>
  <si>
    <t>05LY</t>
  </si>
  <si>
    <t>05LZ</t>
  </si>
  <si>
    <t>05MA</t>
  </si>
  <si>
    <t>05MC</t>
  </si>
  <si>
    <t>05MD</t>
  </si>
  <si>
    <t>05ME</t>
  </si>
  <si>
    <t>05MF</t>
  </si>
  <si>
    <t>05MG</t>
  </si>
  <si>
    <t>05MH</t>
  </si>
  <si>
    <t>05MI</t>
  </si>
  <si>
    <t>05MJ</t>
  </si>
  <si>
    <t>05MK</t>
  </si>
  <si>
    <t>05ML</t>
  </si>
  <si>
    <t>05MM</t>
  </si>
  <si>
    <t>05MQ</t>
  </si>
  <si>
    <t>05MT</t>
  </si>
  <si>
    <t>05MU</t>
  </si>
  <si>
    <t>05MX</t>
  </si>
  <si>
    <t>05MY</t>
  </si>
  <si>
    <t>05NA</t>
  </si>
  <si>
    <t>05NI</t>
  </si>
  <si>
    <t>05NJ</t>
  </si>
  <si>
    <t>05NM</t>
  </si>
  <si>
    <t>05NN</t>
  </si>
  <si>
    <t>05NO</t>
  </si>
  <si>
    <t>05NP</t>
  </si>
  <si>
    <t>05NQ</t>
  </si>
  <si>
    <t>05NS</t>
  </si>
  <si>
    <t>05NT</t>
  </si>
  <si>
    <t>05NU</t>
  </si>
  <si>
    <t>05NW</t>
  </si>
  <si>
    <t>05NY</t>
  </si>
  <si>
    <t>05OC</t>
  </si>
  <si>
    <t>05OD</t>
  </si>
  <si>
    <t>05OF</t>
  </si>
  <si>
    <t>05OJ</t>
  </si>
  <si>
    <t>05OK</t>
  </si>
  <si>
    <t>05OL</t>
  </si>
  <si>
    <t>05OM</t>
  </si>
  <si>
    <t>05ON</t>
  </si>
  <si>
    <t>05OQ</t>
  </si>
  <si>
    <t>05OR</t>
  </si>
  <si>
    <t>05OS</t>
  </si>
  <si>
    <t>05OU</t>
  </si>
  <si>
    <t>05OV</t>
  </si>
  <si>
    <t>05OW</t>
  </si>
  <si>
    <t>05OX</t>
  </si>
  <si>
    <t>05OY</t>
  </si>
  <si>
    <t>05OZ</t>
  </si>
  <si>
    <t>05PA</t>
  </si>
  <si>
    <t>05PC</t>
  </si>
  <si>
    <t>05PD</t>
  </si>
  <si>
    <t>05PE</t>
  </si>
  <si>
    <t>05PF</t>
  </si>
  <si>
    <t>05PH</t>
  </si>
  <si>
    <t>05PJ</t>
  </si>
  <si>
    <t>05PK</t>
  </si>
  <si>
    <t>05PM</t>
  </si>
  <si>
    <t>05PO</t>
  </si>
  <si>
    <t>05PQ</t>
  </si>
  <si>
    <t>05PR</t>
  </si>
  <si>
    <t>05PS</t>
  </si>
  <si>
    <t>05PV</t>
  </si>
  <si>
    <t>05PX</t>
  </si>
  <si>
    <t>05PZ</t>
  </si>
  <si>
    <t>05QA</t>
  </si>
  <si>
    <t>05QB</t>
  </si>
  <si>
    <t>05QD</t>
  </si>
  <si>
    <t>05QE</t>
  </si>
  <si>
    <t>05QF</t>
  </si>
  <si>
    <t>05QH</t>
  </si>
  <si>
    <t>05QI</t>
  </si>
  <si>
    <t>05QJ</t>
  </si>
  <si>
    <t>05QM</t>
  </si>
  <si>
    <t>05QN</t>
  </si>
  <si>
    <t>05QO</t>
  </si>
  <si>
    <t>05QP</t>
  </si>
  <si>
    <t>05QS</t>
  </si>
  <si>
    <t>05QT</t>
  </si>
  <si>
    <t>05QU</t>
  </si>
  <si>
    <t>05QV</t>
  </si>
  <si>
    <t>05QW</t>
  </si>
  <si>
    <t>05QX</t>
  </si>
  <si>
    <t>05RB</t>
  </si>
  <si>
    <t>05RC</t>
  </si>
  <si>
    <t>05RD</t>
  </si>
  <si>
    <t>05RE</t>
  </si>
  <si>
    <t>05RG</t>
  </si>
  <si>
    <t>05RH</t>
  </si>
  <si>
    <t>05RK</t>
  </si>
  <si>
    <t>05RL</t>
  </si>
  <si>
    <t>05RM</t>
  </si>
  <si>
    <t>05RN</t>
  </si>
  <si>
    <t>05RO</t>
  </si>
  <si>
    <t>05RR</t>
  </si>
  <si>
    <t>05RS</t>
  </si>
  <si>
    <t>05RT</t>
  </si>
  <si>
    <t>05RV</t>
  </si>
  <si>
    <t>05RW</t>
  </si>
  <si>
    <t>05RX</t>
  </si>
  <si>
    <t>05RY</t>
  </si>
  <si>
    <t>05RZ</t>
  </si>
  <si>
    <t>05SB</t>
  </si>
  <si>
    <t>05SC</t>
  </si>
  <si>
    <t>05SE</t>
  </si>
  <si>
    <t>05SF</t>
  </si>
  <si>
    <t>05SG</t>
  </si>
  <si>
    <t>05SI</t>
  </si>
  <si>
    <t>05SJ</t>
  </si>
  <si>
    <t>05SK</t>
  </si>
  <si>
    <t>05SL</t>
  </si>
  <si>
    <t>05SO</t>
  </si>
  <si>
    <t>05SP</t>
  </si>
  <si>
    <t>05SR</t>
  </si>
  <si>
    <t>05SW</t>
  </si>
  <si>
    <t>05SX</t>
  </si>
  <si>
    <t>05SY</t>
  </si>
  <si>
    <t>05SZ</t>
  </si>
  <si>
    <t>05TB</t>
  </si>
  <si>
    <t>05TE</t>
  </si>
  <si>
    <t>05TF</t>
  </si>
  <si>
    <t>05TG</t>
  </si>
  <si>
    <t>05TH</t>
  </si>
  <si>
    <t>05TI</t>
  </si>
  <si>
    <t>05TL</t>
  </si>
  <si>
    <t>05TM</t>
  </si>
  <si>
    <t>05TN</t>
  </si>
  <si>
    <t>05TO</t>
  </si>
  <si>
    <t>05TR</t>
  </si>
  <si>
    <t>05TS</t>
  </si>
  <si>
    <t>05TT</t>
  </si>
  <si>
    <t>05TU</t>
  </si>
  <si>
    <t>05TV</t>
  </si>
  <si>
    <t>05TW</t>
  </si>
  <si>
    <t>05TY</t>
  </si>
  <si>
    <t>05TZ</t>
  </si>
  <si>
    <t>05UE</t>
  </si>
  <si>
    <t>05UF</t>
  </si>
  <si>
    <t>05UG</t>
  </si>
  <si>
    <t>05UK</t>
  </si>
  <si>
    <t>05UL</t>
  </si>
  <si>
    <t>05UM</t>
  </si>
  <si>
    <t>05UN</t>
  </si>
  <si>
    <t>05UO</t>
  </si>
  <si>
    <t>05UR</t>
  </si>
  <si>
    <t>05US</t>
  </si>
  <si>
    <t>05UT</t>
  </si>
  <si>
    <t>05UU</t>
  </si>
  <si>
    <t>05UW</t>
  </si>
  <si>
    <t>05UX</t>
  </si>
  <si>
    <t>05UY</t>
  </si>
  <si>
    <t>05VA</t>
  </si>
  <si>
    <t>05VC</t>
  </si>
  <si>
    <t>05VD</t>
  </si>
  <si>
    <t>05VG</t>
  </si>
  <si>
    <t>05VJ</t>
  </si>
  <si>
    <t>05VK</t>
  </si>
  <si>
    <t>05VL</t>
  </si>
  <si>
    <t>05VM</t>
  </si>
  <si>
    <t>05VO</t>
  </si>
  <si>
    <t>05VP</t>
  </si>
  <si>
    <t>05VR</t>
  </si>
  <si>
    <t>05VS</t>
  </si>
  <si>
    <t>05VT</t>
  </si>
  <si>
    <t>05VU</t>
  </si>
  <si>
    <t>05VV</t>
  </si>
  <si>
    <t>05VW</t>
  </si>
  <si>
    <t>05VX</t>
  </si>
  <si>
    <t>05VY</t>
  </si>
  <si>
    <t>05WB</t>
  </si>
  <si>
    <t>05WD</t>
  </si>
  <si>
    <t>05WG</t>
  </si>
  <si>
    <t>05WH</t>
  </si>
  <si>
    <t>05WI</t>
  </si>
  <si>
    <t>05WJ</t>
  </si>
  <si>
    <t>05WK</t>
  </si>
  <si>
    <t>05WL</t>
  </si>
  <si>
    <t>05WM</t>
  </si>
  <si>
    <t>05WN</t>
  </si>
  <si>
    <t>05WR</t>
  </si>
  <si>
    <t>05WS</t>
  </si>
  <si>
    <t>05WT</t>
  </si>
  <si>
    <t>05WU</t>
  </si>
  <si>
    <t>05WV</t>
  </si>
  <si>
    <t>05WZ</t>
  </si>
  <si>
    <t>05XA</t>
  </si>
  <si>
    <t>05XB</t>
  </si>
  <si>
    <t>05XC</t>
  </si>
  <si>
    <t>05XD</t>
  </si>
  <si>
    <t>05XE</t>
  </si>
  <si>
    <t>05XF</t>
  </si>
  <si>
    <t>05XH</t>
  </si>
  <si>
    <t>05XI</t>
  </si>
  <si>
    <t>05XQ</t>
  </si>
  <si>
    <t>05XR</t>
  </si>
  <si>
    <t>05XW</t>
  </si>
  <si>
    <t>05XX</t>
  </si>
  <si>
    <t>05XZ</t>
  </si>
  <si>
    <t>05YA</t>
  </si>
  <si>
    <t>05YC</t>
  </si>
  <si>
    <t>05YD</t>
  </si>
  <si>
    <t>05YE</t>
  </si>
  <si>
    <t>05YK</t>
  </si>
  <si>
    <t>05YL</t>
  </si>
  <si>
    <t>05YM</t>
  </si>
  <si>
    <t>05YQ</t>
  </si>
  <si>
    <t>05YS</t>
  </si>
  <si>
    <t>05YT</t>
  </si>
  <si>
    <t>05YW</t>
  </si>
  <si>
    <t>05YX</t>
  </si>
  <si>
    <t>05ZE</t>
  </si>
  <si>
    <t>05ZF</t>
  </si>
  <si>
    <t>05ZG</t>
  </si>
  <si>
    <t>05ZH</t>
  </si>
  <si>
    <t>05ZI</t>
  </si>
  <si>
    <t>05ZN</t>
  </si>
  <si>
    <t>05ZQ</t>
  </si>
  <si>
    <t>05ZR</t>
  </si>
  <si>
    <t>05ZS</t>
  </si>
  <si>
    <t>05ZT</t>
  </si>
  <si>
    <t>05ZU</t>
  </si>
  <si>
    <t>05ZW</t>
  </si>
  <si>
    <t>05ZX</t>
  </si>
  <si>
    <t>05ZY</t>
  </si>
  <si>
    <t>05ZZ</t>
  </si>
  <si>
    <t>06AF</t>
  </si>
  <si>
    <t>06AG</t>
  </si>
  <si>
    <t>06AI</t>
  </si>
  <si>
    <t>06AL</t>
  </si>
  <si>
    <t>06AM</t>
  </si>
  <si>
    <t>06AN</t>
  </si>
  <si>
    <t>06AO</t>
  </si>
  <si>
    <t>06AP</t>
  </si>
  <si>
    <t>06AQ</t>
  </si>
  <si>
    <t>06AY</t>
  </si>
  <si>
    <t>06AZ</t>
  </si>
  <si>
    <t>06BA</t>
  </si>
  <si>
    <t>06BB</t>
  </si>
  <si>
    <t>06BC</t>
  </si>
  <si>
    <t>06BD</t>
  </si>
  <si>
    <t>06BE</t>
  </si>
  <si>
    <t>06BG</t>
  </si>
  <si>
    <t>06BH</t>
  </si>
  <si>
    <t>06BM</t>
  </si>
  <si>
    <t>06BO</t>
  </si>
  <si>
    <t>06BP</t>
  </si>
  <si>
    <t>06BQ</t>
  </si>
  <si>
    <t>06BR</t>
  </si>
  <si>
    <t>06BV</t>
  </si>
  <si>
    <t>06BX</t>
  </si>
  <si>
    <t>06BY</t>
  </si>
  <si>
    <t>06CA</t>
  </si>
  <si>
    <t>06CI</t>
  </si>
  <si>
    <t>06CK</t>
  </si>
  <si>
    <t>06CN</t>
  </si>
  <si>
    <t>06CO</t>
  </si>
  <si>
    <t>06CP</t>
  </si>
  <si>
    <t>06CQ</t>
  </si>
  <si>
    <t>06CS</t>
  </si>
  <si>
    <t>06CT</t>
  </si>
  <si>
    <t>06CU</t>
  </si>
  <si>
    <t>06CX</t>
  </si>
  <si>
    <t>06CY</t>
  </si>
  <si>
    <t>06CZ</t>
  </si>
  <si>
    <t>06DD</t>
  </si>
  <si>
    <t>06DE</t>
  </si>
  <si>
    <t>06DG</t>
  </si>
  <si>
    <t>06DJ</t>
  </si>
  <si>
    <t>06DM</t>
  </si>
  <si>
    <t>06DN</t>
  </si>
  <si>
    <t>06DO</t>
  </si>
  <si>
    <t>06DV</t>
  </si>
  <si>
    <t>06DW</t>
  </si>
  <si>
    <t>06DX</t>
  </si>
  <si>
    <t>06DY</t>
  </si>
  <si>
    <t>06DZ</t>
  </si>
  <si>
    <t>06EA</t>
  </si>
  <si>
    <t>06EB</t>
  </si>
  <si>
    <t>06EC</t>
  </si>
  <si>
    <t>06ED</t>
  </si>
  <si>
    <t>06EE</t>
  </si>
  <si>
    <t>06EF</t>
  </si>
  <si>
    <t>06EH</t>
  </si>
  <si>
    <t>06EI</t>
  </si>
  <si>
    <t>06EJ</t>
  </si>
  <si>
    <t>06EK</t>
  </si>
  <si>
    <t>06EL</t>
  </si>
  <si>
    <t>06EM</t>
  </si>
  <si>
    <t>06EN</t>
  </si>
  <si>
    <t>06EO</t>
  </si>
  <si>
    <t>06EP</t>
  </si>
  <si>
    <t>06EQ</t>
  </si>
  <si>
    <t>06ES</t>
  </si>
  <si>
    <t>06ET</t>
  </si>
  <si>
    <t>06EU</t>
  </si>
  <si>
    <t>06EY</t>
  </si>
  <si>
    <t>06FA</t>
  </si>
  <si>
    <t>06FB</t>
  </si>
  <si>
    <t>06FF</t>
  </si>
  <si>
    <t>06FI</t>
  </si>
  <si>
    <t>06FJ</t>
  </si>
  <si>
    <t>06FK</t>
  </si>
  <si>
    <t>06FM</t>
  </si>
  <si>
    <t>06FO</t>
  </si>
  <si>
    <t>06FR</t>
  </si>
  <si>
    <t>06FT</t>
  </si>
  <si>
    <t>06FU</t>
  </si>
  <si>
    <t>06FV</t>
  </si>
  <si>
    <t>06FW</t>
  </si>
  <si>
    <t>06FY</t>
  </si>
  <si>
    <t>06GD</t>
  </si>
  <si>
    <t>06GE</t>
  </si>
  <si>
    <t>06GH</t>
  </si>
  <si>
    <t>06GK</t>
  </si>
  <si>
    <t>06GL</t>
  </si>
  <si>
    <t>06GN</t>
  </si>
  <si>
    <t>06GP</t>
  </si>
  <si>
    <t>06GR</t>
  </si>
  <si>
    <t>06GS</t>
  </si>
  <si>
    <t>06GU</t>
  </si>
  <si>
    <t>06GV</t>
  </si>
  <si>
    <t>06GW</t>
  </si>
  <si>
    <t>06HC</t>
  </si>
  <si>
    <t>06HD</t>
  </si>
  <si>
    <t>06HE</t>
  </si>
  <si>
    <t>06HG</t>
  </si>
  <si>
    <t>06HI</t>
  </si>
  <si>
    <t>06HJ</t>
  </si>
  <si>
    <t>06HK</t>
  </si>
  <si>
    <t>06HL</t>
  </si>
  <si>
    <t>06HM</t>
  </si>
  <si>
    <t>06HN</t>
  </si>
  <si>
    <t>06HO</t>
  </si>
  <si>
    <t>06HP</t>
  </si>
  <si>
    <t>06HT</t>
  </si>
  <si>
    <t>06HU</t>
  </si>
  <si>
    <t>06HV</t>
  </si>
  <si>
    <t>06HW</t>
  </si>
  <si>
    <t>06HZ</t>
  </si>
  <si>
    <t>06IA</t>
  </si>
  <si>
    <t>06IC</t>
  </si>
  <si>
    <t>06IE</t>
  </si>
  <si>
    <t>06IH</t>
  </si>
  <si>
    <t>06IK</t>
  </si>
  <si>
    <t>06IL</t>
  </si>
  <si>
    <t>06IN</t>
  </si>
  <si>
    <t>06IP</t>
  </si>
  <si>
    <t>06IR</t>
  </si>
  <si>
    <t>06IS</t>
  </si>
  <si>
    <t>06IT</t>
  </si>
  <si>
    <t>06IU</t>
  </si>
  <si>
    <t>06IW</t>
  </si>
  <si>
    <t>06IX</t>
  </si>
  <si>
    <t>06IY</t>
  </si>
  <si>
    <t>06IZ</t>
  </si>
  <si>
    <t>06JC</t>
  </si>
  <si>
    <t>06JD</t>
  </si>
  <si>
    <t>06JE</t>
  </si>
  <si>
    <t>06JF</t>
  </si>
  <si>
    <t>06JG</t>
  </si>
  <si>
    <t>06JL</t>
  </si>
  <si>
    <t>06JN</t>
  </si>
  <si>
    <t>06JO</t>
  </si>
  <si>
    <t>06JP</t>
  </si>
  <si>
    <t>06JQ</t>
  </si>
  <si>
    <t>06JS</t>
  </si>
  <si>
    <t>06JT</t>
  </si>
  <si>
    <t>06JV</t>
  </si>
  <si>
    <t>06JW</t>
  </si>
  <si>
    <t>06JY</t>
  </si>
  <si>
    <t>06JZ</t>
  </si>
  <si>
    <t>06KA</t>
  </si>
  <si>
    <t>06KB</t>
  </si>
  <si>
    <t>06KC</t>
  </si>
  <si>
    <t>06KD</t>
  </si>
  <si>
    <t>06KE</t>
  </si>
  <si>
    <t>06KF</t>
  </si>
  <si>
    <t>06KG</t>
  </si>
  <si>
    <t>06KH</t>
  </si>
  <si>
    <t>06KK</t>
  </si>
  <si>
    <t>06KL</t>
  </si>
  <si>
    <t>06KM</t>
  </si>
  <si>
    <t>06KN</t>
  </si>
  <si>
    <t>06KO</t>
  </si>
  <si>
    <t>06KQ</t>
  </si>
  <si>
    <t>06KS</t>
  </si>
  <si>
    <t>06KT</t>
  </si>
  <si>
    <t>06KU</t>
  </si>
  <si>
    <t>06KV</t>
  </si>
  <si>
    <t>06KW</t>
  </si>
  <si>
    <t>06KY</t>
  </si>
  <si>
    <t>06LA</t>
  </si>
  <si>
    <t>06LB</t>
  </si>
  <si>
    <t>06LC</t>
  </si>
  <si>
    <t>06LD</t>
  </si>
  <si>
    <t>06LF</t>
  </si>
  <si>
    <t>06LG</t>
  </si>
  <si>
    <t>06LH</t>
  </si>
  <si>
    <t>06LI</t>
  </si>
  <si>
    <t>06LJ</t>
  </si>
  <si>
    <t>06LL</t>
  </si>
  <si>
    <t>06LM</t>
  </si>
  <si>
    <t>06LO</t>
  </si>
  <si>
    <t>06LP</t>
  </si>
  <si>
    <t>06LQ</t>
  </si>
  <si>
    <t>06LR</t>
  </si>
  <si>
    <t>06LT</t>
  </si>
  <si>
    <t>06LU</t>
  </si>
  <si>
    <t>06LV</t>
  </si>
  <si>
    <t>06LW</t>
  </si>
  <si>
    <t>06LX</t>
  </si>
  <si>
    <t>06LY</t>
  </si>
  <si>
    <t>06LZ</t>
  </si>
  <si>
    <t>06MA</t>
  </si>
  <si>
    <t>06MC</t>
  </si>
  <si>
    <t>06MD</t>
  </si>
  <si>
    <t>06ME</t>
  </si>
  <si>
    <t>06MF</t>
  </si>
  <si>
    <t>06MH</t>
  </si>
  <si>
    <t>06MI</t>
  </si>
  <si>
    <t>06MJ</t>
  </si>
  <si>
    <t>06MM</t>
  </si>
  <si>
    <t>06MQ</t>
  </si>
  <si>
    <t>06MS</t>
  </si>
  <si>
    <t>06MU</t>
  </si>
  <si>
    <t>06MV</t>
  </si>
  <si>
    <t>06MW</t>
  </si>
  <si>
    <t>06MY</t>
  </si>
  <si>
    <t>06NB</t>
  </si>
  <si>
    <t>06NC</t>
  </si>
  <si>
    <t>06NE</t>
  </si>
  <si>
    <t>06NG</t>
  </si>
  <si>
    <t>06NH</t>
  </si>
  <si>
    <t>06NI</t>
  </si>
  <si>
    <t>06NJ</t>
  </si>
  <si>
    <t>06NL</t>
  </si>
  <si>
    <t>06NM</t>
  </si>
  <si>
    <t>06NN</t>
  </si>
  <si>
    <t>06NO</t>
  </si>
  <si>
    <t>06NR</t>
  </si>
  <si>
    <t>06NS</t>
  </si>
  <si>
    <t>06NU</t>
  </si>
  <si>
    <t>06NX</t>
  </si>
  <si>
    <t>06NY</t>
  </si>
  <si>
    <t>06NZ</t>
  </si>
  <si>
    <t>06OA</t>
  </si>
  <si>
    <t>06OD</t>
  </si>
  <si>
    <t>06OF</t>
  </si>
  <si>
    <t>06OH</t>
  </si>
  <si>
    <t>06OJ</t>
  </si>
  <si>
    <t>06OK</t>
  </si>
  <si>
    <t>06OM</t>
  </si>
  <si>
    <t>06OP</t>
  </si>
  <si>
    <t>06OQ</t>
  </si>
  <si>
    <t>06OR</t>
  </si>
  <si>
    <t>06OS</t>
  </si>
  <si>
    <t>06OT</t>
  </si>
  <si>
    <t>06OU</t>
  </si>
  <si>
    <t>06OW</t>
  </si>
  <si>
    <t>06OY</t>
  </si>
  <si>
    <t>06OZ</t>
  </si>
  <si>
    <t>06PB</t>
  </si>
  <si>
    <t>06PC</t>
  </si>
  <si>
    <t>06PD</t>
  </si>
  <si>
    <t>06PE</t>
  </si>
  <si>
    <t>06PF</t>
  </si>
  <si>
    <t>06PG</t>
  </si>
  <si>
    <t>06PH</t>
  </si>
  <si>
    <t>06PI</t>
  </si>
  <si>
    <t>06PL</t>
  </si>
  <si>
    <t>06PM</t>
  </si>
  <si>
    <t>06PN</t>
  </si>
  <si>
    <t>06PO</t>
  </si>
  <si>
    <t>06PP</t>
  </si>
  <si>
    <t>06PQ</t>
  </si>
  <si>
    <t>06PR</t>
  </si>
  <si>
    <t>06PS</t>
  </si>
  <si>
    <t>06PT</t>
  </si>
  <si>
    <t>06PV</t>
  </si>
  <si>
    <t>06PZ</t>
  </si>
  <si>
    <t>06QB</t>
  </si>
  <si>
    <t>06QC</t>
  </si>
  <si>
    <t>06QE</t>
  </si>
  <si>
    <t>06QF</t>
  </si>
  <si>
    <t>06QH</t>
  </si>
  <si>
    <t>06QI</t>
  </si>
  <si>
    <t>06QJ</t>
  </si>
  <si>
    <t>06QK</t>
  </si>
  <si>
    <t>06QM</t>
  </si>
  <si>
    <t>06QN</t>
  </si>
  <si>
    <t>06QO</t>
  </si>
  <si>
    <t>06QP</t>
  </si>
  <si>
    <t>06QQ</t>
  </si>
  <si>
    <t>06QR</t>
  </si>
  <si>
    <t>06QS</t>
  </si>
  <si>
    <t>06QT</t>
  </si>
  <si>
    <t>06QV</t>
  </si>
  <si>
    <t>06QY</t>
  </si>
  <si>
    <t>06QZ</t>
  </si>
  <si>
    <t>06RA</t>
  </si>
  <si>
    <t>06RD</t>
  </si>
  <si>
    <t>06RE</t>
  </si>
  <si>
    <t>06RF</t>
  </si>
  <si>
    <t>06RG</t>
  </si>
  <si>
    <t>06RJ</t>
  </si>
  <si>
    <t>06RL</t>
  </si>
  <si>
    <t>06RM</t>
  </si>
  <si>
    <t>06RN</t>
  </si>
  <si>
    <t>06RP</t>
  </si>
  <si>
    <t>06RQ</t>
  </si>
  <si>
    <t>06RR</t>
  </si>
  <si>
    <t>06RS</t>
  </si>
  <si>
    <t>06RT</t>
  </si>
  <si>
    <t>06RU</t>
  </si>
  <si>
    <t>06RV</t>
  </si>
  <si>
    <t>06RW</t>
  </si>
  <si>
    <t>06RX</t>
  </si>
  <si>
    <t>06RY</t>
  </si>
  <si>
    <t>06RZ</t>
  </si>
  <si>
    <t>06SB</t>
  </si>
  <si>
    <t>06SC</t>
  </si>
  <si>
    <t>06SE</t>
  </si>
  <si>
    <t>06SF</t>
  </si>
  <si>
    <t>06SG</t>
  </si>
  <si>
    <t>06SI</t>
  </si>
  <si>
    <t>06SJ</t>
  </si>
  <si>
    <t>06SK</t>
  </si>
  <si>
    <t>06SL</t>
  </si>
  <si>
    <t>06SM</t>
  </si>
  <si>
    <t>06SN</t>
  </si>
  <si>
    <t>06SO</t>
  </si>
  <si>
    <t>06SQ</t>
  </si>
  <si>
    <t>06ST</t>
  </si>
  <si>
    <t>06SV</t>
  </si>
  <si>
    <t>06SW</t>
  </si>
  <si>
    <t>06SY</t>
  </si>
  <si>
    <t>06SZ</t>
  </si>
  <si>
    <t>06TA</t>
  </si>
  <si>
    <t>06TC</t>
  </si>
  <si>
    <t>06TD</t>
  </si>
  <si>
    <t>06TF</t>
  </si>
  <si>
    <t>06TH</t>
  </si>
  <si>
    <t>06TK</t>
  </si>
  <si>
    <t>06TL</t>
  </si>
  <si>
    <t>06TM</t>
  </si>
  <si>
    <t>06TN</t>
  </si>
  <si>
    <t>06TP</t>
  </si>
  <si>
    <t>06TR</t>
  </si>
  <si>
    <t>06TT</t>
  </si>
  <si>
    <t>06TU</t>
  </si>
  <si>
    <t>06TX</t>
  </si>
  <si>
    <t>06UB</t>
  </si>
  <si>
    <t>06UC</t>
  </si>
  <si>
    <t>06UD</t>
  </si>
  <si>
    <t>06UE</t>
  </si>
  <si>
    <t>06UF</t>
  </si>
  <si>
    <t>06UG</t>
  </si>
  <si>
    <t>06UI</t>
  </si>
  <si>
    <t>06UJ</t>
  </si>
  <si>
    <t>06UK</t>
  </si>
  <si>
    <t>06UL</t>
  </si>
  <si>
    <t>06UN</t>
  </si>
  <si>
    <t>06UQ</t>
  </si>
  <si>
    <t>06UT</t>
  </si>
  <si>
    <t>06UW</t>
  </si>
  <si>
    <t>06UX</t>
  </si>
  <si>
    <t>06UZ</t>
  </si>
  <si>
    <t>06VA</t>
  </si>
  <si>
    <t>06VC</t>
  </si>
  <si>
    <t>06VD</t>
  </si>
  <si>
    <t>06VF</t>
  </si>
  <si>
    <t>06VJ</t>
  </si>
  <si>
    <t>06VL</t>
  </si>
  <si>
    <t>06VN</t>
  </si>
  <si>
    <t>06VO</t>
  </si>
  <si>
    <t>06VP</t>
  </si>
  <si>
    <t>06VS</t>
  </si>
  <si>
    <t>06VU</t>
  </si>
  <si>
    <t>06VV</t>
  </si>
  <si>
    <t>06VW</t>
  </si>
  <si>
    <t>06VX</t>
  </si>
  <si>
    <t>06VY</t>
  </si>
  <si>
    <t>06WB</t>
  </si>
  <si>
    <t>06WC</t>
  </si>
  <si>
    <t>06WD</t>
  </si>
  <si>
    <t>06WF</t>
  </si>
  <si>
    <t>06WH</t>
  </si>
  <si>
    <t>06WI</t>
  </si>
  <si>
    <t>06WJ</t>
  </si>
  <si>
    <t>06WL</t>
  </si>
  <si>
    <t>06WM</t>
  </si>
  <si>
    <t>06WN</t>
  </si>
  <si>
    <t>06WO</t>
  </si>
  <si>
    <t>06WS</t>
  </si>
  <si>
    <t>06WT</t>
  </si>
  <si>
    <t>06WU</t>
  </si>
  <si>
    <t>06WV</t>
  </si>
  <si>
    <t>06WW</t>
  </si>
  <si>
    <t>06WX</t>
  </si>
  <si>
    <t>06WZ</t>
  </si>
  <si>
    <t>06XB</t>
  </si>
  <si>
    <t>06XC</t>
  </si>
  <si>
    <t>06XD</t>
  </si>
  <si>
    <t>06XE</t>
  </si>
  <si>
    <t>06XF</t>
  </si>
  <si>
    <t>06XI</t>
  </si>
  <si>
    <t>06XJ</t>
  </si>
  <si>
    <t>06XM</t>
  </si>
  <si>
    <t>06XO</t>
  </si>
  <si>
    <t>06XP</t>
  </si>
  <si>
    <t>06XQ</t>
  </si>
  <si>
    <t>06XR</t>
  </si>
  <si>
    <t>06XU</t>
  </si>
  <si>
    <t>06XW</t>
  </si>
  <si>
    <t>06XX</t>
  </si>
  <si>
    <t>06YA</t>
  </si>
  <si>
    <t>06YB</t>
  </si>
  <si>
    <t>06YD</t>
  </si>
  <si>
    <t>06YE</t>
  </si>
  <si>
    <t>06YF</t>
  </si>
  <si>
    <t>06YI</t>
  </si>
  <si>
    <t>06YJ</t>
  </si>
  <si>
    <t>06YK</t>
  </si>
  <si>
    <t>06YL</t>
  </si>
  <si>
    <t>06YM</t>
  </si>
  <si>
    <t>06YN</t>
  </si>
  <si>
    <t>06YO</t>
  </si>
  <si>
    <t>06YP</t>
  </si>
  <si>
    <t>06YQ</t>
  </si>
  <si>
    <t>06YR</t>
  </si>
  <si>
    <t>06YT</t>
  </si>
  <si>
    <t>06YU</t>
  </si>
  <si>
    <t>06YV</t>
  </si>
  <si>
    <t>06YX</t>
  </si>
  <si>
    <t>06YY</t>
  </si>
  <si>
    <t>06YZ</t>
  </si>
  <si>
    <t>06ZA</t>
  </si>
  <si>
    <t>06ZB</t>
  </si>
  <si>
    <t>06ZC</t>
  </si>
  <si>
    <t>06ZF</t>
  </si>
  <si>
    <t>06ZH</t>
  </si>
  <si>
    <t>06ZK</t>
  </si>
  <si>
    <t>06ZL</t>
  </si>
  <si>
    <t>06ZN</t>
  </si>
  <si>
    <t>06ZO</t>
  </si>
  <si>
    <t>06ZQ</t>
  </si>
  <si>
    <t>06ZR</t>
  </si>
  <si>
    <t>06ZS</t>
  </si>
  <si>
    <t>06ZT</t>
  </si>
  <si>
    <t>06ZV</t>
  </si>
  <si>
    <t>06ZX</t>
  </si>
  <si>
    <t>06ZY</t>
  </si>
  <si>
    <t>06ZZ</t>
  </si>
  <si>
    <t>07AA</t>
  </si>
  <si>
    <t>07AB</t>
  </si>
  <si>
    <t>07AD</t>
  </si>
  <si>
    <t>07AE</t>
  </si>
  <si>
    <t>07AF</t>
  </si>
  <si>
    <t>07AH</t>
  </si>
  <si>
    <t>07AI</t>
  </si>
  <si>
    <t>07AJ</t>
  </si>
  <si>
    <t>07AK</t>
  </si>
  <si>
    <t>07AL</t>
  </si>
  <si>
    <t>07AM</t>
  </si>
  <si>
    <t>07AO</t>
  </si>
  <si>
    <t>07AP</t>
  </si>
  <si>
    <t>07AR</t>
  </si>
  <si>
    <t>07AU</t>
  </si>
  <si>
    <t>07AV</t>
  </si>
  <si>
    <t>07AZ</t>
  </si>
  <si>
    <t>07BC</t>
  </si>
  <si>
    <t>07BF</t>
  </si>
  <si>
    <t>07BH</t>
  </si>
  <si>
    <t>07BI</t>
  </si>
  <si>
    <t>07BJ</t>
  </si>
  <si>
    <t>07BK</t>
  </si>
  <si>
    <t>07BL</t>
  </si>
  <si>
    <t>07BN</t>
  </si>
  <si>
    <t>07BO</t>
  </si>
  <si>
    <t>07BP</t>
  </si>
  <si>
    <t>07BR</t>
  </si>
  <si>
    <t>07BS</t>
  </si>
  <si>
    <t>07BT</t>
  </si>
  <si>
    <t>07BU</t>
  </si>
  <si>
    <t>07BV</t>
  </si>
  <si>
    <t>07BW</t>
  </si>
  <si>
    <t>07BX</t>
  </si>
  <si>
    <t>07BZ</t>
  </si>
  <si>
    <t>07CA</t>
  </si>
  <si>
    <t>07CB</t>
  </si>
  <si>
    <t>07CC</t>
  </si>
  <si>
    <t>07CF</t>
  </si>
  <si>
    <t>07CI</t>
  </si>
  <si>
    <t>07CJ</t>
  </si>
  <si>
    <t>07CK</t>
  </si>
  <si>
    <t>07CL</t>
  </si>
  <si>
    <t>07CM</t>
  </si>
  <si>
    <t>07CN</t>
  </si>
  <si>
    <t>07CO</t>
  </si>
  <si>
    <t>07CP</t>
  </si>
  <si>
    <t>07CQ</t>
  </si>
  <si>
    <t>07CT</t>
  </si>
  <si>
    <t>07CW</t>
  </si>
  <si>
    <t>07CX</t>
  </si>
  <si>
    <t>07CY</t>
  </si>
  <si>
    <t>07DA</t>
  </si>
  <si>
    <t>07DB</t>
  </si>
  <si>
    <t>07DD</t>
  </si>
  <si>
    <t>07DE</t>
  </si>
  <si>
    <t>07DF</t>
  </si>
  <si>
    <t>07DG</t>
  </si>
  <si>
    <t>07DH</t>
  </si>
  <si>
    <t>07DI</t>
  </si>
  <si>
    <t>07DJ</t>
  </si>
  <si>
    <t>07DK</t>
  </si>
  <si>
    <t>07DL</t>
  </si>
  <si>
    <t>07DM</t>
  </si>
  <si>
    <t>07DN</t>
  </si>
  <si>
    <t>07DP</t>
  </si>
  <si>
    <t>07DQ</t>
  </si>
  <si>
    <t>07DZ</t>
  </si>
  <si>
    <t>07EC</t>
  </si>
  <si>
    <t>07ED</t>
  </si>
  <si>
    <t>07EE</t>
  </si>
  <si>
    <t>07EF</t>
  </si>
  <si>
    <t>07EG</t>
  </si>
  <si>
    <t>07EI</t>
  </si>
  <si>
    <t>07EJ</t>
  </si>
  <si>
    <t>07EK</t>
  </si>
  <si>
    <t>07EM</t>
  </si>
  <si>
    <t>07EN</t>
  </si>
  <si>
    <t>07EP</t>
  </si>
  <si>
    <t>07EQ</t>
  </si>
  <si>
    <t>07ER</t>
  </si>
  <si>
    <t>07ET</t>
  </si>
  <si>
    <t>07EX</t>
  </si>
  <si>
    <t>07FA</t>
  </si>
  <si>
    <t>07FD</t>
  </si>
  <si>
    <t>07FE</t>
  </si>
  <si>
    <t>07FF</t>
  </si>
  <si>
    <t>07FI</t>
  </si>
  <si>
    <t>07FJ</t>
  </si>
  <si>
    <t>07FK</t>
  </si>
  <si>
    <t>07FL</t>
  </si>
  <si>
    <t>07FM</t>
  </si>
  <si>
    <t>07FU</t>
  </si>
  <si>
    <t>07FY</t>
  </si>
  <si>
    <t>07FZ</t>
  </si>
  <si>
    <t>07GB</t>
  </si>
  <si>
    <t>07GC</t>
  </si>
  <si>
    <t>07GD</t>
  </si>
  <si>
    <t>07GE</t>
  </si>
  <si>
    <t>07GT</t>
  </si>
  <si>
    <t>07GU</t>
  </si>
  <si>
    <t>07GX</t>
  </si>
  <si>
    <t>07GY</t>
  </si>
  <si>
    <t>07HL</t>
  </si>
  <si>
    <t>07HN</t>
  </si>
  <si>
    <t>07HO</t>
  </si>
  <si>
    <t>07HP</t>
  </si>
  <si>
    <t>07HQ</t>
  </si>
  <si>
    <t>07HV</t>
  </si>
  <si>
    <t>07HX</t>
  </si>
  <si>
    <t>07IA</t>
  </si>
  <si>
    <t>07IC</t>
  </si>
  <si>
    <t>07IH</t>
  </si>
  <si>
    <t>07IJ</t>
  </si>
  <si>
    <t>07IK</t>
  </si>
  <si>
    <t>07IL</t>
  </si>
  <si>
    <t>07IM</t>
  </si>
  <si>
    <t>07IP</t>
  </si>
  <si>
    <t>07IQ</t>
  </si>
  <si>
    <t>07IT</t>
  </si>
  <si>
    <t>07IV</t>
  </si>
  <si>
    <t>07IX</t>
  </si>
  <si>
    <t>07IY</t>
  </si>
  <si>
    <t>07IZ</t>
  </si>
  <si>
    <t>07JC</t>
  </si>
  <si>
    <t>07JE</t>
  </si>
  <si>
    <t>07JG</t>
  </si>
  <si>
    <t>07JH</t>
  </si>
  <si>
    <t>07JK</t>
  </si>
  <si>
    <t>07JM</t>
  </si>
  <si>
    <t>07JN</t>
  </si>
  <si>
    <t>07JQ</t>
  </si>
  <si>
    <t>07JR</t>
  </si>
  <si>
    <t>07JU</t>
  </si>
  <si>
    <t>07JV</t>
  </si>
  <si>
    <t>07JX</t>
  </si>
  <si>
    <t>07KA</t>
  </si>
  <si>
    <t>07KB</t>
  </si>
  <si>
    <t>07KC</t>
  </si>
  <si>
    <t>07KD</t>
  </si>
  <si>
    <t>07KE</t>
  </si>
  <si>
    <t>07KF</t>
  </si>
  <si>
    <t>07KG</t>
  </si>
  <si>
    <t>07KH</t>
  </si>
  <si>
    <t>07KI</t>
  </si>
  <si>
    <t>07KJ</t>
  </si>
  <si>
    <t>07KK</t>
  </si>
  <si>
    <t>07KL</t>
  </si>
  <si>
    <t>07KN</t>
  </si>
  <si>
    <t>07KO</t>
  </si>
  <si>
    <t>07KQ</t>
  </si>
  <si>
    <t>07KR</t>
  </si>
  <si>
    <t>07KS</t>
  </si>
  <si>
    <t>07KT</t>
  </si>
  <si>
    <t>07KU</t>
  </si>
  <si>
    <t>07KV</t>
  </si>
  <si>
    <t>07KX</t>
  </si>
  <si>
    <t>07KY</t>
  </si>
  <si>
    <t>07KZ</t>
  </si>
  <si>
    <t>07LA</t>
  </si>
  <si>
    <t>07LB</t>
  </si>
  <si>
    <t>07LC</t>
  </si>
  <si>
    <t>07LD</t>
  </si>
  <si>
    <t>07LF</t>
  </si>
  <si>
    <t>07LH</t>
  </si>
  <si>
    <t>07LI</t>
  </si>
  <si>
    <t>07LK</t>
  </si>
  <si>
    <t>07LM</t>
  </si>
  <si>
    <t>07LN</t>
  </si>
  <si>
    <t>07LO</t>
  </si>
  <si>
    <t>07LP</t>
  </si>
  <si>
    <t>07LR</t>
  </si>
  <si>
    <t>07LS</t>
  </si>
  <si>
    <t>07LT</t>
  </si>
  <si>
    <t>07LU</t>
  </si>
  <si>
    <t>07LV</t>
  </si>
  <si>
    <t>07LW</t>
  </si>
  <si>
    <t>07LX</t>
  </si>
  <si>
    <t>07LY</t>
  </si>
  <si>
    <t>07LZ</t>
  </si>
  <si>
    <t>07MB</t>
  </si>
  <si>
    <t>07MC</t>
  </si>
  <si>
    <t>07MD</t>
  </si>
  <si>
    <t>07ME</t>
  </si>
  <si>
    <t>07MF</t>
  </si>
  <si>
    <t>07MG</t>
  </si>
  <si>
    <t>07MH</t>
  </si>
  <si>
    <t>07MI</t>
  </si>
  <si>
    <t>07MJ</t>
  </si>
  <si>
    <t>07MK</t>
  </si>
  <si>
    <t>07ML</t>
  </si>
  <si>
    <t>07MN</t>
  </si>
  <si>
    <t>07MQ</t>
  </si>
  <si>
    <t>07MR</t>
  </si>
  <si>
    <t>07MV</t>
  </si>
  <si>
    <t>07MX</t>
  </si>
  <si>
    <t>07MY</t>
  </si>
  <si>
    <t>07NA</t>
  </si>
  <si>
    <t>07NB</t>
  </si>
  <si>
    <t>07ND</t>
  </si>
  <si>
    <t>07NE</t>
  </si>
  <si>
    <t>07NF</t>
  </si>
  <si>
    <t>07NG</t>
  </si>
  <si>
    <t>07NH</t>
  </si>
  <si>
    <t>07NI</t>
  </si>
  <si>
    <t>07NJ</t>
  </si>
  <si>
    <t>07NK</t>
  </si>
  <si>
    <t>07NM</t>
  </si>
  <si>
    <t>07NN</t>
  </si>
  <si>
    <t>07NP</t>
  </si>
  <si>
    <t>07NQ</t>
  </si>
  <si>
    <t>07NR</t>
  </si>
  <si>
    <t>07NS</t>
  </si>
  <si>
    <t>07NT</t>
  </si>
  <si>
    <t>07NU</t>
  </si>
  <si>
    <t>07NW</t>
  </si>
  <si>
    <t>07NY</t>
  </si>
  <si>
    <t>07NZ</t>
  </si>
  <si>
    <t>07OA</t>
  </si>
  <si>
    <t>07OB</t>
  </si>
  <si>
    <t>07OC</t>
  </si>
  <si>
    <t>07OD</t>
  </si>
  <si>
    <t>07OE</t>
  </si>
  <si>
    <t>07OH</t>
  </si>
  <si>
    <t>07OJ</t>
  </si>
  <si>
    <t>07OK</t>
  </si>
  <si>
    <t>07OL</t>
  </si>
  <si>
    <t>07OM</t>
  </si>
  <si>
    <t>07OQ</t>
  </si>
  <si>
    <t>07OT</t>
  </si>
  <si>
    <t>07OV</t>
  </si>
  <si>
    <t>07OW</t>
  </si>
  <si>
    <t>07OX</t>
  </si>
  <si>
    <t>07OY</t>
  </si>
  <si>
    <t>07OZ</t>
  </si>
  <si>
    <t>07PA</t>
  </si>
  <si>
    <t>07PD</t>
  </si>
  <si>
    <t>07PE</t>
  </si>
  <si>
    <t>07PF</t>
  </si>
  <si>
    <t>07PH</t>
  </si>
  <si>
    <t>07PI</t>
  </si>
  <si>
    <t>07PJ</t>
  </si>
  <si>
    <t>07PM</t>
  </si>
  <si>
    <t>07PP</t>
  </si>
  <si>
    <t>07PR</t>
  </si>
  <si>
    <t>07PV</t>
  </si>
  <si>
    <t>07PW</t>
  </si>
  <si>
    <t>07QB</t>
  </si>
  <si>
    <t>07QF</t>
  </si>
  <si>
    <t>07QK</t>
  </si>
  <si>
    <t>07QM</t>
  </si>
  <si>
    <t>07QO</t>
  </si>
  <si>
    <t>07QP</t>
  </si>
  <si>
    <t>07QQ</t>
  </si>
  <si>
    <t>07QS</t>
  </si>
  <si>
    <t>07QU</t>
  </si>
  <si>
    <t>07QV</t>
  </si>
  <si>
    <t>07QW</t>
  </si>
  <si>
    <t>07QZ</t>
  </si>
  <si>
    <t>07RC</t>
  </si>
  <si>
    <t>07RE</t>
  </si>
  <si>
    <t>07RF</t>
  </si>
  <si>
    <t>07RG</t>
  </si>
  <si>
    <t>07RH</t>
  </si>
  <si>
    <t>07RI</t>
  </si>
  <si>
    <t>07RJ</t>
  </si>
  <si>
    <t>07RK</t>
  </si>
  <si>
    <t>07RL</t>
  </si>
  <si>
    <t>07RM</t>
  </si>
  <si>
    <t>07RO</t>
  </si>
  <si>
    <t>07RQ</t>
  </si>
  <si>
    <t>07RS</t>
  </si>
  <si>
    <t>07RV</t>
  </si>
  <si>
    <t>07RY</t>
  </si>
  <si>
    <t>07RZ</t>
  </si>
  <si>
    <t>07SC</t>
  </si>
  <si>
    <t>07SE</t>
  </si>
  <si>
    <t>07SG</t>
  </si>
  <si>
    <t>07SH</t>
  </si>
  <si>
    <t>07SI</t>
  </si>
  <si>
    <t>07SL</t>
  </si>
  <si>
    <t>07SM</t>
  </si>
  <si>
    <t>07SN</t>
  </si>
  <si>
    <t>07SO</t>
  </si>
  <si>
    <t>07SP</t>
  </si>
  <si>
    <t>07SQ</t>
  </si>
  <si>
    <t>07ST</t>
  </si>
  <si>
    <t>07SY</t>
  </si>
  <si>
    <t>07SZ</t>
  </si>
  <si>
    <t>07TA</t>
  </si>
  <si>
    <t>07TB</t>
  </si>
  <si>
    <t>07TC</t>
  </si>
  <si>
    <t>07TE</t>
  </si>
  <si>
    <t>07TH</t>
  </si>
  <si>
    <t>07TJ</t>
  </si>
  <si>
    <t>07TK</t>
  </si>
  <si>
    <t>07TM</t>
  </si>
  <si>
    <t>07TN</t>
  </si>
  <si>
    <t>07TO</t>
  </si>
  <si>
    <t>07TP</t>
  </si>
  <si>
    <t>07TR</t>
  </si>
  <si>
    <t>07TT</t>
  </si>
  <si>
    <t>07TV</t>
  </si>
  <si>
    <t>07TX</t>
  </si>
  <si>
    <t>07TY</t>
  </si>
  <si>
    <t>07TZ</t>
  </si>
  <si>
    <t>07UA</t>
  </si>
  <si>
    <t>07UC</t>
  </si>
  <si>
    <t>07UD</t>
  </si>
  <si>
    <t>07UF</t>
  </si>
  <si>
    <t>07UG</t>
  </si>
  <si>
    <t>07UH</t>
  </si>
  <si>
    <t>07UK</t>
  </si>
  <si>
    <t>07UN</t>
  </si>
  <si>
    <t>07UO</t>
  </si>
  <si>
    <t>07UQ</t>
  </si>
  <si>
    <t>07UR</t>
  </si>
  <si>
    <t>07US</t>
  </si>
  <si>
    <t>07UU</t>
  </si>
  <si>
    <t>07UV</t>
  </si>
  <si>
    <t>07UX</t>
  </si>
  <si>
    <t>07UY</t>
  </si>
  <si>
    <t>07VA</t>
  </si>
  <si>
    <t>07VC</t>
  </si>
  <si>
    <t>07VD</t>
  </si>
  <si>
    <t>07VE</t>
  </si>
  <si>
    <t>07VH</t>
  </si>
  <si>
    <t>07VI</t>
  </si>
  <si>
    <t>07VK</t>
  </si>
  <si>
    <t>07VM</t>
  </si>
  <si>
    <t>07VO</t>
  </si>
  <si>
    <t>07VP</t>
  </si>
  <si>
    <t>07VS</t>
  </si>
  <si>
    <t>07VT</t>
  </si>
  <si>
    <t>07VU</t>
  </si>
  <si>
    <t>07VV</t>
  </si>
  <si>
    <t>07VW</t>
  </si>
  <si>
    <t>07VX</t>
  </si>
  <si>
    <t>07VZ</t>
  </si>
  <si>
    <t>07WD</t>
  </si>
  <si>
    <t>07WF</t>
  </si>
  <si>
    <t>07WG</t>
  </si>
  <si>
    <t>07WK</t>
  </si>
  <si>
    <t>07WM</t>
  </si>
  <si>
    <t>07WN</t>
  </si>
  <si>
    <t>07WO</t>
  </si>
  <si>
    <t>07WP</t>
  </si>
  <si>
    <t>07WQ</t>
  </si>
  <si>
    <t>07WT</t>
  </si>
  <si>
    <t>07WV</t>
  </si>
  <si>
    <t>07WX</t>
  </si>
  <si>
    <t>07WY</t>
  </si>
  <si>
    <t>07WZ</t>
  </si>
  <si>
    <t>07XB</t>
  </si>
  <si>
    <t>07XC</t>
  </si>
  <si>
    <t>07XG</t>
  </si>
  <si>
    <t>07XH</t>
  </si>
  <si>
    <t>07XI</t>
  </si>
  <si>
    <t>07XL</t>
  </si>
  <si>
    <t>07XM</t>
  </si>
  <si>
    <t>07XN</t>
  </si>
  <si>
    <t>07XO</t>
  </si>
  <si>
    <t>07XP</t>
  </si>
  <si>
    <t>07XQ</t>
  </si>
  <si>
    <t>07XS</t>
  </si>
  <si>
    <t>07XV</t>
  </si>
  <si>
    <t>07XX</t>
  </si>
  <si>
    <t>07XY</t>
  </si>
  <si>
    <t>07YA</t>
  </si>
  <si>
    <t>07YC</t>
  </si>
  <si>
    <t>07YD</t>
  </si>
  <si>
    <t>07YE</t>
  </si>
  <si>
    <t>07YK</t>
  </si>
  <si>
    <t>07YM</t>
  </si>
  <si>
    <t>07YN</t>
  </si>
  <si>
    <t>07YO</t>
  </si>
  <si>
    <t>07YP</t>
  </si>
  <si>
    <t>07YQ</t>
  </si>
  <si>
    <t>07YR</t>
  </si>
  <si>
    <t>07YS</t>
  </si>
  <si>
    <t>07YW</t>
  </si>
  <si>
    <t>07YY</t>
  </si>
  <si>
    <t>07YZ</t>
  </si>
  <si>
    <t>07ZB</t>
  </si>
  <si>
    <t>07ZC</t>
  </si>
  <si>
    <t>07ZE</t>
  </si>
  <si>
    <t>07ZG</t>
  </si>
  <si>
    <t>07ZH</t>
  </si>
  <si>
    <t>07ZJ</t>
  </si>
  <si>
    <t>07ZL</t>
  </si>
  <si>
    <t>07ZN</t>
  </si>
  <si>
    <t>07ZO</t>
  </si>
  <si>
    <t>07ZP</t>
  </si>
  <si>
    <t>07ZQ</t>
  </si>
  <si>
    <t>07ZS</t>
  </si>
  <si>
    <t>07ZT</t>
  </si>
  <si>
    <t>07ZU</t>
  </si>
  <si>
    <t>07ZX</t>
  </si>
  <si>
    <t>07ZY</t>
  </si>
  <si>
    <t>07ZZ</t>
  </si>
  <si>
    <t>08AB</t>
  </si>
  <si>
    <t>08AD</t>
  </si>
  <si>
    <t>08AE</t>
  </si>
  <si>
    <t>08AF</t>
  </si>
  <si>
    <t>08AG</t>
  </si>
  <si>
    <t>08AI</t>
  </si>
  <si>
    <t>08AK</t>
  </si>
  <si>
    <t>08AL</t>
  </si>
  <si>
    <t>08AM</t>
  </si>
  <si>
    <t>08AO</t>
  </si>
  <si>
    <t>08AP</t>
  </si>
  <si>
    <t>08AS</t>
  </si>
  <si>
    <t>08AU</t>
  </si>
  <si>
    <t>08AV</t>
  </si>
  <si>
    <t>08AW</t>
  </si>
  <si>
    <t>08AX</t>
  </si>
  <si>
    <t>08AY</t>
  </si>
  <si>
    <t>08AZ</t>
  </si>
  <si>
    <t>08BC</t>
  </si>
  <si>
    <t>08BD</t>
  </si>
  <si>
    <t>08BF</t>
  </si>
  <si>
    <t>08BH</t>
  </si>
  <si>
    <t>08BI</t>
  </si>
  <si>
    <t>08BJ</t>
  </si>
  <si>
    <t>08BK</t>
  </si>
  <si>
    <t>08BL</t>
  </si>
  <si>
    <t>08BM</t>
  </si>
  <si>
    <t>08BO</t>
  </si>
  <si>
    <t>08BP</t>
  </si>
  <si>
    <t>08BQ</t>
  </si>
  <si>
    <t>08BS</t>
  </si>
  <si>
    <t>08BU</t>
  </si>
  <si>
    <t>08BV</t>
  </si>
  <si>
    <t>08BW</t>
  </si>
  <si>
    <t>08BY</t>
  </si>
  <si>
    <t>08BZ</t>
  </si>
  <si>
    <t>08CA</t>
  </si>
  <si>
    <t>08CB</t>
  </si>
  <si>
    <t>08CC</t>
  </si>
  <si>
    <t>08CD</t>
  </si>
  <si>
    <t>08CE</t>
  </si>
  <si>
    <t>08CF</t>
  </si>
  <si>
    <t>08CG</t>
  </si>
  <si>
    <t>08CI</t>
  </si>
  <si>
    <t>08CJ</t>
  </si>
  <si>
    <t>08CK</t>
  </si>
  <si>
    <t>08CL</t>
  </si>
  <si>
    <t>08CM</t>
  </si>
  <si>
    <t>08CN</t>
  </si>
  <si>
    <t>08CO</t>
  </si>
  <si>
    <t>08CP</t>
  </si>
  <si>
    <t>08CQ</t>
  </si>
  <si>
    <t>08CT</t>
  </si>
  <si>
    <t>08CW</t>
  </si>
  <si>
    <t>08CX</t>
  </si>
  <si>
    <t>08CY</t>
  </si>
  <si>
    <t>08DC</t>
  </si>
  <si>
    <t>08DD</t>
  </si>
  <si>
    <t>08DE</t>
  </si>
  <si>
    <t>08DF</t>
  </si>
  <si>
    <t>08DH</t>
  </si>
  <si>
    <t>08DI</t>
  </si>
  <si>
    <t>08DJ</t>
  </si>
  <si>
    <t>08DM</t>
  </si>
  <si>
    <t>08DN</t>
  </si>
  <si>
    <t>08DV</t>
  </si>
  <si>
    <t>08DX</t>
  </si>
  <si>
    <t>08DZ</t>
  </si>
  <si>
    <t>08EA</t>
  </si>
  <si>
    <t>08EC</t>
  </si>
  <si>
    <t>08EE</t>
  </si>
  <si>
    <t>08EM</t>
  </si>
  <si>
    <t>08EN</t>
  </si>
  <si>
    <t>08EO</t>
  </si>
  <si>
    <t>08EP</t>
  </si>
  <si>
    <t>08ER</t>
  </si>
  <si>
    <t>08EU</t>
  </si>
  <si>
    <t>08EV</t>
  </si>
  <si>
    <t>08EW</t>
  </si>
  <si>
    <t>08EY</t>
  </si>
  <si>
    <t>08EZ</t>
  </si>
  <si>
    <t>08FA</t>
  </si>
  <si>
    <t>08FC</t>
  </si>
  <si>
    <t>08FE</t>
  </si>
  <si>
    <t>08FF</t>
  </si>
  <si>
    <t>08FG</t>
  </si>
  <si>
    <t>08FH</t>
  </si>
  <si>
    <t>08FI</t>
  </si>
  <si>
    <t>08FJ</t>
  </si>
  <si>
    <t>08FQ</t>
  </si>
  <si>
    <t>08FS</t>
  </si>
  <si>
    <t>08FU</t>
  </si>
  <si>
    <t>08FW</t>
  </si>
  <si>
    <t>08FX</t>
  </si>
  <si>
    <t>08GE</t>
  </si>
  <si>
    <t>08GF</t>
  </si>
  <si>
    <t>08GH</t>
  </si>
  <si>
    <t>08GN</t>
  </si>
  <si>
    <t>08GQ</t>
  </si>
  <si>
    <t>08GW</t>
  </si>
  <si>
    <t>08GX</t>
  </si>
  <si>
    <t>08GY</t>
  </si>
  <si>
    <t>08GZ</t>
  </si>
  <si>
    <t>08HA</t>
  </si>
  <si>
    <t>08HD</t>
  </si>
  <si>
    <t>08HK</t>
  </si>
  <si>
    <t>08HM</t>
  </si>
  <si>
    <t>08HN</t>
  </si>
  <si>
    <t>08HP</t>
  </si>
  <si>
    <t>08HQ</t>
  </si>
  <si>
    <t>08IB</t>
  </si>
  <si>
    <t>08IC</t>
  </si>
  <si>
    <t>08IE</t>
  </si>
  <si>
    <t>08IF</t>
  </si>
  <si>
    <t>08IH</t>
  </si>
  <si>
    <t>08IN</t>
  </si>
  <si>
    <t>08IR</t>
  </si>
  <si>
    <t>08IS</t>
  </si>
  <si>
    <t>08IT</t>
  </si>
  <si>
    <t>08IV</t>
  </si>
  <si>
    <t>08IW</t>
  </si>
  <si>
    <t>08JC</t>
  </si>
  <si>
    <t>08JE</t>
  </si>
  <si>
    <t>08JF</t>
  </si>
  <si>
    <t>08JH</t>
  </si>
  <si>
    <t>08JJ</t>
  </si>
  <si>
    <t>08JL</t>
  </si>
  <si>
    <t>08JM</t>
  </si>
  <si>
    <t>08JO</t>
  </si>
  <si>
    <t>08JP</t>
  </si>
  <si>
    <t>08JS</t>
  </si>
  <si>
    <t>08JT</t>
  </si>
  <si>
    <t>08JU</t>
  </si>
  <si>
    <t>08JV</t>
  </si>
  <si>
    <t>08JW</t>
  </si>
  <si>
    <t>08JY</t>
  </si>
  <si>
    <t>08JZ</t>
  </si>
  <si>
    <t>08KA</t>
  </si>
  <si>
    <t>08KC</t>
  </si>
  <si>
    <t>08KD</t>
  </si>
  <si>
    <t>08KE</t>
  </si>
  <si>
    <t>08KF</t>
  </si>
  <si>
    <t>08KH</t>
  </si>
  <si>
    <t>08KI</t>
  </si>
  <si>
    <t>08KJ</t>
  </si>
  <si>
    <t>08KK</t>
  </si>
  <si>
    <t>08KN</t>
  </si>
  <si>
    <t>08KO</t>
  </si>
  <si>
    <t>08KP</t>
  </si>
  <si>
    <t>08KQ</t>
  </si>
  <si>
    <t>08KR</t>
  </si>
  <si>
    <t>08KT</t>
  </si>
  <si>
    <t>08KU</t>
  </si>
  <si>
    <t>08KV</t>
  </si>
  <si>
    <t>08KX</t>
  </si>
  <si>
    <t>08LA</t>
  </si>
  <si>
    <t>08LC</t>
  </si>
  <si>
    <t>08LE</t>
  </si>
  <si>
    <t>08LH</t>
  </si>
  <si>
    <t>08LJ</t>
  </si>
  <si>
    <t>08LL</t>
  </si>
  <si>
    <t>08LM</t>
  </si>
  <si>
    <t>08LQ</t>
  </si>
  <si>
    <t>08LR</t>
  </si>
  <si>
    <t>08LS</t>
  </si>
  <si>
    <t>08LV</t>
  </si>
  <si>
    <t>08LY</t>
  </si>
  <si>
    <t>08LZ</t>
  </si>
  <si>
    <t>08MB</t>
  </si>
  <si>
    <t>08MD</t>
  </si>
  <si>
    <t>08ME</t>
  </si>
  <si>
    <t>08MF</t>
  </si>
  <si>
    <t>08MJ</t>
  </si>
  <si>
    <t>08MK</t>
  </si>
  <si>
    <t>08MN</t>
  </si>
  <si>
    <t>08MO</t>
  </si>
  <si>
    <t>08MQ</t>
  </si>
  <si>
    <t>08MR</t>
  </si>
  <si>
    <t>08MS</t>
  </si>
  <si>
    <t>08MU</t>
  </si>
  <si>
    <t>08MV</t>
  </si>
  <si>
    <t>08MW</t>
  </si>
  <si>
    <t>08MX</t>
  </si>
  <si>
    <t>08MY</t>
  </si>
  <si>
    <t>08NA</t>
  </si>
  <si>
    <t>08NB</t>
  </si>
  <si>
    <t>08NC</t>
  </si>
  <si>
    <t>08ND</t>
  </si>
  <si>
    <t>08NF</t>
  </si>
  <si>
    <t>08NH</t>
  </si>
  <si>
    <t>08NI</t>
  </si>
  <si>
    <t>08NJ</t>
  </si>
  <si>
    <t>08NL</t>
  </si>
  <si>
    <t>08NM</t>
  </si>
  <si>
    <t>08NN</t>
  </si>
  <si>
    <t>08NO</t>
  </si>
  <si>
    <t>08NP</t>
  </si>
  <si>
    <t>08NT</t>
  </si>
  <si>
    <t>08NU</t>
  </si>
  <si>
    <t>08NV</t>
  </si>
  <si>
    <t>08NW</t>
  </si>
  <si>
    <t>08NX</t>
  </si>
  <si>
    <t>08NZ</t>
  </si>
  <si>
    <t>08OD</t>
  </si>
  <si>
    <t>08OF</t>
  </si>
  <si>
    <t>08OM</t>
  </si>
  <si>
    <t>08ON</t>
  </si>
  <si>
    <t>08OQ</t>
  </si>
  <si>
    <t>08OS</t>
  </si>
  <si>
    <t>08OU</t>
  </si>
  <si>
    <t>08OW</t>
  </si>
  <si>
    <t>08OX</t>
  </si>
  <si>
    <t>08OY</t>
  </si>
  <si>
    <t>08OZ</t>
  </si>
  <si>
    <t>08PB</t>
  </si>
  <si>
    <t>08PE</t>
  </si>
  <si>
    <t>08PF</t>
  </si>
  <si>
    <t>08PH</t>
  </si>
  <si>
    <t>08PI</t>
  </si>
  <si>
    <t>08PJ</t>
  </si>
  <si>
    <t>08PK</t>
  </si>
  <si>
    <t>08PM</t>
  </si>
  <si>
    <t>08PO</t>
  </si>
  <si>
    <t>08PP</t>
  </si>
  <si>
    <t>08PQ</t>
  </si>
  <si>
    <t>08PR</t>
  </si>
  <si>
    <t>08PV</t>
  </si>
  <si>
    <t>08PW</t>
  </si>
  <si>
    <t>08PY</t>
  </si>
  <si>
    <t>08QB</t>
  </si>
  <si>
    <t>08QG</t>
  </si>
  <si>
    <t>08QH</t>
  </si>
  <si>
    <t>08QM</t>
  </si>
  <si>
    <t>08QN</t>
  </si>
  <si>
    <t>08QO</t>
  </si>
  <si>
    <t>08QP</t>
  </si>
  <si>
    <t>08QS</t>
  </si>
  <si>
    <t>08QU</t>
  </si>
  <si>
    <t>08QW</t>
  </si>
  <si>
    <t>08QX</t>
  </si>
  <si>
    <t>08RA</t>
  </si>
  <si>
    <t>08RC</t>
  </si>
  <si>
    <t>08RD</t>
  </si>
  <si>
    <t>08RK</t>
  </si>
  <si>
    <t>08RL</t>
  </si>
  <si>
    <t>08RM</t>
  </si>
  <si>
    <t>08RN</t>
  </si>
  <si>
    <t>08RO</t>
  </si>
  <si>
    <t>08RP</t>
  </si>
  <si>
    <t>08RQ</t>
  </si>
  <si>
    <t>08RR</t>
  </si>
  <si>
    <t>08RU</t>
  </si>
  <si>
    <t>08SE</t>
  </si>
  <si>
    <t>08SL</t>
  </si>
  <si>
    <t>08SP</t>
  </si>
  <si>
    <t>08SQ</t>
  </si>
  <si>
    <t>08SR</t>
  </si>
  <si>
    <t>08ST</t>
  </si>
  <si>
    <t>08SV</t>
  </si>
  <si>
    <t>08SW</t>
  </si>
  <si>
    <t>08SX</t>
  </si>
  <si>
    <t>08SY</t>
  </si>
  <si>
    <t>08TE</t>
  </si>
  <si>
    <t>08TI</t>
  </si>
  <si>
    <t>08TJ</t>
  </si>
  <si>
    <t>08TK</t>
  </si>
  <si>
    <t>08TL</t>
  </si>
  <si>
    <t>08TM</t>
  </si>
  <si>
    <t>08TN</t>
  </si>
  <si>
    <t>08TO</t>
  </si>
  <si>
    <t>08TV</t>
  </si>
  <si>
    <t>08UA</t>
  </si>
  <si>
    <t>08UC</t>
  </si>
  <si>
    <t>08UD</t>
  </si>
  <si>
    <t>08UJ</t>
  </si>
  <si>
    <t>08UN</t>
  </si>
  <si>
    <t>08UO</t>
  </si>
  <si>
    <t>08UP</t>
  </si>
  <si>
    <t>08US</t>
  </si>
  <si>
    <t>08UT</t>
  </si>
  <si>
    <t>08UU</t>
  </si>
  <si>
    <t>08UW</t>
  </si>
  <si>
    <t>08UX</t>
  </si>
  <si>
    <t>08UY</t>
  </si>
  <si>
    <t>08VA</t>
  </si>
  <si>
    <t>08VB</t>
  </si>
  <si>
    <t>08VC</t>
  </si>
  <si>
    <t>08VE</t>
  </si>
  <si>
    <t>08VG</t>
  </si>
  <si>
    <t>08VH</t>
  </si>
  <si>
    <t>08VI</t>
  </si>
  <si>
    <t>08VK</t>
  </si>
  <si>
    <t>08VL</t>
  </si>
  <si>
    <t>08VM</t>
  </si>
  <si>
    <t>08VN</t>
  </si>
  <si>
    <t>08VO</t>
  </si>
  <si>
    <t>08VP</t>
  </si>
  <si>
    <t>08VQ</t>
  </si>
  <si>
    <t>08VR</t>
  </si>
  <si>
    <t>08VS</t>
  </si>
  <si>
    <t>08VT</t>
  </si>
  <si>
    <t>08VV</t>
  </si>
  <si>
    <t>08VW</t>
  </si>
  <si>
    <t>08VY</t>
  </si>
  <si>
    <t>08VZ</t>
  </si>
  <si>
    <t>08WB</t>
  </si>
  <si>
    <t>08WC</t>
  </si>
  <si>
    <t>08WD</t>
  </si>
  <si>
    <t>08WF</t>
  </si>
  <si>
    <t>08WG</t>
  </si>
  <si>
    <t>08WH</t>
  </si>
  <si>
    <t>08WK</t>
  </si>
  <si>
    <t>08WM</t>
  </si>
  <si>
    <t>08WO</t>
  </si>
  <si>
    <t>08WQ</t>
  </si>
  <si>
    <t>08WR</t>
  </si>
  <si>
    <t>08WS</t>
  </si>
  <si>
    <t>08WT</t>
  </si>
  <si>
    <t>08WU</t>
  </si>
  <si>
    <t>08WV</t>
  </si>
  <si>
    <t>08WW</t>
  </si>
  <si>
    <t>08WY</t>
  </si>
  <si>
    <t>08WZ</t>
  </si>
  <si>
    <t>08XB</t>
  </si>
  <si>
    <t>08XC</t>
  </si>
  <si>
    <t>08XD</t>
  </si>
  <si>
    <t>08XF</t>
  </si>
  <si>
    <t>08XG</t>
  </si>
  <si>
    <t>08XH</t>
  </si>
  <si>
    <t>08XI</t>
  </si>
  <si>
    <t>08XJ</t>
  </si>
  <si>
    <t>08XL</t>
  </si>
  <si>
    <t>08XM</t>
  </si>
  <si>
    <t>08XR</t>
  </si>
  <si>
    <t>08XS</t>
  </si>
  <si>
    <t>08XT</t>
  </si>
  <si>
    <t>08XV</t>
  </si>
  <si>
    <t>08YA</t>
  </si>
  <si>
    <t>08YB</t>
  </si>
  <si>
    <t>08YE</t>
  </si>
  <si>
    <t>08YI</t>
  </si>
  <si>
    <t>08YK</t>
  </si>
  <si>
    <t>08YM</t>
  </si>
  <si>
    <t>08YN</t>
  </si>
  <si>
    <t>08YO</t>
  </si>
  <si>
    <t>08YP</t>
  </si>
  <si>
    <t>08YR</t>
  </si>
  <si>
    <t>08YS</t>
  </si>
  <si>
    <t>08YT</t>
  </si>
  <si>
    <t>08YU</t>
  </si>
  <si>
    <t>08YV</t>
  </si>
  <si>
    <t>08YZ</t>
  </si>
  <si>
    <t>08ZB</t>
  </si>
  <si>
    <t>08ZC</t>
  </si>
  <si>
    <t>08ZD</t>
  </si>
  <si>
    <t>08ZE</t>
  </si>
  <si>
    <t>08ZG</t>
  </si>
  <si>
    <t>08ZI</t>
  </si>
  <si>
    <t>08ZK</t>
  </si>
  <si>
    <t>08ZL</t>
  </si>
  <si>
    <t>08ZN</t>
  </si>
  <si>
    <t>08ZO</t>
  </si>
  <si>
    <t>08ZP</t>
  </si>
  <si>
    <t>08ZS</t>
  </si>
  <si>
    <t>08ZT</t>
  </si>
  <si>
    <t>08ZU</t>
  </si>
  <si>
    <t>08ZV</t>
  </si>
  <si>
    <t>08ZW</t>
  </si>
  <si>
    <t>08ZX</t>
  </si>
  <si>
    <t>09AA</t>
  </si>
  <si>
    <t>09AB</t>
  </si>
  <si>
    <t>09AC</t>
  </si>
  <si>
    <t>09AE</t>
  </si>
  <si>
    <t>09AF</t>
  </si>
  <si>
    <t>09AG</t>
  </si>
  <si>
    <t>09AH</t>
  </si>
  <si>
    <t>09AI</t>
  </si>
  <si>
    <t>09AJ</t>
  </si>
  <si>
    <t>09AK</t>
  </si>
  <si>
    <t>09AM</t>
  </si>
  <si>
    <t>09AO</t>
  </si>
  <si>
    <t>09AP</t>
  </si>
  <si>
    <t>09AR</t>
  </si>
  <si>
    <t>09AS</t>
  </si>
  <si>
    <t>09AT</t>
  </si>
  <si>
    <t>09AU</t>
  </si>
  <si>
    <t>09AV</t>
  </si>
  <si>
    <t>09AW</t>
  </si>
  <si>
    <t>09AY</t>
  </si>
  <si>
    <t>09AZ</t>
  </si>
  <si>
    <t>09BA</t>
  </si>
  <si>
    <t>09BB</t>
  </si>
  <si>
    <t>09BC</t>
  </si>
  <si>
    <t>09BD</t>
  </si>
  <si>
    <t>09BE</t>
  </si>
  <si>
    <t>09BH</t>
  </si>
  <si>
    <t>09BJ</t>
  </si>
  <si>
    <t>09BK</t>
  </si>
  <si>
    <t>09BL</t>
  </si>
  <si>
    <t>09BO</t>
  </si>
  <si>
    <t>09BP</t>
  </si>
  <si>
    <t>09BQ</t>
  </si>
  <si>
    <t>09BR</t>
  </si>
  <si>
    <t>09BS</t>
  </si>
  <si>
    <t>09BT</t>
  </si>
  <si>
    <t>09BV</t>
  </si>
  <si>
    <t>09BX</t>
  </si>
  <si>
    <t>09BY</t>
  </si>
  <si>
    <t>09CA</t>
  </si>
  <si>
    <t>09CB</t>
  </si>
  <si>
    <t>09CD</t>
  </si>
  <si>
    <t>09CE</t>
  </si>
  <si>
    <t>09CH</t>
  </si>
  <si>
    <t>09CJ</t>
  </si>
  <si>
    <t>09CL</t>
  </si>
  <si>
    <t>09CO</t>
  </si>
  <si>
    <t>09CP</t>
  </si>
  <si>
    <t>09CR</t>
  </si>
  <si>
    <t>09CS</t>
  </si>
  <si>
    <t>09CT</t>
  </si>
  <si>
    <t>09CU</t>
  </si>
  <si>
    <t>09CV</t>
  </si>
  <si>
    <t>09CW</t>
  </si>
  <si>
    <t>09CY</t>
  </si>
  <si>
    <t>09CZ</t>
  </si>
  <si>
    <t>09DB</t>
  </si>
  <si>
    <t>09DC</t>
  </si>
  <si>
    <t>09DD</t>
  </si>
  <si>
    <t>09DE</t>
  </si>
  <si>
    <t>09DF</t>
  </si>
  <si>
    <t>09DH</t>
  </si>
  <si>
    <t>09DI</t>
  </si>
  <si>
    <t>09DL</t>
  </si>
  <si>
    <t>09DN</t>
  </si>
  <si>
    <t>09DO</t>
  </si>
  <si>
    <t>09DP</t>
  </si>
  <si>
    <t>09DQ</t>
  </si>
  <si>
    <t>09DS</t>
  </si>
  <si>
    <t>09DT</t>
  </si>
  <si>
    <t>09DV</t>
  </si>
  <si>
    <t>09DW</t>
  </si>
  <si>
    <t>09EB</t>
  </si>
  <si>
    <t>09ED</t>
  </si>
  <si>
    <t>09EE</t>
  </si>
  <si>
    <t>09EG</t>
  </si>
  <si>
    <t>09EI</t>
  </si>
  <si>
    <t>09ES</t>
  </si>
  <si>
    <t>09ET</t>
  </si>
  <si>
    <t>09EU</t>
  </si>
  <si>
    <t>09EV</t>
  </si>
  <si>
    <t>09EZ</t>
  </si>
  <si>
    <t>09FB</t>
  </si>
  <si>
    <t>09FC</t>
  </si>
  <si>
    <t>09FD</t>
  </si>
  <si>
    <t>09FE</t>
  </si>
  <si>
    <t>09FF</t>
  </si>
  <si>
    <t>09FH</t>
  </si>
  <si>
    <t>09FM</t>
  </si>
  <si>
    <t>09FN</t>
  </si>
  <si>
    <t>09FO</t>
  </si>
  <si>
    <t>09FV</t>
  </si>
  <si>
    <t>09FW</t>
  </si>
  <si>
    <t>09FX</t>
  </si>
  <si>
    <t>09FY</t>
  </si>
  <si>
    <t>09GA</t>
  </si>
  <si>
    <t>09GB</t>
  </si>
  <si>
    <t>09GJ</t>
  </si>
  <si>
    <t>09GK</t>
  </si>
  <si>
    <t>09GM</t>
  </si>
  <si>
    <t>09GN</t>
  </si>
  <si>
    <t>09GQ</t>
  </si>
  <si>
    <t>09GT</t>
  </si>
  <si>
    <t>09HB</t>
  </si>
  <si>
    <t>09HC</t>
  </si>
  <si>
    <t>09HF</t>
  </si>
  <si>
    <t>09HG</t>
  </si>
  <si>
    <t>09HH</t>
  </si>
  <si>
    <t>09HI</t>
  </si>
  <si>
    <t>09HP</t>
  </si>
  <si>
    <t>09HT</t>
  </si>
  <si>
    <t>09HW</t>
  </si>
  <si>
    <t>09HX</t>
  </si>
  <si>
    <t>09HY</t>
  </si>
  <si>
    <t>09IE</t>
  </si>
  <si>
    <t>09IF</t>
  </si>
  <si>
    <t>09IH</t>
  </si>
  <si>
    <t>09IJ</t>
  </si>
  <si>
    <t>09IP</t>
  </si>
  <si>
    <t>09IQ</t>
  </si>
  <si>
    <t>09IR</t>
  </si>
  <si>
    <t>09IS</t>
  </si>
  <si>
    <t>09IT</t>
  </si>
  <si>
    <t>09IV</t>
  </si>
  <si>
    <t>09IW</t>
  </si>
  <si>
    <t>09JB</t>
  </si>
  <si>
    <t>09JE</t>
  </si>
  <si>
    <t>09JG</t>
  </si>
  <si>
    <t>09JH</t>
  </si>
  <si>
    <t>09JI</t>
  </si>
  <si>
    <t>09JJ</t>
  </si>
  <si>
    <t>09JK</t>
  </si>
  <si>
    <t>09JL</t>
  </si>
  <si>
    <t>09JN</t>
  </si>
  <si>
    <t>09JP</t>
  </si>
  <si>
    <t>09JQ</t>
  </si>
  <si>
    <t>09JT</t>
  </si>
  <si>
    <t>09JU</t>
  </si>
  <si>
    <t>09JV</t>
  </si>
  <si>
    <t>09JX</t>
  </si>
  <si>
    <t>09JY</t>
  </si>
  <si>
    <t>09JZ</t>
  </si>
  <si>
    <t>09KA</t>
  </si>
  <si>
    <t>09KD</t>
  </si>
  <si>
    <t>09KF</t>
  </si>
  <si>
    <t>09KG</t>
  </si>
  <si>
    <t>09KH</t>
  </si>
  <si>
    <t>09KK</t>
  </si>
  <si>
    <t>09KL</t>
  </si>
  <si>
    <t>09KN</t>
  </si>
  <si>
    <t>09KO</t>
  </si>
  <si>
    <t>09KQ</t>
  </si>
  <si>
    <t>09KS</t>
  </si>
  <si>
    <t>09KU</t>
  </si>
  <si>
    <t>09KV</t>
  </si>
  <si>
    <t>09KW</t>
  </si>
  <si>
    <t>09KZ</t>
  </si>
  <si>
    <t>09LC</t>
  </si>
  <si>
    <t>09LD</t>
  </si>
  <si>
    <t>09LF</t>
  </si>
  <si>
    <t>09LJ</t>
  </si>
  <si>
    <t>09LK</t>
  </si>
  <si>
    <t>09LL</t>
  </si>
  <si>
    <t>09LM</t>
  </si>
  <si>
    <t>09LN</t>
  </si>
  <si>
    <t>09LO</t>
  </si>
  <si>
    <t>09LP</t>
  </si>
  <si>
    <t>09LQ</t>
  </si>
  <si>
    <t>09LR</t>
  </si>
  <si>
    <t>09LS</t>
  </si>
  <si>
    <t>09LU</t>
  </si>
  <si>
    <t>09LW</t>
  </si>
  <si>
    <t>09LY</t>
  </si>
  <si>
    <t>09LZ</t>
  </si>
  <si>
    <t>09MF</t>
  </si>
  <si>
    <t>09MG</t>
  </si>
  <si>
    <t>09MH</t>
  </si>
  <si>
    <t>09MJ</t>
  </si>
  <si>
    <t>09MK</t>
  </si>
  <si>
    <t>09ML</t>
  </si>
  <si>
    <t>09MN</t>
  </si>
  <si>
    <t>09MO</t>
  </si>
  <si>
    <t>09MP</t>
  </si>
  <si>
    <t>09MQ</t>
  </si>
  <si>
    <t>09MS</t>
  </si>
  <si>
    <t>09MT</t>
  </si>
  <si>
    <t>09MU</t>
  </si>
  <si>
    <t>09MX</t>
  </si>
  <si>
    <t>09MY</t>
  </si>
  <si>
    <t>09MZ</t>
  </si>
  <si>
    <t>09NC</t>
  </si>
  <si>
    <t>09ND</t>
  </si>
  <si>
    <t>09NG</t>
  </si>
  <si>
    <t>09NH</t>
  </si>
  <si>
    <t>09NJ</t>
  </si>
  <si>
    <t>09NN</t>
  </si>
  <si>
    <t>09NO</t>
  </si>
  <si>
    <t>09NT</t>
  </si>
  <si>
    <t>09NW</t>
  </si>
  <si>
    <t>09NZ</t>
  </si>
  <si>
    <t>09OA</t>
  </si>
  <si>
    <t>09OB</t>
  </si>
  <si>
    <t>09OD</t>
  </si>
  <si>
    <t>09OE</t>
  </si>
  <si>
    <t>09OF</t>
  </si>
  <si>
    <t>09OV</t>
  </si>
  <si>
    <t>09PB</t>
  </si>
  <si>
    <t>09PC</t>
  </si>
  <si>
    <t>09PD</t>
  </si>
  <si>
    <t>09PE</t>
  </si>
  <si>
    <t>09PF</t>
  </si>
  <si>
    <t>09PH</t>
  </si>
  <si>
    <t>09PI</t>
  </si>
  <si>
    <t>09PJ</t>
  </si>
  <si>
    <t>09PM</t>
  </si>
  <si>
    <t>09PV</t>
  </si>
  <si>
    <t>09PX</t>
  </si>
  <si>
    <t>09PZ</t>
  </si>
  <si>
    <t>09QA</t>
  </si>
  <si>
    <t>09QC</t>
  </si>
  <si>
    <t>09QG</t>
  </si>
  <si>
    <t>09QJ</t>
  </si>
  <si>
    <t>09QN</t>
  </si>
  <si>
    <t>09QP</t>
  </si>
  <si>
    <t>09QQ</t>
  </si>
  <si>
    <t>09QR</t>
  </si>
  <si>
    <t>09QY</t>
  </si>
  <si>
    <t>09QZ</t>
  </si>
  <si>
    <t>09RA</t>
  </si>
  <si>
    <t>09RG</t>
  </si>
  <si>
    <t>09RO</t>
  </si>
  <si>
    <t>09RP</t>
  </si>
  <si>
    <t>09RQ</t>
  </si>
  <si>
    <t>09RR</t>
  </si>
  <si>
    <t>09RS</t>
  </si>
  <si>
    <t>09RU</t>
  </si>
  <si>
    <t>09SF</t>
  </si>
  <si>
    <t>09SG</t>
  </si>
  <si>
    <t>09SQ</t>
  </si>
  <si>
    <t>09ST</t>
  </si>
  <si>
    <t>09SW</t>
  </si>
  <si>
    <t>09SX</t>
  </si>
  <si>
    <t>09SY</t>
  </si>
  <si>
    <t>09TB</t>
  </si>
  <si>
    <t>09TC</t>
  </si>
  <si>
    <t>09TE</t>
  </si>
  <si>
    <t>09TG</t>
  </si>
  <si>
    <t>09TH</t>
  </si>
  <si>
    <t>09TI</t>
  </si>
  <si>
    <t>09TJ</t>
  </si>
  <si>
    <t>09TM</t>
  </si>
  <si>
    <t>09TP</t>
  </si>
  <si>
    <t>09TV</t>
  </si>
  <si>
    <t>09TW</t>
  </si>
  <si>
    <t>09TX</t>
  </si>
  <si>
    <t>09TY</t>
  </si>
  <si>
    <t>09TZ</t>
  </si>
  <si>
    <t>09UA</t>
  </si>
  <si>
    <t>09UD</t>
  </si>
  <si>
    <t>09UE</t>
  </si>
  <si>
    <t>09UG</t>
  </si>
  <si>
    <t>09UH</t>
  </si>
  <si>
    <t>09UI</t>
  </si>
  <si>
    <t>09UJ</t>
  </si>
  <si>
    <t>09UK</t>
  </si>
  <si>
    <t>09UL</t>
  </si>
  <si>
    <t>09UN</t>
  </si>
  <si>
    <t>09UO</t>
  </si>
  <si>
    <t>09UQ</t>
  </si>
  <si>
    <t>09US</t>
  </si>
  <si>
    <t>09UT</t>
  </si>
  <si>
    <t>09UU</t>
  </si>
  <si>
    <t>09UW</t>
  </si>
  <si>
    <t>09UY</t>
  </si>
  <si>
    <t>09VB</t>
  </si>
  <si>
    <t>09VE</t>
  </si>
  <si>
    <t>09VH</t>
  </si>
  <si>
    <t>09VI</t>
  </si>
  <si>
    <t>09VJ</t>
  </si>
  <si>
    <t>09VO</t>
  </si>
  <si>
    <t>09VP</t>
  </si>
  <si>
    <t>09VR</t>
  </si>
  <si>
    <t>09VU</t>
  </si>
  <si>
    <t>09VY</t>
  </si>
  <si>
    <t>09VZ</t>
  </si>
  <si>
    <t>09WB</t>
  </si>
  <si>
    <t>09WD</t>
  </si>
  <si>
    <t>09WE</t>
  </si>
  <si>
    <t>09WF</t>
  </si>
  <si>
    <t>09WH</t>
  </si>
  <si>
    <t>09WL</t>
  </si>
  <si>
    <t>09WM</t>
  </si>
  <si>
    <t>09WN</t>
  </si>
  <si>
    <t>09WO</t>
  </si>
  <si>
    <t>09WP</t>
  </si>
  <si>
    <t>09WS</t>
  </si>
  <si>
    <t>09WT</t>
  </si>
  <si>
    <t>09WU</t>
  </si>
  <si>
    <t>09WW</t>
  </si>
  <si>
    <t>09WX</t>
  </si>
  <si>
    <t>09WY</t>
  </si>
  <si>
    <t>09XA</t>
  </si>
  <si>
    <t>09XB</t>
  </si>
  <si>
    <t>09XC</t>
  </si>
  <si>
    <t>09XD</t>
  </si>
  <si>
    <t>09XF</t>
  </si>
  <si>
    <t>09XH</t>
  </si>
  <si>
    <t>09XI</t>
  </si>
  <si>
    <t>09XJ</t>
  </si>
  <si>
    <t>09XL</t>
  </si>
  <si>
    <t>09XO</t>
  </si>
  <si>
    <t>09XP</t>
  </si>
  <si>
    <t>09XR</t>
  </si>
  <si>
    <t>09XS</t>
  </si>
  <si>
    <t>09XW</t>
  </si>
  <si>
    <t>09XZ</t>
  </si>
  <si>
    <t>09YB</t>
  </si>
  <si>
    <t>09YE</t>
  </si>
  <si>
    <t>09YF</t>
  </si>
  <si>
    <t>09YG</t>
  </si>
  <si>
    <t>09YH</t>
  </si>
  <si>
    <t>09YI</t>
  </si>
  <si>
    <t>09YJ</t>
  </si>
  <si>
    <t>09YM</t>
  </si>
  <si>
    <t>09YN</t>
  </si>
  <si>
    <t>09YO</t>
  </si>
  <si>
    <t>09YP</t>
  </si>
  <si>
    <t>09YQ</t>
  </si>
  <si>
    <t>09YR</t>
  </si>
  <si>
    <t>09YS</t>
  </si>
  <si>
    <t>09YT</t>
  </si>
  <si>
    <t>09YU</t>
  </si>
  <si>
    <t>09YW</t>
  </si>
  <si>
    <t>09YY</t>
  </si>
  <si>
    <t>09YZ</t>
  </si>
  <si>
    <t>09ZA</t>
  </si>
  <si>
    <t>09ZD</t>
  </si>
  <si>
    <t>09ZF</t>
  </si>
  <si>
    <t>09ZG</t>
  </si>
  <si>
    <t>09ZH</t>
  </si>
  <si>
    <t>09ZI</t>
  </si>
  <si>
    <t>09ZJ</t>
  </si>
  <si>
    <t>09ZN</t>
  </si>
  <si>
    <t>09ZO</t>
  </si>
  <si>
    <t>09ZP</t>
  </si>
  <si>
    <t>09ZQ</t>
  </si>
  <si>
    <t>09ZS</t>
  </si>
  <si>
    <t>09ZU</t>
  </si>
  <si>
    <t>09ZZ</t>
  </si>
  <si>
    <t>10AA</t>
  </si>
  <si>
    <t>10AB</t>
  </si>
  <si>
    <t>10AC</t>
  </si>
  <si>
    <t>10AD</t>
  </si>
  <si>
    <t>10AE</t>
  </si>
  <si>
    <t>10AF</t>
  </si>
  <si>
    <t>10AG</t>
  </si>
  <si>
    <t>10AH</t>
  </si>
  <si>
    <t>10AR</t>
  </si>
  <si>
    <t>10AS</t>
  </si>
  <si>
    <t>10AV</t>
  </si>
  <si>
    <t>10AZ</t>
  </si>
  <si>
    <t>10BA</t>
  </si>
  <si>
    <t>10BD</t>
  </si>
  <si>
    <t>10BE</t>
  </si>
  <si>
    <t>10BF</t>
  </si>
  <si>
    <t>10BG</t>
  </si>
  <si>
    <t>10BH</t>
  </si>
  <si>
    <t>10BI</t>
  </si>
  <si>
    <t>10BJ</t>
  </si>
  <si>
    <t>10BK</t>
  </si>
  <si>
    <t>10BP</t>
  </si>
  <si>
    <t>10BR</t>
  </si>
  <si>
    <t>10BS</t>
  </si>
  <si>
    <t>10BV</t>
  </si>
  <si>
    <t>10BZ</t>
  </si>
  <si>
    <t>10CF</t>
  </si>
  <si>
    <t>10CH</t>
  </si>
  <si>
    <t>10CI</t>
  </si>
  <si>
    <t>10CJ</t>
  </si>
  <si>
    <t>10CO</t>
  </si>
  <si>
    <t>10CR</t>
  </si>
  <si>
    <t>10CS</t>
  </si>
  <si>
    <t>10CT</t>
  </si>
  <si>
    <t>10CU</t>
  </si>
  <si>
    <t>10CV</t>
  </si>
  <si>
    <t>10CY</t>
  </si>
  <si>
    <t>10DA</t>
  </si>
  <si>
    <t>10DC</t>
  </si>
  <si>
    <t>10DE</t>
  </si>
  <si>
    <t>10DF</t>
  </si>
  <si>
    <t>10DG</t>
  </si>
  <si>
    <t>10DH</t>
  </si>
  <si>
    <t>10DI</t>
  </si>
  <si>
    <t>10DK</t>
  </si>
  <si>
    <t>10DL</t>
  </si>
  <si>
    <t>10DM</t>
  </si>
  <si>
    <t>10DT</t>
  </si>
  <si>
    <t>10DU</t>
  </si>
  <si>
    <t>10DV</t>
  </si>
  <si>
    <t>10DW</t>
  </si>
  <si>
    <t>10DX</t>
  </si>
  <si>
    <t>10DY</t>
  </si>
  <si>
    <t>10EC</t>
  </si>
  <si>
    <t>10EE</t>
  </si>
  <si>
    <t>10EF</t>
  </si>
  <si>
    <t>10EG</t>
  </si>
  <si>
    <t>10EH</t>
  </si>
  <si>
    <t>10EJ</t>
  </si>
  <si>
    <t>10EL</t>
  </si>
  <si>
    <t>10EO</t>
  </si>
  <si>
    <t>10ES</t>
  </si>
  <si>
    <t>10EU</t>
  </si>
  <si>
    <t>10EW</t>
  </si>
  <si>
    <t>10EY</t>
  </si>
  <si>
    <t>10EZ</t>
  </si>
  <si>
    <t>10FF</t>
  </si>
  <si>
    <t>10FG</t>
  </si>
  <si>
    <t>10FH</t>
  </si>
  <si>
    <t>10FI</t>
  </si>
  <si>
    <t>10FJ</t>
  </si>
  <si>
    <t>10FL</t>
  </si>
  <si>
    <t>10FM</t>
  </si>
  <si>
    <t>10FN</t>
  </si>
  <si>
    <t>10FO</t>
  </si>
  <si>
    <t>10FQ</t>
  </si>
  <si>
    <t>10FU</t>
  </si>
  <si>
    <t>10FW</t>
  </si>
  <si>
    <t>10FX</t>
  </si>
  <si>
    <t>10FY</t>
  </si>
  <si>
    <t>10FZ</t>
  </si>
  <si>
    <t>10GA</t>
  </si>
  <si>
    <t>10GB</t>
  </si>
  <si>
    <t>10GD</t>
  </si>
  <si>
    <t>10GE</t>
  </si>
  <si>
    <t>10GK</t>
  </si>
  <si>
    <t>10GL</t>
  </si>
  <si>
    <t>10GM</t>
  </si>
  <si>
    <t>10GP</t>
  </si>
  <si>
    <t>10GQ</t>
  </si>
  <si>
    <t>10GR</t>
  </si>
  <si>
    <t>10GT</t>
  </si>
  <si>
    <t>10GZ</t>
  </si>
  <si>
    <t>10HA</t>
  </si>
  <si>
    <t>10HB</t>
  </si>
  <si>
    <t>10HD</t>
  </si>
  <si>
    <t>10HE</t>
  </si>
  <si>
    <t>10HF</t>
  </si>
  <si>
    <t>10HG</t>
  </si>
  <si>
    <t>10HK</t>
  </si>
  <si>
    <t>10HM</t>
  </si>
  <si>
    <t>10HN</t>
  </si>
  <si>
    <t>10HO</t>
  </si>
  <si>
    <t>10HR</t>
  </si>
  <si>
    <t>10HT</t>
  </si>
  <si>
    <t>10HU</t>
  </si>
  <si>
    <t>10HV</t>
  </si>
  <si>
    <t>10HX</t>
  </si>
  <si>
    <t>10HY</t>
  </si>
  <si>
    <t>10HZ</t>
  </si>
  <si>
    <t>10IC</t>
  </si>
  <si>
    <t>10ID</t>
  </si>
  <si>
    <t>10IE</t>
  </si>
  <si>
    <t>10IJ</t>
  </si>
  <si>
    <t>10IK</t>
  </si>
  <si>
    <t>10IL</t>
  </si>
  <si>
    <t>10IM</t>
  </si>
  <si>
    <t>10IU</t>
  </si>
  <si>
    <t>10IW</t>
  </si>
  <si>
    <t>10IY</t>
  </si>
  <si>
    <t>10JF</t>
  </si>
  <si>
    <t>10JH</t>
  </si>
  <si>
    <t>10JJ</t>
  </si>
  <si>
    <t>10JK</t>
  </si>
  <si>
    <t>10JL</t>
  </si>
  <si>
    <t>10JM</t>
  </si>
  <si>
    <t>10JN</t>
  </si>
  <si>
    <t>10JO</t>
  </si>
  <si>
    <t>10JP</t>
  </si>
  <si>
    <t>10JT</t>
  </si>
  <si>
    <t>10JU</t>
  </si>
  <si>
    <t>10JX</t>
  </si>
  <si>
    <t>10KB</t>
  </si>
  <si>
    <t>10KD</t>
  </si>
  <si>
    <t>10KE</t>
  </si>
  <si>
    <t>10KI</t>
  </si>
  <si>
    <t>10KN</t>
  </si>
  <si>
    <t>10KP</t>
  </si>
  <si>
    <t>10KQ</t>
  </si>
  <si>
    <t>10KS</t>
  </si>
  <si>
    <t>10KT</t>
  </si>
  <si>
    <t>10KW</t>
  </si>
  <si>
    <t>10KX</t>
  </si>
  <si>
    <t>10KZ</t>
  </si>
  <si>
    <t>10LI</t>
  </si>
  <si>
    <t>10LK</t>
  </si>
  <si>
    <t>10LM</t>
  </si>
  <si>
    <t>10LV</t>
  </si>
  <si>
    <t>10LX</t>
  </si>
  <si>
    <t>10LY</t>
  </si>
  <si>
    <t>10MA</t>
  </si>
  <si>
    <t>10MB</t>
  </si>
  <si>
    <t>10ME</t>
  </si>
  <si>
    <t>10MI</t>
  </si>
  <si>
    <t>10MM</t>
  </si>
  <si>
    <t>10MO</t>
  </si>
  <si>
    <t>10MP</t>
  </si>
  <si>
    <t>10MR</t>
  </si>
  <si>
    <t>10MT</t>
  </si>
  <si>
    <t>10MV</t>
  </si>
  <si>
    <t>10MX</t>
  </si>
  <si>
    <t>10MY</t>
  </si>
  <si>
    <t>10MZ</t>
  </si>
  <si>
    <t>10NA</t>
  </si>
  <si>
    <t>10NB</t>
  </si>
  <si>
    <t>10NC</t>
  </si>
  <si>
    <t>10NH</t>
  </si>
  <si>
    <t>10NK</t>
  </si>
  <si>
    <t>10NL</t>
  </si>
  <si>
    <t>10NM</t>
  </si>
  <si>
    <t>10NN</t>
  </si>
  <si>
    <t>10NO</t>
  </si>
  <si>
    <t>10NP</t>
  </si>
  <si>
    <t>10NS</t>
  </si>
  <si>
    <t>10NW</t>
  </si>
  <si>
    <t>10NY</t>
  </si>
  <si>
    <t>10NZ</t>
  </si>
  <si>
    <t>10OA</t>
  </si>
  <si>
    <t>10OC</t>
  </si>
  <si>
    <t>10OD</t>
  </si>
  <si>
    <t>10OE</t>
  </si>
  <si>
    <t>10OF</t>
  </si>
  <si>
    <t>10OK</t>
  </si>
  <si>
    <t>10OL</t>
  </si>
  <si>
    <t>10OP</t>
  </si>
  <si>
    <t>10OR</t>
  </si>
  <si>
    <t>10OU</t>
  </si>
  <si>
    <t>10OV</t>
  </si>
  <si>
    <t>10OW</t>
  </si>
  <si>
    <t>10OY</t>
  </si>
  <si>
    <t>10PA</t>
  </si>
  <si>
    <t>10PB</t>
  </si>
  <si>
    <t>10PC</t>
  </si>
  <si>
    <t>10PE</t>
  </si>
  <si>
    <t>10PF</t>
  </si>
  <si>
    <t>10PG</t>
  </si>
  <si>
    <t>10PI</t>
  </si>
  <si>
    <t>10PM</t>
  </si>
  <si>
    <t>10PN</t>
  </si>
  <si>
    <t>10PO</t>
  </si>
  <si>
    <t>10PS</t>
  </si>
  <si>
    <t>10PT</t>
  </si>
  <si>
    <t>10PW</t>
  </si>
  <si>
    <t>10PX</t>
  </si>
  <si>
    <t>10PY</t>
  </si>
  <si>
    <t>10PZ</t>
  </si>
  <si>
    <t>10QA</t>
  </si>
  <si>
    <t>10QB</t>
  </si>
  <si>
    <t>10QC</t>
  </si>
  <si>
    <t>10QE</t>
  </si>
  <si>
    <t>10QF</t>
  </si>
  <si>
    <t>10QL</t>
  </si>
  <si>
    <t>10QM</t>
  </si>
  <si>
    <t>10QO</t>
  </si>
  <si>
    <t>10QP</t>
  </si>
  <si>
    <t>10QQ</t>
  </si>
  <si>
    <t>10QR</t>
  </si>
  <si>
    <t>10QS</t>
  </si>
  <si>
    <t>10QX</t>
  </si>
  <si>
    <t>10QY</t>
  </si>
  <si>
    <t>10QZ</t>
  </si>
  <si>
    <t>10RA</t>
  </si>
  <si>
    <t>10RC</t>
  </si>
  <si>
    <t>10RD</t>
  </si>
  <si>
    <t>10RE</t>
  </si>
  <si>
    <t>10RF</t>
  </si>
  <si>
    <t>10RG</t>
  </si>
  <si>
    <t>10RH</t>
  </si>
  <si>
    <t>10RI</t>
  </si>
  <si>
    <t>10RJ</t>
  </si>
  <si>
    <t>10RK</t>
  </si>
  <si>
    <t>10RL</t>
  </si>
  <si>
    <t>10RN</t>
  </si>
  <si>
    <t>10RO</t>
  </si>
  <si>
    <t>10RR</t>
  </si>
  <si>
    <t>10RS</t>
  </si>
  <si>
    <t>10RY</t>
  </si>
  <si>
    <t>10SG</t>
  </si>
  <si>
    <t>10SH</t>
  </si>
  <si>
    <t>10SO</t>
  </si>
  <si>
    <t>10SX</t>
  </si>
  <si>
    <t>10SZ</t>
  </si>
  <si>
    <t>10TA</t>
  </si>
  <si>
    <t>10TB</t>
  </si>
  <si>
    <t>10TC</t>
  </si>
  <si>
    <t>10TE</t>
  </si>
  <si>
    <t>10TH</t>
  </si>
  <si>
    <t>10TO</t>
  </si>
  <si>
    <t>10TP</t>
  </si>
  <si>
    <t>10TR</t>
  </si>
  <si>
    <t>10TT</t>
  </si>
  <si>
    <t>10UA</t>
  </si>
  <si>
    <t>10UB</t>
  </si>
  <si>
    <t>10UD</t>
  </si>
  <si>
    <t>10UF</t>
  </si>
  <si>
    <t>10UG</t>
  </si>
  <si>
    <t>10UJ</t>
  </si>
  <si>
    <t>10UK</t>
  </si>
  <si>
    <t>10UN</t>
  </si>
  <si>
    <t>10UP</t>
  </si>
  <si>
    <t>10UU</t>
  </si>
  <si>
    <t>10UV</t>
  </si>
  <si>
    <t>10UW</t>
  </si>
  <si>
    <t>10UX</t>
  </si>
  <si>
    <t>10UZ</t>
  </si>
  <si>
    <t>10VA</t>
  </si>
  <si>
    <t>10VB</t>
  </si>
  <si>
    <t>10VC</t>
  </si>
  <si>
    <t>10VD</t>
  </si>
  <si>
    <t>10VH</t>
  </si>
  <si>
    <t>10VK</t>
  </si>
  <si>
    <t>10VM</t>
  </si>
  <si>
    <t>10VP</t>
  </si>
  <si>
    <t>10VR</t>
  </si>
  <si>
    <t>10VU</t>
  </si>
  <si>
    <t>10VV</t>
  </si>
  <si>
    <t>10WF</t>
  </si>
  <si>
    <t>10WG</t>
  </si>
  <si>
    <t>10WH</t>
  </si>
  <si>
    <t>10WI</t>
  </si>
  <si>
    <t>10WN</t>
  </si>
  <si>
    <t>10WO</t>
  </si>
  <si>
    <t>10WQ</t>
  </si>
  <si>
    <t>10WT</t>
  </si>
  <si>
    <t>10WU</t>
  </si>
  <si>
    <t>10WW</t>
  </si>
  <si>
    <t>10WZ</t>
  </si>
  <si>
    <t>10XB</t>
  </si>
  <si>
    <t>10XC</t>
  </si>
  <si>
    <t>10XE</t>
  </si>
  <si>
    <t>10XF</t>
  </si>
  <si>
    <t>10XJ</t>
  </si>
  <si>
    <t>10XK</t>
  </si>
  <si>
    <t>10XM</t>
  </si>
  <si>
    <t>10XO</t>
  </si>
  <si>
    <t>10XP</t>
  </si>
  <si>
    <t>10XR</t>
  </si>
  <si>
    <t>10XS</t>
  </si>
  <si>
    <t>10XU</t>
  </si>
  <si>
    <t>10XV</t>
  </si>
  <si>
    <t>10YA</t>
  </si>
  <si>
    <t>10YD</t>
  </si>
  <si>
    <t>10YE</t>
  </si>
  <si>
    <t>10YF</t>
  </si>
  <si>
    <t>10YG</t>
  </si>
  <si>
    <t>10YH</t>
  </si>
  <si>
    <t>10YI</t>
  </si>
  <si>
    <t>10YK</t>
  </si>
  <si>
    <t>10YO</t>
  </si>
  <si>
    <t>10YP</t>
  </si>
  <si>
    <t>10YQ</t>
  </si>
  <si>
    <t>10YR</t>
  </si>
  <si>
    <t>10YS</t>
  </si>
  <si>
    <t>10YW</t>
  </si>
  <si>
    <t>10YZ</t>
  </si>
  <si>
    <t>10ZF</t>
  </si>
  <si>
    <t>10ZI</t>
  </si>
  <si>
    <t>10ZK</t>
  </si>
  <si>
    <t>10ZM</t>
  </si>
  <si>
    <t>10ZN</t>
  </si>
  <si>
    <t>10ZO</t>
  </si>
  <si>
    <t>10ZS</t>
  </si>
  <si>
    <t>10ZT</t>
  </si>
  <si>
    <t>10ZU</t>
  </si>
  <si>
    <t>10ZW</t>
  </si>
  <si>
    <t>10ZY</t>
  </si>
  <si>
    <t>10ZZ</t>
  </si>
  <si>
    <t>11AK</t>
  </si>
  <si>
    <t>11AL</t>
  </si>
  <si>
    <t>11AM</t>
  </si>
  <si>
    <t>11AO</t>
  </si>
  <si>
    <t>11AQ</t>
  </si>
  <si>
    <t>11AT</t>
  </si>
  <si>
    <t>11AV</t>
  </si>
  <si>
    <t>11AY</t>
  </si>
  <si>
    <t>11AZ</t>
  </si>
  <si>
    <t>11BF</t>
  </si>
  <si>
    <t>11BL</t>
  </si>
  <si>
    <t>11BO</t>
  </si>
  <si>
    <t>11BP</t>
  </si>
  <si>
    <t>11BQ</t>
  </si>
  <si>
    <t>11BS</t>
  </si>
  <si>
    <t>11BT</t>
  </si>
  <si>
    <t>11BU</t>
  </si>
  <si>
    <t>11BW</t>
  </si>
  <si>
    <t>11BY</t>
  </si>
  <si>
    <t>11CA</t>
  </si>
  <si>
    <t>11CB</t>
  </si>
  <si>
    <t>11CC</t>
  </si>
  <si>
    <t>11CD</t>
  </si>
  <si>
    <t>11CE</t>
  </si>
  <si>
    <t>11CF</t>
  </si>
  <si>
    <t>11CG</t>
  </si>
  <si>
    <t>11CJ</t>
  </si>
  <si>
    <t>11CK</t>
  </si>
  <si>
    <t>11CM</t>
  </si>
  <si>
    <t>11CO</t>
  </si>
  <si>
    <t>11CP</t>
  </si>
  <si>
    <t>11CS</t>
  </si>
  <si>
    <t>11CT</t>
  </si>
  <si>
    <t>11CU</t>
  </si>
  <si>
    <t>11CV</t>
  </si>
  <si>
    <t>11CY</t>
  </si>
  <si>
    <t>11CZ</t>
  </si>
  <si>
    <t>11DA</t>
  </si>
  <si>
    <t>11DE</t>
  </si>
  <si>
    <t>11DG</t>
  </si>
  <si>
    <t>11DH</t>
  </si>
  <si>
    <t>11DN</t>
  </si>
  <si>
    <t>11DO</t>
  </si>
  <si>
    <t>11DS</t>
  </si>
  <si>
    <t>11DV</t>
  </si>
  <si>
    <t>11DW</t>
  </si>
  <si>
    <t>11DX</t>
  </si>
  <si>
    <t>11DZ</t>
  </si>
  <si>
    <t>11ED</t>
  </si>
  <si>
    <t>11EF</t>
  </si>
  <si>
    <t>11EI</t>
  </si>
  <si>
    <t>11EL</t>
  </si>
  <si>
    <t>11EM</t>
  </si>
  <si>
    <t>11EN</t>
  </si>
  <si>
    <t>11EO</t>
  </si>
  <si>
    <t>11ER</t>
  </si>
  <si>
    <t>11EU</t>
  </si>
  <si>
    <t>11EW</t>
  </si>
  <si>
    <t>11EY</t>
  </si>
  <si>
    <t>11FA</t>
  </si>
  <si>
    <t>11FB</t>
  </si>
  <si>
    <t>11FC</t>
  </si>
  <si>
    <t>11FD</t>
  </si>
  <si>
    <t>11FE</t>
  </si>
  <si>
    <t>11FG</t>
  </si>
  <si>
    <t>11FI</t>
  </si>
  <si>
    <t>11FK</t>
  </si>
  <si>
    <t>11FL</t>
  </si>
  <si>
    <t>11FM</t>
  </si>
  <si>
    <t>11FO</t>
  </si>
  <si>
    <t>11FQ</t>
  </si>
  <si>
    <t>11FR</t>
  </si>
  <si>
    <t>11FW</t>
  </si>
  <si>
    <t>11FX</t>
  </si>
  <si>
    <t>11FY</t>
  </si>
  <si>
    <t>11FZ</t>
  </si>
  <si>
    <t>11GC</t>
  </si>
  <si>
    <t>11GF</t>
  </si>
  <si>
    <t>11GH</t>
  </si>
  <si>
    <t>11GK</t>
  </si>
  <si>
    <t>11GM</t>
  </si>
  <si>
    <t>11GR</t>
  </si>
  <si>
    <t>11GS</t>
  </si>
  <si>
    <t>11GT</t>
  </si>
  <si>
    <t>11GX</t>
  </si>
  <si>
    <t>11HC</t>
  </si>
  <si>
    <t>11HD</t>
  </si>
  <si>
    <t>11HF</t>
  </si>
  <si>
    <t>11HH</t>
  </si>
  <si>
    <t>11HJ</t>
  </si>
  <si>
    <t>11HK</t>
  </si>
  <si>
    <t>11HN</t>
  </si>
  <si>
    <t>11HR</t>
  </si>
  <si>
    <t>11HS</t>
  </si>
  <si>
    <t>11HT</t>
  </si>
  <si>
    <t>11HU</t>
  </si>
  <si>
    <t>11HV</t>
  </si>
  <si>
    <t>11HW</t>
  </si>
  <si>
    <t>11HX</t>
  </si>
  <si>
    <t>11IF</t>
  </si>
  <si>
    <t>11IH</t>
  </si>
  <si>
    <t>11IJ</t>
  </si>
  <si>
    <t>11IP</t>
  </si>
  <si>
    <t>11IQ</t>
  </si>
  <si>
    <t>11IR</t>
  </si>
  <si>
    <t>11IS</t>
  </si>
  <si>
    <t>11IZ</t>
  </si>
  <si>
    <t>11JA</t>
  </si>
  <si>
    <t>11JD</t>
  </si>
  <si>
    <t>11JJ</t>
  </si>
  <si>
    <t>11JK</t>
  </si>
  <si>
    <t>11JQ</t>
  </si>
  <si>
    <t>11JR</t>
  </si>
  <si>
    <t>11JU</t>
  </si>
  <si>
    <t>11JV</t>
  </si>
  <si>
    <t>11JX</t>
  </si>
  <si>
    <t>11KB</t>
  </si>
  <si>
    <t>11KC</t>
  </si>
  <si>
    <t>11KG</t>
  </si>
  <si>
    <t>11KJ</t>
  </si>
  <si>
    <t>11KM</t>
  </si>
  <si>
    <t>11KN</t>
  </si>
  <si>
    <t>11KO</t>
  </si>
  <si>
    <t>11KQ</t>
  </si>
  <si>
    <t>11KR</t>
  </si>
  <si>
    <t>11KS</t>
  </si>
  <si>
    <t>11KW</t>
  </si>
  <si>
    <t>11LB</t>
  </si>
  <si>
    <t>11LE</t>
  </si>
  <si>
    <t>11LF</t>
  </si>
  <si>
    <t>11LG</t>
  </si>
  <si>
    <t>11LH</t>
  </si>
  <si>
    <t>11LI</t>
  </si>
  <si>
    <t>11LJ</t>
  </si>
  <si>
    <t>11LK</t>
  </si>
  <si>
    <t>11LL</t>
  </si>
  <si>
    <t>11LO</t>
  </si>
  <si>
    <t>11LP</t>
  </si>
  <si>
    <t>11LR</t>
  </si>
  <si>
    <t>11LS</t>
  </si>
  <si>
    <t>11LT</t>
  </si>
  <si>
    <t>11LX</t>
  </si>
  <si>
    <t>11LY</t>
  </si>
  <si>
    <t>11MA</t>
  </si>
  <si>
    <t>11MB</t>
  </si>
  <si>
    <t>11MC</t>
  </si>
  <si>
    <t>11MD</t>
  </si>
  <si>
    <t>11MG</t>
  </si>
  <si>
    <t>11MI</t>
  </si>
  <si>
    <t>11MK</t>
  </si>
  <si>
    <t>11MN</t>
  </si>
  <si>
    <t>11MO</t>
  </si>
  <si>
    <t>11MP</t>
  </si>
  <si>
    <t>11MQ</t>
  </si>
  <si>
    <t>11MR</t>
  </si>
  <si>
    <t>11MS</t>
  </si>
  <si>
    <t>11MW</t>
  </si>
  <si>
    <t>11MZ</t>
  </si>
  <si>
    <t>11NE</t>
  </si>
  <si>
    <t>11NH</t>
  </si>
  <si>
    <t>11NM</t>
  </si>
  <si>
    <t>11NT</t>
  </si>
  <si>
    <t>11NU</t>
  </si>
  <si>
    <t>11OA</t>
  </si>
  <si>
    <t>11OB</t>
  </si>
  <si>
    <t>11OC</t>
  </si>
  <si>
    <t>11OD</t>
  </si>
  <si>
    <t>11OE</t>
  </si>
  <si>
    <t>11OH</t>
  </si>
  <si>
    <t>11OJ</t>
  </si>
  <si>
    <t>11ON</t>
  </si>
  <si>
    <t>11OR</t>
  </si>
  <si>
    <t>11OS</t>
  </si>
  <si>
    <t>11OT</t>
  </si>
  <si>
    <t>11OU</t>
  </si>
  <si>
    <t>11OW</t>
  </si>
  <si>
    <t>11OX</t>
  </si>
  <si>
    <t>11PD</t>
  </si>
  <si>
    <t>11PE</t>
  </si>
  <si>
    <t>11PJ</t>
  </si>
  <si>
    <t>11PL</t>
  </si>
  <si>
    <t>11PM</t>
  </si>
  <si>
    <t>11PN</t>
  </si>
  <si>
    <t>11PP</t>
  </si>
  <si>
    <t>11PS</t>
  </si>
  <si>
    <t>11PT</t>
  </si>
  <si>
    <t>11PW</t>
  </si>
  <si>
    <t>11QB</t>
  </si>
  <si>
    <t>11QC</t>
  </si>
  <si>
    <t>11QD</t>
  </si>
  <si>
    <t>11QG</t>
  </si>
  <si>
    <t>11QH</t>
  </si>
  <si>
    <t>11QK</t>
  </si>
  <si>
    <t>11QL</t>
  </si>
  <si>
    <t>11QN</t>
  </si>
  <si>
    <t>11QO</t>
  </si>
  <si>
    <t>11QQ</t>
  </si>
  <si>
    <t>11QT</t>
  </si>
  <si>
    <t>11QU</t>
  </si>
  <si>
    <t>11QV</t>
  </si>
  <si>
    <t>11QW</t>
  </si>
  <si>
    <t>11QX</t>
  </si>
  <si>
    <t>11QY</t>
  </si>
  <si>
    <t>11QZ</t>
  </si>
  <si>
    <t>11RC</t>
  </si>
  <si>
    <t>11RD</t>
  </si>
  <si>
    <t>11RF</t>
  </si>
  <si>
    <t>11RG</t>
  </si>
  <si>
    <t>11RH</t>
  </si>
  <si>
    <t>11RI</t>
  </si>
  <si>
    <t>11RJ</t>
  </si>
  <si>
    <t>11RK</t>
  </si>
  <si>
    <t>11RL</t>
  </si>
  <si>
    <t>11RO</t>
  </si>
  <si>
    <t>11RP</t>
  </si>
  <si>
    <t>11RR</t>
  </si>
  <si>
    <t>11RS</t>
  </si>
  <si>
    <t>11RT</t>
  </si>
  <si>
    <t>11RU</t>
  </si>
  <si>
    <t>11RW</t>
  </si>
  <si>
    <t>11RX</t>
  </si>
  <si>
    <t>11RY</t>
  </si>
  <si>
    <t>11RZ</t>
  </si>
  <si>
    <t>11SI</t>
  </si>
  <si>
    <t>11SJ</t>
  </si>
  <si>
    <t>11SK</t>
  </si>
  <si>
    <t>11SO</t>
  </si>
  <si>
    <t>11SX</t>
  </si>
  <si>
    <t>11SY</t>
  </si>
  <si>
    <t>11TC</t>
  </si>
  <si>
    <t>11TD</t>
  </si>
  <si>
    <t>11TI</t>
  </si>
  <si>
    <t>11TN</t>
  </si>
  <si>
    <t>11TQ</t>
  </si>
  <si>
    <t>11TR</t>
  </si>
  <si>
    <t>11TX</t>
  </si>
  <si>
    <t>11TY</t>
  </si>
  <si>
    <t>11TZ</t>
  </si>
  <si>
    <t>11UA</t>
  </si>
  <si>
    <t>11UB</t>
  </si>
  <si>
    <t>11UC</t>
  </si>
  <si>
    <t>11UD</t>
  </si>
  <si>
    <t>11UF</t>
  </si>
  <si>
    <t>11UH</t>
  </si>
  <si>
    <t>11UJ</t>
  </si>
  <si>
    <t>11UM</t>
  </si>
  <si>
    <t>11UN</t>
  </si>
  <si>
    <t>11UO</t>
  </si>
  <si>
    <t>11UQ</t>
  </si>
  <si>
    <t>11UR</t>
  </si>
  <si>
    <t>11UY</t>
  </si>
  <si>
    <t>11UZ</t>
  </si>
  <si>
    <t>11VA</t>
  </si>
  <si>
    <t>11VF</t>
  </si>
  <si>
    <t>11VJ</t>
  </si>
  <si>
    <t>11VK</t>
  </si>
  <si>
    <t>11VM</t>
  </si>
  <si>
    <t>11VN</t>
  </si>
  <si>
    <t>11VO</t>
  </si>
  <si>
    <t>11VP</t>
  </si>
  <si>
    <t>11VR</t>
  </si>
  <si>
    <t>11VU</t>
  </si>
  <si>
    <t>11VV</t>
  </si>
  <si>
    <t>11VZ</t>
  </si>
  <si>
    <t>11WB</t>
  </si>
  <si>
    <t>11WC</t>
  </si>
  <si>
    <t>11WD</t>
  </si>
  <si>
    <t>11WG</t>
  </si>
  <si>
    <t>11WI</t>
  </si>
  <si>
    <t>11WN</t>
  </si>
  <si>
    <t>11WP</t>
  </si>
  <si>
    <t>11WQ</t>
  </si>
  <si>
    <t>11WU</t>
  </si>
  <si>
    <t>11WV</t>
  </si>
  <si>
    <t>11WZ</t>
  </si>
  <si>
    <t>11XA</t>
  </si>
  <si>
    <t>11XF</t>
  </si>
  <si>
    <t>11XH</t>
  </si>
  <si>
    <t>11XI</t>
  </si>
  <si>
    <t>11XJ</t>
  </si>
  <si>
    <t>11XK</t>
  </si>
  <si>
    <t>11XL</t>
  </si>
  <si>
    <t>11XM</t>
  </si>
  <si>
    <t>11XQ</t>
  </si>
  <si>
    <t>11XS</t>
  </si>
  <si>
    <t>11XT</t>
  </si>
  <si>
    <t>11XU</t>
  </si>
  <si>
    <t>11XY</t>
  </si>
  <si>
    <t>11XZ</t>
  </si>
  <si>
    <t>11YA</t>
  </si>
  <si>
    <t>11YE</t>
  </si>
  <si>
    <t>11YI</t>
  </si>
  <si>
    <t>11YJ</t>
  </si>
  <si>
    <t>11YL</t>
  </si>
  <si>
    <t>11YP</t>
  </si>
  <si>
    <t>11YV</t>
  </si>
  <si>
    <t>11YW</t>
  </si>
  <si>
    <t>11YX</t>
  </si>
  <si>
    <t>11ZC</t>
  </si>
  <si>
    <t>11ZE</t>
  </si>
  <si>
    <t>11ZI</t>
  </si>
  <si>
    <t>11ZL</t>
  </si>
  <si>
    <t>11ZM</t>
  </si>
  <si>
    <t>11ZP</t>
  </si>
  <si>
    <t>11ZQ</t>
  </si>
  <si>
    <t>11ZU</t>
  </si>
  <si>
    <t>11ZW</t>
  </si>
  <si>
    <t>12AA</t>
  </si>
  <si>
    <t>12AC</t>
  </si>
  <si>
    <t>12AE</t>
  </si>
  <si>
    <t>12AF</t>
  </si>
  <si>
    <t>12AH</t>
  </si>
  <si>
    <t>12AL</t>
  </si>
  <si>
    <t>12AM</t>
  </si>
  <si>
    <t>12AP</t>
  </si>
  <si>
    <t>12AQ</t>
  </si>
  <si>
    <t>12AR</t>
  </si>
  <si>
    <t>12AT</t>
  </si>
  <si>
    <t>12AU</t>
  </si>
  <si>
    <t>12AV</t>
  </si>
  <si>
    <t>12AW</t>
  </si>
  <si>
    <t>12AY</t>
  </si>
  <si>
    <t>12BF</t>
  </si>
  <si>
    <t>12BG</t>
  </si>
  <si>
    <t>12BH</t>
  </si>
  <si>
    <t>12BI</t>
  </si>
  <si>
    <t>12BO</t>
  </si>
  <si>
    <t>12BP</t>
  </si>
  <si>
    <t>12BR</t>
  </si>
  <si>
    <t>12BS</t>
  </si>
  <si>
    <t>12BT</t>
  </si>
  <si>
    <t>12BV</t>
  </si>
  <si>
    <t>12BY</t>
  </si>
  <si>
    <t>12CC</t>
  </si>
  <si>
    <t>12CF</t>
  </si>
  <si>
    <t>12CJ</t>
  </si>
  <si>
    <t>12CK</t>
  </si>
  <si>
    <t>12CL</t>
  </si>
  <si>
    <t>12CN</t>
  </si>
  <si>
    <t>12CO</t>
  </si>
  <si>
    <t>12CX</t>
  </si>
  <si>
    <t>12DC</t>
  </si>
  <si>
    <t>12DE</t>
  </si>
  <si>
    <t>12DF</t>
  </si>
  <si>
    <t>12DG</t>
  </si>
  <si>
    <t>12DI</t>
  </si>
  <si>
    <t>12DL</t>
  </si>
  <si>
    <t>12DO</t>
  </si>
  <si>
    <t>12DS</t>
  </si>
  <si>
    <t>12DU</t>
  </si>
  <si>
    <t>12DV</t>
  </si>
  <si>
    <t>12DX</t>
  </si>
  <si>
    <t>12DY</t>
  </si>
  <si>
    <t>12EA</t>
  </si>
  <si>
    <t>12EB</t>
  </si>
  <si>
    <t>12ED</t>
  </si>
  <si>
    <t>12EF</t>
  </si>
  <si>
    <t>12EG</t>
  </si>
  <si>
    <t>12EI</t>
  </si>
  <si>
    <t>12EJ</t>
  </si>
  <si>
    <t>12EP</t>
  </si>
  <si>
    <t>12ER</t>
  </si>
  <si>
    <t>12ES</t>
  </si>
  <si>
    <t>12EV</t>
  </si>
  <si>
    <t>12EX</t>
  </si>
  <si>
    <t>12EY</t>
  </si>
  <si>
    <t>12EZ</t>
  </si>
  <si>
    <t>12FB</t>
  </si>
  <si>
    <t>12FD</t>
  </si>
  <si>
    <t>12FF</t>
  </si>
  <si>
    <t>12FK</t>
  </si>
  <si>
    <t>12FL</t>
  </si>
  <si>
    <t>12FO</t>
  </si>
  <si>
    <t>12FR</t>
  </si>
  <si>
    <t>12FT</t>
  </si>
  <si>
    <t>12FU</t>
  </si>
  <si>
    <t>12FW</t>
  </si>
  <si>
    <t>12FX</t>
  </si>
  <si>
    <t>12FY</t>
  </si>
  <si>
    <t>12FZ</t>
  </si>
  <si>
    <t>12GA</t>
  </si>
  <si>
    <t>12GB</t>
  </si>
  <si>
    <t>12GC</t>
  </si>
  <si>
    <t>12GF</t>
  </si>
  <si>
    <t>12GH</t>
  </si>
  <si>
    <t>12GJ</t>
  </si>
  <si>
    <t>12GN</t>
  </si>
  <si>
    <t>12GQ</t>
  </si>
  <si>
    <t>12GT</t>
  </si>
  <si>
    <t>12GU</t>
  </si>
  <si>
    <t>12GW</t>
  </si>
  <si>
    <t>12GX</t>
  </si>
  <si>
    <t>12GZ</t>
  </si>
  <si>
    <t>12HB</t>
  </si>
  <si>
    <t>12HC</t>
  </si>
  <si>
    <t>12HF</t>
  </si>
  <si>
    <t>12HG</t>
  </si>
  <si>
    <t>12HK</t>
  </si>
  <si>
    <t>12HM</t>
  </si>
  <si>
    <t>12HN</t>
  </si>
  <si>
    <t>12HQ</t>
  </si>
  <si>
    <t>12HS</t>
  </si>
  <si>
    <t>12HU</t>
  </si>
  <si>
    <t>12HY</t>
  </si>
  <si>
    <t>12HZ</t>
  </si>
  <si>
    <t>12IC</t>
  </si>
  <si>
    <t>12ID</t>
  </si>
  <si>
    <t>12IF</t>
  </si>
  <si>
    <t>12IL</t>
  </si>
  <si>
    <t>12IS</t>
  </si>
  <si>
    <t>12IT</t>
  </si>
  <si>
    <t>12IW</t>
  </si>
  <si>
    <t>12IX</t>
  </si>
  <si>
    <t>12IY</t>
  </si>
  <si>
    <t>12JD</t>
  </si>
  <si>
    <t>12JI</t>
  </si>
  <si>
    <t>12JJ</t>
  </si>
  <si>
    <t>12JK</t>
  </si>
  <si>
    <t>12JL</t>
  </si>
  <si>
    <t>12JQ</t>
  </si>
  <si>
    <t>12JS</t>
  </si>
  <si>
    <t>12JT</t>
  </si>
  <si>
    <t>12JU</t>
  </si>
  <si>
    <t>12JW</t>
  </si>
  <si>
    <t>12JX</t>
  </si>
  <si>
    <t>12JY</t>
  </si>
  <si>
    <t>12KB</t>
  </si>
  <si>
    <t>12KD</t>
  </si>
  <si>
    <t>12KE</t>
  </si>
  <si>
    <t>12KG</t>
  </si>
  <si>
    <t>12KH</t>
  </si>
  <si>
    <t>12KJ</t>
  </si>
  <si>
    <t>12KM</t>
  </si>
  <si>
    <t>12KN</t>
  </si>
  <si>
    <t>12KO</t>
  </si>
  <si>
    <t>12KP</t>
  </si>
  <si>
    <t>12KS</t>
  </si>
  <si>
    <t>12KT</t>
  </si>
  <si>
    <t>12KU</t>
  </si>
  <si>
    <t>12KZ</t>
  </si>
  <si>
    <t>12LB</t>
  </si>
  <si>
    <t>12LD</t>
  </si>
  <si>
    <t>12LF</t>
  </si>
  <si>
    <t>12LG</t>
  </si>
  <si>
    <t>12LH</t>
  </si>
  <si>
    <t>12LJ</t>
  </si>
  <si>
    <t>12LL</t>
  </si>
  <si>
    <t>12LM</t>
  </si>
  <si>
    <t>12LO</t>
  </si>
  <si>
    <t>12LQ</t>
  </si>
  <si>
    <t>12LT</t>
  </si>
  <si>
    <t>12LU</t>
  </si>
  <si>
    <t>12LV</t>
  </si>
  <si>
    <t>12LX</t>
  </si>
  <si>
    <t>12LZ</t>
  </si>
  <si>
    <t>12ME</t>
  </si>
  <si>
    <t>12MF</t>
  </si>
  <si>
    <t>12MN</t>
  </si>
  <si>
    <t>12MP</t>
  </si>
  <si>
    <t>12MQ</t>
  </si>
  <si>
    <t>12MR</t>
  </si>
  <si>
    <t>12MS</t>
  </si>
  <si>
    <t>12MT</t>
  </si>
  <si>
    <t>12MU</t>
  </si>
  <si>
    <t>12MY</t>
  </si>
  <si>
    <t>12MZ</t>
  </si>
  <si>
    <t>12NE</t>
  </si>
  <si>
    <t>12NF</t>
  </si>
  <si>
    <t>12NG</t>
  </si>
  <si>
    <t>12NI</t>
  </si>
  <si>
    <t>12NK</t>
  </si>
  <si>
    <t>12NL</t>
  </si>
  <si>
    <t>12NN</t>
  </si>
  <si>
    <t>12NO</t>
  </si>
  <si>
    <t>12NS</t>
  </si>
  <si>
    <t>12NT</t>
  </si>
  <si>
    <t>12NU</t>
  </si>
  <si>
    <t>12NX</t>
  </si>
  <si>
    <t>12OC</t>
  </si>
  <si>
    <t>12OF</t>
  </si>
  <si>
    <t>12OK</t>
  </si>
  <si>
    <t>12ON</t>
  </si>
  <si>
    <t>12OQ</t>
  </si>
  <si>
    <t>12OR</t>
  </si>
  <si>
    <t>12OS</t>
  </si>
  <si>
    <t>12OT</t>
  </si>
  <si>
    <t>12OX</t>
  </si>
  <si>
    <t>12OY</t>
  </si>
  <si>
    <t>12OZ</t>
  </si>
  <si>
    <t>12PA</t>
  </si>
  <si>
    <t>12PC</t>
  </si>
  <si>
    <t>12PF</t>
  </si>
  <si>
    <t>12PG</t>
  </si>
  <si>
    <t>12PH</t>
  </si>
  <si>
    <t>12PI</t>
  </si>
  <si>
    <t>12PJ</t>
  </si>
  <si>
    <t>12PK</t>
  </si>
  <si>
    <t>12PL</t>
  </si>
  <si>
    <t>12PM</t>
  </si>
  <si>
    <t>12PU</t>
  </si>
  <si>
    <t>12PV</t>
  </si>
  <si>
    <t>12PX</t>
  </si>
  <si>
    <t>12PY</t>
  </si>
  <si>
    <t>12QA</t>
  </si>
  <si>
    <t>12QB</t>
  </si>
  <si>
    <t>12QC</t>
  </si>
  <si>
    <t>12QD</t>
  </si>
  <si>
    <t>12QF</t>
  </si>
  <si>
    <t>12QH</t>
  </si>
  <si>
    <t>12QI</t>
  </si>
  <si>
    <t>12QK</t>
  </si>
  <si>
    <t>12QN</t>
  </si>
  <si>
    <t>12QO</t>
  </si>
  <si>
    <t>12QP</t>
  </si>
  <si>
    <t>12QQ</t>
  </si>
  <si>
    <t>12QR</t>
  </si>
  <si>
    <t>12QU</t>
  </si>
  <si>
    <t>12QX</t>
  </si>
  <si>
    <t>12RC</t>
  </si>
  <si>
    <t>12RD</t>
  </si>
  <si>
    <t>12RE</t>
  </si>
  <si>
    <t>12RF</t>
  </si>
  <si>
    <t>12RH</t>
  </si>
  <si>
    <t>12RI</t>
  </si>
  <si>
    <t>12RL</t>
  </si>
  <si>
    <t>12RM</t>
  </si>
  <si>
    <t>12RO</t>
  </si>
  <si>
    <t>12RS</t>
  </si>
  <si>
    <t>12RU</t>
  </si>
  <si>
    <t>12RV</t>
  </si>
  <si>
    <t>12RW</t>
  </si>
  <si>
    <t>12SE</t>
  </si>
  <si>
    <t>12SK</t>
  </si>
  <si>
    <t>12SL</t>
  </si>
  <si>
    <t>12SM</t>
  </si>
  <si>
    <t>12SP</t>
  </si>
  <si>
    <t>12SR</t>
  </si>
  <si>
    <t>12ST</t>
  </si>
  <si>
    <t>12SU</t>
  </si>
  <si>
    <t>12SW</t>
  </si>
  <si>
    <t>12SY</t>
  </si>
  <si>
    <t>12TB</t>
  </si>
  <si>
    <t>12TD</t>
  </si>
  <si>
    <t>12TE</t>
  </si>
  <si>
    <t>12TF</t>
  </si>
  <si>
    <t>12TH</t>
  </si>
  <si>
    <t>12TK</t>
  </si>
  <si>
    <t>12TL</t>
  </si>
  <si>
    <t>12TM</t>
  </si>
  <si>
    <t>12TN</t>
  </si>
  <si>
    <t>12TO</t>
  </si>
  <si>
    <t>12TP</t>
  </si>
  <si>
    <t>12TR</t>
  </si>
  <si>
    <t>12TS</t>
  </si>
  <si>
    <t>12TT</t>
  </si>
  <si>
    <t>12TU</t>
  </si>
  <si>
    <t>12TV</t>
  </si>
  <si>
    <t>12TX</t>
  </si>
  <si>
    <t>12TZ</t>
  </si>
  <si>
    <t>12UA</t>
  </si>
  <si>
    <t>12UE</t>
  </si>
  <si>
    <t>12UK</t>
  </si>
  <si>
    <t>12UM</t>
  </si>
  <si>
    <t>12UO</t>
  </si>
  <si>
    <t>12UP</t>
  </si>
  <si>
    <t>12UR</t>
  </si>
  <si>
    <t>12UU</t>
  </si>
  <si>
    <t>12UV</t>
  </si>
  <si>
    <t>12UZ</t>
  </si>
  <si>
    <t>12VA</t>
  </si>
  <si>
    <t>12VB</t>
  </si>
  <si>
    <t>12VC</t>
  </si>
  <si>
    <t>12VD</t>
  </si>
  <si>
    <t>12VE</t>
  </si>
  <si>
    <t>12VF</t>
  </si>
  <si>
    <t>12VH</t>
  </si>
  <si>
    <t>12VJ</t>
  </si>
  <si>
    <t>12VK</t>
  </si>
  <si>
    <t>12VM</t>
  </si>
  <si>
    <t>12VN</t>
  </si>
  <si>
    <t>12VO</t>
  </si>
  <si>
    <t>12VQ</t>
  </si>
  <si>
    <t>12VS</t>
  </si>
  <si>
    <t>12VU</t>
  </si>
  <si>
    <t>12VV</t>
  </si>
  <si>
    <t>12VW</t>
  </si>
  <si>
    <t>12VX</t>
  </si>
  <si>
    <t>12WB</t>
  </si>
  <si>
    <t>12WD</t>
  </si>
  <si>
    <t>12WE</t>
  </si>
  <si>
    <t>12WF</t>
  </si>
  <si>
    <t>12WI</t>
  </si>
  <si>
    <t>12WJ</t>
  </si>
  <si>
    <t>12WK</t>
  </si>
  <si>
    <t>12WL</t>
  </si>
  <si>
    <t>12WM</t>
  </si>
  <si>
    <t>12WN</t>
  </si>
  <si>
    <t>12WO</t>
  </si>
  <si>
    <t>12WS</t>
  </si>
  <si>
    <t>12WT</t>
  </si>
  <si>
    <t>12WU</t>
  </si>
  <si>
    <t>12WY</t>
  </si>
  <si>
    <t>12WZ</t>
  </si>
  <si>
    <t>12XA</t>
  </si>
  <si>
    <t>12XD</t>
  </si>
  <si>
    <t>12XE</t>
  </si>
  <si>
    <t>12XF</t>
  </si>
  <si>
    <t>12XG</t>
  </si>
  <si>
    <t>12XI</t>
  </si>
  <si>
    <t>12XL</t>
  </si>
  <si>
    <t>12XM</t>
  </si>
  <si>
    <t>12XN</t>
  </si>
  <si>
    <t>12XO</t>
  </si>
  <si>
    <t>12XQ</t>
  </si>
  <si>
    <t>12XR</t>
  </si>
  <si>
    <t>12XS</t>
  </si>
  <si>
    <t>12XW</t>
  </si>
  <si>
    <t>12XY</t>
  </si>
  <si>
    <t>12YB</t>
  </si>
  <si>
    <t>12YE</t>
  </si>
  <si>
    <t>12YF</t>
  </si>
  <si>
    <t>12YL</t>
  </si>
  <si>
    <t>12YM</t>
  </si>
  <si>
    <t>12YO</t>
  </si>
  <si>
    <t>12YQ</t>
  </si>
  <si>
    <t>12YU</t>
  </si>
  <si>
    <t>12YV</t>
  </si>
  <si>
    <t>12YY</t>
  </si>
  <si>
    <t>12YZ</t>
  </si>
  <si>
    <t>12ZA</t>
  </si>
  <si>
    <t>12ZD</t>
  </si>
  <si>
    <t>12ZE</t>
  </si>
  <si>
    <t>12ZG</t>
  </si>
  <si>
    <t>12ZH</t>
  </si>
  <si>
    <t>12ZI</t>
  </si>
  <si>
    <t>12ZJ</t>
  </si>
  <si>
    <t>12ZL</t>
  </si>
  <si>
    <t>12ZN</t>
  </si>
  <si>
    <t>12ZO</t>
  </si>
  <si>
    <t>12ZQ</t>
  </si>
  <si>
    <t>12ZR</t>
  </si>
  <si>
    <t>12ZS</t>
  </si>
  <si>
    <t>12ZT</t>
  </si>
  <si>
    <t>12ZW</t>
  </si>
  <si>
    <t>12ZX</t>
  </si>
  <si>
    <t>13AA</t>
  </si>
  <si>
    <t>13AE</t>
  </si>
  <si>
    <t>13AF</t>
  </si>
  <si>
    <t>13AK</t>
  </si>
  <si>
    <t>13AL</t>
  </si>
  <si>
    <t>13AN</t>
  </si>
  <si>
    <t>13AO</t>
  </si>
  <si>
    <t>13AQ</t>
  </si>
  <si>
    <t>13AR</t>
  </si>
  <si>
    <t>13AS</t>
  </si>
  <si>
    <t>13AT</t>
  </si>
  <si>
    <t>13AY</t>
  </si>
  <si>
    <t>13AZ</t>
  </si>
  <si>
    <t>13BC</t>
  </si>
  <si>
    <t>13BD</t>
  </si>
  <si>
    <t>13BE</t>
  </si>
  <si>
    <t>13BF</t>
  </si>
  <si>
    <t>13BG</t>
  </si>
  <si>
    <t>13BI</t>
  </si>
  <si>
    <t>13BK</t>
  </si>
  <si>
    <t>13BL</t>
  </si>
  <si>
    <t>13BM</t>
  </si>
  <si>
    <t>13BP</t>
  </si>
  <si>
    <t>13BQ</t>
  </si>
  <si>
    <t>13BR</t>
  </si>
  <si>
    <t>13BS</t>
  </si>
  <si>
    <t>13BT</t>
  </si>
  <si>
    <t>13BU</t>
  </si>
  <si>
    <t>13BV</t>
  </si>
  <si>
    <t>13BW</t>
  </si>
  <si>
    <t>13BY</t>
  </si>
  <si>
    <t>13CC</t>
  </si>
  <si>
    <t>13CD</t>
  </si>
  <si>
    <t>13CF</t>
  </si>
  <si>
    <t>13CG</t>
  </si>
  <si>
    <t>13CH</t>
  </si>
  <si>
    <t>13CI</t>
  </si>
  <si>
    <t>13CJ</t>
  </si>
  <si>
    <t>13CK</t>
  </si>
  <si>
    <t>13CL</t>
  </si>
  <si>
    <t>13CM</t>
  </si>
  <si>
    <t>13CN</t>
  </si>
  <si>
    <t>13CP</t>
  </si>
  <si>
    <t>13CQ</t>
  </si>
  <si>
    <t>13CT</t>
  </si>
  <si>
    <t>13CU</t>
  </si>
  <si>
    <t>13CV</t>
  </si>
  <si>
    <t>13CW</t>
  </si>
  <si>
    <t>13CY</t>
  </si>
  <si>
    <t>13DD</t>
  </si>
  <si>
    <t>13DH</t>
  </si>
  <si>
    <t>13DK</t>
  </si>
  <si>
    <t>13DM</t>
  </si>
  <si>
    <t>13DO</t>
  </si>
  <si>
    <t>13DR</t>
  </si>
  <si>
    <t>13DS</t>
  </si>
  <si>
    <t>13DT</t>
  </si>
  <si>
    <t>13DW</t>
  </si>
  <si>
    <t>13EC</t>
  </si>
  <si>
    <t>13ED</t>
  </si>
  <si>
    <t>13EH</t>
  </si>
  <si>
    <t>13EI</t>
  </si>
  <si>
    <t>13EK</t>
  </si>
  <si>
    <t>13EN</t>
  </si>
  <si>
    <t>13EQ</t>
  </si>
  <si>
    <t>13ER</t>
  </si>
  <si>
    <t>13ES</t>
  </si>
  <si>
    <t>13EZ</t>
  </si>
  <si>
    <t>13FA</t>
  </si>
  <si>
    <t>13FF</t>
  </si>
  <si>
    <t>13FI</t>
  </si>
  <si>
    <t>13FK</t>
  </si>
  <si>
    <t>13FM</t>
  </si>
  <si>
    <t>13FR</t>
  </si>
  <si>
    <t>13FU</t>
  </si>
  <si>
    <t>13FW</t>
  </si>
  <si>
    <t>13GC</t>
  </si>
  <si>
    <t>13GD</t>
  </si>
  <si>
    <t>13GJ</t>
  </si>
  <si>
    <t>13GL</t>
  </si>
  <si>
    <t>13GN</t>
  </si>
  <si>
    <t>13GQ</t>
  </si>
  <si>
    <t>13GU</t>
  </si>
  <si>
    <t>13GV</t>
  </si>
  <si>
    <t>13GW</t>
  </si>
  <si>
    <t>13HA</t>
  </si>
  <si>
    <t>13HB</t>
  </si>
  <si>
    <t>13HC</t>
  </si>
  <si>
    <t>13HD</t>
  </si>
  <si>
    <t>13HE</t>
  </si>
  <si>
    <t>13HI</t>
  </si>
  <si>
    <t>13HJ</t>
  </si>
  <si>
    <t>13HM</t>
  </si>
  <si>
    <t>13HN</t>
  </si>
  <si>
    <t>13HO</t>
  </si>
  <si>
    <t>13HQ</t>
  </si>
  <si>
    <t>13HR</t>
  </si>
  <si>
    <t>13HT</t>
  </si>
  <si>
    <t>13HU</t>
  </si>
  <si>
    <t>13HX</t>
  </si>
  <si>
    <t>13HY</t>
  </si>
  <si>
    <t>13IC</t>
  </si>
  <si>
    <t>13ID</t>
  </si>
  <si>
    <t>13IE</t>
  </si>
  <si>
    <t>13IF</t>
  </si>
  <si>
    <t>13IK</t>
  </si>
  <si>
    <t>13IL</t>
  </si>
  <si>
    <t>13IP</t>
  </si>
  <si>
    <t>13IQ</t>
  </si>
  <si>
    <t>13IR</t>
  </si>
  <si>
    <t>13IT</t>
  </si>
  <si>
    <t>13IU</t>
  </si>
  <si>
    <t>13IV</t>
  </si>
  <si>
    <t>13IZ</t>
  </si>
  <si>
    <t>13JA</t>
  </si>
  <si>
    <t>13JH</t>
  </si>
  <si>
    <t>13JJ</t>
  </si>
  <si>
    <t>13JK</t>
  </si>
  <si>
    <t>13JL</t>
  </si>
  <si>
    <t>13JM</t>
  </si>
  <si>
    <t>13JP</t>
  </si>
  <si>
    <t>13JQ</t>
  </si>
  <si>
    <t>13JR</t>
  </si>
  <si>
    <t>13JS</t>
  </si>
  <si>
    <t>13JV</t>
  </si>
  <si>
    <t>13JX</t>
  </si>
  <si>
    <t>13JY</t>
  </si>
  <si>
    <t>13KB</t>
  </si>
  <si>
    <t>13KD</t>
  </si>
  <si>
    <t>13KG</t>
  </si>
  <si>
    <t>13KI</t>
  </si>
  <si>
    <t>13KK</t>
  </si>
  <si>
    <t>13KM</t>
  </si>
  <si>
    <t>13KN</t>
  </si>
  <si>
    <t>13KQ</t>
  </si>
  <si>
    <t>13KR</t>
  </si>
  <si>
    <t>13KS</t>
  </si>
  <si>
    <t>13KT</t>
  </si>
  <si>
    <t>13KU</t>
  </si>
  <si>
    <t>13KV</t>
  </si>
  <si>
    <t>13KW</t>
  </si>
  <si>
    <t>13KX</t>
  </si>
  <si>
    <t>13KZ</t>
  </si>
  <si>
    <t>13LA</t>
  </si>
  <si>
    <t>13LB</t>
  </si>
  <si>
    <t>13LE</t>
  </si>
  <si>
    <t>13LF</t>
  </si>
  <si>
    <t>13LI</t>
  </si>
  <si>
    <t>13LM</t>
  </si>
  <si>
    <t>13LO</t>
  </si>
  <si>
    <t>13LR</t>
  </si>
  <si>
    <t>13LV</t>
  </si>
  <si>
    <t>13LW</t>
  </si>
  <si>
    <t>13LY</t>
  </si>
  <si>
    <t>13MB</t>
  </si>
  <si>
    <t>13MF</t>
  </si>
  <si>
    <t>13MG</t>
  </si>
  <si>
    <t>13MH</t>
  </si>
  <si>
    <t>13MI</t>
  </si>
  <si>
    <t>13MJ</t>
  </si>
  <si>
    <t>13MK</t>
  </si>
  <si>
    <t>13MM</t>
  </si>
  <si>
    <t>13MN</t>
  </si>
  <si>
    <t>13MO</t>
  </si>
  <si>
    <t>13MP</t>
  </si>
  <si>
    <t>13MR</t>
  </si>
  <si>
    <t>13MS</t>
  </si>
  <si>
    <t>13MT</t>
  </si>
  <si>
    <t>13MV</t>
  </si>
  <si>
    <t>13MX</t>
  </si>
  <si>
    <t>13MY</t>
  </si>
  <si>
    <t>13MZ</t>
  </si>
  <si>
    <t>13NA</t>
  </si>
  <si>
    <t>13NB</t>
  </si>
  <si>
    <t>13NC</t>
  </si>
  <si>
    <t>13NG</t>
  </si>
  <si>
    <t>13NH</t>
  </si>
  <si>
    <t>13NI</t>
  </si>
  <si>
    <t>13NP</t>
  </si>
  <si>
    <t>13NU</t>
  </si>
  <si>
    <t>13NV</t>
  </si>
  <si>
    <t>13NX</t>
  </si>
  <si>
    <t>13NZ</t>
  </si>
  <si>
    <t>13OA</t>
  </si>
  <si>
    <t>13OD</t>
  </si>
  <si>
    <t>13OE</t>
  </si>
  <si>
    <t>13OF</t>
  </si>
  <si>
    <t>13OJ</t>
  </si>
  <si>
    <t>13OK</t>
  </si>
  <si>
    <t>13ON</t>
  </si>
  <si>
    <t>13OS</t>
  </si>
  <si>
    <t>13OW</t>
  </si>
  <si>
    <t>13OY</t>
  </si>
  <si>
    <t>13PA</t>
  </si>
  <si>
    <t>13PG</t>
  </si>
  <si>
    <t>13PH</t>
  </si>
  <si>
    <t>13PI</t>
  </si>
  <si>
    <t>13PK</t>
  </si>
  <si>
    <t>13PL</t>
  </si>
  <si>
    <t>13PM</t>
  </si>
  <si>
    <t>13PP</t>
  </si>
  <si>
    <t>13PQ</t>
  </si>
  <si>
    <t>13PR</t>
  </si>
  <si>
    <t>13PS</t>
  </si>
  <si>
    <t>13PV</t>
  </si>
  <si>
    <t>13QB</t>
  </si>
  <si>
    <t>13QD</t>
  </si>
  <si>
    <t>13QE</t>
  </si>
  <si>
    <t>13QG</t>
  </si>
  <si>
    <t>13QJ</t>
  </si>
  <si>
    <t>13QL</t>
  </si>
  <si>
    <t>13QN</t>
  </si>
  <si>
    <t>13QO</t>
  </si>
  <si>
    <t>13QP</t>
  </si>
  <si>
    <t>13QS</t>
  </si>
  <si>
    <t>13QV</t>
  </si>
  <si>
    <t>13QZ</t>
  </si>
  <si>
    <t>13RA</t>
  </si>
  <si>
    <t>13RB</t>
  </si>
  <si>
    <t>13RD</t>
  </si>
  <si>
    <t>13RF</t>
  </si>
  <si>
    <t>13RI</t>
  </si>
  <si>
    <t>13RO</t>
  </si>
  <si>
    <t>13RP</t>
  </si>
  <si>
    <t>13RQ</t>
  </si>
  <si>
    <t>13RS</t>
  </si>
  <si>
    <t>13RU</t>
  </si>
  <si>
    <t>13RX</t>
  </si>
  <si>
    <t>13RY</t>
  </si>
  <si>
    <t>13RZ</t>
  </si>
  <si>
    <t>13SB</t>
  </si>
  <si>
    <t>13SF</t>
  </si>
  <si>
    <t>13SJ</t>
  </si>
  <si>
    <t>13SN</t>
  </si>
  <si>
    <t>13SP</t>
  </si>
  <si>
    <t>13SQ</t>
  </si>
  <si>
    <t>13ST</t>
  </si>
  <si>
    <t>13SX</t>
  </si>
  <si>
    <t>13TA</t>
  </si>
  <si>
    <t>13TB</t>
  </si>
  <si>
    <t>13TG</t>
  </si>
  <si>
    <t>13TJ</t>
  </si>
  <si>
    <t>13TK</t>
  </si>
  <si>
    <t>13TM</t>
  </si>
  <si>
    <t>13TN</t>
  </si>
  <si>
    <t>13TP</t>
  </si>
  <si>
    <t>13TQ</t>
  </si>
  <si>
    <t>13TR</t>
  </si>
  <si>
    <t>13TT</t>
  </si>
  <si>
    <t>13TU</t>
  </si>
  <si>
    <t>13TX</t>
  </si>
  <si>
    <t>13TY</t>
  </si>
  <si>
    <t>13UB</t>
  </si>
  <si>
    <t>13UC</t>
  </si>
  <si>
    <t>13UD</t>
  </si>
  <si>
    <t>13UE</t>
  </si>
  <si>
    <t>13UI</t>
  </si>
  <si>
    <t>13UJ</t>
  </si>
  <si>
    <t>13UL</t>
  </si>
  <si>
    <t>13UO</t>
  </si>
  <si>
    <t>13UP</t>
  </si>
  <si>
    <t>13UR</t>
  </si>
  <si>
    <t>13UW</t>
  </si>
  <si>
    <t>13UX</t>
  </si>
  <si>
    <t>13VC</t>
  </si>
  <si>
    <t>13VG</t>
  </si>
  <si>
    <t>13VH</t>
  </si>
  <si>
    <t>13VI</t>
  </si>
  <si>
    <t>13VN</t>
  </si>
  <si>
    <t>13VQ</t>
  </si>
  <si>
    <t>13VR</t>
  </si>
  <si>
    <t>13VS</t>
  </si>
  <si>
    <t>13VY</t>
  </si>
  <si>
    <t>13WB</t>
  </si>
  <si>
    <t>13WC</t>
  </si>
  <si>
    <t>13WE</t>
  </si>
  <si>
    <t>13WI</t>
  </si>
  <si>
    <t>13WM</t>
  </si>
  <si>
    <t>13WQ</t>
  </si>
  <si>
    <t>13WR</t>
  </si>
  <si>
    <t>13WS</t>
  </si>
  <si>
    <t>13WT</t>
  </si>
  <si>
    <t>13WU</t>
  </si>
  <si>
    <t>13WV</t>
  </si>
  <si>
    <t>13WW</t>
  </si>
  <si>
    <t>13WX</t>
  </si>
  <si>
    <t>13WZ</t>
  </si>
  <si>
    <t>13XA</t>
  </si>
  <si>
    <t>13XE</t>
  </si>
  <si>
    <t>13XF</t>
  </si>
  <si>
    <t>13XG</t>
  </si>
  <si>
    <t>13XH</t>
  </si>
  <si>
    <t>13XI</t>
  </si>
  <si>
    <t>13XJ</t>
  </si>
  <si>
    <t>13XL</t>
  </si>
  <si>
    <t>13XM</t>
  </si>
  <si>
    <t>13XN</t>
  </si>
  <si>
    <t>13XP</t>
  </si>
  <si>
    <t>13XQ</t>
  </si>
  <si>
    <t>13XS</t>
  </si>
  <si>
    <t>13XT</t>
  </si>
  <si>
    <t>13XU</t>
  </si>
  <si>
    <t>13XW</t>
  </si>
  <si>
    <t>13XX</t>
  </si>
  <si>
    <t>13YA</t>
  </si>
  <si>
    <t>13YD</t>
  </si>
  <si>
    <t>13YH</t>
  </si>
  <si>
    <t>13YI</t>
  </si>
  <si>
    <t>13YL</t>
  </si>
  <si>
    <t>13YM</t>
  </si>
  <si>
    <t>13YO</t>
  </si>
  <si>
    <t>13YQ</t>
  </si>
  <si>
    <t>13YR</t>
  </si>
  <si>
    <t>13YT</t>
  </si>
  <si>
    <t>13YV</t>
  </si>
  <si>
    <t>13YW</t>
  </si>
  <si>
    <t>13YX</t>
  </si>
  <si>
    <t>13YZ</t>
  </si>
  <si>
    <t>13ZB</t>
  </si>
  <si>
    <t>13ZE</t>
  </si>
  <si>
    <t>13ZF</t>
  </si>
  <si>
    <t>13ZG</t>
  </si>
  <si>
    <t>13ZJ</t>
  </si>
  <si>
    <t>13ZL</t>
  </si>
  <si>
    <t>13ZM</t>
  </si>
  <si>
    <t>13ZN</t>
  </si>
  <si>
    <t>13ZO</t>
  </si>
  <si>
    <t>13ZR</t>
  </si>
  <si>
    <t>13ZS</t>
  </si>
  <si>
    <t>13ZW</t>
  </si>
  <si>
    <t>13ZY</t>
  </si>
  <si>
    <t>14AB</t>
  </si>
  <si>
    <t>14AD</t>
  </si>
  <si>
    <t>14AE</t>
  </si>
  <si>
    <t>14AG</t>
  </si>
  <si>
    <t>14AH</t>
  </si>
  <si>
    <t>14AI</t>
  </si>
  <si>
    <t>14AK</t>
  </si>
  <si>
    <t>14AL</t>
  </si>
  <si>
    <t>14AS</t>
  </si>
  <si>
    <t>14AZ</t>
  </si>
  <si>
    <t>14BB</t>
  </si>
  <si>
    <t>14BC</t>
  </si>
  <si>
    <t>14BD</t>
  </si>
  <si>
    <t>14BG</t>
  </si>
  <si>
    <t>14BJ</t>
  </si>
  <si>
    <t>14BL</t>
  </si>
  <si>
    <t>14BO</t>
  </si>
  <si>
    <t>14BP</t>
  </si>
  <si>
    <t>14BQ</t>
  </si>
  <si>
    <t>14BT</t>
  </si>
  <si>
    <t>14BV</t>
  </si>
  <si>
    <t>14BW</t>
  </si>
  <si>
    <t>14BZ</t>
  </si>
  <si>
    <t>14CA</t>
  </si>
  <si>
    <t>14CG</t>
  </si>
  <si>
    <t>14CI</t>
  </si>
  <si>
    <t>14CK</t>
  </si>
  <si>
    <t>14CL</t>
  </si>
  <si>
    <t>14CM</t>
  </si>
  <si>
    <t>14CR</t>
  </si>
  <si>
    <t>14CW</t>
  </si>
  <si>
    <t>14CX</t>
  </si>
  <si>
    <t>14CY</t>
  </si>
  <si>
    <t>14DF</t>
  </si>
  <si>
    <t>14DG</t>
  </si>
  <si>
    <t>14DI</t>
  </si>
  <si>
    <t>14DJ</t>
  </si>
  <si>
    <t>14DK</t>
  </si>
  <si>
    <t>14DL</t>
  </si>
  <si>
    <t>14DN</t>
  </si>
  <si>
    <t>14DO</t>
  </si>
  <si>
    <t>14DP</t>
  </si>
  <si>
    <t>14DS</t>
  </si>
  <si>
    <t>14DU</t>
  </si>
  <si>
    <t>14DW</t>
  </si>
  <si>
    <t>14DZ</t>
  </si>
  <si>
    <t>14EB</t>
  </si>
  <si>
    <t>14EC</t>
  </si>
  <si>
    <t>14EG</t>
  </si>
  <si>
    <t>14EJ</t>
  </si>
  <si>
    <t>14EK</t>
  </si>
  <si>
    <t>14EL</t>
  </si>
  <si>
    <t>14EP</t>
  </si>
  <si>
    <t>14EQ</t>
  </si>
  <si>
    <t>14ER</t>
  </si>
  <si>
    <t>14ET</t>
  </si>
  <si>
    <t>14EV</t>
  </si>
  <si>
    <t>14EW</t>
  </si>
  <si>
    <t>14EX</t>
  </si>
  <si>
    <t>14EZ</t>
  </si>
  <si>
    <t>14FA</t>
  </si>
  <si>
    <t>14FC</t>
  </si>
  <si>
    <t>14FD</t>
  </si>
  <si>
    <t>14FE</t>
  </si>
  <si>
    <t>14FG</t>
  </si>
  <si>
    <t>14FH</t>
  </si>
  <si>
    <t>14FI</t>
  </si>
  <si>
    <t>14FJ</t>
  </si>
  <si>
    <t>14FM</t>
  </si>
  <si>
    <t>14FP</t>
  </si>
  <si>
    <t>14FQ</t>
  </si>
  <si>
    <t>14FR</t>
  </si>
  <si>
    <t>14FS</t>
  </si>
  <si>
    <t>14FU</t>
  </si>
  <si>
    <t>14FX</t>
  </si>
  <si>
    <t>14FY</t>
  </si>
  <si>
    <t>14GD</t>
  </si>
  <si>
    <t>14GF</t>
  </si>
  <si>
    <t>14GK</t>
  </si>
  <si>
    <t>14GL</t>
  </si>
  <si>
    <t>14GN</t>
  </si>
  <si>
    <t>14GQ</t>
  </si>
  <si>
    <t>14GR</t>
  </si>
  <si>
    <t>14GU</t>
  </si>
  <si>
    <t>14GV</t>
  </si>
  <si>
    <t>14GW</t>
  </si>
  <si>
    <t>14HA</t>
  </si>
  <si>
    <t>14HB</t>
  </si>
  <si>
    <t>14HC</t>
  </si>
  <si>
    <t>14HD</t>
  </si>
  <si>
    <t>14HE</t>
  </si>
  <si>
    <t>14HJ</t>
  </si>
  <si>
    <t>14HK</t>
  </si>
  <si>
    <t>14HM</t>
  </si>
  <si>
    <t>14HO</t>
  </si>
  <si>
    <t>14HR</t>
  </si>
  <si>
    <t>14HS</t>
  </si>
  <si>
    <t>14HT</t>
  </si>
  <si>
    <t>14HU</t>
  </si>
  <si>
    <t>14HV</t>
  </si>
  <si>
    <t>14HY</t>
  </si>
  <si>
    <t>14HZ</t>
  </si>
  <si>
    <t>14IA</t>
  </si>
  <si>
    <t>14IK</t>
  </si>
  <si>
    <t>14IM</t>
  </si>
  <si>
    <t>14IP</t>
  </si>
  <si>
    <t>14IS</t>
  </si>
  <si>
    <t>14IW</t>
  </si>
  <si>
    <t>14IX</t>
  </si>
  <si>
    <t>14IY</t>
  </si>
  <si>
    <t>14JC</t>
  </si>
  <si>
    <t>14JI</t>
  </si>
  <si>
    <t>14JK</t>
  </si>
  <si>
    <t>14JR</t>
  </si>
  <si>
    <t>14JW</t>
  </si>
  <si>
    <t>14JY</t>
  </si>
  <si>
    <t>14JZ</t>
  </si>
  <si>
    <t>14KG</t>
  </si>
  <si>
    <t>14KH</t>
  </si>
  <si>
    <t>14KI</t>
  </si>
  <si>
    <t>14KK</t>
  </si>
  <si>
    <t>14KM</t>
  </si>
  <si>
    <t>14KN</t>
  </si>
  <si>
    <t>14KP</t>
  </si>
  <si>
    <t>14KQ</t>
  </si>
  <si>
    <t>14KW</t>
  </si>
  <si>
    <t>14KY</t>
  </si>
  <si>
    <t>14LB</t>
  </si>
  <si>
    <t>14LG</t>
  </si>
  <si>
    <t>14LL</t>
  </si>
  <si>
    <t>14LM</t>
  </si>
  <si>
    <t>14LP</t>
  </si>
  <si>
    <t>14LQ</t>
  </si>
  <si>
    <t>14LR</t>
  </si>
  <si>
    <t>14LT</t>
  </si>
  <si>
    <t>14LV</t>
  </si>
  <si>
    <t>14LW</t>
  </si>
  <si>
    <t>14LZ</t>
  </si>
  <si>
    <t>14MH</t>
  </si>
  <si>
    <t>14MK</t>
  </si>
  <si>
    <t>14ML</t>
  </si>
  <si>
    <t>14MM</t>
  </si>
  <si>
    <t>14MN</t>
  </si>
  <si>
    <t>14MO</t>
  </si>
  <si>
    <t>14MQ</t>
  </si>
  <si>
    <t>14MR</t>
  </si>
  <si>
    <t>14MS</t>
  </si>
  <si>
    <t>14MT</t>
  </si>
  <si>
    <t>14MU</t>
  </si>
  <si>
    <t>14MW</t>
  </si>
  <si>
    <t>14MX</t>
  </si>
  <si>
    <t>14MY</t>
  </si>
  <si>
    <t>14NA</t>
  </si>
  <si>
    <t>14NB</t>
  </si>
  <si>
    <t>14OH</t>
  </si>
  <si>
    <t>14OJ</t>
  </si>
  <si>
    <t>14OP</t>
  </si>
  <si>
    <t>14OR</t>
  </si>
  <si>
    <t>14OT</t>
  </si>
  <si>
    <t>14PG</t>
  </si>
  <si>
    <t>14PR</t>
  </si>
  <si>
    <t>14PU</t>
  </si>
  <si>
    <t>14PZ</t>
  </si>
  <si>
    <t>14QA</t>
  </si>
  <si>
    <t>14QC</t>
  </si>
  <si>
    <t>14QI</t>
  </si>
  <si>
    <t>14QJ</t>
  </si>
  <si>
    <t>14QN</t>
  </si>
  <si>
    <t>14QQ</t>
  </si>
  <si>
    <t>14QR</t>
  </si>
  <si>
    <t>14RB</t>
  </si>
  <si>
    <t>14RD</t>
  </si>
  <si>
    <t>14RX</t>
  </si>
  <si>
    <t>14RZ</t>
  </si>
  <si>
    <t>14SP</t>
  </si>
  <si>
    <t>14UA</t>
  </si>
  <si>
    <t>14VI</t>
  </si>
  <si>
    <t>14VJ</t>
  </si>
  <si>
    <t>14VL</t>
  </si>
  <si>
    <t>14VM</t>
  </si>
  <si>
    <t>14VO</t>
  </si>
  <si>
    <t>14VP</t>
  </si>
  <si>
    <t>14VQ</t>
  </si>
  <si>
    <t>14VR</t>
  </si>
  <si>
    <t>14VU</t>
  </si>
  <si>
    <t>14WQ</t>
  </si>
  <si>
    <t>14WS</t>
  </si>
  <si>
    <t>14WT</t>
  </si>
  <si>
    <t>14WU</t>
  </si>
  <si>
    <t>14WV</t>
  </si>
  <si>
    <t>14XB</t>
  </si>
  <si>
    <t>14XF</t>
  </si>
  <si>
    <t>14XL</t>
  </si>
  <si>
    <t>14XM</t>
  </si>
  <si>
    <t>14XP</t>
  </si>
  <si>
    <t>14XR</t>
  </si>
  <si>
    <t>14XU</t>
  </si>
  <si>
    <t>14XW</t>
  </si>
  <si>
    <t>14XY</t>
  </si>
  <si>
    <t>14YB</t>
  </si>
  <si>
    <t>14YF</t>
  </si>
  <si>
    <t>14YM</t>
  </si>
  <si>
    <t>14YP</t>
  </si>
  <si>
    <t>14YR</t>
  </si>
  <si>
    <t>14YS</t>
  </si>
  <si>
    <t>14YU</t>
  </si>
  <si>
    <t>14YV</t>
  </si>
  <si>
    <t>14YX</t>
  </si>
  <si>
    <t>14YY</t>
  </si>
  <si>
    <t>14ZA</t>
  </si>
  <si>
    <t>14ZB</t>
  </si>
  <si>
    <t>14ZD</t>
  </si>
  <si>
    <t>14ZG</t>
  </si>
  <si>
    <t>14ZJ</t>
  </si>
  <si>
    <t>14ZK</t>
  </si>
  <si>
    <t>14ZL</t>
  </si>
  <si>
    <t>14ZO</t>
  </si>
  <si>
    <t>14ZP</t>
  </si>
  <si>
    <t>14ZQ</t>
  </si>
  <si>
    <t>14ZS</t>
  </si>
  <si>
    <t>14ZV</t>
  </si>
  <si>
    <t>14ZW</t>
  </si>
  <si>
    <t>14ZY</t>
  </si>
  <si>
    <t>14ZZ</t>
  </si>
  <si>
    <t>15AB</t>
  </si>
  <si>
    <t>15AH</t>
  </si>
  <si>
    <t>15AI</t>
  </si>
  <si>
    <t>15AL</t>
  </si>
  <si>
    <t>15AN</t>
  </si>
  <si>
    <t>15AO</t>
  </si>
  <si>
    <t>15AP</t>
  </si>
  <si>
    <t>15AS</t>
  </si>
  <si>
    <t>15AU</t>
  </si>
  <si>
    <t>15AV</t>
  </si>
  <si>
    <t>15AZ</t>
  </si>
  <si>
    <t>15BD</t>
  </si>
  <si>
    <t>15BG</t>
  </si>
  <si>
    <t>15BI</t>
  </si>
  <si>
    <t>15BO</t>
  </si>
  <si>
    <t>15BP</t>
  </si>
  <si>
    <t>15BQ</t>
  </si>
  <si>
    <t>15BR</t>
  </si>
  <si>
    <t>15BT</t>
  </si>
  <si>
    <t>15BU</t>
  </si>
  <si>
    <t>15BV</t>
  </si>
  <si>
    <t>15BW</t>
  </si>
  <si>
    <t>15BX</t>
  </si>
  <si>
    <t>15BY</t>
  </si>
  <si>
    <t>15BZ</t>
  </si>
  <si>
    <t>15CA</t>
  </si>
  <si>
    <t>15CB</t>
  </si>
  <si>
    <t>15CC</t>
  </si>
  <si>
    <t>15CF</t>
  </si>
  <si>
    <t>15CG</t>
  </si>
  <si>
    <t>15CK</t>
  </si>
  <si>
    <t>15CM</t>
  </si>
  <si>
    <t>15CO</t>
  </si>
  <si>
    <t>15CP</t>
  </si>
  <si>
    <t>15CQ</t>
  </si>
  <si>
    <t>15CR</t>
  </si>
  <si>
    <t>15CS</t>
  </si>
  <si>
    <t>15CT</t>
  </si>
  <si>
    <t>15CU</t>
  </si>
  <si>
    <t>15CV</t>
  </si>
  <si>
    <t>15CX</t>
  </si>
  <si>
    <t>15CY</t>
  </si>
  <si>
    <t>15CZ</t>
  </si>
  <si>
    <t>15DA</t>
  </si>
  <si>
    <t>15DB</t>
  </si>
  <si>
    <t>15DC</t>
  </si>
  <si>
    <t>15DD</t>
  </si>
  <si>
    <t>15DF</t>
  </si>
  <si>
    <t>15DI</t>
  </si>
  <si>
    <t>15DK</t>
  </si>
  <si>
    <t>15DL</t>
  </si>
  <si>
    <t>15DM</t>
  </si>
  <si>
    <t>15DP</t>
  </si>
  <si>
    <t>15DQ</t>
  </si>
  <si>
    <t>15DS</t>
  </si>
  <si>
    <t>15DT</t>
  </si>
  <si>
    <t>15DU</t>
  </si>
  <si>
    <t>15DV</t>
  </si>
  <si>
    <t>15DW</t>
  </si>
  <si>
    <t>15DY</t>
  </si>
  <si>
    <t>15DZ</t>
  </si>
  <si>
    <t>15ED</t>
  </si>
  <si>
    <t>15EF</t>
  </si>
  <si>
    <t>15EI</t>
  </si>
  <si>
    <t>15EJ</t>
  </si>
  <si>
    <t>15EM</t>
  </si>
  <si>
    <t>15EP</t>
  </si>
  <si>
    <t>15EQ</t>
  </si>
  <si>
    <t>15ET</t>
  </si>
  <si>
    <t>15EV</t>
  </si>
  <si>
    <t>15EX</t>
  </si>
  <si>
    <t>15FC</t>
  </si>
  <si>
    <t>15FD</t>
  </si>
  <si>
    <t>15FE</t>
  </si>
  <si>
    <t>15FH</t>
  </si>
  <si>
    <t>15FJ</t>
  </si>
  <si>
    <t>15FK</t>
  </si>
  <si>
    <t>15FL</t>
  </si>
  <si>
    <t>15FM</t>
  </si>
  <si>
    <t>15FO</t>
  </si>
  <si>
    <t>15FQ</t>
  </si>
  <si>
    <t>15FR</t>
  </si>
  <si>
    <t>15FS</t>
  </si>
  <si>
    <t>15FT</t>
  </si>
  <si>
    <t>15FU</t>
  </si>
  <si>
    <t>15FX</t>
  </si>
  <si>
    <t>15FZ</t>
  </si>
  <si>
    <t>15GC</t>
  </si>
  <si>
    <t>15GF</t>
  </si>
  <si>
    <t>15GH</t>
  </si>
  <si>
    <t>15GL</t>
  </si>
  <si>
    <t>15GR</t>
  </si>
  <si>
    <t>15GT</t>
  </si>
  <si>
    <t>15GV</t>
  </si>
  <si>
    <t>15GW</t>
  </si>
  <si>
    <t>15GX</t>
  </si>
  <si>
    <t>15GZ</t>
  </si>
  <si>
    <t>15HB</t>
  </si>
  <si>
    <t>15HH</t>
  </si>
  <si>
    <t>15HJ</t>
  </si>
  <si>
    <t>15HQ</t>
  </si>
  <si>
    <t>15HR</t>
  </si>
  <si>
    <t>15HS</t>
  </si>
  <si>
    <t>15HT</t>
  </si>
  <si>
    <t>15HV</t>
  </si>
  <si>
    <t>15HW</t>
  </si>
  <si>
    <t>15HY</t>
  </si>
  <si>
    <t>15IB</t>
  </si>
  <si>
    <t>15IC</t>
  </si>
  <si>
    <t>15IE</t>
  </si>
  <si>
    <t>15IF</t>
  </si>
  <si>
    <t>15IH</t>
  </si>
  <si>
    <t>15IK</t>
  </si>
  <si>
    <t>15IL</t>
  </si>
  <si>
    <t>15IQ</t>
  </si>
  <si>
    <t>15IR</t>
  </si>
  <si>
    <t>15IU</t>
  </si>
  <si>
    <t>15IV</t>
  </si>
  <si>
    <t>15IX</t>
  </si>
  <si>
    <t>15IY</t>
  </si>
  <si>
    <t>15JC</t>
  </si>
  <si>
    <t>15JD</t>
  </si>
  <si>
    <t>15JF</t>
  </si>
  <si>
    <t>15JG</t>
  </si>
  <si>
    <t>15JI</t>
  </si>
  <si>
    <t>15JJ</t>
  </si>
  <si>
    <t>15JN</t>
  </si>
  <si>
    <t>15JO</t>
  </si>
  <si>
    <t>15JS</t>
  </si>
  <si>
    <t>15JT</t>
  </si>
  <si>
    <t>15JU</t>
  </si>
  <si>
    <t>15JV</t>
  </si>
  <si>
    <t>15JW</t>
  </si>
  <si>
    <t>15JZ</t>
  </si>
  <si>
    <t>15KA</t>
  </si>
  <si>
    <t>15KD</t>
  </si>
  <si>
    <t>15KE</t>
  </si>
  <si>
    <t>15KG</t>
  </si>
  <si>
    <t>15KH</t>
  </si>
  <si>
    <t>15KI</t>
  </si>
  <si>
    <t>15KJ</t>
  </si>
  <si>
    <t>15KL</t>
  </si>
  <si>
    <t>15KN</t>
  </si>
  <si>
    <t>15KQ</t>
  </si>
  <si>
    <t>15KT</t>
  </si>
  <si>
    <t>15KU</t>
  </si>
  <si>
    <t>15KV</t>
  </si>
  <si>
    <t>15KW</t>
  </si>
  <si>
    <t>15KX</t>
  </si>
  <si>
    <t>15LA</t>
  </si>
  <si>
    <t>15LC</t>
  </si>
  <si>
    <t>15LE</t>
  </si>
  <si>
    <t>15LG</t>
  </si>
  <si>
    <t>15LH</t>
  </si>
  <si>
    <t>15LL</t>
  </si>
  <si>
    <t>15LN</t>
  </si>
  <si>
    <t>15LO</t>
  </si>
  <si>
    <t>15LQ</t>
  </si>
  <si>
    <t>15LU</t>
  </si>
  <si>
    <t>15LV</t>
  </si>
  <si>
    <t>15LX</t>
  </si>
  <si>
    <t>15MD</t>
  </si>
  <si>
    <t>15MH</t>
  </si>
  <si>
    <t>15MK</t>
  </si>
  <si>
    <t>15ML</t>
  </si>
  <si>
    <t>15MN</t>
  </si>
  <si>
    <t>15MO</t>
  </si>
  <si>
    <t>15MP</t>
  </si>
  <si>
    <t>15MR</t>
  </si>
  <si>
    <t>15MU</t>
  </si>
  <si>
    <t>15MW</t>
  </si>
  <si>
    <t>15NA</t>
  </si>
  <si>
    <t>15NB</t>
  </si>
  <si>
    <t>15ND</t>
  </si>
  <si>
    <t>15NI</t>
  </si>
  <si>
    <t>15NJ</t>
  </si>
  <si>
    <t>15NM</t>
  </si>
  <si>
    <t>15NR</t>
  </si>
  <si>
    <t>15NS</t>
  </si>
  <si>
    <t>15NU</t>
  </si>
  <si>
    <t>15NV</t>
  </si>
  <si>
    <t>15NX</t>
  </si>
  <si>
    <t>15NZ</t>
  </si>
  <si>
    <t>15OF</t>
  </si>
  <si>
    <t>15OH</t>
  </si>
  <si>
    <t>15OK</t>
  </si>
  <si>
    <t>15OP</t>
  </si>
  <si>
    <t>15OQ</t>
  </si>
  <si>
    <t>15OR</t>
  </si>
  <si>
    <t>15OU</t>
  </si>
  <si>
    <t>15OV</t>
  </si>
  <si>
    <t>15OY</t>
  </si>
  <si>
    <t>15OZ</t>
  </si>
  <si>
    <t>15PD</t>
  </si>
  <si>
    <t>15PE</t>
  </si>
  <si>
    <t>15PG</t>
  </si>
  <si>
    <t>15PJ</t>
  </si>
  <si>
    <t>15PM</t>
  </si>
  <si>
    <t>15PO</t>
  </si>
  <si>
    <t>15PP</t>
  </si>
  <si>
    <t>15PV</t>
  </si>
  <si>
    <t>15PW</t>
  </si>
  <si>
    <t>15PX</t>
  </si>
  <si>
    <t>15PZ</t>
  </si>
  <si>
    <t>15QA</t>
  </si>
  <si>
    <t>15QD</t>
  </si>
  <si>
    <t>15QG</t>
  </si>
  <si>
    <t>15QK</t>
  </si>
  <si>
    <t>15QL</t>
  </si>
  <si>
    <t>15QM</t>
  </si>
  <si>
    <t>15QY</t>
  </si>
  <si>
    <t>15RE</t>
  </si>
  <si>
    <t>15RG</t>
  </si>
  <si>
    <t>15RJ</t>
  </si>
  <si>
    <t>15RK</t>
  </si>
  <si>
    <t>15RL</t>
  </si>
  <si>
    <t>15RM</t>
  </si>
  <si>
    <t>15RP</t>
  </si>
  <si>
    <t>15RT</t>
  </si>
  <si>
    <t>15RZ</t>
  </si>
  <si>
    <t>15SB</t>
  </si>
  <si>
    <t>15SF</t>
  </si>
  <si>
    <t>15SG</t>
  </si>
  <si>
    <t>15SH</t>
  </si>
  <si>
    <t>15SJ</t>
  </si>
  <si>
    <t>15SK</t>
  </si>
  <si>
    <t>15SM</t>
  </si>
  <si>
    <t>15SN</t>
  </si>
  <si>
    <t>15SP</t>
  </si>
  <si>
    <t>15SQ</t>
  </si>
  <si>
    <t>15SW</t>
  </si>
  <si>
    <t>15SY</t>
  </si>
  <si>
    <t>15SZ</t>
  </si>
  <si>
    <t>15TF</t>
  </si>
  <si>
    <t>15TG</t>
  </si>
  <si>
    <t>15TJ</t>
  </si>
  <si>
    <t>15TL</t>
  </si>
  <si>
    <t>15TO</t>
  </si>
  <si>
    <t>15TP</t>
  </si>
  <si>
    <t>15TT</t>
  </si>
  <si>
    <t>15TV</t>
  </si>
  <si>
    <t>15UA</t>
  </si>
  <si>
    <t>15UB</t>
  </si>
  <si>
    <t>15UC</t>
  </si>
  <si>
    <t>15UF</t>
  </si>
  <si>
    <t>15UJ</t>
  </si>
  <si>
    <t>15UN</t>
  </si>
  <si>
    <t>15UO</t>
  </si>
  <si>
    <t>15UP</t>
  </si>
  <si>
    <t>15UT</t>
  </si>
  <si>
    <t>15UU</t>
  </si>
  <si>
    <t>15UV</t>
  </si>
  <si>
    <t>15UW</t>
  </si>
  <si>
    <t>15UZ</t>
  </si>
  <si>
    <t>15VA</t>
  </si>
  <si>
    <t>15VC</t>
  </si>
  <si>
    <t>15VE</t>
  </si>
  <si>
    <t>15VF</t>
  </si>
  <si>
    <t>15VH</t>
  </si>
  <si>
    <t>15VL</t>
  </si>
  <si>
    <t>15VM</t>
  </si>
  <si>
    <t>15VN</t>
  </si>
  <si>
    <t>15VO</t>
  </si>
  <si>
    <t>15VU</t>
  </si>
  <si>
    <t>15VY</t>
  </si>
  <si>
    <t>15VZ</t>
  </si>
  <si>
    <t>15WF</t>
  </si>
  <si>
    <t>15WG</t>
  </si>
  <si>
    <t>15WH</t>
  </si>
  <si>
    <t>15WI</t>
  </si>
  <si>
    <t>15WJ</t>
  </si>
  <si>
    <t>15WK</t>
  </si>
  <si>
    <t>15WQ</t>
  </si>
  <si>
    <t>15WT</t>
  </si>
  <si>
    <t>15WU</t>
  </si>
  <si>
    <t>15WV</t>
  </si>
  <si>
    <t>15WW</t>
  </si>
  <si>
    <t>15WZ</t>
  </si>
  <si>
    <t>15XA</t>
  </si>
  <si>
    <t>15XB</t>
  </si>
  <si>
    <t>15XC</t>
  </si>
  <si>
    <t>15XD</t>
  </si>
  <si>
    <t>15XE</t>
  </si>
  <si>
    <t>15XF</t>
  </si>
  <si>
    <t>15XI</t>
  </si>
  <si>
    <t>15XJ</t>
  </si>
  <si>
    <t>15XK</t>
  </si>
  <si>
    <t>15XN</t>
  </si>
  <si>
    <t>15XO</t>
  </si>
  <si>
    <t>15XP</t>
  </si>
  <si>
    <t>15XT</t>
  </si>
  <si>
    <t>15XW</t>
  </si>
  <si>
    <t>15XX</t>
  </si>
  <si>
    <t>15XZ</t>
  </si>
  <si>
    <t>15YB</t>
  </si>
  <si>
    <t>15YD</t>
  </si>
  <si>
    <t>15YE</t>
  </si>
  <si>
    <t>15YF</t>
  </si>
  <si>
    <t>15YG</t>
  </si>
  <si>
    <t>15YJ</t>
  </si>
  <si>
    <t>15YO</t>
  </si>
  <si>
    <t>15YP</t>
  </si>
  <si>
    <t>15YR</t>
  </si>
  <si>
    <t>15YU</t>
  </si>
  <si>
    <t>15YY</t>
  </si>
  <si>
    <t>15ZB</t>
  </si>
  <si>
    <t>15ZC</t>
  </si>
  <si>
    <t>15ZD</t>
  </si>
  <si>
    <t>15ZE</t>
  </si>
  <si>
    <t>15ZF</t>
  </si>
  <si>
    <t>15ZH</t>
  </si>
  <si>
    <t>15ZJ</t>
  </si>
  <si>
    <t>15ZK</t>
  </si>
  <si>
    <t>15ZM</t>
  </si>
  <si>
    <t>15ZP</t>
  </si>
  <si>
    <t>15ZQ</t>
  </si>
  <si>
    <t>15ZW</t>
  </si>
  <si>
    <t>15ZX</t>
  </si>
  <si>
    <t>15ZZ</t>
  </si>
  <si>
    <t>16AA</t>
  </si>
  <si>
    <t>16AB</t>
  </si>
  <si>
    <t>16AD</t>
  </si>
  <si>
    <t>16AF</t>
  </si>
  <si>
    <t>16AH</t>
  </si>
  <si>
    <t>16AJ</t>
  </si>
  <si>
    <t>16AK</t>
  </si>
  <si>
    <t>16AP</t>
  </si>
  <si>
    <t>16AR</t>
  </si>
  <si>
    <t>16AU</t>
  </si>
  <si>
    <t>16AY</t>
  </si>
  <si>
    <t>16AZ</t>
  </si>
  <si>
    <t>16BA</t>
  </si>
  <si>
    <t>16BC</t>
  </si>
  <si>
    <t>16BD</t>
  </si>
  <si>
    <t>16BE</t>
  </si>
  <si>
    <t>16BH</t>
  </si>
  <si>
    <t>16BL</t>
  </si>
  <si>
    <t>16BO</t>
  </si>
  <si>
    <t>16BR</t>
  </si>
  <si>
    <t>16BU</t>
  </si>
  <si>
    <t>16BX</t>
  </si>
  <si>
    <t>16BZ</t>
  </si>
  <si>
    <t>16CA</t>
  </si>
  <si>
    <t>16CB</t>
  </si>
  <si>
    <t>16CC</t>
  </si>
  <si>
    <t>16CF</t>
  </si>
  <si>
    <t>16CH</t>
  </si>
  <si>
    <t>16CI</t>
  </si>
  <si>
    <t>16CN</t>
  </si>
  <si>
    <t>16CP</t>
  </si>
  <si>
    <t>16CQ</t>
  </si>
  <si>
    <t>16CZ</t>
  </si>
  <si>
    <t>16DA</t>
  </si>
  <si>
    <t>16DB</t>
  </si>
  <si>
    <t>16DD</t>
  </si>
  <si>
    <t>16DE</t>
  </si>
  <si>
    <t>16DF</t>
  </si>
  <si>
    <t>16DG</t>
  </si>
  <si>
    <t>16DH</t>
  </si>
  <si>
    <t>16DI</t>
  </si>
  <si>
    <t>16DJ</t>
  </si>
  <si>
    <t>16DK</t>
  </si>
  <si>
    <t>16DM</t>
  </si>
  <si>
    <t>16DS</t>
  </si>
  <si>
    <t>16DV</t>
  </si>
  <si>
    <t>16DW</t>
  </si>
  <si>
    <t>16DX</t>
  </si>
  <si>
    <t>16DY</t>
  </si>
  <si>
    <t>16DZ</t>
  </si>
  <si>
    <t>16EA</t>
  </si>
  <si>
    <t>16EB</t>
  </si>
  <si>
    <t>16EC</t>
  </si>
  <si>
    <t>16EJ</t>
  </si>
  <si>
    <t>16EL</t>
  </si>
  <si>
    <t>16EN</t>
  </si>
  <si>
    <t>16EO</t>
  </si>
  <si>
    <t>16EP</t>
  </si>
  <si>
    <t>16EQ</t>
  </si>
  <si>
    <t>16ET</t>
  </si>
  <si>
    <t>16FI</t>
  </si>
  <si>
    <t>16FK</t>
  </si>
  <si>
    <t>16FL</t>
  </si>
  <si>
    <t>16FR</t>
  </si>
  <si>
    <t>16FS</t>
  </si>
  <si>
    <t>16FT</t>
  </si>
  <si>
    <t>16FU</t>
  </si>
  <si>
    <t>16FV</t>
  </si>
  <si>
    <t>16FW</t>
  </si>
  <si>
    <t>16GB</t>
  </si>
  <si>
    <t>16GD</t>
  </si>
  <si>
    <t>16GK</t>
  </si>
  <si>
    <t>16GL</t>
  </si>
  <si>
    <t>16GN</t>
  </si>
  <si>
    <t>16GQ</t>
  </si>
  <si>
    <t>16GT</t>
  </si>
  <si>
    <t>16GU</t>
  </si>
  <si>
    <t>16GV</t>
  </si>
  <si>
    <t>16GW</t>
  </si>
  <si>
    <t>16HB</t>
  </si>
  <si>
    <t>16HC</t>
  </si>
  <si>
    <t>16HE</t>
  </si>
  <si>
    <t>16HF</t>
  </si>
  <si>
    <t>16HI</t>
  </si>
  <si>
    <t>16HJ</t>
  </si>
  <si>
    <t>16HK</t>
  </si>
  <si>
    <t>16HL</t>
  </si>
  <si>
    <t>16HM</t>
  </si>
  <si>
    <t>16HN</t>
  </si>
  <si>
    <t>16HS</t>
  </si>
  <si>
    <t>16HT</t>
  </si>
  <si>
    <t>16HU</t>
  </si>
  <si>
    <t>16HV</t>
  </si>
  <si>
    <t>16IA</t>
  </si>
  <si>
    <t>16IB</t>
  </si>
  <si>
    <t>16IC</t>
  </si>
  <si>
    <t>16IE</t>
  </si>
  <si>
    <t>16IJ</t>
  </si>
  <si>
    <t>16IK</t>
  </si>
  <si>
    <t>16IL</t>
  </si>
  <si>
    <t>16IP</t>
  </si>
  <si>
    <t>16IQ</t>
  </si>
  <si>
    <t>16IR</t>
  </si>
  <si>
    <t>16IT</t>
  </si>
  <si>
    <t>16IV</t>
  </si>
  <si>
    <t>16JB</t>
  </si>
  <si>
    <t>16JC</t>
  </si>
  <si>
    <t>16JI</t>
  </si>
  <si>
    <t>16JP</t>
  </si>
  <si>
    <t>16JQ</t>
  </si>
  <si>
    <t>16JV</t>
  </si>
  <si>
    <t>16JW</t>
  </si>
  <si>
    <t>16JY</t>
  </si>
  <si>
    <t>16KA</t>
  </si>
  <si>
    <t>16KB</t>
  </si>
  <si>
    <t>16KE</t>
  </si>
  <si>
    <t>16KG</t>
  </si>
  <si>
    <t>16KH</t>
  </si>
  <si>
    <t>16KI</t>
  </si>
  <si>
    <t>16KJ</t>
  </si>
  <si>
    <t>16KK</t>
  </si>
  <si>
    <t>16KL</t>
  </si>
  <si>
    <t>16KR</t>
  </si>
  <si>
    <t>16KS</t>
  </si>
  <si>
    <t>16KV</t>
  </si>
  <si>
    <t>16KW</t>
  </si>
  <si>
    <t>16KZ</t>
  </si>
  <si>
    <t>16LE</t>
  </si>
  <si>
    <t>16LF</t>
  </si>
  <si>
    <t>16LH</t>
  </si>
  <si>
    <t>16LI</t>
  </si>
  <si>
    <t>16LO</t>
  </si>
  <si>
    <t>16LQ</t>
  </si>
  <si>
    <t>16LV</t>
  </si>
  <si>
    <t>16LX</t>
  </si>
  <si>
    <t>16MA</t>
  </si>
  <si>
    <t>16MB</t>
  </si>
  <si>
    <t>16MC</t>
  </si>
  <si>
    <t>16MD</t>
  </si>
  <si>
    <t>16MI</t>
  </si>
  <si>
    <t>16ML</t>
  </si>
  <si>
    <t>16MO</t>
  </si>
  <si>
    <t>16MW</t>
  </si>
  <si>
    <t>16MX</t>
  </si>
  <si>
    <t>16NB</t>
  </si>
  <si>
    <t>16NC</t>
  </si>
  <si>
    <t>16ND</t>
  </si>
  <si>
    <t>16NG</t>
  </si>
  <si>
    <t>16NM</t>
  </si>
  <si>
    <t>16NN</t>
  </si>
  <si>
    <t>16NR</t>
  </si>
  <si>
    <t>16NS</t>
  </si>
  <si>
    <t>16NU</t>
  </si>
  <si>
    <t>16NV</t>
  </si>
  <si>
    <t>16NZ</t>
  </si>
  <si>
    <t>16OC</t>
  </si>
  <si>
    <t>16OH</t>
  </si>
  <si>
    <t>16OJ</t>
  </si>
  <si>
    <t>16OU</t>
  </si>
  <si>
    <t>16OY</t>
  </si>
  <si>
    <t>16PB</t>
  </si>
  <si>
    <t>16PD</t>
  </si>
  <si>
    <t>16QF</t>
  </si>
  <si>
    <t>16QI</t>
  </si>
  <si>
    <t>16QL</t>
  </si>
  <si>
    <t>16QX</t>
  </si>
  <si>
    <t>16RC</t>
  </si>
  <si>
    <t>16SM</t>
  </si>
  <si>
    <t>16SO</t>
  </si>
  <si>
    <t>16TH</t>
  </si>
  <si>
    <t>16TL</t>
  </si>
  <si>
    <t>16UB</t>
  </si>
  <si>
    <t>16UC</t>
  </si>
  <si>
    <t>16UD</t>
  </si>
  <si>
    <t>16UE</t>
  </si>
  <si>
    <t>16UG</t>
  </si>
  <si>
    <t>16UJ</t>
  </si>
  <si>
    <t>16UK</t>
  </si>
  <si>
    <t>16UM</t>
  </si>
  <si>
    <t>16UN</t>
  </si>
  <si>
    <t>16UO</t>
  </si>
  <si>
    <t>16UP</t>
  </si>
  <si>
    <t>16UQ</t>
  </si>
  <si>
    <t>16US</t>
  </si>
  <si>
    <t>16UU</t>
  </si>
  <si>
    <t>16UV</t>
  </si>
  <si>
    <t>16UW</t>
  </si>
  <si>
    <t>16UZ</t>
  </si>
  <si>
    <t>16VG</t>
  </si>
  <si>
    <t>16VH</t>
  </si>
  <si>
    <t>16VR</t>
  </si>
  <si>
    <t>16VT</t>
  </si>
  <si>
    <t>16VU</t>
  </si>
  <si>
    <t>16VV</t>
  </si>
  <si>
    <t>16WB</t>
  </si>
  <si>
    <t>16WC</t>
  </si>
  <si>
    <t>16WG</t>
  </si>
  <si>
    <t>16WH</t>
  </si>
  <si>
    <t>16WI</t>
  </si>
  <si>
    <t>16WL</t>
  </si>
  <si>
    <t>16WN</t>
  </si>
  <si>
    <t>16WQ</t>
  </si>
  <si>
    <t>16WT</t>
  </si>
  <si>
    <t>16WU</t>
  </si>
  <si>
    <t>16WW</t>
  </si>
  <si>
    <t>16WZ</t>
  </si>
  <si>
    <t>16XC</t>
  </si>
  <si>
    <t>16XK</t>
  </si>
  <si>
    <t>16XM</t>
  </si>
  <si>
    <t>16XN</t>
  </si>
  <si>
    <t>16XP</t>
  </si>
  <si>
    <t>16XQ</t>
  </si>
  <si>
    <t>16XS</t>
  </si>
  <si>
    <t>16XT</t>
  </si>
  <si>
    <t>16XY</t>
  </si>
  <si>
    <t>16YA</t>
  </si>
  <si>
    <t>16YB</t>
  </si>
  <si>
    <t>16YE</t>
  </si>
  <si>
    <t>16YF</t>
  </si>
  <si>
    <t>16YG</t>
  </si>
  <si>
    <t>16YK</t>
  </si>
  <si>
    <t>16YM</t>
  </si>
  <si>
    <t>16YQ</t>
  </si>
  <si>
    <t>16YS</t>
  </si>
  <si>
    <t>16YT</t>
  </si>
  <si>
    <t>16YU</t>
  </si>
  <si>
    <t>16YW</t>
  </si>
  <si>
    <t>16YX</t>
  </si>
  <si>
    <t>16YZ</t>
  </si>
  <si>
    <t>16ZB</t>
  </si>
  <si>
    <t>16ZC</t>
  </si>
  <si>
    <t>16ZD</t>
  </si>
  <si>
    <t>16ZF</t>
  </si>
  <si>
    <t>16ZG</t>
  </si>
  <si>
    <t>16ZJ</t>
  </si>
  <si>
    <t>16ZM</t>
  </si>
  <si>
    <t>16ZO</t>
  </si>
  <si>
    <t>16ZP</t>
  </si>
  <si>
    <t>16ZQ</t>
  </si>
  <si>
    <t>16ZS</t>
  </si>
  <si>
    <t>16ZT</t>
  </si>
  <si>
    <t>16ZX</t>
  </si>
  <si>
    <t>16ZY</t>
  </si>
  <si>
    <t>16ZZ</t>
  </si>
  <si>
    <t>17AB</t>
  </si>
  <si>
    <t>17AC</t>
  </si>
  <si>
    <t>17AE</t>
  </si>
  <si>
    <t>17AH</t>
  </si>
  <si>
    <t>17AM</t>
  </si>
  <si>
    <t>17AP</t>
  </si>
  <si>
    <t>17AV</t>
  </si>
  <si>
    <t>17BB</t>
  </si>
  <si>
    <t>17BC</t>
  </si>
  <si>
    <t>17BH</t>
  </si>
  <si>
    <t>17BL</t>
  </si>
  <si>
    <t>17BP</t>
  </si>
  <si>
    <t>17BT</t>
  </si>
  <si>
    <t>17BU</t>
  </si>
  <si>
    <t>17BW</t>
  </si>
  <si>
    <t>17BY</t>
  </si>
  <si>
    <t>17CA</t>
  </si>
  <si>
    <t>17CB</t>
  </si>
  <si>
    <t>17CI</t>
  </si>
  <si>
    <t>17CJ</t>
  </si>
  <si>
    <t>17CL</t>
  </si>
  <si>
    <t>17CM</t>
  </si>
  <si>
    <t>17CN</t>
  </si>
  <si>
    <t>17CT</t>
  </si>
  <si>
    <t>17CU</t>
  </si>
  <si>
    <t>17CV</t>
  </si>
  <si>
    <t>17CW</t>
  </si>
  <si>
    <t>17CY</t>
  </si>
  <si>
    <t>17DA</t>
  </si>
  <si>
    <t>17DC</t>
  </si>
  <si>
    <t>17DF</t>
  </si>
  <si>
    <t>17DG</t>
  </si>
  <si>
    <t>17DI</t>
  </si>
  <si>
    <t>17DK</t>
  </si>
  <si>
    <t>17DP</t>
  </si>
  <si>
    <t>17DQ</t>
  </si>
  <si>
    <t>17DR</t>
  </si>
  <si>
    <t>17DV</t>
  </si>
  <si>
    <t>17DW</t>
  </si>
  <si>
    <t>17DX</t>
  </si>
  <si>
    <t>17DZ</t>
  </si>
  <si>
    <t>17EA</t>
  </si>
  <si>
    <t>17EB</t>
  </si>
  <si>
    <t>17EC</t>
  </si>
  <si>
    <t>17EF</t>
  </si>
  <si>
    <t>17EG</t>
  </si>
  <si>
    <t>17EH</t>
  </si>
  <si>
    <t>17EJ</t>
  </si>
  <si>
    <t>17EK</t>
  </si>
  <si>
    <t>17EL</t>
  </si>
  <si>
    <t>17EO</t>
  </si>
  <si>
    <t>17EP</t>
  </si>
  <si>
    <t>17EQ</t>
  </si>
  <si>
    <t>17ER</t>
  </si>
  <si>
    <t>17ES</t>
  </si>
  <si>
    <t>17EU</t>
  </si>
  <si>
    <t>17EV</t>
  </si>
  <si>
    <t>17EW</t>
  </si>
  <si>
    <t>17EZ</t>
  </si>
  <si>
    <t>17FA</t>
  </si>
  <si>
    <t>17FC</t>
  </si>
  <si>
    <t>17FE</t>
  </si>
  <si>
    <t>17FF</t>
  </si>
  <si>
    <t>17FG</t>
  </si>
  <si>
    <t>17FH</t>
  </si>
  <si>
    <t>17FI</t>
  </si>
  <si>
    <t>17FJ</t>
  </si>
  <si>
    <t>17FK</t>
  </si>
  <si>
    <t>17FL</t>
  </si>
  <si>
    <t>17FN</t>
  </si>
  <si>
    <t>17FR</t>
  </si>
  <si>
    <t>17FU</t>
  </si>
  <si>
    <t>17FV</t>
  </si>
  <si>
    <t>17FW</t>
  </si>
  <si>
    <t>17FY</t>
  </si>
  <si>
    <t>17GQ</t>
  </si>
  <si>
    <t>17GU</t>
  </si>
  <si>
    <t>17GW</t>
  </si>
  <si>
    <t>17IP</t>
  </si>
  <si>
    <t>17IQ</t>
  </si>
  <si>
    <t>17IY</t>
  </si>
  <si>
    <t>17JD</t>
  </si>
  <si>
    <t>17JE</t>
  </si>
  <si>
    <t>17JG</t>
  </si>
  <si>
    <t>17JH</t>
  </si>
  <si>
    <t>17JJ</t>
  </si>
  <si>
    <t>17JL</t>
  </si>
  <si>
    <t>17JM</t>
  </si>
  <si>
    <t>17JN</t>
  </si>
  <si>
    <t>17JP</t>
  </si>
  <si>
    <t>17JV</t>
  </si>
  <si>
    <t>17JX</t>
  </si>
  <si>
    <t>17KB</t>
  </si>
  <si>
    <t>17KC</t>
  </si>
  <si>
    <t>17KD</t>
  </si>
  <si>
    <t>17KG</t>
  </si>
  <si>
    <t>17KI</t>
  </si>
  <si>
    <t>17KJ</t>
  </si>
  <si>
    <t>17KM</t>
  </si>
  <si>
    <t>17KU</t>
  </si>
  <si>
    <t>17KV</t>
  </si>
  <si>
    <t>17KW</t>
  </si>
  <si>
    <t>17KZ</t>
  </si>
  <si>
    <t>17LB</t>
  </si>
  <si>
    <t>17LE</t>
  </si>
  <si>
    <t>17LF</t>
  </si>
  <si>
    <t>17LH</t>
  </si>
  <si>
    <t>17LI</t>
  </si>
  <si>
    <t>17LM</t>
  </si>
  <si>
    <t>17LO</t>
  </si>
  <si>
    <t>17LQ</t>
  </si>
  <si>
    <t>17LT</t>
  </si>
  <si>
    <t>17LU</t>
  </si>
  <si>
    <t>17LV</t>
  </si>
  <si>
    <t>17LW</t>
  </si>
  <si>
    <t>17LX</t>
  </si>
  <si>
    <t>17LY</t>
  </si>
  <si>
    <t>17MC</t>
  </si>
  <si>
    <t>17MD</t>
  </si>
  <si>
    <t>17MF</t>
  </si>
  <si>
    <t>17MH</t>
  </si>
  <si>
    <t>17MI</t>
  </si>
  <si>
    <t>17MJ</t>
  </si>
  <si>
    <t>17MK</t>
  </si>
  <si>
    <t>17MM</t>
  </si>
  <si>
    <t>17MO</t>
  </si>
  <si>
    <t>17MQ</t>
  </si>
  <si>
    <t>17MR</t>
  </si>
  <si>
    <t>17MS</t>
  </si>
  <si>
    <t>17MT</t>
  </si>
  <si>
    <t>17MV</t>
  </si>
  <si>
    <t>17MX</t>
  </si>
  <si>
    <t>17MY</t>
  </si>
  <si>
    <t>17MZ</t>
  </si>
  <si>
    <t>17NB</t>
  </si>
  <si>
    <t>17ND</t>
  </si>
  <si>
    <t>17NF</t>
  </si>
  <si>
    <t>17NG</t>
  </si>
  <si>
    <t>17NH</t>
  </si>
  <si>
    <t>17NI</t>
  </si>
  <si>
    <t>17NJ</t>
  </si>
  <si>
    <t>17NM</t>
  </si>
  <si>
    <t>17NO</t>
  </si>
  <si>
    <t>17NQ</t>
  </si>
  <si>
    <t>17NR</t>
  </si>
  <si>
    <t>17NS</t>
  </si>
  <si>
    <t>17NT</t>
  </si>
  <si>
    <t>17NU</t>
  </si>
  <si>
    <t>17NV</t>
  </si>
  <si>
    <t>17NW</t>
  </si>
  <si>
    <t>17NX</t>
  </si>
  <si>
    <t>17NZ</t>
  </si>
  <si>
    <t>17OB</t>
  </si>
  <si>
    <t>17OC</t>
  </si>
  <si>
    <t>17OF</t>
  </si>
  <si>
    <t>17OJ</t>
  </si>
  <si>
    <t>17OM</t>
  </si>
  <si>
    <t>17ON</t>
  </si>
  <si>
    <t>17OR</t>
  </si>
  <si>
    <t>17OS</t>
  </si>
  <si>
    <t>17OV</t>
  </si>
  <si>
    <t>17OY</t>
  </si>
  <si>
    <t>17OZ</t>
  </si>
  <si>
    <t>17PA</t>
  </si>
  <si>
    <t>17PB</t>
  </si>
  <si>
    <t>17PC</t>
  </si>
  <si>
    <t>17PF</t>
  </si>
  <si>
    <t>17PG</t>
  </si>
  <si>
    <t>17PH</t>
  </si>
  <si>
    <t>17PI</t>
  </si>
  <si>
    <t>17PJ</t>
  </si>
  <si>
    <t>17PK</t>
  </si>
  <si>
    <t>17PN</t>
  </si>
  <si>
    <t>17PQ</t>
  </si>
  <si>
    <t>17PR</t>
  </si>
  <si>
    <t>17PV</t>
  </si>
  <si>
    <t>17PY</t>
  </si>
  <si>
    <t>17PZ</t>
  </si>
  <si>
    <t>17QA</t>
  </si>
  <si>
    <t>17QE</t>
  </si>
  <si>
    <t>17QF</t>
  </si>
  <si>
    <t>17QH</t>
  </si>
  <si>
    <t>17QJ</t>
  </si>
  <si>
    <t>17QK</t>
  </si>
  <si>
    <t>17QL</t>
  </si>
  <si>
    <t>17QM</t>
  </si>
  <si>
    <t>17QN</t>
  </si>
  <si>
    <t>17QQ</t>
  </si>
  <si>
    <t>17QS</t>
  </si>
  <si>
    <t>17QV</t>
  </si>
  <si>
    <t>17QY</t>
  </si>
  <si>
    <t>17RC</t>
  </si>
  <si>
    <t>17RD</t>
  </si>
  <si>
    <t>17RE</t>
  </si>
  <si>
    <t>17RI</t>
  </si>
  <si>
    <t>17RJ</t>
  </si>
  <si>
    <t>17RK</t>
  </si>
  <si>
    <t>17RL</t>
  </si>
  <si>
    <t>17RM</t>
  </si>
  <si>
    <t>17RN</t>
  </si>
  <si>
    <t>17RO</t>
  </si>
  <si>
    <t>17RQ</t>
  </si>
  <si>
    <t>17RS</t>
  </si>
  <si>
    <t>17RV</t>
  </si>
  <si>
    <t>17RX</t>
  </si>
  <si>
    <t>17RY</t>
  </si>
  <si>
    <t>17RZ</t>
  </si>
  <si>
    <t>17SI</t>
  </si>
  <si>
    <t>17SJ</t>
  </si>
  <si>
    <t>17SK</t>
  </si>
  <si>
    <t>17SL</t>
  </si>
  <si>
    <t>17SP</t>
  </si>
  <si>
    <t>17SQ</t>
  </si>
  <si>
    <t>17SR</t>
  </si>
  <si>
    <t>17ST</t>
  </si>
  <si>
    <t>17SU</t>
  </si>
  <si>
    <t>17SW</t>
  </si>
  <si>
    <t>17SX</t>
  </si>
  <si>
    <t>17SY</t>
  </si>
  <si>
    <t>17SZ</t>
  </si>
  <si>
    <t>17TC</t>
  </si>
  <si>
    <t>17TD</t>
  </si>
  <si>
    <t>17TF</t>
  </si>
  <si>
    <t>17TG</t>
  </si>
  <si>
    <t>17TI</t>
  </si>
  <si>
    <t>17TJ</t>
  </si>
  <si>
    <t>17TK</t>
  </si>
  <si>
    <t>17TN</t>
  </si>
  <si>
    <t>17TP</t>
  </si>
  <si>
    <t>17TQ</t>
  </si>
  <si>
    <t>17TT</t>
  </si>
  <si>
    <t>17TU</t>
  </si>
  <si>
    <t>17TW</t>
  </si>
  <si>
    <t>17TX</t>
  </si>
  <si>
    <t>17TY</t>
  </si>
  <si>
    <t>17TZ</t>
  </si>
  <si>
    <t>17UA</t>
  </si>
  <si>
    <t>17UB</t>
  </si>
  <si>
    <t>17UC</t>
  </si>
  <si>
    <t>17UD</t>
  </si>
  <si>
    <t>17UE</t>
  </si>
  <si>
    <t>17UG</t>
  </si>
  <si>
    <t>17UH</t>
  </si>
  <si>
    <t>17UI</t>
  </si>
  <si>
    <t>17VA</t>
  </si>
  <si>
    <t>17VV</t>
  </si>
  <si>
    <t>17WK</t>
  </si>
  <si>
    <t>17WX</t>
  </si>
  <si>
    <t>17WY</t>
  </si>
  <si>
    <t>17WZ</t>
  </si>
  <si>
    <t>17XB</t>
  </si>
  <si>
    <t>17XC</t>
  </si>
  <si>
    <t>17XF</t>
  </si>
  <si>
    <t>17XI</t>
  </si>
  <si>
    <t>17XQ</t>
  </si>
  <si>
    <t>17XT</t>
  </si>
  <si>
    <t>17XV</t>
  </si>
  <si>
    <t>17XW</t>
  </si>
  <si>
    <t>17XX</t>
  </si>
  <si>
    <t>17XZ</t>
  </si>
  <si>
    <t>17YA</t>
  </si>
  <si>
    <t>17YE</t>
  </si>
  <si>
    <t>17YN</t>
  </si>
  <si>
    <t>17YO</t>
  </si>
  <si>
    <t>17YR</t>
  </si>
  <si>
    <t>17YV</t>
  </si>
  <si>
    <t>17YX</t>
  </si>
  <si>
    <t>17YY</t>
  </si>
  <si>
    <t>17ZD</t>
  </si>
  <si>
    <t>17ZF</t>
  </si>
  <si>
    <t>17ZG</t>
  </si>
  <si>
    <t>17ZH</t>
  </si>
  <si>
    <t>17ZI</t>
  </si>
  <si>
    <t>17ZK</t>
  </si>
  <si>
    <t>17ZL</t>
  </si>
  <si>
    <t>17ZM</t>
  </si>
  <si>
    <t>17ZO</t>
  </si>
  <si>
    <t>17ZP</t>
  </si>
  <si>
    <t>17ZQ</t>
  </si>
  <si>
    <t>17ZR</t>
  </si>
  <si>
    <t>17ZS</t>
  </si>
  <si>
    <t>17ZU</t>
  </si>
  <si>
    <t>17ZV</t>
  </si>
  <si>
    <t>17ZY</t>
  </si>
  <si>
    <t>17ZZ</t>
  </si>
  <si>
    <t>18AA</t>
  </si>
  <si>
    <t>18AB</t>
  </si>
  <si>
    <t>18AC</t>
  </si>
  <si>
    <t>18AE</t>
  </si>
  <si>
    <t>18AF</t>
  </si>
  <si>
    <t>18AH</t>
  </si>
  <si>
    <t>18AK</t>
  </si>
  <si>
    <t>18AP</t>
  </si>
  <si>
    <t>18AQ</t>
  </si>
  <si>
    <t>18AR</t>
  </si>
  <si>
    <t>18AU</t>
  </si>
  <si>
    <t>18AW</t>
  </si>
  <si>
    <t>18AX</t>
  </si>
  <si>
    <t>18BA</t>
  </si>
  <si>
    <t>18BB</t>
  </si>
  <si>
    <t>18BD</t>
  </si>
  <si>
    <t>18BG</t>
  </si>
  <si>
    <t>18BJ</t>
  </si>
  <si>
    <t>18BK</t>
  </si>
  <si>
    <t>18BL</t>
  </si>
  <si>
    <t>18BM</t>
  </si>
  <si>
    <t>18BN</t>
  </si>
  <si>
    <t>18BO</t>
  </si>
  <si>
    <t>18CF</t>
  </si>
  <si>
    <t>18CQ</t>
  </si>
  <si>
    <t>18CZ</t>
  </si>
  <si>
    <t>18DR</t>
  </si>
  <si>
    <t>18DS</t>
  </si>
  <si>
    <t>18DT</t>
  </si>
  <si>
    <t>18DU</t>
  </si>
  <si>
    <t>18DW</t>
  </si>
  <si>
    <t>18DX</t>
  </si>
  <si>
    <t>18DY</t>
  </si>
  <si>
    <t>18EA</t>
  </si>
  <si>
    <t>18EB</t>
  </si>
  <si>
    <t>18EC</t>
  </si>
  <si>
    <t>18ED</t>
  </si>
  <si>
    <t>18EE</t>
  </si>
  <si>
    <t>18EG</t>
  </si>
  <si>
    <t>18EH</t>
  </si>
  <si>
    <t>18EJ</t>
  </si>
  <si>
    <t>18EK</t>
  </si>
  <si>
    <t>18EL</t>
  </si>
  <si>
    <t>18EO</t>
  </si>
  <si>
    <t>18EP</t>
  </si>
  <si>
    <t>18ER</t>
  </si>
  <si>
    <t>18ES</t>
  </si>
  <si>
    <t>18ET</t>
  </si>
  <si>
    <t>18FA</t>
  </si>
  <si>
    <t>18FC</t>
  </si>
  <si>
    <t>18FD</t>
  </si>
  <si>
    <t>18FE</t>
  </si>
  <si>
    <t>18FF</t>
  </si>
  <si>
    <t>18FG</t>
  </si>
  <si>
    <t>18FH</t>
  </si>
  <si>
    <t>18FI</t>
  </si>
  <si>
    <t>18FJ</t>
  </si>
  <si>
    <t>18FK</t>
  </si>
  <si>
    <t>18FM</t>
  </si>
  <si>
    <t>18FN</t>
  </si>
  <si>
    <t>18FU</t>
  </si>
  <si>
    <t>18FV</t>
  </si>
  <si>
    <t>18FY</t>
  </si>
  <si>
    <t>18GA</t>
  </si>
  <si>
    <t>18GB</t>
  </si>
  <si>
    <t>18GD</t>
  </si>
  <si>
    <t>18GF</t>
  </si>
  <si>
    <t>18GH</t>
  </si>
  <si>
    <t>18GP</t>
  </si>
  <si>
    <t>18GQ</t>
  </si>
  <si>
    <t>18GS</t>
  </si>
  <si>
    <t>18GT</t>
  </si>
  <si>
    <t>18GU</t>
  </si>
  <si>
    <t>18GW</t>
  </si>
  <si>
    <t>18GX</t>
  </si>
  <si>
    <t>18GY</t>
  </si>
  <si>
    <t>18GZ</t>
  </si>
  <si>
    <t>18HB</t>
  </si>
  <si>
    <t>18HD</t>
  </si>
  <si>
    <t>18HF</t>
  </si>
  <si>
    <t>18HG</t>
  </si>
  <si>
    <t>18HI</t>
  </si>
  <si>
    <t>18HK</t>
  </si>
  <si>
    <t>18HL</t>
  </si>
  <si>
    <t>18HN</t>
  </si>
  <si>
    <t>18HO</t>
  </si>
  <si>
    <t>18HP</t>
  </si>
  <si>
    <t>18HQ</t>
  </si>
  <si>
    <t>18HR</t>
  </si>
  <si>
    <t>18HS</t>
  </si>
  <si>
    <t>18HT</t>
  </si>
  <si>
    <t>18HX</t>
  </si>
  <si>
    <t>18IC</t>
  </si>
  <si>
    <t>18ID</t>
  </si>
  <si>
    <t>18IE</t>
  </si>
  <si>
    <t>18IF</t>
  </si>
  <si>
    <t>18IJ</t>
  </si>
  <si>
    <t>18IP</t>
  </si>
  <si>
    <t>18IQ</t>
  </si>
  <si>
    <t>18IS</t>
  </si>
  <si>
    <t>18IU</t>
  </si>
  <si>
    <t>18IX</t>
  </si>
  <si>
    <t>18IY</t>
  </si>
  <si>
    <t>18IZ</t>
  </si>
  <si>
    <t>18JB</t>
  </si>
  <si>
    <t>18JD</t>
  </si>
  <si>
    <t>18JE</t>
  </si>
  <si>
    <t>18JF</t>
  </si>
  <si>
    <t>18JG</t>
  </si>
  <si>
    <t>18JI</t>
  </si>
  <si>
    <t>18JL</t>
  </si>
  <si>
    <t>18JO</t>
  </si>
  <si>
    <t>18JU</t>
  </si>
  <si>
    <t>18JW</t>
  </si>
  <si>
    <t>18JX</t>
  </si>
  <si>
    <t>18JY</t>
  </si>
  <si>
    <t>18KB</t>
  </si>
  <si>
    <t>18KC</t>
  </si>
  <si>
    <t>18KD</t>
  </si>
  <si>
    <t>18KF</t>
  </si>
  <si>
    <t>18KG</t>
  </si>
  <si>
    <t>18KI</t>
  </si>
  <si>
    <t>18KJ</t>
  </si>
  <si>
    <t>18KK</t>
  </si>
  <si>
    <t>18KM</t>
  </si>
  <si>
    <t>18KO</t>
  </si>
  <si>
    <t>18KP</t>
  </si>
  <si>
    <t>18KU</t>
  </si>
  <si>
    <t>18KV</t>
  </si>
  <si>
    <t>18KX</t>
  </si>
  <si>
    <t>18LB</t>
  </si>
  <si>
    <t>18LE</t>
  </si>
  <si>
    <t>18LF</t>
  </si>
  <si>
    <t>18LH</t>
  </si>
  <si>
    <t>18LI</t>
  </si>
  <si>
    <t>18LJ</t>
  </si>
  <si>
    <t>18LK</t>
  </si>
  <si>
    <t>18LM</t>
  </si>
  <si>
    <t>18LN</t>
  </si>
  <si>
    <t>18LP</t>
  </si>
  <si>
    <t>18LQ</t>
  </si>
  <si>
    <t>18LR</t>
  </si>
  <si>
    <t>18LS</t>
  </si>
  <si>
    <t>18LT</t>
  </si>
  <si>
    <t>18LU</t>
  </si>
  <si>
    <t>18LW</t>
  </si>
  <si>
    <t>18LX</t>
  </si>
  <si>
    <t>18LY</t>
  </si>
  <si>
    <t>18LZ</t>
  </si>
  <si>
    <t>18MA</t>
  </si>
  <si>
    <t>18MC</t>
  </si>
  <si>
    <t>18MF</t>
  </si>
  <si>
    <t>18MG</t>
  </si>
  <si>
    <t>18MH</t>
  </si>
  <si>
    <t>18MJ</t>
  </si>
  <si>
    <t>18MK</t>
  </si>
  <si>
    <t>18MM</t>
  </si>
  <si>
    <t>18MN</t>
  </si>
  <si>
    <t>18MO</t>
  </si>
  <si>
    <t>18MQ</t>
  </si>
  <si>
    <t>18MR</t>
  </si>
  <si>
    <t>18MS</t>
  </si>
  <si>
    <t>18MT</t>
  </si>
  <si>
    <t>18MW</t>
  </si>
  <si>
    <t>18MX</t>
  </si>
  <si>
    <t>18MY</t>
  </si>
  <si>
    <t>18MZ</t>
  </si>
  <si>
    <t>18NA</t>
  </si>
  <si>
    <t>18NC</t>
  </si>
  <si>
    <t>18NF</t>
  </si>
  <si>
    <t>18NH</t>
  </si>
  <si>
    <t>18NI</t>
  </si>
  <si>
    <t>18NM</t>
  </si>
  <si>
    <t>18NN</t>
  </si>
  <si>
    <t>18NQ</t>
  </si>
  <si>
    <t>18NS</t>
  </si>
  <si>
    <t>18NU</t>
  </si>
  <si>
    <t>18NV</t>
  </si>
  <si>
    <t>18NW</t>
  </si>
  <si>
    <t>18NX</t>
  </si>
  <si>
    <t>18OA</t>
  </si>
  <si>
    <t>18OD</t>
  </si>
  <si>
    <t>18OE</t>
  </si>
  <si>
    <t>18OF</t>
  </si>
  <si>
    <t>18OH</t>
  </si>
  <si>
    <t>18OL</t>
  </si>
  <si>
    <t>18OM</t>
  </si>
  <si>
    <t>18OP</t>
  </si>
  <si>
    <t>18OQ</t>
  </si>
  <si>
    <t>18OR</t>
  </si>
  <si>
    <t>18OV</t>
  </si>
  <si>
    <t>18OY</t>
  </si>
  <si>
    <t>18OZ</t>
  </si>
  <si>
    <t>18PA</t>
  </si>
  <si>
    <t>18PC</t>
  </si>
  <si>
    <t>18PE</t>
  </si>
  <si>
    <t>18PJ</t>
  </si>
  <si>
    <t>18PM</t>
  </si>
  <si>
    <t>18PN</t>
  </si>
  <si>
    <t>18PP</t>
  </si>
  <si>
    <t>18PQ</t>
  </si>
  <si>
    <t>18PT</t>
  </si>
  <si>
    <t>18PU</t>
  </si>
  <si>
    <t>18PV</t>
  </si>
  <si>
    <t>18PW</t>
  </si>
  <si>
    <t>18PX</t>
  </si>
  <si>
    <t>18PY</t>
  </si>
  <si>
    <t>18QA</t>
  </si>
  <si>
    <t>18QB</t>
  </si>
  <si>
    <t>18QC</t>
  </si>
  <si>
    <t>18QD</t>
  </si>
  <si>
    <t>18QE</t>
  </si>
  <si>
    <t>18QF</t>
  </si>
  <si>
    <t>18QG</t>
  </si>
  <si>
    <t>18QJ</t>
  </si>
  <si>
    <t>18QK</t>
  </si>
  <si>
    <t>18QP</t>
  </si>
  <si>
    <t>18QS</t>
  </si>
  <si>
    <t>18QU</t>
  </si>
  <si>
    <t>18QW</t>
  </si>
  <si>
    <t>18QX</t>
  </si>
  <si>
    <t>18QY</t>
  </si>
  <si>
    <t>18QZ</t>
  </si>
  <si>
    <t>18RA</t>
  </si>
  <si>
    <t>18RD</t>
  </si>
  <si>
    <t>18RG</t>
  </si>
  <si>
    <t>18RI</t>
  </si>
  <si>
    <t>18RJ</t>
  </si>
  <si>
    <t>18RK</t>
  </si>
  <si>
    <t>18RN</t>
  </si>
  <si>
    <t>18RO</t>
  </si>
  <si>
    <t>18RQ</t>
  </si>
  <si>
    <t>18RR</t>
  </si>
  <si>
    <t>18RU</t>
  </si>
  <si>
    <t>18RV</t>
  </si>
  <si>
    <t>18RW</t>
  </si>
  <si>
    <t>18SC</t>
  </si>
  <si>
    <t>18SE</t>
  </si>
  <si>
    <t>18SF</t>
  </si>
  <si>
    <t>18SG</t>
  </si>
  <si>
    <t>18SH</t>
  </si>
  <si>
    <t>18SI</t>
  </si>
  <si>
    <t>18SL</t>
  </si>
  <si>
    <t>18SN</t>
  </si>
  <si>
    <t>18SO</t>
  </si>
  <si>
    <t>18SP</t>
  </si>
  <si>
    <t>18SR</t>
  </si>
  <si>
    <t>18SU</t>
  </si>
  <si>
    <t>18SV</t>
  </si>
  <si>
    <t>18SZ</t>
  </si>
  <si>
    <t>18TA</t>
  </si>
  <si>
    <t>18TC</t>
  </si>
  <si>
    <t>18TH</t>
  </si>
  <si>
    <t>18TJ</t>
  </si>
  <si>
    <t>18TK</t>
  </si>
  <si>
    <t>18TM</t>
  </si>
  <si>
    <t>18TN</t>
  </si>
  <si>
    <t>18TP</t>
  </si>
  <si>
    <t>18TQ</t>
  </si>
  <si>
    <t>18TS</t>
  </si>
  <si>
    <t>18TV</t>
  </si>
  <si>
    <t>18TW</t>
  </si>
  <si>
    <t>18UC</t>
  </si>
  <si>
    <t>18UD</t>
  </si>
  <si>
    <t>18UE</t>
  </si>
  <si>
    <t>18UF</t>
  </si>
  <si>
    <t>18UG</t>
  </si>
  <si>
    <t>18UH</t>
  </si>
  <si>
    <t>18UK</t>
  </si>
  <si>
    <t>18UL</t>
  </si>
  <si>
    <t>18UM</t>
  </si>
  <si>
    <t>18UQ</t>
  </si>
  <si>
    <t>18UR</t>
  </si>
  <si>
    <t>18US</t>
  </si>
  <si>
    <t>18UT</t>
  </si>
  <si>
    <t>18UV</t>
  </si>
  <si>
    <t>18UY</t>
  </si>
  <si>
    <t>18VB</t>
  </si>
  <si>
    <t>18VC</t>
  </si>
  <si>
    <t>18VF</t>
  </si>
  <si>
    <t>18VI</t>
  </si>
  <si>
    <t>18VJ</t>
  </si>
  <si>
    <t>18VM</t>
  </si>
  <si>
    <t>18VN</t>
  </si>
  <si>
    <t>18VP</t>
  </si>
  <si>
    <t>18VQ</t>
  </si>
  <si>
    <t>18VR</t>
  </si>
  <si>
    <t>18VV</t>
  </si>
  <si>
    <t>18VW</t>
  </si>
  <si>
    <t>18VZ</t>
  </si>
  <si>
    <t>18WD</t>
  </si>
  <si>
    <t>18WF</t>
  </si>
  <si>
    <t>18WG</t>
  </si>
  <si>
    <t>18WH</t>
  </si>
  <si>
    <t>18WK</t>
  </si>
  <si>
    <t>18WL</t>
  </si>
  <si>
    <t>18WN</t>
  </si>
  <si>
    <t>18WQ</t>
  </si>
  <si>
    <t>18WR</t>
  </si>
  <si>
    <t>18WU</t>
  </si>
  <si>
    <t>18WV</t>
  </si>
  <si>
    <t>18WW</t>
  </si>
  <si>
    <t>18WX</t>
  </si>
  <si>
    <t>18WY</t>
  </si>
  <si>
    <t>18XB</t>
  </si>
  <si>
    <t>18XC</t>
  </si>
  <si>
    <t>18XS</t>
  </si>
  <si>
    <t>18XY</t>
  </si>
  <si>
    <t>18YA</t>
  </si>
  <si>
    <t>18YD</t>
  </si>
  <si>
    <t>18YH</t>
  </si>
  <si>
    <t>18YS</t>
  </si>
  <si>
    <t>18YT</t>
  </si>
  <si>
    <t>18YU</t>
  </si>
  <si>
    <t>18YZ</t>
  </si>
  <si>
    <t>18ZA</t>
  </si>
  <si>
    <t>18ZC</t>
  </si>
  <si>
    <t>18ZG</t>
  </si>
  <si>
    <t>18ZI</t>
  </si>
  <si>
    <t>18ZJ</t>
  </si>
  <si>
    <t>18ZL</t>
  </si>
  <si>
    <t>18ZM</t>
  </si>
  <si>
    <t>18ZO</t>
  </si>
  <si>
    <t>18ZQ</t>
  </si>
  <si>
    <t>18ZU</t>
  </si>
  <si>
    <t>18ZV</t>
  </si>
  <si>
    <t>18ZW</t>
  </si>
  <si>
    <t>18ZX</t>
  </si>
  <si>
    <t>19AB</t>
  </si>
  <si>
    <t>19AC</t>
  </si>
  <si>
    <t>19AF</t>
  </si>
  <si>
    <t>19AG</t>
  </si>
  <si>
    <t>19AI</t>
  </si>
  <si>
    <t>19AM</t>
  </si>
  <si>
    <t>19AO</t>
  </si>
  <si>
    <t>19AQ</t>
  </si>
  <si>
    <t>19AS</t>
  </si>
  <si>
    <t>19AT</t>
  </si>
  <si>
    <t>19AV</t>
  </si>
  <si>
    <t>19AX</t>
  </si>
  <si>
    <t>19AZ</t>
  </si>
  <si>
    <t>19BA</t>
  </si>
  <si>
    <t>19BB</t>
  </si>
  <si>
    <t>19BC</t>
  </si>
  <si>
    <t>19BE</t>
  </si>
  <si>
    <t>19BF</t>
  </si>
  <si>
    <t>19BH</t>
  </si>
  <si>
    <t>19BJ</t>
  </si>
  <si>
    <t>19BO</t>
  </si>
  <si>
    <t>19BP</t>
  </si>
  <si>
    <t>19BQ</t>
  </si>
  <si>
    <t>19BS</t>
  </si>
  <si>
    <t>19BT</t>
  </si>
  <si>
    <t>19BU</t>
  </si>
  <si>
    <t>19BV</t>
  </si>
  <si>
    <t>19BW</t>
  </si>
  <si>
    <t>19BX</t>
  </si>
  <si>
    <t>19BZ</t>
  </si>
  <si>
    <t>19CA</t>
  </si>
  <si>
    <t>19CB</t>
  </si>
  <si>
    <t>19CC</t>
  </si>
  <si>
    <t>19CD</t>
  </si>
  <si>
    <t>19CF</t>
  </si>
  <si>
    <t>19CH</t>
  </si>
  <si>
    <t>19CM</t>
  </si>
  <si>
    <t>19CO</t>
  </si>
  <si>
    <t>19CT</t>
  </si>
  <si>
    <t>19CY</t>
  </si>
  <si>
    <t>19DD</t>
  </si>
  <si>
    <t>19DI</t>
  </si>
  <si>
    <t>19DK</t>
  </si>
  <si>
    <t>19DM</t>
  </si>
  <si>
    <t>19DN</t>
  </si>
  <si>
    <t>19DP</t>
  </si>
  <si>
    <t>19DQ</t>
  </si>
  <si>
    <t>19DS</t>
  </si>
  <si>
    <t>19DT</t>
  </si>
  <si>
    <t>19ES</t>
  </si>
  <si>
    <t>19HE</t>
  </si>
  <si>
    <t>19HH</t>
  </si>
  <si>
    <t>19HS</t>
  </si>
  <si>
    <t>19HT</t>
  </si>
  <si>
    <t>19IV</t>
  </si>
  <si>
    <t>19JG</t>
  </si>
  <si>
    <t>19JJ</t>
  </si>
  <si>
    <t>19JK</t>
  </si>
  <si>
    <t>19JO</t>
  </si>
  <si>
    <t>19KB</t>
  </si>
  <si>
    <t>19KD</t>
  </si>
  <si>
    <t>19KG</t>
  </si>
  <si>
    <t>19KH</t>
  </si>
  <si>
    <t>19KI</t>
  </si>
  <si>
    <t>19KK</t>
  </si>
  <si>
    <t>19KV</t>
  </si>
  <si>
    <t>19KX</t>
  </si>
  <si>
    <t>19LD</t>
  </si>
  <si>
    <t>19LE</t>
  </si>
  <si>
    <t>19LF</t>
  </si>
  <si>
    <t>19LH</t>
  </si>
  <si>
    <t>19LI</t>
  </si>
  <si>
    <t>19LM</t>
  </si>
  <si>
    <t>19LR</t>
  </si>
  <si>
    <t>19LU</t>
  </si>
  <si>
    <t>19LV</t>
  </si>
  <si>
    <t>19LW</t>
  </si>
  <si>
    <t>19LY</t>
  </si>
  <si>
    <t>19LZ</t>
  </si>
  <si>
    <t>19MA</t>
  </si>
  <si>
    <t>19MD</t>
  </si>
  <si>
    <t>19MF</t>
  </si>
  <si>
    <t>19MG</t>
  </si>
  <si>
    <t>19MH</t>
  </si>
  <si>
    <t>19ML</t>
  </si>
  <si>
    <t>19MN</t>
  </si>
  <si>
    <t>19MP</t>
  </si>
  <si>
    <t>19MR</t>
  </si>
  <si>
    <t>19MU</t>
  </si>
  <si>
    <t>19MW</t>
  </si>
  <si>
    <t>19MY</t>
  </si>
  <si>
    <t>19MZ</t>
  </si>
  <si>
    <t>19NA</t>
  </si>
  <si>
    <t>19NB</t>
  </si>
  <si>
    <t>19NE</t>
  </si>
  <si>
    <t>19NH</t>
  </si>
  <si>
    <t>19NM</t>
  </si>
  <si>
    <t>19NN</t>
  </si>
  <si>
    <t>19NO</t>
  </si>
  <si>
    <t>19NP</t>
  </si>
  <si>
    <t>19NQ</t>
  </si>
  <si>
    <t>19NR</t>
  </si>
  <si>
    <t>19NS</t>
  </si>
  <si>
    <t>19NT</t>
  </si>
  <si>
    <t>19NV</t>
  </si>
  <si>
    <t>19NW</t>
  </si>
  <si>
    <t>19NX</t>
  </si>
  <si>
    <t>19NZ</t>
  </si>
  <si>
    <t>19OB</t>
  </si>
  <si>
    <t>19OC</t>
  </si>
  <si>
    <t>19OE</t>
  </si>
  <si>
    <t>19OF</t>
  </si>
  <si>
    <t>19OM</t>
  </si>
  <si>
    <t>19OQ</t>
  </si>
  <si>
    <t>19OR</t>
  </si>
  <si>
    <t>19OV</t>
  </si>
  <si>
    <t>19OY</t>
  </si>
  <si>
    <t>19PA</t>
  </si>
  <si>
    <t>19PQ</t>
  </si>
  <si>
    <t>19QB</t>
  </si>
  <si>
    <t>19QD</t>
  </si>
  <si>
    <t>19QE</t>
  </si>
  <si>
    <t>19QG</t>
  </si>
  <si>
    <t>19QJ</t>
  </si>
  <si>
    <t>19QK</t>
  </si>
  <si>
    <t>19QL</t>
  </si>
  <si>
    <t>19QO</t>
  </si>
  <si>
    <t>19QS</t>
  </si>
  <si>
    <t>19QU</t>
  </si>
  <si>
    <t>19QV</t>
  </si>
  <si>
    <t>19QX</t>
  </si>
  <si>
    <t>19QZ</t>
  </si>
  <si>
    <t>19RA</t>
  </si>
  <si>
    <t>19RC</t>
  </si>
  <si>
    <t>19RD</t>
  </si>
  <si>
    <t>19RE</t>
  </si>
  <si>
    <t>19RG</t>
  </si>
  <si>
    <t>19RH</t>
  </si>
  <si>
    <t>19RJ</t>
  </si>
  <si>
    <t>19RK</t>
  </si>
  <si>
    <t>19RM</t>
  </si>
  <si>
    <t>19RN</t>
  </si>
  <si>
    <t>19RS</t>
  </si>
  <si>
    <t>19RT</t>
  </si>
  <si>
    <t>19RY</t>
  </si>
  <si>
    <t>19SC</t>
  </si>
  <si>
    <t>19SF</t>
  </si>
  <si>
    <t>19SG</t>
  </si>
  <si>
    <t>19SI</t>
  </si>
  <si>
    <t>19SK</t>
  </si>
  <si>
    <t>19SN</t>
  </si>
  <si>
    <t>19SO</t>
  </si>
  <si>
    <t>19SP</t>
  </si>
  <si>
    <t>19ST</t>
  </si>
  <si>
    <t>19SU</t>
  </si>
  <si>
    <t>19SW</t>
  </si>
  <si>
    <t>19SY</t>
  </si>
  <si>
    <t>19SZ</t>
  </si>
  <si>
    <t>19TA</t>
  </si>
  <si>
    <t>19TB</t>
  </si>
  <si>
    <t>19TE</t>
  </si>
  <si>
    <t>19TG</t>
  </si>
  <si>
    <t>19TJ</t>
  </si>
  <si>
    <t>19TK</t>
  </si>
  <si>
    <t>19TL</t>
  </si>
  <si>
    <t>19TM</t>
  </si>
  <si>
    <t>19TO</t>
  </si>
  <si>
    <t>19TP</t>
  </si>
  <si>
    <t>19TU</t>
  </si>
  <si>
    <t>19TV</t>
  </si>
  <si>
    <t>19TX</t>
  </si>
  <si>
    <t>19TZ</t>
  </si>
  <si>
    <t>19UB</t>
  </si>
  <si>
    <t>19UC</t>
  </si>
  <si>
    <t>19UE</t>
  </si>
  <si>
    <t>19UF</t>
  </si>
  <si>
    <t>19UG</t>
  </si>
  <si>
    <t>19UH</t>
  </si>
  <si>
    <t>19UI</t>
  </si>
  <si>
    <t>19UJ</t>
  </si>
  <si>
    <t>19UK</t>
  </si>
  <si>
    <t>19UM</t>
  </si>
  <si>
    <t>19UQ</t>
  </si>
  <si>
    <t>19US</t>
  </si>
  <si>
    <t>19UU</t>
  </si>
  <si>
    <t>19UZ</t>
  </si>
  <si>
    <t>19VA</t>
  </si>
  <si>
    <t>19VB</t>
  </si>
  <si>
    <t>19VC</t>
  </si>
  <si>
    <t>19VD</t>
  </si>
  <si>
    <t>19VE</t>
  </si>
  <si>
    <t>19VH</t>
  </si>
  <si>
    <t>19VI</t>
  </si>
  <si>
    <t>19VJ</t>
  </si>
  <si>
    <t>19VL</t>
  </si>
  <si>
    <t>19VO</t>
  </si>
  <si>
    <t>19VP</t>
  </si>
  <si>
    <t>19VR</t>
  </si>
  <si>
    <t>19VU</t>
  </si>
  <si>
    <t>19VX</t>
  </si>
  <si>
    <t>19VY</t>
  </si>
  <si>
    <t>19WC</t>
  </si>
  <si>
    <t>19WD</t>
  </si>
  <si>
    <t>19WE</t>
  </si>
  <si>
    <t>19WF</t>
  </si>
  <si>
    <t>19WG</t>
  </si>
  <si>
    <t>19WO</t>
  </si>
  <si>
    <t>19XM</t>
  </si>
  <si>
    <t>19XU</t>
  </si>
  <si>
    <t>19XX</t>
  </si>
  <si>
    <t>19XZ</t>
  </si>
  <si>
    <t>19YH</t>
  </si>
  <si>
    <t>19YL</t>
  </si>
  <si>
    <t>19YO</t>
  </si>
  <si>
    <t>19YS</t>
  </si>
  <si>
    <t>19YX</t>
  </si>
  <si>
    <t>19ZB</t>
  </si>
  <si>
    <t>19ZE</t>
  </si>
  <si>
    <t>19ZF</t>
  </si>
  <si>
    <t>19ZG</t>
  </si>
  <si>
    <t>19ZH</t>
  </si>
  <si>
    <t>19ZJ</t>
  </si>
  <si>
    <t>19ZN</t>
  </si>
  <si>
    <t>20AG</t>
  </si>
  <si>
    <t>20AH</t>
  </si>
  <si>
    <t>20BG</t>
  </si>
  <si>
    <t>20BW</t>
  </si>
  <si>
    <t>20BX</t>
  </si>
  <si>
    <t>20CB</t>
  </si>
  <si>
    <t>20CV</t>
  </si>
  <si>
    <t>20CX</t>
  </si>
  <si>
    <t>20DJ</t>
  </si>
  <si>
    <t>20DK</t>
  </si>
  <si>
    <t>20DV</t>
  </si>
  <si>
    <t>20EL</t>
  </si>
  <si>
    <t>20FB</t>
  </si>
  <si>
    <t>20FE</t>
  </si>
  <si>
    <t>20FG</t>
  </si>
  <si>
    <t>20FI</t>
  </si>
  <si>
    <t>20FK</t>
  </si>
  <si>
    <t>20GB</t>
  </si>
  <si>
    <t>20GF</t>
  </si>
  <si>
    <t>20GP</t>
  </si>
  <si>
    <t>20GW</t>
  </si>
  <si>
    <t>20GY</t>
  </si>
  <si>
    <t>20HF</t>
  </si>
  <si>
    <t>20HH</t>
  </si>
  <si>
    <t>20HJ</t>
  </si>
  <si>
    <t>20HK</t>
  </si>
  <si>
    <t>20HL</t>
  </si>
  <si>
    <t>20HM</t>
  </si>
  <si>
    <t>20HQ</t>
  </si>
  <si>
    <t>20IF</t>
  </si>
  <si>
    <t>20IM</t>
  </si>
  <si>
    <t>20IN</t>
  </si>
  <si>
    <t>20IQ</t>
  </si>
  <si>
    <t>20IR</t>
  </si>
  <si>
    <t>20IT</t>
  </si>
  <si>
    <t>20IX</t>
  </si>
  <si>
    <t>20IY</t>
  </si>
  <si>
    <t>20IZ</t>
  </si>
  <si>
    <t>20JB</t>
  </si>
  <si>
    <t>20JC</t>
  </si>
  <si>
    <t>20JE</t>
  </si>
  <si>
    <t>20JF</t>
  </si>
  <si>
    <t>20JG</t>
  </si>
  <si>
    <t>20JJ</t>
  </si>
  <si>
    <t>20JM</t>
  </si>
  <si>
    <t>20KF</t>
  </si>
  <si>
    <t>20KH</t>
  </si>
  <si>
    <t>20KL</t>
  </si>
  <si>
    <t>20KP</t>
  </si>
  <si>
    <t>20KR</t>
  </si>
  <si>
    <t>20KT</t>
  </si>
  <si>
    <t>20KW</t>
  </si>
  <si>
    <t>20KY</t>
  </si>
  <si>
    <t>20LC</t>
  </si>
  <si>
    <t>20LI</t>
  </si>
  <si>
    <t>20NV</t>
  </si>
  <si>
    <t>20OF</t>
  </si>
  <si>
    <t>20OJ</t>
  </si>
  <si>
    <t>20OQ</t>
  </si>
  <si>
    <t>20OW</t>
  </si>
  <si>
    <t>20PN</t>
  </si>
  <si>
    <t>20QG</t>
  </si>
  <si>
    <t>20QP</t>
  </si>
  <si>
    <t>20RD</t>
  </si>
  <si>
    <t>20RI</t>
  </si>
  <si>
    <t>20RJ</t>
  </si>
  <si>
    <t>20RL</t>
  </si>
  <si>
    <t>20RT</t>
  </si>
  <si>
    <t>20RV</t>
  </si>
  <si>
    <t>20RX</t>
  </si>
  <si>
    <t>20SC</t>
  </si>
  <si>
    <t>20SE</t>
  </si>
  <si>
    <t>20SG</t>
  </si>
  <si>
    <t>20SH</t>
  </si>
  <si>
    <t>20SJ</t>
  </si>
  <si>
    <t>20SK</t>
  </si>
  <si>
    <t>20SL</t>
  </si>
  <si>
    <t>20SZ</t>
  </si>
  <si>
    <t>20TD</t>
  </si>
  <si>
    <t>20TN</t>
  </si>
  <si>
    <t>20TP</t>
  </si>
  <si>
    <t>20TQ</t>
  </si>
  <si>
    <t>20TR</t>
  </si>
  <si>
    <t>20TS</t>
  </si>
  <si>
    <t>20TT</t>
  </si>
  <si>
    <t>20TV</t>
  </si>
  <si>
    <t>20TW</t>
  </si>
  <si>
    <t>20TX</t>
  </si>
  <si>
    <t>20UL</t>
  </si>
  <si>
    <t>20UO</t>
  </si>
  <si>
    <t>20UP</t>
  </si>
  <si>
    <t>20UU</t>
  </si>
  <si>
    <t>20UV</t>
  </si>
  <si>
    <t>20UW</t>
  </si>
  <si>
    <t>20VA</t>
  </si>
  <si>
    <t>20VB</t>
  </si>
  <si>
    <t>20VD</t>
  </si>
  <si>
    <t>20VE</t>
  </si>
  <si>
    <t>20VF</t>
  </si>
  <si>
    <t>20VG</t>
  </si>
  <si>
    <t>20VI</t>
  </si>
  <si>
    <t>20VJ</t>
  </si>
  <si>
    <t>20VK</t>
  </si>
  <si>
    <t>20VN</t>
  </si>
  <si>
    <t>20VP</t>
  </si>
  <si>
    <t>20VT</t>
  </si>
  <si>
    <t>20VU</t>
  </si>
  <si>
    <t>20VX</t>
  </si>
  <si>
    <t>20WR</t>
  </si>
  <si>
    <t>20WT</t>
  </si>
  <si>
    <t>20WU</t>
  </si>
  <si>
    <t>20WV</t>
  </si>
  <si>
    <t>20WW</t>
  </si>
  <si>
    <t>20XA</t>
  </si>
  <si>
    <t>20XC</t>
  </si>
  <si>
    <t>20XO</t>
  </si>
  <si>
    <t>20XQ</t>
  </si>
  <si>
    <t>20XR</t>
  </si>
  <si>
    <t>20XS</t>
  </si>
  <si>
    <t>20XT</t>
  </si>
  <si>
    <t>20XU</t>
  </si>
  <si>
    <t>20XV</t>
  </si>
  <si>
    <t>20XY</t>
  </si>
  <si>
    <t>20XZ</t>
  </si>
  <si>
    <t>20YA</t>
  </si>
  <si>
    <t>20YC</t>
  </si>
  <si>
    <t>20YD</t>
  </si>
  <si>
    <t>20YF</t>
  </si>
  <si>
    <t>20YG</t>
  </si>
  <si>
    <t>20YN</t>
  </si>
  <si>
    <t>20YX</t>
  </si>
  <si>
    <t>20ZB</t>
  </si>
  <si>
    <t>20ZD</t>
  </si>
  <si>
    <t>20ZE</t>
  </si>
  <si>
    <t>20ZG</t>
  </si>
  <si>
    <t>20ZH</t>
  </si>
  <si>
    <t>20ZJ</t>
  </si>
  <si>
    <t>20ZR</t>
  </si>
  <si>
    <t>20ZT</t>
  </si>
  <si>
    <t>20ZU</t>
  </si>
  <si>
    <t>20ZV</t>
  </si>
  <si>
    <t>20ZW</t>
  </si>
  <si>
    <t>20ZX</t>
  </si>
  <si>
    <t>20ZZ</t>
  </si>
  <si>
    <t>21AD</t>
  </si>
  <si>
    <t>21AG</t>
  </si>
  <si>
    <t>21AH</t>
  </si>
  <si>
    <t>21AI</t>
  </si>
  <si>
    <t>21BF</t>
  </si>
  <si>
    <t>21BM</t>
  </si>
  <si>
    <t>21CX</t>
  </si>
  <si>
    <t>21CZ</t>
  </si>
  <si>
    <t>21DA</t>
  </si>
  <si>
    <t>21DE</t>
  </si>
  <si>
    <t>21DL</t>
  </si>
  <si>
    <t>21DZ</t>
  </si>
  <si>
    <t>21EI</t>
  </si>
  <si>
    <t>21EJ</t>
  </si>
  <si>
    <t>21EM</t>
  </si>
  <si>
    <t>21EN</t>
  </si>
  <si>
    <t>21GJ</t>
  </si>
  <si>
    <t>21GN</t>
  </si>
  <si>
    <t>21GQ</t>
  </si>
  <si>
    <t>21HJ</t>
  </si>
  <si>
    <t>21IZ</t>
  </si>
  <si>
    <t>21KE</t>
  </si>
  <si>
    <t>21KO</t>
  </si>
  <si>
    <t>21LO</t>
  </si>
  <si>
    <t>21LP</t>
  </si>
  <si>
    <t>21LS</t>
  </si>
  <si>
    <t>21LT</t>
  </si>
  <si>
    <t>21LV</t>
  </si>
  <si>
    <t>21LW</t>
  </si>
  <si>
    <t>21LX</t>
  </si>
  <si>
    <t>21MV</t>
  </si>
  <si>
    <t>21MX</t>
  </si>
  <si>
    <t>21MY</t>
  </si>
  <si>
    <t>21NA</t>
  </si>
  <si>
    <t>21NB</t>
  </si>
  <si>
    <t>21ND</t>
  </si>
  <si>
    <t>21NE</t>
  </si>
  <si>
    <t>21NF</t>
  </si>
  <si>
    <t>21NH</t>
  </si>
  <si>
    <t>21NI</t>
  </si>
  <si>
    <t>21NK</t>
  </si>
  <si>
    <t>21NL</t>
  </si>
  <si>
    <t>21NM</t>
  </si>
  <si>
    <t>21NN</t>
  </si>
  <si>
    <t>21NO</t>
  </si>
  <si>
    <t>21NP</t>
  </si>
  <si>
    <t>21NR</t>
  </si>
  <si>
    <t>21NU</t>
  </si>
  <si>
    <t>21OM</t>
  </si>
  <si>
    <t>21ON</t>
  </si>
  <si>
    <t>21OP</t>
  </si>
  <si>
    <t>21OQ</t>
  </si>
  <si>
    <t>21OT</t>
  </si>
  <si>
    <t>21OU</t>
  </si>
  <si>
    <t>21OV</t>
  </si>
  <si>
    <t>21OX</t>
  </si>
  <si>
    <t>21OY</t>
  </si>
  <si>
    <t>21OZ</t>
  </si>
  <si>
    <t>21PA</t>
  </si>
  <si>
    <t>21PO</t>
  </si>
  <si>
    <t>21PP</t>
  </si>
  <si>
    <t>21PQ</t>
  </si>
  <si>
    <t>21PR</t>
  </si>
  <si>
    <t>21PS</t>
  </si>
  <si>
    <t>21PU</t>
  </si>
  <si>
    <t>21QE</t>
  </si>
  <si>
    <t>21QF</t>
  </si>
  <si>
    <t>21QG</t>
  </si>
  <si>
    <t>21QH</t>
  </si>
  <si>
    <t>21QK</t>
  </si>
  <si>
    <t>21QN</t>
  </si>
  <si>
    <t>21QT</t>
  </si>
  <si>
    <t>21QU</t>
  </si>
  <si>
    <t>21QV</t>
  </si>
  <si>
    <t>21QZ</t>
  </si>
  <si>
    <t>21RD</t>
  </si>
  <si>
    <t>21RE</t>
  </si>
  <si>
    <t>21RO</t>
  </si>
  <si>
    <t>21RP</t>
  </si>
  <si>
    <t>21RQ</t>
  </si>
  <si>
    <t>21RR</t>
  </si>
  <si>
    <t>21RS</t>
  </si>
  <si>
    <t>21RT</t>
  </si>
  <si>
    <t>21SG</t>
  </si>
  <si>
    <t>21VR</t>
  </si>
  <si>
    <t>22FC</t>
  </si>
  <si>
    <t>22FH</t>
  </si>
  <si>
    <t>22GB</t>
  </si>
  <si>
    <t>22JB</t>
  </si>
  <si>
    <t>22JD</t>
  </si>
  <si>
    <t>22JE</t>
  </si>
  <si>
    <t>22JG</t>
  </si>
  <si>
    <t>22JH</t>
  </si>
  <si>
    <t>22JI</t>
  </si>
  <si>
    <t>22JM</t>
  </si>
  <si>
    <t>22JO</t>
  </si>
  <si>
    <t>22JP</t>
  </si>
  <si>
    <t>22JQ</t>
  </si>
  <si>
    <t>22JR</t>
  </si>
  <si>
    <t>22JV</t>
  </si>
  <si>
    <t>22JY</t>
  </si>
  <si>
    <t>22KA</t>
  </si>
  <si>
    <t>22KB</t>
  </si>
  <si>
    <t>22KC</t>
  </si>
  <si>
    <t>22KD</t>
  </si>
  <si>
    <t>22KE</t>
  </si>
  <si>
    <t>22KF</t>
  </si>
  <si>
    <t>22KG</t>
  </si>
  <si>
    <t>22KH</t>
  </si>
  <si>
    <t>22KJ</t>
  </si>
  <si>
    <t>22KK</t>
  </si>
  <si>
    <t>22KL</t>
  </si>
  <si>
    <t>22KM</t>
  </si>
  <si>
    <t>22KO</t>
  </si>
  <si>
    <t>22KP</t>
  </si>
  <si>
    <t>22KS</t>
  </si>
  <si>
    <t>22KT</t>
  </si>
  <si>
    <t>22KU</t>
  </si>
  <si>
    <t>22KV</t>
  </si>
  <si>
    <t>22KY</t>
  </si>
  <si>
    <t>22LE</t>
  </si>
  <si>
    <t>22LH</t>
  </si>
  <si>
    <t>22LI</t>
  </si>
  <si>
    <t>22LJ</t>
  </si>
  <si>
    <t>22LK</t>
  </si>
  <si>
    <t>22LL</t>
  </si>
  <si>
    <t>22LM</t>
  </si>
  <si>
    <t>22LN</t>
  </si>
  <si>
    <t>22LO</t>
  </si>
  <si>
    <t>22LT</t>
  </si>
  <si>
    <t>22LV</t>
  </si>
  <si>
    <t>22LW</t>
  </si>
  <si>
    <t>22LY</t>
  </si>
  <si>
    <t>22LZ</t>
  </si>
  <si>
    <t>22MB</t>
  </si>
  <si>
    <t>22MD</t>
  </si>
  <si>
    <t>22MH</t>
  </si>
  <si>
    <t>22ML</t>
  </si>
  <si>
    <t>22MP</t>
  </si>
  <si>
    <t>22NL</t>
  </si>
  <si>
    <t>22NM</t>
  </si>
  <si>
    <t>22NT</t>
  </si>
  <si>
    <t>22NW</t>
  </si>
  <si>
    <t>22NX</t>
  </si>
  <si>
    <t>22OB</t>
  </si>
  <si>
    <t>22OD</t>
  </si>
  <si>
    <t>22OG</t>
  </si>
  <si>
    <t>22OH</t>
  </si>
  <si>
    <t>23AL</t>
  </si>
  <si>
    <t>23AM</t>
  </si>
  <si>
    <t>23BP</t>
  </si>
  <si>
    <t>23BT</t>
  </si>
  <si>
    <t>23BU</t>
  </si>
  <si>
    <t>23BW</t>
  </si>
  <si>
    <t>23BX</t>
  </si>
  <si>
    <t>23BZ</t>
  </si>
  <si>
    <t>23CA</t>
  </si>
  <si>
    <t>23CB</t>
  </si>
  <si>
    <t>23CC</t>
  </si>
  <si>
    <t>23CD</t>
  </si>
  <si>
    <t>23CG</t>
  </si>
  <si>
    <t>23CH</t>
  </si>
  <si>
    <t>23CJ</t>
  </si>
  <si>
    <t>23CK</t>
  </si>
  <si>
    <t>23CM</t>
  </si>
  <si>
    <t>23CN</t>
  </si>
  <si>
    <t>23CR</t>
  </si>
  <si>
    <t>23CT</t>
  </si>
  <si>
    <t>23CW</t>
  </si>
  <si>
    <t>23CZ</t>
  </si>
  <si>
    <t>23DC</t>
  </si>
  <si>
    <t>23DE</t>
  </si>
  <si>
    <t>23DF</t>
  </si>
  <si>
    <t>23DH</t>
  </si>
  <si>
    <t>23DJ</t>
  </si>
  <si>
    <t>23DK</t>
  </si>
  <si>
    <t>23DM</t>
  </si>
  <si>
    <t>23DR</t>
  </si>
  <si>
    <t>23DU</t>
  </si>
  <si>
    <t>23DX</t>
  </si>
  <si>
    <t>23DY</t>
  </si>
  <si>
    <t>23DZ</t>
  </si>
  <si>
    <t>23EA</t>
  </si>
  <si>
    <t>23EC</t>
  </si>
  <si>
    <t>23ED</t>
  </si>
  <si>
    <t>23EE</t>
  </si>
  <si>
    <t>23EF</t>
  </si>
  <si>
    <t>23EK</t>
  </si>
  <si>
    <t>23EL</t>
  </si>
  <si>
    <t>23EM</t>
  </si>
  <si>
    <t>23EN</t>
  </si>
  <si>
    <t>23EU</t>
  </si>
  <si>
    <t>23EV</t>
  </si>
  <si>
    <t>23EW</t>
  </si>
  <si>
    <t>23EX</t>
  </si>
  <si>
    <t>23EY</t>
  </si>
  <si>
    <t>23EZ</t>
  </si>
  <si>
    <t>23FA</t>
  </si>
  <si>
    <t>23FB</t>
  </si>
  <si>
    <t>23FD</t>
  </si>
  <si>
    <t>23FE</t>
  </si>
  <si>
    <t>23FF</t>
  </si>
  <si>
    <t>23FG</t>
  </si>
  <si>
    <t>23FH</t>
  </si>
  <si>
    <t>23FM</t>
  </si>
  <si>
    <t>23FV</t>
  </si>
  <si>
    <t>23FW</t>
  </si>
  <si>
    <t>23GH</t>
  </si>
  <si>
    <t>23GJ</t>
  </si>
  <si>
    <t>23GK</t>
  </si>
  <si>
    <t>23GL</t>
  </si>
  <si>
    <t>23GV</t>
  </si>
  <si>
    <t>23GW</t>
  </si>
  <si>
    <t>23GY</t>
  </si>
  <si>
    <t>23HA</t>
  </si>
  <si>
    <t>23HE</t>
  </si>
  <si>
    <t>23HG</t>
  </si>
  <si>
    <t>23HR</t>
  </si>
  <si>
    <t>23HU</t>
  </si>
  <si>
    <t>23JH</t>
  </si>
  <si>
    <t>23JT</t>
  </si>
  <si>
    <t>23JU</t>
  </si>
  <si>
    <t>23KF</t>
  </si>
  <si>
    <t>23NV</t>
  </si>
  <si>
    <t>23PC</t>
  </si>
  <si>
    <t>23PD</t>
  </si>
  <si>
    <t>23PE</t>
  </si>
  <si>
    <t>23PF</t>
  </si>
  <si>
    <t>23PG</t>
  </si>
  <si>
    <t>23PH</t>
  </si>
  <si>
    <t>23PJ</t>
  </si>
  <si>
    <t>23PN</t>
  </si>
  <si>
    <t>23PP</t>
  </si>
  <si>
    <t>23PR</t>
  </si>
  <si>
    <t>23PT</t>
  </si>
  <si>
    <t>23PU</t>
  </si>
  <si>
    <t>23PV</t>
  </si>
  <si>
    <t>23PY</t>
  </si>
  <si>
    <t>23RA</t>
  </si>
  <si>
    <t>23RC</t>
  </si>
  <si>
    <t>23RD</t>
  </si>
  <si>
    <t>23RE</t>
  </si>
  <si>
    <t>23RF</t>
  </si>
  <si>
    <t>23RG</t>
  </si>
  <si>
    <t>23RH</t>
  </si>
  <si>
    <t>23RJ</t>
  </si>
  <si>
    <t>23RK</t>
  </si>
  <si>
    <t>23RL</t>
  </si>
  <si>
    <t>23RM</t>
  </si>
  <si>
    <t>23RR</t>
  </si>
  <si>
    <t>23RT</t>
  </si>
  <si>
    <t>23RW</t>
  </si>
  <si>
    <t>23RX</t>
  </si>
  <si>
    <t>23RY</t>
  </si>
  <si>
    <t>23TA</t>
  </si>
  <si>
    <t>23TB</t>
  </si>
  <si>
    <t>23TE</t>
  </si>
  <si>
    <t>23TJ</t>
  </si>
  <si>
    <t>23TK</t>
  </si>
  <si>
    <t>23TL</t>
  </si>
  <si>
    <t>23TM</t>
  </si>
  <si>
    <t>23TN</t>
  </si>
  <si>
    <t>23TP</t>
  </si>
  <si>
    <t>23TT</t>
  </si>
  <si>
    <t>23TW</t>
  </si>
  <si>
    <t>23TX</t>
  </si>
  <si>
    <t>23UB</t>
  </si>
  <si>
    <t>23UC</t>
  </si>
  <si>
    <t>23UE</t>
  </si>
  <si>
    <t>23UF</t>
  </si>
  <si>
    <t>23UH</t>
  </si>
  <si>
    <t>23UL</t>
  </si>
  <si>
    <t>23UN</t>
  </si>
  <si>
    <t>23UP</t>
  </si>
  <si>
    <t>23UT</t>
  </si>
  <si>
    <t>23UW</t>
  </si>
  <si>
    <t>23UX</t>
  </si>
  <si>
    <t>23UY</t>
  </si>
  <si>
    <t>23VF</t>
  </si>
  <si>
    <t>23VG</t>
  </si>
  <si>
    <t>23VH</t>
  </si>
  <si>
    <t>23VR</t>
  </si>
  <si>
    <t>23VU</t>
  </si>
  <si>
    <t>23WG</t>
  </si>
  <si>
    <t>23WK</t>
  </si>
  <si>
    <t>23WR</t>
  </si>
  <si>
    <t>23XJ</t>
  </si>
  <si>
    <t>23XK</t>
  </si>
  <si>
    <t>23XL</t>
  </si>
  <si>
    <t>23XP</t>
  </si>
  <si>
    <t>23XT</t>
  </si>
  <si>
    <t>23ZH</t>
  </si>
  <si>
    <t>23ZJ</t>
  </si>
  <si>
    <t>23ZL</t>
  </si>
  <si>
    <t>23ZM</t>
  </si>
  <si>
    <t>23ZU</t>
  </si>
  <si>
    <t>23ZV</t>
  </si>
  <si>
    <t>23ZW</t>
  </si>
  <si>
    <t>23ZX</t>
  </si>
  <si>
    <t>23ZY</t>
  </si>
  <si>
    <t>23ZZ</t>
  </si>
  <si>
    <t>24AA</t>
  </si>
  <si>
    <t>24AB</t>
  </si>
  <si>
    <t>24AC</t>
  </si>
  <si>
    <t>24AD</t>
  </si>
  <si>
    <t>24AE</t>
  </si>
  <si>
    <t>24AF</t>
  </si>
  <si>
    <t>24AG</t>
  </si>
  <si>
    <t>24AM</t>
  </si>
  <si>
    <t>24AR</t>
  </si>
  <si>
    <t>24AY</t>
  </si>
  <si>
    <t>24AZ</t>
  </si>
  <si>
    <t>24BA</t>
  </si>
  <si>
    <t>24BD</t>
  </si>
  <si>
    <t>24BE</t>
  </si>
  <si>
    <t>24BF</t>
  </si>
  <si>
    <t>24BL</t>
  </si>
  <si>
    <t>24BM</t>
  </si>
  <si>
    <t>24BN</t>
  </si>
  <si>
    <t>24BP</t>
  </si>
  <si>
    <t>24BR</t>
  </si>
  <si>
    <t>24CN</t>
  </si>
  <si>
    <t>24CP</t>
  </si>
  <si>
    <t>24CR</t>
  </si>
  <si>
    <t>24CT</t>
  </si>
  <si>
    <t>24CZ</t>
  </si>
  <si>
    <t>24DA</t>
  </si>
  <si>
    <t>24DB</t>
  </si>
  <si>
    <t>24DE</t>
  </si>
  <si>
    <t>24DF</t>
  </si>
  <si>
    <t>24DH</t>
  </si>
  <si>
    <t>24DP</t>
  </si>
  <si>
    <t>24DR</t>
  </si>
  <si>
    <t>24DV</t>
  </si>
  <si>
    <t>24DW</t>
  </si>
  <si>
    <t>24DX</t>
  </si>
  <si>
    <t>24EC</t>
  </si>
  <si>
    <t>24ED</t>
  </si>
  <si>
    <t>24EE</t>
  </si>
  <si>
    <t>24EG</t>
  </si>
  <si>
    <t>24EJ</t>
  </si>
  <si>
    <t>24EL</t>
  </si>
  <si>
    <t>24ER</t>
  </si>
  <si>
    <t>24ET</t>
  </si>
  <si>
    <t>24EY</t>
  </si>
  <si>
    <t>24FE</t>
  </si>
  <si>
    <t>24FK</t>
  </si>
  <si>
    <t>24FP</t>
  </si>
  <si>
    <t>24FT</t>
  </si>
  <si>
    <t>24HY</t>
  </si>
  <si>
    <t>24JC</t>
  </si>
  <si>
    <t>24JD</t>
  </si>
  <si>
    <t>24JJ</t>
  </si>
  <si>
    <t>24MB</t>
  </si>
  <si>
    <t>24MK</t>
  </si>
  <si>
    <t>24MR</t>
  </si>
  <si>
    <t>24MU</t>
  </si>
  <si>
    <t>24MW</t>
  </si>
  <si>
    <t>24MY</t>
  </si>
  <si>
    <t>24MZ</t>
  </si>
  <si>
    <t>24NB</t>
  </si>
  <si>
    <t>24NK</t>
  </si>
  <si>
    <t>24NL</t>
  </si>
  <si>
    <t>24NM</t>
  </si>
  <si>
    <t>24NN</t>
  </si>
  <si>
    <t>24NP</t>
  </si>
  <si>
    <t>24NT</t>
  </si>
  <si>
    <t>24NV</t>
  </si>
  <si>
    <t>24NX</t>
  </si>
  <si>
    <t>24NY</t>
  </si>
  <si>
    <t>24NZ</t>
  </si>
  <si>
    <t>24PA</t>
  </si>
  <si>
    <t>24PB</t>
  </si>
  <si>
    <t>24PC</t>
  </si>
  <si>
    <t>24PE</t>
  </si>
  <si>
    <t>24PU</t>
  </si>
  <si>
    <t>24PV</t>
  </si>
  <si>
    <t>24PX</t>
  </si>
  <si>
    <t>24RA</t>
  </si>
  <si>
    <t>24RB</t>
  </si>
  <si>
    <t>24RH</t>
  </si>
  <si>
    <t>24RK</t>
  </si>
  <si>
    <t>24RM</t>
  </si>
  <si>
    <t>24RN</t>
  </si>
  <si>
    <t>24RU</t>
  </si>
  <si>
    <t>24RZ</t>
  </si>
  <si>
    <t>24TA</t>
  </si>
  <si>
    <t>24TB</t>
  </si>
  <si>
    <t>24TC</t>
  </si>
  <si>
    <t>24TL</t>
  </si>
  <si>
    <t>24TZ</t>
  </si>
  <si>
    <t>24UA</t>
  </si>
  <si>
    <t>24UE</t>
  </si>
  <si>
    <t>24UN</t>
  </si>
  <si>
    <t>24ZB</t>
  </si>
  <si>
    <t>24ZC</t>
  </si>
  <si>
    <t>24ZD</t>
  </si>
  <si>
    <t>24ZE</t>
  </si>
  <si>
    <t>24ZH</t>
  </si>
  <si>
    <t>24ZJ</t>
  </si>
  <si>
    <t>24ZK</t>
  </si>
  <si>
    <t>25DE</t>
  </si>
  <si>
    <t>25GH</t>
  </si>
  <si>
    <t>25GJ</t>
  </si>
  <si>
    <t>25GK</t>
  </si>
  <si>
    <t>25GN</t>
  </si>
  <si>
    <t>25GP</t>
  </si>
  <si>
    <t>25GR</t>
  </si>
  <si>
    <t>25HD</t>
  </si>
  <si>
    <t>25HE</t>
  </si>
  <si>
    <t>25KC</t>
  </si>
  <si>
    <t>25KD</t>
  </si>
  <si>
    <t>25KE</t>
  </si>
  <si>
    <t>25KF</t>
  </si>
  <si>
    <t>25KG</t>
  </si>
  <si>
    <t>25KH</t>
  </si>
  <si>
    <t>25KJ</t>
  </si>
  <si>
    <t>25KL</t>
  </si>
  <si>
    <t>25KM</t>
  </si>
  <si>
    <t>25KN</t>
  </si>
  <si>
    <t>25KP</t>
  </si>
  <si>
    <t>25KR</t>
  </si>
  <si>
    <t>25KT</t>
  </si>
  <si>
    <t>25KU</t>
  </si>
  <si>
    <t>25KV</t>
  </si>
  <si>
    <t>26AA</t>
  </si>
  <si>
    <t>26AB</t>
  </si>
  <si>
    <t>26AC</t>
  </si>
  <si>
    <t>26AD</t>
  </si>
  <si>
    <t>26AE</t>
  </si>
  <si>
    <t>26AF</t>
  </si>
  <si>
    <t>26AG</t>
  </si>
  <si>
    <t>26AH</t>
  </si>
  <si>
    <t>26AJ</t>
  </si>
  <si>
    <t>26AL</t>
  </si>
  <si>
    <t>26AM</t>
  </si>
  <si>
    <t>26AN</t>
  </si>
  <si>
    <t>26AP</t>
  </si>
  <si>
    <t>26AR</t>
  </si>
  <si>
    <t>26AT</t>
  </si>
  <si>
    <t>26AU</t>
  </si>
  <si>
    <t>26AV</t>
  </si>
  <si>
    <t>26AW</t>
  </si>
  <si>
    <t>26AX</t>
  </si>
  <si>
    <t>26AY</t>
  </si>
  <si>
    <t>26AZ</t>
  </si>
  <si>
    <t>26BA</t>
  </si>
  <si>
    <t>26BB</t>
  </si>
  <si>
    <t>26BC</t>
  </si>
  <si>
    <t>26BD</t>
  </si>
  <si>
    <t>26LD</t>
  </si>
  <si>
    <t>26LF</t>
  </si>
  <si>
    <t>26LY</t>
  </si>
  <si>
    <t>26MC</t>
  </si>
  <si>
    <t>26MK</t>
  </si>
  <si>
    <t>26MN</t>
  </si>
  <si>
    <t>26MR</t>
  </si>
  <si>
    <t>26MU</t>
  </si>
  <si>
    <t>26MW</t>
  </si>
  <si>
    <t>26NC</t>
  </si>
  <si>
    <t>26NE</t>
  </si>
  <si>
    <t>26NL</t>
  </si>
  <si>
    <t>26NR</t>
  </si>
  <si>
    <t>26NU</t>
  </si>
  <si>
    <t>26PD</t>
  </si>
  <si>
    <t>26PE</t>
  </si>
  <si>
    <t>26PF</t>
  </si>
  <si>
    <t>26PH</t>
  </si>
  <si>
    <t>26PJ</t>
  </si>
  <si>
    <t>26PK</t>
  </si>
  <si>
    <t>26PL</t>
  </si>
  <si>
    <t>26PM</t>
  </si>
  <si>
    <t>26PN</t>
  </si>
  <si>
    <t>26PP</t>
  </si>
  <si>
    <t>26PR</t>
  </si>
  <si>
    <t>26PT</t>
  </si>
  <si>
    <t>26PU</t>
  </si>
  <si>
    <t>26PV</t>
  </si>
  <si>
    <t>26PW</t>
  </si>
  <si>
    <t>26PX</t>
  </si>
  <si>
    <t>26PY</t>
  </si>
  <si>
    <t>26PZ</t>
  </si>
  <si>
    <t>26RA</t>
  </si>
  <si>
    <t>26RK</t>
  </si>
  <si>
    <t>26ZZ</t>
  </si>
  <si>
    <t>27AA</t>
  </si>
  <si>
    <t>27AK</t>
  </si>
  <si>
    <t>27BM</t>
  </si>
  <si>
    <t>27BN</t>
  </si>
  <si>
    <t>27CA</t>
  </si>
  <si>
    <t>27CB</t>
  </si>
  <si>
    <t>27CC</t>
  </si>
  <si>
    <t>27CD</t>
  </si>
  <si>
    <t>27CE</t>
  </si>
  <si>
    <t>27CF</t>
  </si>
  <si>
    <t>27CG</t>
  </si>
  <si>
    <t>27CH</t>
  </si>
  <si>
    <t>27CJ</t>
  </si>
  <si>
    <t>27CK</t>
  </si>
  <si>
    <t>27CL</t>
  </si>
  <si>
    <t>27CM</t>
  </si>
  <si>
    <t>27CN</t>
  </si>
  <si>
    <t>27CP</t>
  </si>
  <si>
    <t>27CR</t>
  </si>
  <si>
    <t>27CT</t>
  </si>
  <si>
    <t>27JH</t>
  </si>
  <si>
    <t>27JJ</t>
  </si>
  <si>
    <t>27JK</t>
  </si>
  <si>
    <t>27JN</t>
  </si>
  <si>
    <t>27JP</t>
  </si>
  <si>
    <t>27JR</t>
  </si>
  <si>
    <t>27JT</t>
  </si>
  <si>
    <t>27JU</t>
  </si>
  <si>
    <t>27JV</t>
  </si>
  <si>
    <t>27JW</t>
  </si>
  <si>
    <t>27JX</t>
  </si>
  <si>
    <t>27KA</t>
  </si>
  <si>
    <t>27KE</t>
  </si>
  <si>
    <t>27LH</t>
  </si>
  <si>
    <t>27LJ</t>
  </si>
  <si>
    <t>27LR</t>
  </si>
  <si>
    <t>27LT</t>
  </si>
  <si>
    <t>27LU</t>
  </si>
  <si>
    <t>27LV</t>
  </si>
  <si>
    <t>27LW</t>
  </si>
  <si>
    <t>27LX</t>
  </si>
  <si>
    <t>27LY</t>
  </si>
  <si>
    <t>27LZ</t>
  </si>
  <si>
    <t>27MA</t>
  </si>
  <si>
    <t>27MB</t>
  </si>
  <si>
    <t>27MC</t>
  </si>
  <si>
    <t>27ME</t>
  </si>
  <si>
    <t>27MG</t>
  </si>
  <si>
    <t>27MH</t>
  </si>
  <si>
    <t>27ML</t>
  </si>
  <si>
    <t>27NL</t>
  </si>
  <si>
    <t>27NM</t>
  </si>
  <si>
    <t>27NN</t>
  </si>
  <si>
    <t>27NP</t>
  </si>
  <si>
    <t>27NR</t>
  </si>
  <si>
    <t>27NT</t>
  </si>
  <si>
    <t>27NU</t>
  </si>
  <si>
    <t>27NV</t>
  </si>
  <si>
    <t>27NW</t>
  </si>
  <si>
    <t>27NX</t>
  </si>
  <si>
    <t>27NY</t>
  </si>
  <si>
    <t>27NZ</t>
  </si>
  <si>
    <t>27PA</t>
  </si>
  <si>
    <t>27PB</t>
  </si>
  <si>
    <t>27PC</t>
  </si>
  <si>
    <t>27PD</t>
  </si>
  <si>
    <t>27PE</t>
  </si>
  <si>
    <t>27PF</t>
  </si>
  <si>
    <t>27PG</t>
  </si>
  <si>
    <t>27PH</t>
  </si>
  <si>
    <t>27PK</t>
  </si>
  <si>
    <t>27PN</t>
  </si>
  <si>
    <t>27PR</t>
  </si>
  <si>
    <t>27PT</t>
  </si>
  <si>
    <t>27PU</t>
  </si>
  <si>
    <t>27PW</t>
  </si>
  <si>
    <t>27PX</t>
  </si>
  <si>
    <t>27RK</t>
  </si>
  <si>
    <t>27RL</t>
  </si>
  <si>
    <t>27RM</t>
  </si>
  <si>
    <t>27RN</t>
  </si>
  <si>
    <t>27RP</t>
  </si>
  <si>
    <t>27RT</t>
  </si>
  <si>
    <t>27RU</t>
  </si>
  <si>
    <t>27TZ</t>
  </si>
  <si>
    <t>27UA</t>
  </si>
  <si>
    <t>27UB</t>
  </si>
  <si>
    <t>27UC</t>
  </si>
  <si>
    <t>27UE</t>
  </si>
  <si>
    <t>27UZ</t>
  </si>
  <si>
    <t>27VA</t>
  </si>
  <si>
    <t>27WY</t>
  </si>
  <si>
    <t>27WZ</t>
  </si>
  <si>
    <t>27XA</t>
  </si>
  <si>
    <t>27XB</t>
  </si>
  <si>
    <t>27XC</t>
  </si>
  <si>
    <t>27XD</t>
  </si>
  <si>
    <t>27XE</t>
  </si>
  <si>
    <t>27XG</t>
  </si>
  <si>
    <t>27XH</t>
  </si>
  <si>
    <t>27XJ</t>
  </si>
  <si>
    <t>27XK</t>
  </si>
  <si>
    <t>27YB</t>
  </si>
  <si>
    <t>27YC</t>
  </si>
  <si>
    <t>27YD</t>
  </si>
  <si>
    <t>27YE</t>
  </si>
  <si>
    <t>27YF</t>
  </si>
  <si>
    <t>27YG</t>
  </si>
  <si>
    <t>27YH</t>
  </si>
  <si>
    <t>27YJ</t>
  </si>
  <si>
    <t>27YK</t>
  </si>
  <si>
    <t>27YN</t>
  </si>
  <si>
    <t>27YP</t>
  </si>
  <si>
    <t>27YV</t>
  </si>
  <si>
    <t>27YW</t>
  </si>
  <si>
    <t>27YZ</t>
  </si>
  <si>
    <t>27ZA</t>
  </si>
  <si>
    <t>27ZD</t>
  </si>
  <si>
    <t>28AE</t>
  </si>
  <si>
    <t>28AF</t>
  </si>
  <si>
    <t>28AG</t>
  </si>
  <si>
    <t>28AJ</t>
  </si>
  <si>
    <t>28AK</t>
  </si>
  <si>
    <t>28AL</t>
  </si>
  <si>
    <t>28AM</t>
  </si>
  <si>
    <t>28AN</t>
  </si>
  <si>
    <t>28AP</t>
  </si>
  <si>
    <t>28AU</t>
  </si>
  <si>
    <t>28AV</t>
  </si>
  <si>
    <t>28AW</t>
  </si>
  <si>
    <t>28BA</t>
  </si>
  <si>
    <t>28BC</t>
  </si>
  <si>
    <t>28BF</t>
  </si>
  <si>
    <t>28BG</t>
  </si>
  <si>
    <t>28BH</t>
  </si>
  <si>
    <t>28BJ</t>
  </si>
  <si>
    <t>28BL</t>
  </si>
  <si>
    <t>28BP</t>
  </si>
  <si>
    <t>28BZ</t>
  </si>
  <si>
    <t>28CD</t>
  </si>
  <si>
    <t>28CE</t>
  </si>
  <si>
    <t>28CF</t>
  </si>
  <si>
    <t>28CG</t>
  </si>
  <si>
    <t>28CH</t>
  </si>
  <si>
    <t>28CK</t>
  </si>
  <si>
    <t>28CL</t>
  </si>
  <si>
    <t>28CY</t>
  </si>
  <si>
    <t>28CZ</t>
  </si>
  <si>
    <t>28DA</t>
  </si>
  <si>
    <t>28DC</t>
  </si>
  <si>
    <t>28DD</t>
  </si>
  <si>
    <t>29RV</t>
  </si>
  <si>
    <t>29TM</t>
  </si>
  <si>
    <t>29TN</t>
  </si>
  <si>
    <t>29TZ</t>
  </si>
  <si>
    <t>29UA</t>
  </si>
  <si>
    <t>29UB</t>
  </si>
  <si>
    <t>29UC</t>
  </si>
  <si>
    <t>29UG</t>
  </si>
  <si>
    <t>29UL</t>
  </si>
  <si>
    <t>29UM</t>
  </si>
  <si>
    <t>29XB</t>
  </si>
  <si>
    <t>29XC</t>
  </si>
  <si>
    <t>29XE</t>
  </si>
  <si>
    <t>29XF</t>
  </si>
  <si>
    <t>29XG</t>
  </si>
  <si>
    <t>29XH</t>
  </si>
  <si>
    <t>29XJ</t>
  </si>
  <si>
    <t>29XL</t>
  </si>
  <si>
    <t>29XN</t>
  </si>
  <si>
    <t>29XP</t>
  </si>
  <si>
    <t>29XR</t>
  </si>
  <si>
    <t>29XV</t>
  </si>
  <si>
    <t>29XW</t>
  </si>
  <si>
    <t>29XY</t>
  </si>
  <si>
    <t>29XZ</t>
  </si>
  <si>
    <t>29YC</t>
  </si>
  <si>
    <t>29YD</t>
  </si>
  <si>
    <t>29YF</t>
  </si>
  <si>
    <t>29YJ</t>
  </si>
  <si>
    <t>30AF</t>
  </si>
  <si>
    <t>30AG</t>
  </si>
  <si>
    <t>30AH</t>
  </si>
  <si>
    <t>30AJ</t>
  </si>
  <si>
    <t>30AK</t>
  </si>
  <si>
    <t>30AL</t>
  </si>
  <si>
    <t>30AR</t>
  </si>
  <si>
    <t>30AZ</t>
  </si>
  <si>
    <t>30BA</t>
  </si>
  <si>
    <t>30BB</t>
  </si>
  <si>
    <t>30EF</t>
  </si>
  <si>
    <t>30FG</t>
  </si>
  <si>
    <t>30FL</t>
  </si>
  <si>
    <t>30FM</t>
  </si>
  <si>
    <t>30FU</t>
  </si>
  <si>
    <t>30FV</t>
  </si>
  <si>
    <t>30FX</t>
  </si>
  <si>
    <t>30FY</t>
  </si>
  <si>
    <t>30FZ</t>
  </si>
  <si>
    <t>30GF</t>
  </si>
  <si>
    <t>30GJ</t>
  </si>
  <si>
    <t>30GY</t>
  </si>
  <si>
    <t>30JP</t>
  </si>
  <si>
    <t>30JR</t>
  </si>
  <si>
    <t>30JU</t>
  </si>
  <si>
    <t>30JV</t>
  </si>
  <si>
    <t>30JZ</t>
  </si>
  <si>
    <t>30KD</t>
  </si>
  <si>
    <t>30KE</t>
  </si>
  <si>
    <t>30KF</t>
  </si>
  <si>
    <t>30KN</t>
  </si>
  <si>
    <t>30PE</t>
  </si>
  <si>
    <t>30PF</t>
  </si>
  <si>
    <t>30PM</t>
  </si>
  <si>
    <t>30PW</t>
  </si>
  <si>
    <t>30RD</t>
  </si>
  <si>
    <t>30RE</t>
  </si>
  <si>
    <t>30RH</t>
  </si>
  <si>
    <t>30RJ</t>
  </si>
  <si>
    <t>30RL</t>
  </si>
  <si>
    <t>30TE</t>
  </si>
  <si>
    <t>30TF</t>
  </si>
  <si>
    <t>30UE</t>
  </si>
  <si>
    <t>30UF</t>
  </si>
  <si>
    <t>30UN</t>
  </si>
  <si>
    <t>30UP</t>
  </si>
  <si>
    <t>30UR</t>
  </si>
  <si>
    <t>30UT</t>
  </si>
  <si>
    <t>30UX</t>
  </si>
  <si>
    <t>30UY</t>
  </si>
  <si>
    <t>30UZ</t>
  </si>
  <si>
    <t>30VA</t>
  </si>
  <si>
    <t>30VB</t>
  </si>
  <si>
    <t>30VC</t>
  </si>
  <si>
    <t>30VD</t>
  </si>
  <si>
    <t>30WX</t>
  </si>
  <si>
    <t>30WY</t>
  </si>
  <si>
    <t>30XB</t>
  </si>
  <si>
    <t>30XC</t>
  </si>
  <si>
    <t>30XD</t>
  </si>
  <si>
    <t>30XM</t>
  </si>
  <si>
    <t>30XT</t>
  </si>
  <si>
    <t>31AE</t>
  </si>
  <si>
    <t>31AG</t>
  </si>
  <si>
    <t>31AH</t>
  </si>
  <si>
    <t>31AW</t>
  </si>
  <si>
    <t>31AX</t>
  </si>
  <si>
    <t>31AZ</t>
  </si>
  <si>
    <t>31BJ</t>
  </si>
  <si>
    <t>31BK</t>
  </si>
  <si>
    <t>31BR</t>
  </si>
  <si>
    <t>31CJ</t>
  </si>
  <si>
    <t>31DE</t>
  </si>
  <si>
    <t>31DF</t>
  </si>
  <si>
    <t>31DH</t>
  </si>
  <si>
    <t>31DJ</t>
  </si>
  <si>
    <t>31DM</t>
  </si>
  <si>
    <t>31DN</t>
  </si>
  <si>
    <t>31DP</t>
  </si>
  <si>
    <t>31DV</t>
  </si>
  <si>
    <t>31EC</t>
  </si>
  <si>
    <t>31ET</t>
  </si>
  <si>
    <t>31FJ</t>
  </si>
  <si>
    <t>31FK</t>
  </si>
  <si>
    <t>31FM</t>
  </si>
  <si>
    <t>31FN</t>
  </si>
  <si>
    <t>31FT</t>
  </si>
  <si>
    <t>31FU</t>
  </si>
  <si>
    <t>31GH</t>
  </si>
  <si>
    <t>31GW</t>
  </si>
  <si>
    <t>31GX</t>
  </si>
  <si>
    <t>31JD</t>
  </si>
  <si>
    <t>31JE</t>
  </si>
  <si>
    <t>31JF</t>
  </si>
  <si>
    <t>31JG</t>
  </si>
  <si>
    <t>31JK</t>
  </si>
  <si>
    <t>31JL</t>
  </si>
  <si>
    <t>31JM</t>
  </si>
  <si>
    <t>31JN</t>
  </si>
  <si>
    <t>31JR</t>
  </si>
  <si>
    <t>31JT</t>
  </si>
  <si>
    <t>31JX</t>
  </si>
  <si>
    <t>31KB</t>
  </si>
  <si>
    <t>31LC</t>
  </si>
  <si>
    <t>31LD</t>
  </si>
  <si>
    <t>31LH</t>
  </si>
  <si>
    <t>31LJ</t>
  </si>
  <si>
    <t>31LK</t>
  </si>
  <si>
    <t>31LL</t>
  </si>
  <si>
    <t>31LM</t>
  </si>
  <si>
    <t>31LN</t>
  </si>
  <si>
    <t>31LR</t>
  </si>
  <si>
    <t>31LT</t>
  </si>
  <si>
    <t>31LY</t>
  </si>
  <si>
    <t>31LZ</t>
  </si>
  <si>
    <t>31MA</t>
  </si>
  <si>
    <t>31ME</t>
  </si>
  <si>
    <t>31MF</t>
  </si>
  <si>
    <t>31MG</t>
  </si>
  <si>
    <t>31MH</t>
  </si>
  <si>
    <t>31ML</t>
  </si>
  <si>
    <t>31MM</t>
  </si>
  <si>
    <t>31MN</t>
  </si>
  <si>
    <t>31MV</t>
  </si>
  <si>
    <t>31MX</t>
  </si>
  <si>
    <t>BRIN</t>
  </si>
  <si>
    <t>Soort onderwijs</t>
  </si>
  <si>
    <t>Aantal leerlingen</t>
  </si>
  <si>
    <t>Werkgevernummer</t>
  </si>
  <si>
    <t>Werkdrukbedrag per onderwijssoort</t>
  </si>
  <si>
    <t>Aanvullende bekostiging onderwijsachterstandenbeleid</t>
  </si>
  <si>
    <t>B3:B7</t>
  </si>
  <si>
    <t>BEVOEGD GEZAG NUMMER</t>
  </si>
  <si>
    <t>BEVOEGD GEZAG NAAM</t>
  </si>
  <si>
    <t>DENOMINATIE</t>
  </si>
  <si>
    <t>Gemeente Emmen</t>
  </si>
  <si>
    <t>Openbaar</t>
  </si>
  <si>
    <t>Gemeente Terschelling</t>
  </si>
  <si>
    <t>Gemeente Westerwolde</t>
  </si>
  <si>
    <t>Gemeente Noordenveld</t>
  </si>
  <si>
    <t>Gemeente Eijsden-Margraten</t>
  </si>
  <si>
    <t>Stichting Openbaar Primair Onderwijs Haarlemmermeer</t>
  </si>
  <si>
    <t>Stichting Openbaar Onderwijs Present</t>
  </si>
  <si>
    <t>Openbaar Primair Onderwijs Oegstgeest</t>
  </si>
  <si>
    <t>Schoolbestuur voor primair en voortgezet onderwijs tussen Lauwers en Eems-stg</t>
  </si>
  <si>
    <t>Bestuurscommissie Master Frankeskoalle voor Basisonderwijs te Eernewoude</t>
  </si>
  <si>
    <t>Bestuurscommissie Openbaar Basisonderwijs Ameland</t>
  </si>
  <si>
    <t>Verenig. voor Chr. Onderwijs op Reformatorische Grondslag</t>
  </si>
  <si>
    <t>Reformatorisch</t>
  </si>
  <si>
    <t>Stichting Matthijsje</t>
  </si>
  <si>
    <t>Algemeen bijzonder</t>
  </si>
  <si>
    <t>Ver. Stg. Ned.-Herv. Chr. Scholen te Waddinxveen</t>
  </si>
  <si>
    <t>Protestants-Christelijk</t>
  </si>
  <si>
    <t>Vereniging Jenaplanonderwijs Oudewater</t>
  </si>
  <si>
    <t>Stichting Lucas Onderwijs</t>
  </si>
  <si>
    <t>Samenwerking PC, RK</t>
  </si>
  <si>
    <t>Westlandse Stichting Katholiek Onderwijs (WSKO)</t>
  </si>
  <si>
    <t>Rooms-Katholiek</t>
  </si>
  <si>
    <t>Amsterdamse Schoolver. v. Opv. en Onderwijs 'A.S.V.O.'</t>
  </si>
  <si>
    <t>Stichting Joodse Scholengem.sch. J.B.O.</t>
  </si>
  <si>
    <t>Joods</t>
  </si>
  <si>
    <t>Ver. tot Verstr. van Onderwijs op Gereformeerde Grondslag</t>
  </si>
  <si>
    <t>Ver voor Christ. Basisonderw. Laat de kinderen tot Mij komen</t>
  </si>
  <si>
    <t>Stichting voor Interconfess. (rk/pc) en Katholiek Onderwijs</t>
  </si>
  <si>
    <t>Ver. Verstrekken Onderwijs op Gereformeerde Grondslag Lisse</t>
  </si>
  <si>
    <t>Quo Vadis Stichting voor Basisonderwijs</t>
  </si>
  <si>
    <t>Interconfessioneel</t>
  </si>
  <si>
    <t>Vereniging voor Prot. Chr. Onderw. Rhenen</t>
  </si>
  <si>
    <t>Schoolvereniging 'Willemspark'</t>
  </si>
  <si>
    <t>Ver. tot het verstr. van b.o. op ref. grondsl. te Oosterland</t>
  </si>
  <si>
    <t>Vereniging 'een School met de Bijbel'</t>
  </si>
  <si>
    <t>Ver. Verstr. Kleuter/Bo op GGs te Nunspeet</t>
  </si>
  <si>
    <t>Ver t Stg Insth Sch op Geref Grondsl</t>
  </si>
  <si>
    <t>Stichting Primair Onderwijs Leudal en Thornerkwartier</t>
  </si>
  <si>
    <t>Ver. Herv. Chr. Schoolonderw. te Waspik</t>
  </si>
  <si>
    <t>Ver. verstr. bo op Ger. Gr.sl. te Genemuiden</t>
  </si>
  <si>
    <t>Stg. St. Martinus v. Onderwijs op Katholieke Grondslag</t>
  </si>
  <si>
    <t>Ver. Basisond. op Reform. Grondsl. te Kootwijkerbroek</t>
  </si>
  <si>
    <t>Ver. Chr. Nat. Schoolonderwijs te Nunspeet</t>
  </si>
  <si>
    <t>Stichting Rotterdamse Verenig. van K.O.</t>
  </si>
  <si>
    <t>Vereniging tot het verstr. van Christ. bo  op Ger. Grondslag</t>
  </si>
  <si>
    <t>Stichting VCO Oost Nederland</t>
  </si>
  <si>
    <t>Ver. tot het Verstr. van Onderw. op Geref. Grondsl.</t>
  </si>
  <si>
    <t>Amersfoortse Schoolvereniging</t>
  </si>
  <si>
    <t>Vereniging tot het Verstrekken Onderwijs Gereform. Grondslag</t>
  </si>
  <si>
    <t>Stichting Keender</t>
  </si>
  <si>
    <t>Samenwerking Opb., RK</t>
  </si>
  <si>
    <t>Stichting Katholiek Montessori Onderwijs Bussum</t>
  </si>
  <si>
    <t>Vereniging voor Basisonderwijs Gereform. Grondslag te Tholen</t>
  </si>
  <si>
    <t>Stichting Fedra</t>
  </si>
  <si>
    <t>Stichting Reformatorisch Onderwijs</t>
  </si>
  <si>
    <t>Stg. tot het Verstr. van BO op Gereformeerde Grondslag</t>
  </si>
  <si>
    <t>Stichting Best Onderwijs</t>
  </si>
  <si>
    <t>Samenwerking PC, RK, Alg. Bijz</t>
  </si>
  <si>
    <t>Stichting Christ. Basisonderw. Lochem-Laren</t>
  </si>
  <si>
    <t>Ver. voor basisonderwijs op Gereformeerde grondslag Speuld</t>
  </si>
  <si>
    <t>Ver. Bev. vh Chr. Nat. onderw. te Hollum</t>
  </si>
  <si>
    <t>Stichting KBA NW West</t>
  </si>
  <si>
    <t>Stichting Brigantijn</t>
  </si>
  <si>
    <t>de Vrije School Noord en Oost Nederland</t>
  </si>
  <si>
    <t>Antroposofisch</t>
  </si>
  <si>
    <t>Stichting Katholiek Onderwijs De Streek</t>
  </si>
  <si>
    <t>Stichting Morgenwijzer</t>
  </si>
  <si>
    <t>Stichting Openluchtscholen voor het Gezonde kind</t>
  </si>
  <si>
    <t>Stichting voor Katholiek Onderwijs Aalsmeer</t>
  </si>
  <si>
    <t>Vereniging Stichting Instandhouding School met de Bijbel Staphorst</t>
  </si>
  <si>
    <t>Ver. Verstr. v. BO op R.G.s. te Kruiningen</t>
  </si>
  <si>
    <t>Ver. Scholen der Evangelische Broedergemeente</t>
  </si>
  <si>
    <t>Stichting Katholiek Onderwijs Hulst</t>
  </si>
  <si>
    <t>Stichting Conexus</t>
  </si>
  <si>
    <t>Ver. verstrekken van onderwijs Geref. Grondslag Krabbendijke</t>
  </si>
  <si>
    <t>Sticht. v. Prot. Christ. B.o. Amersfoort</t>
  </si>
  <si>
    <t>Stichting Scholen van het Rozenkruis</t>
  </si>
  <si>
    <t>Ver. Oecumenisch Onderwijs in Maarn</t>
  </si>
  <si>
    <t>Stichting de Vrije School Eindhoven-Zuid</t>
  </si>
  <si>
    <t>Ver v. Pr.-Christ. Bas.onderw. te Bakkeveen</t>
  </si>
  <si>
    <t>Montessori-Vereniging Tholen</t>
  </si>
  <si>
    <t>Ver. tot het verstrekken van basisonderw. Geref. grondslag</t>
  </si>
  <si>
    <t>Vereniging voor Chr. Onderwijs op Reformatorische Grondslag in de Hoeksche Waard</t>
  </si>
  <si>
    <t>Stichting tot het verstrekken Onderwijs Gereform. Grondslag</t>
  </si>
  <si>
    <t>Stichting Prot.-Chr. Onderwijs Boxmeer</t>
  </si>
  <si>
    <t>Stichting QliQ Primair Onderwijs</t>
  </si>
  <si>
    <t>Stichting tot het verstrekken onderw. op Gereform. grondslag</t>
  </si>
  <si>
    <t>Stichting De Buitenveldertse Montessorischool</t>
  </si>
  <si>
    <t>Vereniging voor Protestants- Chr. B.o. te Morra-Lioessens</t>
  </si>
  <si>
    <t>Stichting Katholiek Onderwijs Zeewolde</t>
  </si>
  <si>
    <t>Stg H3O v christ. peuterwerk kinderopv., prim./voortg. ond.</t>
  </si>
  <si>
    <t>Stichting Hervormde Scholen te Voorthuizen</t>
  </si>
  <si>
    <t>Ver. voor Chr. Primair Onderw. op Reform. Gr. Doetinchem eo</t>
  </si>
  <si>
    <t>Stg. Alg. Bijzonder Onderwijs in Heemstede</t>
  </si>
  <si>
    <t>Stichting Hindoe Onderwijs Nederland</t>
  </si>
  <si>
    <t>Hindoeïstisch</t>
  </si>
  <si>
    <t>Stichting voor Basisonderwijs Algem. Grondslag  Middelburg</t>
  </si>
  <si>
    <t>Stg. Islamitische Educatie Zuid-Oost Nederland</t>
  </si>
  <si>
    <t>Islamitisch</t>
  </si>
  <si>
    <t>Stichting Islamitisch Primair Onderwijs Rijnmond (SIPOR)</t>
  </si>
  <si>
    <t>Stg. Algemeen Basisonderwijs Rijnwaarden</t>
  </si>
  <si>
    <t>Ver. v. Montessori-Onderwijs Westland</t>
  </si>
  <si>
    <t>Stg. Montessori-/Tradit. B.O. Doesburg/Ellecom</t>
  </si>
  <si>
    <t>Stg. v. Chr. Bas.onderw. op Ref. Grondslag voor Katwijk eo</t>
  </si>
  <si>
    <t>Stichting Islamitische School Amsterdam</t>
  </si>
  <si>
    <t>Ver. Protestants-Christelijk Basisonderwijs te Beesd</t>
  </si>
  <si>
    <t>Vereniging een School met de Bijbel</t>
  </si>
  <si>
    <t>Borgesiusstichting</t>
  </si>
  <si>
    <t>Stichting Kievietschool</t>
  </si>
  <si>
    <t>Ver. t. st. en instandhouding v.e. schl m.d. Bijbel Hoornaar</t>
  </si>
  <si>
    <t>Stichting Van Brienenoordschool</t>
  </si>
  <si>
    <t>Stg. Onderw. Islamit. grondsl. Midden- en Oost-Nederland</t>
  </si>
  <si>
    <t>Stg. Verstr. Christ. Onderwijs op Gereformeerde Grondslag</t>
  </si>
  <si>
    <t>Stichting Islamitisch College</t>
  </si>
  <si>
    <t>Stichting Islamitische Scholen Helmond en omgeving</t>
  </si>
  <si>
    <t>Stichting Islamitische Scholen Rijn en Gouwe</t>
  </si>
  <si>
    <t>Delftse Vereniging voor Montessori-Onderwijs</t>
  </si>
  <si>
    <t>Ver. Verstrekken Basisonderw. op Gereformeerde Grondslag</t>
  </si>
  <si>
    <t>Vereniging v. C.N. Schoolond. te Lunteren</t>
  </si>
  <si>
    <t>Ver. Prot. Chr. Basisonderwijs 'Duinoordschool'</t>
  </si>
  <si>
    <t>Stichting Katholiek Onderwijs Veluwe-Vallei</t>
  </si>
  <si>
    <t>Stichting Edu-Ley</t>
  </si>
  <si>
    <t>Ver. verstr. onderwijs op Geref. grondslag te Leerdam</t>
  </si>
  <si>
    <t>'Stichting SKOzoK', Samen Koersen op zichtbare ok</t>
  </si>
  <si>
    <t>Vereniging De Gooische School</t>
  </si>
  <si>
    <t>Stg. Penta, St. RK, Prot. Chr. &amp; Interconfessioneel Onderwij</t>
  </si>
  <si>
    <t>Ver. tot het verstr. Onderwijs op Ger. grondslag te Borssele</t>
  </si>
  <si>
    <t>Het Timpaan/Stg. RK/Prot.-Chr. Basisonderw. Wehl &amp; Nieuw-Weh</t>
  </si>
  <si>
    <t>Stichting Katholiek Onderwijs Het Groene Lint</t>
  </si>
  <si>
    <t>Ver. tot Stg. en  Instandh. v. Scholen met de Bijbel</t>
  </si>
  <si>
    <t>Stichting Christelijke Kindcentra Drenthe</t>
  </si>
  <si>
    <t>Stichting R.K. Basisscholen Vleuten, De Meern, Haarzuilens</t>
  </si>
  <si>
    <t>Stichting Kiem Onderwijs</t>
  </si>
  <si>
    <t>Ver. Stg. Schol. met de Bijb. te Giessen-Nieuwkerk e.o.</t>
  </si>
  <si>
    <t>Stichting Katholiek Onderwijs Ginneken</t>
  </si>
  <si>
    <t>Ver. tot Instandh. en Best. vd Joris de Witteschool</t>
  </si>
  <si>
    <t>Stichting GOO Onderwijs en Opvang</t>
  </si>
  <si>
    <t>Karakter, V. Scholen md Bijbel Alblasserwaard</t>
  </si>
  <si>
    <t>Christelijke Schoolvereniging 'Obadja'</t>
  </si>
  <si>
    <t>Vereniging 'Eben Haëzer' voor Chr. Schoolonderwijs Leerbroek</t>
  </si>
  <si>
    <t>Edese Schoolvereniging</t>
  </si>
  <si>
    <t>Schoolvereniging 'Agatha Snellen'</t>
  </si>
  <si>
    <t>Stichting Muziekinstituut van de Kathedraal Sint Bavo</t>
  </si>
  <si>
    <t>Ver. tot Stg. &amp; Instandhouding Scholen met Bijbel te Benneko</t>
  </si>
  <si>
    <t>Vereniging voor Christelyk Nationaal Basisonderwys</t>
  </si>
  <si>
    <t>Hallsche Schoolvereniging</t>
  </si>
  <si>
    <t>Ver. tot Stg. &amp; Inst.houd. van Sch. md Bijbel E'veen en H'su</t>
  </si>
  <si>
    <t>Vereniging voor Buitengewoon Speciaal Onderwijs School Vereniging Gooiland</t>
  </si>
  <si>
    <t>Zelfst Onderd vh Kerkgen vd Ger Gem Elspeet</t>
  </si>
  <si>
    <t>Ver. 'Scholen met de Bijbel', Buurtsch. Horst &amp; Telgt Ermelo</t>
  </si>
  <si>
    <t>Sticht. Verstr. Basisonderwijs op Gereformeerde Grondslag</t>
  </si>
  <si>
    <t>Stichting School met de Bijbel</t>
  </si>
  <si>
    <t>Christelijk Instituut 'Groen van Prinsterer'</t>
  </si>
  <si>
    <t>Stichting Rehobothschool Uddel</t>
  </si>
  <si>
    <t>Stg Scholen voor Christelijk Basisonderwijs Zeist e.o.</t>
  </si>
  <si>
    <t>Leeuwarder Schoolvereniging</t>
  </si>
  <si>
    <t>De ver. tot st. &amp; instandh. v. Scholen m.d. Bijbel Ommerk. e</t>
  </si>
  <si>
    <t>Ver. tot St. instandhouding scholen Bijbel Geref. grondsl.</t>
  </si>
  <si>
    <t>Ver. Prot. Christ. Onderwijs Wilhelminascholen Doetinchem</t>
  </si>
  <si>
    <t>Stichting Algemeen Basisonderw. Comenius</t>
  </si>
  <si>
    <t>Ver. tot Stg. en Instandh. van Chr. Nation. Scholen te Gouda</t>
  </si>
  <si>
    <t>Vereniging voor Voorbereidend Onderwijs</t>
  </si>
  <si>
    <t>Vereniging tot Stichting Instandhouding Ener Christelijke School</t>
  </si>
  <si>
    <t>Vereniging Montessorischool Bilthoven</t>
  </si>
  <si>
    <t>Ver. voor Chr. Nat. Schoolond. te Staphorst</t>
  </si>
  <si>
    <t>Gereformeerde Schoolvereniging Westernieland en omstreken</t>
  </si>
  <si>
    <t>Ver. Inst.houd. &amp; Best. School voor CBO, gen. Hofdijckschool</t>
  </si>
  <si>
    <t>Sticht. Confess. Basisonderw. West Zeeuws-Vlaanderen</t>
  </si>
  <si>
    <t>Ver. Chr. Nat. Schoolonderwijs te Helmond</t>
  </si>
  <si>
    <t>Vereniging Nieuwe Baarnsche School</t>
  </si>
  <si>
    <t>De Bussumse Montessorischoolvereniging</t>
  </si>
  <si>
    <t>Stichting Lijn 83 primair onderwijs</t>
  </si>
  <si>
    <t>Ver. Stichting Instandhouding School met de Bijbel</t>
  </si>
  <si>
    <t>Stg. vr Prot. Christ. Primair Onderw. Barendr. en Ridderkerk</t>
  </si>
  <si>
    <t>Samenwerkingsstichting Kans &amp; Kleur</t>
  </si>
  <si>
    <t>Samenwerking Opb., RK, Alg. Bi</t>
  </si>
  <si>
    <t>Ver. voor Prot. Chr. Onderwijs te Gorredijk en Omstreken</t>
  </si>
  <si>
    <t>Stichting Neutraal Onderwijs Wilhelmina</t>
  </si>
  <si>
    <t>Stichting Belang. 'Schol. Bijb.' Achterberg, Gem. Rhenen</t>
  </si>
  <si>
    <t>Sticht. schoolbestuur Laetare Schoolbestuur voor R.K.O.</t>
  </si>
  <si>
    <t>Ver. Stg./school met de Bijbel te Oud-Alblas</t>
  </si>
  <si>
    <t>Ver. Stg. Instandh. van Schol. met de Bijb.te Hark. e.o.</t>
  </si>
  <si>
    <t>De Ver. Stg. en Instandhouding Christ. Scholen te Doornspijk</t>
  </si>
  <si>
    <t>Vereniging tot het Verstrekken van Onderw. op Ger. Grondslag</t>
  </si>
  <si>
    <t>Ver. Verstr. v. Basisond. op Geref.Grondsl. BS 'De Bornput'</t>
  </si>
  <si>
    <t>Vereniging tot het Verstrekken Basisond. Gereform. Grondslag</t>
  </si>
  <si>
    <t>Stichting Nutsscholen Geldrop</t>
  </si>
  <si>
    <t>Stichting Onderwijs Kruisland</t>
  </si>
  <si>
    <t>Stg. Katholiek en P.C. B.o. Vught e.o. Leijestroom</t>
  </si>
  <si>
    <t>Vereniging Nutsschool Wassenaar</t>
  </si>
  <si>
    <t>Stichting onderwijsgemeenschap 'De Hoeve'</t>
  </si>
  <si>
    <t>Stg. Onderwijsgr. Amstelland, stg. voor RK/PC basisonderwijs</t>
  </si>
  <si>
    <t>Stichting Islamitische Basisscholen</t>
  </si>
  <si>
    <t>Stichting Noor</t>
  </si>
  <si>
    <t>Stg. Prisma, stg. prot. chr. &amp; oecumen. onderwijs in Almere</t>
  </si>
  <si>
    <t>Stichting Montessorischool De Triangel</t>
  </si>
  <si>
    <t>Verenig. Schol. der Evangel. Broedergemeenten in Amsterdam</t>
  </si>
  <si>
    <t>Evangelische broedergemeenscha</t>
  </si>
  <si>
    <t>Stichting Montessorischool Veenendaal</t>
  </si>
  <si>
    <t>Stichting Atlant Basisonderwijs</t>
  </si>
  <si>
    <t>Stichting Interconfessioneel Basisonderwijs te Rotterdam eo</t>
  </si>
  <si>
    <t>Islam. Stg. Ned. Ond. en Opv.- ISNO, Yunus Emre Den Haag</t>
  </si>
  <si>
    <t>Stichting Delta Onderwijs</t>
  </si>
  <si>
    <t>Stichting Jenapl. Basisschool Vlinderbos</t>
  </si>
  <si>
    <t>Stichting Basisschool Icarus Heemstede</t>
  </si>
  <si>
    <t>Stichting Nederl. Islamitische Scholen</t>
  </si>
  <si>
    <t>Vereniging voor Christelijk Onderwijs te Valkenburg Z.H.</t>
  </si>
  <si>
    <t>Stg. Algem. Bijzonder Onderw. Flevoland</t>
  </si>
  <si>
    <t>Stichting IBPL</t>
  </si>
  <si>
    <t>Ver. Onderw. op Gereformeerde Grondslag te Ridderkerk</t>
  </si>
  <si>
    <t>Vereniging Ibogo</t>
  </si>
  <si>
    <t>De Vlissingse Schoolvereniging</t>
  </si>
  <si>
    <t>Stg. Prot.-Chr. Basis Onderw. Smallingerland en omstreken</t>
  </si>
  <si>
    <t>Stichting Montessori Onderwijs Houten</t>
  </si>
  <si>
    <t>Vereniging voor Algemeen Bijz. Montessorionderw. Haaksbergen</t>
  </si>
  <si>
    <t>Stg. Alg. Bijzonder Onderwijs Hoorn</t>
  </si>
  <si>
    <t>Stichting Unicoz onderwijsgroep</t>
  </si>
  <si>
    <t>Stg. Kath. en Prot.-Chr. Onderw. Eindhov. e.o.</t>
  </si>
  <si>
    <t>Stichting Islamitisch Onderwijs Iqra</t>
  </si>
  <si>
    <t>Stichting Islamitisch Onderwijs Utrecht</t>
  </si>
  <si>
    <t>Stichting Islamitische Scholen El-Amal</t>
  </si>
  <si>
    <t>Stg. tot het verstr. ond. GG, uitg. Geref. in Ned. Barneveld</t>
  </si>
  <si>
    <t>Stichting Rijdende School</t>
  </si>
  <si>
    <t>Stichting Prohles</t>
  </si>
  <si>
    <t>Stichting De Kosmos</t>
  </si>
  <si>
    <t>Lowys Porquinstichting</t>
  </si>
  <si>
    <t>Stichting voor Christelijk Onderwijs te Alphen aan den Rijn en omstreken</t>
  </si>
  <si>
    <t>Verenig. School met de Bijbel te Stolwijk</t>
  </si>
  <si>
    <t>Protestants-Christelijke Schoolvereniging Voorschoten</t>
  </si>
  <si>
    <t>De Eenbes, Stichting Kathol., Prot.-Chr./Interc. Pr. Onderw.</t>
  </si>
  <si>
    <t>Stichting Montessorischool Enkhuizen</t>
  </si>
  <si>
    <t>Stichting Wijzer aan de Amstel</t>
  </si>
  <si>
    <t>Onderwijsstichting Esprit</t>
  </si>
  <si>
    <t>Stichting Nutsscholen Breda</t>
  </si>
  <si>
    <t>Ver. Prot.-Chr. Basisonderw. te Hollandscheveld</t>
  </si>
  <si>
    <t>Stichting Aves</t>
  </si>
  <si>
    <t>Samenwerking Opb., PC, RK</t>
  </si>
  <si>
    <t>Stg. Initia, Kath.Prim.Onderw. voor Dongen en omgeving</t>
  </si>
  <si>
    <t>Stichting Alberdingk Thijm Scholen</t>
  </si>
  <si>
    <t>Stichting voor P-C Onderwijs B.waard, L.v.H.&amp;A.&amp;Langstr. eo</t>
  </si>
  <si>
    <t>Stichting St.-Christoffel</t>
  </si>
  <si>
    <t>Stichting Tabijn</t>
  </si>
  <si>
    <t>Stichting Algemeen Bijzonder Basisonderwijs 't Gooi</t>
  </si>
  <si>
    <t>Vereniging Suringar</t>
  </si>
  <si>
    <t>Stg. Interconf. (PC/RK) B.ond. Naarden</t>
  </si>
  <si>
    <t>Stichting Vooruitstrevend Alg. Hindoe Onderwijs Nederl.</t>
  </si>
  <si>
    <t>Stichting Katholiek en Openbaar Onderwijs Noord Hofland</t>
  </si>
  <si>
    <t>Stg. Bijzond. Scholen voor OAG Spijkenisse</t>
  </si>
  <si>
    <t>De Groeiling, Stg. katholiek interconfess. primair onderw.</t>
  </si>
  <si>
    <t>Stichting PCO Hillegersberg-Schiebroek</t>
  </si>
  <si>
    <t>Jong Leren, stichting voor confessioneel onderwijs</t>
  </si>
  <si>
    <t>Stichting ARLANTA</t>
  </si>
  <si>
    <t>Ver. v. Pr. Chr. Basisonderw. in de Gemeente Ferwerderadeel</t>
  </si>
  <si>
    <t>Ver. Prot.-Chr. Onderwijs te Tholen en omstreken</t>
  </si>
  <si>
    <t>Onderwijsgroep Perspecto</t>
  </si>
  <si>
    <t>Ver. interconfession. (RK/PC) bas.onderw. Wichmond/Vierakker</t>
  </si>
  <si>
    <t>Delta, stg. voor Katholiek en Prot.-Christ. prim. onderwijs</t>
  </si>
  <si>
    <t>STG. PRIMAIR ONDERWIJS CONDOR, stg. kath./prot.-chr. onderw.</t>
  </si>
  <si>
    <t>Ver. Prot. Chr. Basisonderwijs in de Gemeente Rheden</t>
  </si>
  <si>
    <t>Cadans Primair, stichting voor kath. en interc. prim. onderw</t>
  </si>
  <si>
    <t>Ver. St. en Instandh. v. Sch. v. Chr. Nat. Schoolonderwijs</t>
  </si>
  <si>
    <t>Vereniging Jenaplanonderwijs Noord</t>
  </si>
  <si>
    <t>Stg. Samenwerk.best. voor KOPO Schijndel</t>
  </si>
  <si>
    <t>Ver. Stg. en Instandhouding Scholen met de Bijbel Wekerom</t>
  </si>
  <si>
    <t>Stichting Catent</t>
  </si>
  <si>
    <t>mijnplein, stg. voor bijz. po in Salland</t>
  </si>
  <si>
    <t>Stichting Katholiek Onderwijs Losser en Overdinkel</t>
  </si>
  <si>
    <t>Laurentius Stichting voor Kathol. Primair Onderwijs</t>
  </si>
  <si>
    <t>Vivente, Stichting voor Christel. Prim. Onderwijs</t>
  </si>
  <si>
    <t>Stichting Samenwijs onderwijs</t>
  </si>
  <si>
    <t>CORDEO</t>
  </si>
  <si>
    <t>Gereformeerd vrijgemaakt</t>
  </si>
  <si>
    <t>Stichting voor Chr. Prim. Onderw. CHRONO</t>
  </si>
  <si>
    <t>Sticht. kathol. bijz. onderw. Oisterwijk/Moergestel(St.BOOM)</t>
  </si>
  <si>
    <t>Stichting Kath. Onderw. Flevoland-Veluwe</t>
  </si>
  <si>
    <t>Primas-Scholengroep</t>
  </si>
  <si>
    <t>Stg. Departement Oldenzaal eo der Mij. tot Nut van 't Algem.</t>
  </si>
  <si>
    <t>Sophia Scholen, Stichting voor KPC&amp;AB b.o. Duin&amp;Bollenstreek</t>
  </si>
  <si>
    <t>St. Samenwerkende Basisscholen Alkemade</t>
  </si>
  <si>
    <t>Stichting Tangent, Palet van Basissch.</t>
  </si>
  <si>
    <t>Stichting Primair Onderwijs WIJ de Venen</t>
  </si>
  <si>
    <t>Stichting v. Alg. Bijz. Basis Onderwijs</t>
  </si>
  <si>
    <t>Stichting Katholiek Onderwijs De Beerzen, Oirschot/Spoordonk</t>
  </si>
  <si>
    <t>TRIADE stichting voor Kathol. primair onderwijs</t>
  </si>
  <si>
    <t>Stichting Evangelische Basisscholen II</t>
  </si>
  <si>
    <t>Evangelisch</t>
  </si>
  <si>
    <t>Bisschop Möller Stichting</t>
  </si>
  <si>
    <t>Stg. Prot. Chr. Primair Onderwijs Midden-Brabant</t>
  </si>
  <si>
    <t>Stichting Noventa Onderwijs</t>
  </si>
  <si>
    <t>Stg. Scholengroep GelderVeste, voor christelijk basisonderw.</t>
  </si>
  <si>
    <t>Stichting Confessioneel Primair Onderwijs Waterland</t>
  </si>
  <si>
    <t>Stichting Algem. Toegankel. Onderwijs 3-Stromenland</t>
  </si>
  <si>
    <t>Stichting Fortior,</t>
  </si>
  <si>
    <t>Stichting Kathol. Prim. Onderwijs Novum</t>
  </si>
  <si>
    <t>Amsterdamse Stichting voor Katholiek, P.-c. en Interconfessioneel onderwijs</t>
  </si>
  <si>
    <t>Ver. voor Prot. Christ. B.O. in de gemeente Dantumadiel</t>
  </si>
  <si>
    <t>Vereniging voor P.C.B.O. in de gemeente Coevorden</t>
  </si>
  <si>
    <t>Stichting Groningse Schoolvereniging</t>
  </si>
  <si>
    <t>Montessori Stichting Vreugd en Rust</t>
  </si>
  <si>
    <t>Stichting R.K. Onderwijs Bommelerwaard</t>
  </si>
  <si>
    <t>Iris, Stichting voor Christelijk Onderwijs</t>
  </si>
  <si>
    <t>Stichting Christelijke Scholengroep De Waard</t>
  </si>
  <si>
    <t>Vereniging voor PC PO Vechtstreek en Venen</t>
  </si>
  <si>
    <t>de Passie, stichting voor Evang. Bijb.getr. Onderw.</t>
  </si>
  <si>
    <t>Stichting Katholieke Onderwijsbelangen Rivierenland</t>
  </si>
  <si>
    <t>Stg. Chr. Prim. Onderwijs voor Veenendaal en omgeving</t>
  </si>
  <si>
    <t>Stg. voor Montessori-onderwijs Zuidoost Nederland</t>
  </si>
  <si>
    <t>Overige</t>
  </si>
  <si>
    <t>Dordtse Schoolvereniging voor Basisonderw. op Alg. Grondslag</t>
  </si>
  <si>
    <t>Intergemeentelijke Stichting Openbaar Basisonderwijs</t>
  </si>
  <si>
    <t>Stg. voor Protestants Christ. Prim. Onderw. De Vier Windstr.</t>
  </si>
  <si>
    <t>St, v. Chr. Prim. Onderwijs in Zuidwest Drenthe</t>
  </si>
  <si>
    <t>Stichting Evangelisch Onderw. Eindhoven</t>
  </si>
  <si>
    <t>Stichting Primair Onderwijs Deurne-Asten-Someren</t>
  </si>
  <si>
    <t>Stichting Monton</t>
  </si>
  <si>
    <t>Stichting Filios Scholengroep</t>
  </si>
  <si>
    <t>Samenwerking RK, Alg. Bijz.</t>
  </si>
  <si>
    <t>Stichting Katholiek Primair Onderwijs Sint Antonius</t>
  </si>
  <si>
    <t>De Stroming, VPCO in het Land van Heusden en Altena</t>
  </si>
  <si>
    <t>Stichting Floréo</t>
  </si>
  <si>
    <t>Stichting voor Protestants-Christelijk Basisonderwijs Midden Zeeuws-Vlaanderen</t>
  </si>
  <si>
    <t>St. Protestants-Christelijk Basisonderwijs Baarn-Soest</t>
  </si>
  <si>
    <t>Stichting Pallas</t>
  </si>
  <si>
    <t>'Stg. voor Alg. Toegankelijk Onderwijs Eindhoven e.o.'</t>
  </si>
  <si>
    <t>Agora, Stg. voor Bijzonder Prim. Onderw. in de Zaanstreek</t>
  </si>
  <si>
    <t>Stichting Islamitisch Onderwijs Zaanstad</t>
  </si>
  <si>
    <t>Ver. voor Chr. Prim. Onderwijs Noord-Groningen</t>
  </si>
  <si>
    <t>Stichting PCO Accrete</t>
  </si>
  <si>
    <t>Ver. v. Pr. Chr. Basisonderw. Wilnis</t>
  </si>
  <si>
    <t>Stichting De Tjongerwerven Christelijk Primair Onderwijs</t>
  </si>
  <si>
    <t>Stg. Prot. Chr. Prim. Onderw. Groene Hart</t>
  </si>
  <si>
    <t>Ver. Protestants Christelijk Basis- onderwijs 'Ichthus'</t>
  </si>
  <si>
    <t>Stichting Vrijescholen Ithaka</t>
  </si>
  <si>
    <t>Stg. Prot.-Christ. Bas.onderw. te Leiderdorp</t>
  </si>
  <si>
    <t>Stichting Montessori-Onderwijs Z-Holland</t>
  </si>
  <si>
    <t>Stichting Maharishi Onderwijs Nederland</t>
  </si>
  <si>
    <t>Stg. Prot. Christ. Organisatie vr O.w. &amp; Opv. Gelderse Valle</t>
  </si>
  <si>
    <t>Stichting UN1EK onderwijs</t>
  </si>
  <si>
    <t>Stichting Groeisaam Primair Onderwijs</t>
  </si>
  <si>
    <t>Samenwerking Opb., PC, Alg. Bi</t>
  </si>
  <si>
    <t>Ver. voor Prot. Christelijk Christelijk Onderw. Hasselt</t>
  </si>
  <si>
    <t>Stichting Proo Noord-Veluwe</t>
  </si>
  <si>
    <t>Stichting Openbare Basisscholen Helmond</t>
  </si>
  <si>
    <t>Scholengroep Perspectief</t>
  </si>
  <si>
    <t>Stichting Vrije Scholen Rijnstreek</t>
  </si>
  <si>
    <t>Stg. Openbaar Basisonderwijs Duin- en Bollenstreek</t>
  </si>
  <si>
    <t>Allente</t>
  </si>
  <si>
    <t>Stichting IJsselgraaf</t>
  </si>
  <si>
    <t>MosaLira Stichting voor leren, onderwijs en opvoeding</t>
  </si>
  <si>
    <t>Stichting openb. primair onderw. IJmond</t>
  </si>
  <si>
    <t>Stichting Basisonderwijs Gooi en Vechtstreek</t>
  </si>
  <si>
    <t>Stg. voor Christelijk en Algemeen/Neutraal Bijzonder Basisonderwijs Nije Gaast</t>
  </si>
  <si>
    <t>Stg. Openbaar Verenigd Onderw. in Gorinchem en de regio</t>
  </si>
  <si>
    <t>Stg. Openbaar Prim. Onderwijs Zoetermeer</t>
  </si>
  <si>
    <t>LOGOS Stichting voor Protestant Christelijk Onderwijs</t>
  </si>
  <si>
    <t>Stichting AKKOORD! primair openbaar</t>
  </si>
  <si>
    <t>Stichting Openb. Primair Onderw. Utrecht</t>
  </si>
  <si>
    <t>Stichting Onderwijs Pr1mair</t>
  </si>
  <si>
    <t>INOS, Stichting Katholiek Onderwijs Breda</t>
  </si>
  <si>
    <t>Stichting Openbaar Primair Onderwijs Noordoost Achterhoek</t>
  </si>
  <si>
    <t>Stichting PCBO Leeuwarden en omstreken</t>
  </si>
  <si>
    <t>ALLURE, Stichting openbaar primair onderwijs</t>
  </si>
  <si>
    <t>Stg. Chr. Primair Onderwijs Betuwe &amp; Bommelerwaard</t>
  </si>
  <si>
    <t>Stg. Primair Openbaar Onderw. in de Regio Waterland/Oostzaan</t>
  </si>
  <si>
    <t>Stichting BRAVOO</t>
  </si>
  <si>
    <t>Stg. Reg. Openb. Basisonderw. Surplus</t>
  </si>
  <si>
    <t>Vereniging voor protestants-christelijk primair onderwijs TriVia</t>
  </si>
  <si>
    <t>Stichting Christelijk Onderwijs Over-en Midden-Betuwe</t>
  </si>
  <si>
    <t>Stichting Librijn openbaar onderwijs</t>
  </si>
  <si>
    <t>Stichting Invitare Openbaar Onderwijs</t>
  </si>
  <si>
    <t>Stg. De Hoeksche School, opvo Hoeksche Waard</t>
  </si>
  <si>
    <t>Stg. r.-k., Algemeen Bijz. en Openb. Primair Ond. PANTA RHEI</t>
  </si>
  <si>
    <t>Stg. Prot. Christ. Primair en interconf. P.O. regio Westland</t>
  </si>
  <si>
    <t>Stichting Openbaar Onderwijs Westland</t>
  </si>
  <si>
    <t>Stichting Openb. Prim. Onderw. Albr.wrd</t>
  </si>
  <si>
    <t>Stichting Trivium</t>
  </si>
  <si>
    <t>Stichting Partners Primair Onderwijs De Link</t>
  </si>
  <si>
    <t>Stichting Openbaar Basisonderwijs West-Brabant</t>
  </si>
  <si>
    <t>Stichting Protestants Christelijk Onderwijs Noord Twente</t>
  </si>
  <si>
    <t>Stichting Cambium</t>
  </si>
  <si>
    <t>Stichting ROOS</t>
  </si>
  <si>
    <t>Stichting Openbaar Primair Onderwijs Eem-Vallei Educatief</t>
  </si>
  <si>
    <t>Stg. voor p.c.o. De Oorsprong te Utrechtse Heuvelrug&amp;W.b.D.</t>
  </si>
  <si>
    <t>Spectrum Stichting voor Protest. Christ. Onderw.</t>
  </si>
  <si>
    <t>Scholengroep Holland, Stichting voor openbaar primair onderwijs</t>
  </si>
  <si>
    <t>De Mare, stichting openbaar basisonderwijs Salland</t>
  </si>
  <si>
    <t>Stichting ROOBOL</t>
  </si>
  <si>
    <t>Stichting Openbaar Basisonderwijs Hilversum</t>
  </si>
  <si>
    <t>Stichting Openbaar Primair Onderwijs Winterswijk</t>
  </si>
  <si>
    <t>Stichting Openbaar Onderwijs Rijn- en Heuvelland</t>
  </si>
  <si>
    <t>Stichting Openbaar Primair Onderwijs Zuid-Kennemerland</t>
  </si>
  <si>
    <t>Reflexis Openbaar Basisonderwijs</t>
  </si>
  <si>
    <t>Stichting Openbaar Primair Onderwijs Goeree-Overflakkee</t>
  </si>
  <si>
    <t>Stichting INNOVO - Onderwijs op Maat</t>
  </si>
  <si>
    <t>Ver. Prot Chr Primair Onderw. op Voorne-Putten Rozenburg</t>
  </si>
  <si>
    <t>Stichting Meerkring O.P.O. Amersfoort</t>
  </si>
  <si>
    <t>Stichting Hilversumse Montessori Scholen</t>
  </si>
  <si>
    <t>Onderwijsstichting MOVARE</t>
  </si>
  <si>
    <t>Stichting 'Openbaar Primair Onderwijs Dordrecht'</t>
  </si>
  <si>
    <t>Stichting voor L.O. aan Varende Kind. (LOVK)</t>
  </si>
  <si>
    <t>Stichting Openbaar Prim. Onderw. Almelo</t>
  </si>
  <si>
    <t>Stichting Klasse</t>
  </si>
  <si>
    <t>Fluenta Sticht. voor P.C.O. id regio Utrecht</t>
  </si>
  <si>
    <t>Stichting Wonderwijs, swb oko in Overbet.&amp;Lingewaard</t>
  </si>
  <si>
    <t>Stichting voor Protestants Christelijk Primair Onderwijs in de Krimpenerwaard</t>
  </si>
  <si>
    <t>EDUCATIS</t>
  </si>
  <si>
    <t>Stichting Wijzer in onderwijs</t>
  </si>
  <si>
    <t>Stichting BasisBuren, openb./alg. primair onderwijs</t>
  </si>
  <si>
    <t>Stichting Auro voor Openbaar Primair Onderwijs</t>
  </si>
  <si>
    <t>Stichting BLICK op onderwijs</t>
  </si>
  <si>
    <t>Vereniging Montessorischool Kralingen (MSK)</t>
  </si>
  <si>
    <t>Vereniging De Rotterdamse Montessorischool (VRM)</t>
  </si>
  <si>
    <t>Stichting Viviani</t>
  </si>
  <si>
    <t>Stichting OBASE</t>
  </si>
  <si>
    <t>Stichting Christelijk Primair Onderwijs Noordkwartier</t>
  </si>
  <si>
    <t>Stg. openb. primair onderwijs Papendrecht-Sliedrecht</t>
  </si>
  <si>
    <t>Stg. Fluvium, Stg. openbaar bas.ond. Geldermalsen-Neerijn.</t>
  </si>
  <si>
    <t>Katholieke Stichting voor Basisonderwijs Silvolde</t>
  </si>
  <si>
    <t>Stichting Consent</t>
  </si>
  <si>
    <t>Stichting Archipel Onderwijs</t>
  </si>
  <si>
    <t>Stichting Primo Schiedam</t>
  </si>
  <si>
    <t>'Stg. Onderw.gr PRIMOvpr, stg. Openb.Prim.Onderw. Voorne-Put</t>
  </si>
  <si>
    <t>Stichting Quadraten</t>
  </si>
  <si>
    <t>'De Haagse Scholen', stg. voor primair &amp; spec. openb. onderw</t>
  </si>
  <si>
    <t>St.Openbaar Primair Onderwijs De Basis</t>
  </si>
  <si>
    <t>Stichting openbaar onderwijs Marenland</t>
  </si>
  <si>
    <t>Sticht. Openbaar Basisonderw. Westelijke Tuinsteden</t>
  </si>
  <si>
    <t>AmstelWijs, stichting voor openbaar primair onderw.</t>
  </si>
  <si>
    <t>Albero, sticht. v. openbaar &amp; christ. onderw. op d Beveland.</t>
  </si>
  <si>
    <t>RADAR, Vereniging voor P.C.O. Schouwen-Duiveland</t>
  </si>
  <si>
    <t>Ver. v. Chr. Schoolonderwijs te Well</t>
  </si>
  <si>
    <t>Stichting 'Florente'</t>
  </si>
  <si>
    <t>Stichting De Noordwijkse School</t>
  </si>
  <si>
    <t>Stichting LeerSaam</t>
  </si>
  <si>
    <t>Stichting Opmaat</t>
  </si>
  <si>
    <t>Stichting Openbaar Onderwijs Oost Groningen</t>
  </si>
  <si>
    <t>Stichting Openb. Prim. Onderw. Apeldoorn</t>
  </si>
  <si>
    <t>Stichting Scholengroep Veluwezoom</t>
  </si>
  <si>
    <t>Vereniging voor Protestants Chr. Onderwijs De Viermaster</t>
  </si>
  <si>
    <t>Ver. voor Geref. Prim. Onderw. 'de Oosthoek'</t>
  </si>
  <si>
    <t>Stichting Jenapleinschool</t>
  </si>
  <si>
    <t>Stichting Promes</t>
  </si>
  <si>
    <t>Onderwijsstichting ARCADE</t>
  </si>
  <si>
    <t>Stichting Comprix</t>
  </si>
  <si>
    <t>Florion Vereniging voor Gereformeerd Primair Onderwijs</t>
  </si>
  <si>
    <t>Stichting Regionaal Openbaar Onderwijs Maas en Meierij</t>
  </si>
  <si>
    <t>Stichting Jenaplan onderwijs Epe e.o.</t>
  </si>
  <si>
    <t>Stichting Escalda Scholen</t>
  </si>
  <si>
    <t>Stg. Openb. Primair Onderwijs Alblasserwaard/Vijfheerenland.</t>
  </si>
  <si>
    <t>Stichting PROKIND scholengroep</t>
  </si>
  <si>
    <t>Stichting Flores Onderwijs</t>
  </si>
  <si>
    <t>LEV Scholengroep West- Nederland (LEV-WN)</t>
  </si>
  <si>
    <t>Stichting Primair Christelijk Onderwijs Nieuwleusen</t>
  </si>
  <si>
    <t>Stichting De Kempen, openbaar en algemeen onderwijs</t>
  </si>
  <si>
    <t>Amsterdam-West Binnen de Ring stg. v. Openb. Primair Onderw.</t>
  </si>
  <si>
    <t xml:space="preserve">                              </t>
  </si>
  <si>
    <t>Stg. Algemeen Toegankelijk Onderwijs 's-Hertogenbosch eo</t>
  </si>
  <si>
    <t>Samenwerking Opb., Alg. Bijz.</t>
  </si>
  <si>
    <t>Stichting Primair Openbaar Onderwijs Ede</t>
  </si>
  <si>
    <t>Stichting Openbaar Onderwijs Almere</t>
  </si>
  <si>
    <t>Stichting Swalm en Roer voor Onderwijs en Opvoeding</t>
  </si>
  <si>
    <t>Samenwerking Opb., PC, RK, Alg</t>
  </si>
  <si>
    <t>Elan Onderwijsgroep</t>
  </si>
  <si>
    <t>Stichting Zonova</t>
  </si>
  <si>
    <t>'Stg. voor Katholiek Onderwijs Sint-Oedenrode'(SKOSO)</t>
  </si>
  <si>
    <t>Stichting Openbaar Prim. Onderw. Furore</t>
  </si>
  <si>
    <t>Stichting ProCon, Stichting voor Christel. Prim. onderwijs</t>
  </si>
  <si>
    <t>St. Talent, Openb. Bas.onderw. Hoorn</t>
  </si>
  <si>
    <t>'Samen tussen Amstel en IJ' Stg. Openbaar Prim. Onderwijs</t>
  </si>
  <si>
    <t>Stichting Onderwijsgroep Primus</t>
  </si>
  <si>
    <t>Stichting Samen Onderwijs Maken (SOM)</t>
  </si>
  <si>
    <t>Scholengroep Opron, stichting voor openbaar primair onderwijs</t>
  </si>
  <si>
    <t>Stichting Openbaar Onderw. aan de Amstel</t>
  </si>
  <si>
    <t>Stichting De Waarden</t>
  </si>
  <si>
    <t>Stg. Openb. Primair Onderwijs Hof van Twente</t>
  </si>
  <si>
    <t>Stichting Accent</t>
  </si>
  <si>
    <t>Stg. Reg. Openb. Basisonderw. IJsselstein en Nieuwegein</t>
  </si>
  <si>
    <t>Stichting Delta De Bilt voor Primair Onderwijs</t>
  </si>
  <si>
    <t>Stichting Wijzers in Onderwijs</t>
  </si>
  <si>
    <t>Stichting Cosmicus Onderwijs</t>
  </si>
  <si>
    <t>Stg. Chr. BO Reform. Grondsl. voor Groningen en Drenthe</t>
  </si>
  <si>
    <t>Stichting Kits Primair</t>
  </si>
  <si>
    <t>Ante, Stichting voor openbare - en samenwerkingsscholen</t>
  </si>
  <si>
    <t>Stichting Scholengroep Primato</t>
  </si>
  <si>
    <t>Stichting Op Kop Openbaar Primair Onderwijs</t>
  </si>
  <si>
    <t>Stichting Al Amana Scholen</t>
  </si>
  <si>
    <t>Ver. tot het verstr. Christ. Onderw. Gereform. Grondslag</t>
  </si>
  <si>
    <t>Sticht. Scholen met de Bijbel in de Betuwe</t>
  </si>
  <si>
    <t>Stichting Openb. Prim. Onderw. Wassenaar</t>
  </si>
  <si>
    <t>Sticht. Primair en voortgezet onderwijs Zuid-Nederland</t>
  </si>
  <si>
    <t>Stichting Schooltij</t>
  </si>
  <si>
    <t>OCTHO, Stichting Openbaar Prim. Onderw. Tholen</t>
  </si>
  <si>
    <t>Stg. Primair onderw. Mondriaan Abcoude</t>
  </si>
  <si>
    <t>Stichting Openb. Bas.school de Regenboog</t>
  </si>
  <si>
    <t>Ver. voor Christel. Onderwijs in Midden en Oost Groningen</t>
  </si>
  <si>
    <t>Sticht. Proloog Primair O.O. Leeuwarden</t>
  </si>
  <si>
    <t>Stichting Openbaar onderwijs Baasis</t>
  </si>
  <si>
    <t>Stichting Zaan Primair voor OP/Voortg. Spec. Onderw.</t>
  </si>
  <si>
    <t>Stichting Spaarnesant</t>
  </si>
  <si>
    <t>St. Samenw.best. prim. onderw. 'Gearhing'</t>
  </si>
  <si>
    <t>Bestuurskant. Algem. Bijzond. Scholengroep Amsterdam</t>
  </si>
  <si>
    <t>Stg. Meerwerf Basisscholen Den Helder</t>
  </si>
  <si>
    <t>Stg. PlatOO best. voor openb. en alg. toegankelijk onderwijs</t>
  </si>
  <si>
    <t>Vereniging voor Gereformeerd Schoolonderwijs Laag Zuthem</t>
  </si>
  <si>
    <t>Stichting Openbaar Primair Onderwijs Deventer</t>
  </si>
  <si>
    <t>Stichting Islamitisch Primair Onderwijs</t>
  </si>
  <si>
    <t>Stichting Openbaar Onderwijs Houten</t>
  </si>
  <si>
    <t>Stichting Talent Westerveld</t>
  </si>
  <si>
    <t>Stichting Markant Onderwijs</t>
  </si>
  <si>
    <t>Stichting Openbaar Onderwijs Kampen</t>
  </si>
  <si>
    <t>Stichting Openbaar Primair Onderwijs Rivierenland</t>
  </si>
  <si>
    <t>Stichting Openb. Onderw. Land van Altena</t>
  </si>
  <si>
    <t>Kerkelijk Lichaam 'Geref. Gem. regio Barneveld'</t>
  </si>
  <si>
    <t>Gereformeerd</t>
  </si>
  <si>
    <t>Stg. Verschillend Onderwijs in Leusden Achterveld (VOILA)</t>
  </si>
  <si>
    <t>Stichting SMART Limburg</t>
  </si>
  <si>
    <t>Stichting openbaar prim. ond. Wolderwijs</t>
  </si>
  <si>
    <t>Ver. Prot./Chr. Prim. Onderw. Nieuwerkerk aan den IJssel</t>
  </si>
  <si>
    <t>Stg. Openbaar Primair Onderw. Aa en Hunze</t>
  </si>
  <si>
    <t>Stichting Uniek</t>
  </si>
  <si>
    <t>Ver. Verstr. Schoolonderwijs op Reformatorische Grondslag</t>
  </si>
  <si>
    <t>Stichting Innerwaard</t>
  </si>
  <si>
    <t>Stichting Kindergemeenschap Albert Schweitzer</t>
  </si>
  <si>
    <t>Stichting Primair Onderwijs Groesbeek</t>
  </si>
  <si>
    <t>Stichting Openbaar Primair en Speciaal Onderwijs Leiden</t>
  </si>
  <si>
    <t>Stichting Openbaar Onderwijs Groningen</t>
  </si>
  <si>
    <t>Stichting Ronduit</t>
  </si>
  <si>
    <t>Stichting Interconfessioneel Basisonderwijs Zeewolde</t>
  </si>
  <si>
    <t>Stg. voor Prot. Christelijk Onderwijs Roosendaal</t>
  </si>
  <si>
    <t>Sticht. Openb. Onderw. Almere ''Nieuwe Wijken''</t>
  </si>
  <si>
    <t>Stichting Eduquaat</t>
  </si>
  <si>
    <t>MEILÂN, Stg voor Christelijk Basis Onderwijs in Heerenveen en De Fryske Marren</t>
  </si>
  <si>
    <t>Ver. tot. stg. en instandh. van scholen Oud Ger. Gemeente(n) (in Nl) te Ede</t>
  </si>
  <si>
    <t>Stichting Voorschotense Openbare School</t>
  </si>
  <si>
    <t>Stichting Palludara</t>
  </si>
  <si>
    <t>Stichting Odyssee 'Van Waterpoort tot Wad'</t>
  </si>
  <si>
    <t>Stichting scholengroep openbaar onderwijs Lelystad</t>
  </si>
  <si>
    <t>Stichting Openbaar Onderwijs Noord</t>
  </si>
  <si>
    <t>Stichting Openbaar Primair Onderwijs Borger-Odoorn</t>
  </si>
  <si>
    <t>Stichting Openb. Prim. Onderw. Hoogeveen</t>
  </si>
  <si>
    <t>Stichting openbaar primair en speciaal onderwijs Purmerend</t>
  </si>
  <si>
    <t>Ver tot Stg en Insth v Scholen md Bijbel te Groot Ammers en Langerak</t>
  </si>
  <si>
    <t>Stichting Poolsterscholen</t>
  </si>
  <si>
    <t>Stg. Openb. Primair Onderwijs Hendrik-Ido-Ambacht</t>
  </si>
  <si>
    <t>Stichting Katholiek Onderwijs Breukelen</t>
  </si>
  <si>
    <t>Stichting Openbaar Onderwijs Wijk bij Duurstede</t>
  </si>
  <si>
    <t>Stg. Openbaar Basisonderwijs Alblasserdam</t>
  </si>
  <si>
    <t>Mantum onderwijs</t>
  </si>
  <si>
    <t>Stichting Casa School</t>
  </si>
  <si>
    <t>Stichting Evangelisch Onderwijs Deventer e o</t>
  </si>
  <si>
    <t>Stichting voor Christelijk Nationaal Schoolonderw Ede eo</t>
  </si>
  <si>
    <t>Stichting Samenwerkingssch. Rivierenwijk</t>
  </si>
  <si>
    <t>Samenwerking Opb., PC</t>
  </si>
  <si>
    <t>De Meent, Stg. v. P.C.P.O. id gemeente Elburg</t>
  </si>
  <si>
    <t>Stichting voor P.C. Onderwijs Dronten-Zeewolde</t>
  </si>
  <si>
    <t>Stichting voor Christelijk Basisonderwijs De Greiden</t>
  </si>
  <si>
    <t>Vereniging voor G.P.O. in Noord Nederland NoorderBasis</t>
  </si>
  <si>
    <t>Stichting ARCHIPEL SCHOLEN</t>
  </si>
  <si>
    <t>Stichting voor Katholiek Basisonderwijs Gelderland</t>
  </si>
  <si>
    <t>Stichting Openbaar Onderwijs Zwolle en Regio</t>
  </si>
  <si>
    <t>Stichting voor P.C.P.O. op Goeree-Overflakkee</t>
  </si>
  <si>
    <t>Stichting Omnisscholen</t>
  </si>
  <si>
    <t>Stg Samenwerkingsschool Yn de Mande</t>
  </si>
  <si>
    <t>Stichting voor PC/RK Primair Onderwijs Middelburg/Vlissingen</t>
  </si>
  <si>
    <t>Vereniging voor Christelijk Basisonderwijs in Noardwest Fryslân</t>
  </si>
  <si>
    <t>Stichting Christel. Onderw. Bomm.waard</t>
  </si>
  <si>
    <t>Stichting Kom Leren</t>
  </si>
  <si>
    <t>Stichting Democratisch Onderwijs De Vallei</t>
  </si>
  <si>
    <t>Stichting Kronenburgh</t>
  </si>
  <si>
    <t>Stichting Meer Primair</t>
  </si>
  <si>
    <t>Stichting Islamitisch Onderwijs Noord-Holland</t>
  </si>
  <si>
    <t>Stg Onderwijsgroep Zuid-Hollandse Waarden voor PO en VO</t>
  </si>
  <si>
    <t>Stichting School of Understanding Nederland</t>
  </si>
  <si>
    <t>Stichting Plateau openbaar onderwijs Assen</t>
  </si>
  <si>
    <t>Stichting Jenaplanschool Antonius Abt</t>
  </si>
  <si>
    <t>Vereniging voor Chr PO op Reformatorische Grondslag in Zeeland te Middelburg</t>
  </si>
  <si>
    <t>Stichting De Buitenkans</t>
  </si>
  <si>
    <t>Stichting KIO</t>
  </si>
  <si>
    <t>Stichting Samenwerkingsscholen Voorne-Putten</t>
  </si>
  <si>
    <t>Stichting Floreant, Christelijk Primair Onderwijs Vechtdal</t>
  </si>
  <si>
    <t>Stichting De Eigen Wijs</t>
  </si>
  <si>
    <t>Stichting voor Protestants Christelijk Basisonderwijs in de gemeente Tytsjerkste</t>
  </si>
  <si>
    <t>Stichting Samenwerkingsbestuur Primair Onderwijs West-Friesland</t>
  </si>
  <si>
    <t>De Akker, Stichting v prot-chr primair onderwijs in de gemeente Oldebroek e.o.</t>
  </si>
  <si>
    <t>ZOK GG Tricht-Geldermalsen</t>
  </si>
  <si>
    <t>Stichting Openbaar Basisonderwijs Hoogezand-Sappemeer</t>
  </si>
  <si>
    <t>Stichting Openbaar Onderwijs Vlieland</t>
  </si>
  <si>
    <t>Stichting Integrale Streekschool Hoenderloo</t>
  </si>
  <si>
    <t>Stichting HAPPY KIDS Education</t>
  </si>
  <si>
    <t>Stichting Leren in de Tussenruimte</t>
  </si>
  <si>
    <t>Vereniging tot het verstrekken v ondw op reformatorische grondslag te Oldebroek</t>
  </si>
  <si>
    <t>Stichting Omniumscholen</t>
  </si>
  <si>
    <t>Stichting Maashorstschool</t>
  </si>
  <si>
    <t>Stichting Samenlevingsscholen</t>
  </si>
  <si>
    <t>Stichting Jan Ligthartschool Westerbroek</t>
  </si>
  <si>
    <t>Stichting Kunst en Onderwijs Centrum</t>
  </si>
  <si>
    <t>Stichting De Schoolwerkplaats</t>
  </si>
  <si>
    <t>Stichting voor Christelijk-reformatorisch primair onderwijs ' De Planthof '</t>
  </si>
  <si>
    <t>Stichting v Kunstzinnig, Innovatief, Toekomstgericht en Ambitieus Basisonderwijs</t>
  </si>
  <si>
    <t>Stichting Groos</t>
  </si>
  <si>
    <t>Stichting Magnolia</t>
  </si>
  <si>
    <t>Ver. verstrekken basisonderw. gereform. grondslag te Yerseke</t>
  </si>
  <si>
    <t>Stg. tot het Verstr. van Bas. ond. op Geref. Grondsl.</t>
  </si>
  <si>
    <t>Ver. tot het Verstr. van Ond. op Geref. Grondslag Terneuzen</t>
  </si>
  <si>
    <t>Ver. tot het verstr. van Chr. Ond. op Ref. Grondslag te Zwijndrecht</t>
  </si>
  <si>
    <t>Stg. Reformatorisch Onderwijs voor Woerden en omgeving</t>
  </si>
  <si>
    <t>Stg. PCPO Capelle a.d. IJssel en Krimpen aan den IJssel</t>
  </si>
  <si>
    <t>Stichting Kathol. Onderw. Vierlingsbeek</t>
  </si>
  <si>
    <t>Katholieke Scholenstichting Fectio</t>
  </si>
  <si>
    <t>Ver. CO op Reformat. Grondslag te Barendrecht</t>
  </si>
  <si>
    <t>Schoolvereniging Uitgaande vd Gereformeerde Gemeente Kampen</t>
  </si>
  <si>
    <t>Stichting Katholiek Onderwijs Raamsdonk</t>
  </si>
  <si>
    <t>Vereniging voor C.O. in Papendrecht en Sliedrecht</t>
  </si>
  <si>
    <t>Stichting Katholiek Onderwijs Drimmelen</t>
  </si>
  <si>
    <t>Vereniging tot het verstrekken bas.ond. Ger. Gr.sl. Grafhors</t>
  </si>
  <si>
    <t>Vereniging 'Een School met de Bijbel'</t>
  </si>
  <si>
    <t>Onderwijsstichting KempenKind</t>
  </si>
  <si>
    <t>Hervormde Vereniging voor Christ.Onderw. te IJsselmuiden</t>
  </si>
  <si>
    <t>Stichting Samenwerkingsbestuur Primair Onderw. Venray/Regio</t>
  </si>
  <si>
    <t>Stichting Primenius</t>
  </si>
  <si>
    <t>Sticht. De Werf v. onderw. op grondsl. vr. pers.heidsvorming</t>
  </si>
  <si>
    <t>Sticht. Katholiek Onderwijs id Par. vd Allerheil. Drie-eenh.</t>
  </si>
  <si>
    <t>Ver. tot het Verstr. van Ond. op Geref. Grondslag te Teuge</t>
  </si>
  <si>
    <t>Ver. Verstrekken van Onderwijs Geref. Grondslag te Waarde</t>
  </si>
  <si>
    <t>Vereniging voor Christel. Prim. Onderwijs</t>
  </si>
  <si>
    <t>Stg. v. Protestants CBO in de Gemeente Voorst</t>
  </si>
  <si>
    <t>Ver. tot het verstr. v. o.o.g. grondslag te Waardenburg</t>
  </si>
  <si>
    <t>Ver. Instandh. Scholen Bijbel te Molenaarsgraaf e.o.</t>
  </si>
  <si>
    <t>Ver. tot het Verstrekken bo op RG vd Noordoostpolder en omg.</t>
  </si>
  <si>
    <t>Stichting Nutsschool Voorschoten</t>
  </si>
  <si>
    <t>Stichting Katholiek Onderwijs Bernardus Alfrink</t>
  </si>
  <si>
    <t>Ver. tot het verstr. Cbo/rm gs 'Boazschool' te Meliskerke</t>
  </si>
  <si>
    <t>Stichting Rotterdamse Schoolvereniging</t>
  </si>
  <si>
    <t>Stichting LIMA voor K.P.O. in Oost Gelre</t>
  </si>
  <si>
    <t>Stichting 'Het Rijnlands Lyceum'</t>
  </si>
  <si>
    <t>Stichting Sint Josephscholen</t>
  </si>
  <si>
    <t>Stg. Katholiek Basisonderwijs Haarlem-Schoten</t>
  </si>
  <si>
    <t>Ver. Stichting/Instandhouding Scholen met de Bijbel De Valk</t>
  </si>
  <si>
    <t>Stg. Protestants-Christelijk Basis- en Orthopedag. Onderw.</t>
  </si>
  <si>
    <t>Stichting Kathol. Basisonderwijs Borculo</t>
  </si>
  <si>
    <t>Ver. Stg./Inst. Scholen Bijbel te Overwoud bij Lunteren</t>
  </si>
  <si>
    <t>Stichting Dynamiek Scholengroep</t>
  </si>
  <si>
    <t>VvC Bo op reform. grondslag v. Nederhemert en omstreken</t>
  </si>
  <si>
    <t>Stichting voor Primair Onderwijs Regio Helden</t>
  </si>
  <si>
    <t>Stichting Xpect Primair</t>
  </si>
  <si>
    <t>OPTIMUS stg. kath.,prot.-chr./ en interconfess. primair ond.</t>
  </si>
  <si>
    <t>Stichting de Amsterdamse Montessorisch.</t>
  </si>
  <si>
    <t>School Bestuur Johannes Calvijnschool Urk</t>
  </si>
  <si>
    <t>Utrechtse Schoolvereniging</t>
  </si>
  <si>
    <t>Stg tot instandh en opr van één of meer basissch en sch voor voortgezet onderw</t>
  </si>
  <si>
    <t>Vereniging voor Gereformeerd Onderwijs</t>
  </si>
  <si>
    <t>Ver. v. Prot.-Chr. Basisond. te Ureterp</t>
  </si>
  <si>
    <t>Stichting Essentius</t>
  </si>
  <si>
    <t>Stichting Kindpunt</t>
  </si>
  <si>
    <t>Stichting tot het Verstrekken Lager Onderw. Geref. Grondslag</t>
  </si>
  <si>
    <t>Meerderweert, Sticht. Primair Onderwijs Weert/Nederweert</t>
  </si>
  <si>
    <t>Stichting Primair Onderwijs Achterhoek</t>
  </si>
  <si>
    <t>Stichting TOF Onderwijs</t>
  </si>
  <si>
    <t>Ver. tot het Verstr. v. Chr. Basisond. op Reform. Grondsl.</t>
  </si>
  <si>
    <t>Scholenstichting Pastoor Ariëns</t>
  </si>
  <si>
    <t>Ver. Rehoboth tot Stg. en Instandh. Scholen Bybel te Urk</t>
  </si>
  <si>
    <t>Stichting Katholiek Basisonderwijs De Hoeksteen</t>
  </si>
  <si>
    <t>Stichting Rooms Kathol. Onderw. Naarden</t>
  </si>
  <si>
    <t>Ver. tot Stg. en Instandh. v. Schol. met de Bijb. te Veen</t>
  </si>
  <si>
    <t>Stichting Katholiek Onderwijs St. Willibrordus</t>
  </si>
  <si>
    <t>Stichting Kathol. Onderw. Bussum e.o.</t>
  </si>
  <si>
    <t>Stichting Bestuur R.K. Scholen te Schalkhaar</t>
  </si>
  <si>
    <t>Stg. K.O. Centrale Groningen/ KBS Bisschop Bekkers</t>
  </si>
  <si>
    <t>Stichting Sarkon</t>
  </si>
  <si>
    <t>Stg. Katholiek Primair Onderw. Etten-Leur</t>
  </si>
  <si>
    <t>Stichting Confessioneel Onderwijs Leiden</t>
  </si>
  <si>
    <t>Ver. v. Christelijk Onderwijs op Reformatorische Grondslag</t>
  </si>
  <si>
    <t>Stichting Katholiek Onderwijs Enschede</t>
  </si>
  <si>
    <t>Schoolvereniging Peetersschool</t>
  </si>
  <si>
    <t>Stichting Basisschool De Ridderslag</t>
  </si>
  <si>
    <t>Ver. Christelijk Onderwijs op Reformatorische Grondslag</t>
  </si>
  <si>
    <t>Stichting voor Chr.Prim.Onderw.Albrandswaard</t>
  </si>
  <si>
    <t>Stg. ter bev. van het n.b.o. te Vlaardingen</t>
  </si>
  <si>
    <t>Stichting Vrije School De Vuurvogel</t>
  </si>
  <si>
    <t>Stichting Vrije School Breda</t>
  </si>
  <si>
    <t>Stichting Scholen Parochie H. Bernadette</t>
  </si>
  <si>
    <t>Verenig. voor COR grondslag in Oost-Friesland te Drachten</t>
  </si>
  <si>
    <t>Stichting Samenwerkingsschool Kranenburg en omstreken</t>
  </si>
  <si>
    <t>Vereniging voor Gereformeerd Onderwijs Midden Brabant</t>
  </si>
  <si>
    <t>Vereniging voor Prot.-Christ. Basisond. Alteveer/Kerkenveld</t>
  </si>
  <si>
    <t>Stichting voor Christelijk Primair Onderwijs Lelystad</t>
  </si>
  <si>
    <t>Stg. Alkmaarse Kath. Scholen, stg. kath., p-c/int.conf. ond.</t>
  </si>
  <si>
    <t>Ned. Ger. Schoolvereniging voor Kampen-IJsselmuiden e.o.</t>
  </si>
  <si>
    <t>Stg. Christelijk Onderwijs Twenterand en Omstreken</t>
  </si>
  <si>
    <t>Vereniging voor Christelijk Onderwijs Haren en Onnen</t>
  </si>
  <si>
    <t>Stichting Samenwerkende Vrijescholen Zuid-Holland</t>
  </si>
  <si>
    <t>Ver. tot Opr. en I.h. S.m.e.B. te Bruchterveld,Gem.Hardenber</t>
  </si>
  <si>
    <t>'Stichting Vrijeschool Almere'</t>
  </si>
  <si>
    <t>Stichting Protestants Christelijk Onderwijs Utrecht</t>
  </si>
  <si>
    <t>Stichting Katholiek Onderwijs Maasland</t>
  </si>
  <si>
    <t>Schoolver. v. Basisonderw. in Wageningen</t>
  </si>
  <si>
    <t>'t Blokhuus</t>
  </si>
  <si>
    <t>Ver. v. Prot. Chr. Basisond. te Notter-Zuna</t>
  </si>
  <si>
    <t>Katholieke Stichting voor Onderwijs te Oude Tonge</t>
  </si>
  <si>
    <t>Dr. Schaepmanstichting</t>
  </si>
  <si>
    <t>Stichting Katholiek Onderwijs Soest-Soesterberg</t>
  </si>
  <si>
    <t>Stichting Katholiek Onderwijs Achterveld</t>
  </si>
  <si>
    <t>Stichting Katholiek Onderwijs Wassenaar</t>
  </si>
  <si>
    <t>Stichting Katholiek Onderwijs Twenterand</t>
  </si>
  <si>
    <t>Het Sticht, Sticht. Katholiek/Algemeen Bijz. Primair Onderw.</t>
  </si>
  <si>
    <t>Vereniging voor Reformatorisch Onderwijs</t>
  </si>
  <si>
    <t>Vereniging voor Christ. Onderw. Groningen</t>
  </si>
  <si>
    <t>Katholieke Stichting Willibrordus</t>
  </si>
  <si>
    <t>Vereniging voor Primair Christelijk Onderwijs H'veen</t>
  </si>
  <si>
    <t>Stichting Kalisto Boei. Basisonderwijs!</t>
  </si>
  <si>
    <t>Vereniging Jenaplan Stichtsevecht</t>
  </si>
  <si>
    <t>Stichting Hervormde Scholen voor Basisonderwijs</t>
  </si>
  <si>
    <t>Stichting Christel. Onderwijs Haaglanden</t>
  </si>
  <si>
    <t>Ver. v. Prot.-Chr. Basisond.</t>
  </si>
  <si>
    <t>Stg. th Verstr. C.o. op G.G., uitgaande van de Geref. G.i.N.</t>
  </si>
  <si>
    <t>R.K. Onderwijsstichting Giesbeek-Lathum</t>
  </si>
  <si>
    <t>Stichting Leerrijk!</t>
  </si>
  <si>
    <t>Deventer Leerschool</t>
  </si>
  <si>
    <t>Stg. v. Kath. Primair Onderw. Amersfoort en Omstreken</t>
  </si>
  <si>
    <t>Stichting voor Freinetonderwijs in Utrecht</t>
  </si>
  <si>
    <t>Ver. tot Stg. en Instandhoud. van een School met de Bijbel</t>
  </si>
  <si>
    <t>Stichting Primair Onderwijs Peelraam</t>
  </si>
  <si>
    <t>Stichting Primair Onderwijs de Linge</t>
  </si>
  <si>
    <t>De Vrije School Utrecht Coöperatief UA</t>
  </si>
  <si>
    <t>Ver. Willem de Zwijgerschool voor Christelijk Onderwijs</t>
  </si>
  <si>
    <t>Stichting R.K. Onderwijs Aerdenhout</t>
  </si>
  <si>
    <t>Ver. tot Stg. &amp; Inst.houding SmdB voor B.O. Ooltgensplaat</t>
  </si>
  <si>
    <t>Stichting Katholiek Onderwijs Volendam</t>
  </si>
  <si>
    <t>Stichting Nuwelijn</t>
  </si>
  <si>
    <t>Stichting Katholiek Basisond. De Goede Herder</t>
  </si>
  <si>
    <t>Stichting Sint Albertus</t>
  </si>
  <si>
    <t>Stg. Katholiek en Interconf. Primair Onderwijs Veghel</t>
  </si>
  <si>
    <t>Nicolaas-Stichting</t>
  </si>
  <si>
    <t>Stichting Blosse onderwijs</t>
  </si>
  <si>
    <t>Stichting Signum</t>
  </si>
  <si>
    <t>Stichting Kath. Prim. Onderw. Roosendaal</t>
  </si>
  <si>
    <t>Stichting Rooms Katholiek Onderwijs Huizen</t>
  </si>
  <si>
    <t>Ver. v. Protestants-Christel. Onderwijs te Wassenaar</t>
  </si>
  <si>
    <t>Stichting Kind en Onderwijs Rotterdam</t>
  </si>
  <si>
    <t>Ver. Verstrekk. Basisonderwijs Geref. Grondslag Berkenwoude</t>
  </si>
  <si>
    <t>Stichting Katholiek Basisonderwijs Meijel</t>
  </si>
  <si>
    <t>Ver. Prot.-Chr. Basisonderwijs te Sleeuwijk</t>
  </si>
  <si>
    <t>Ver. St./Inst.houd. SmdB v. Bo op Ger. Grondslag te Ouddorp</t>
  </si>
  <si>
    <t>Stichting Katholieke Scholen Oegstgeest</t>
  </si>
  <si>
    <t>Stichting Kathol. Onderw. NO Twente</t>
  </si>
  <si>
    <t>Stichting Katholiek Onderwijs West-Friesland</t>
  </si>
  <si>
    <t>Stichting SAAM scholen</t>
  </si>
  <si>
    <t>Stichting Katholiek Onderwijs Pijnacker</t>
  </si>
  <si>
    <t>Kerobei, Stichting voor K/OPO Gem. Beesel, Maasbree en Venlo</t>
  </si>
  <si>
    <t>Ver. voor Bijz. Onderw. op Algemene Grondslag</t>
  </si>
  <si>
    <t>Stichting Proceon voor PCO ih Gooi en omgeving</t>
  </si>
  <si>
    <t>Stichting Katholiek Onderwijs Rijsbergen</t>
  </si>
  <si>
    <t>Herv. Schoolver. Op Geref. Grondsl. te Elspeet</t>
  </si>
  <si>
    <t>Stichting de Vrije School Zeeland</t>
  </si>
  <si>
    <t>Stg. Verstrekk. Basisonderwijs op Reformatorische Grondslag</t>
  </si>
  <si>
    <t>Ver. tot vest. en instandh. v. Sch. md Bijbel, Geref.Grondsl</t>
  </si>
  <si>
    <t>Stichting Werkplaats Kindergemeenschap</t>
  </si>
  <si>
    <t>Stichting Rooms Katholiek Onderwijs</t>
  </si>
  <si>
    <t>Stg. Katholiek Primair Onderw. Oost-Veluwe</t>
  </si>
  <si>
    <t>Stg. v. Prot.-Christ.-Onderw. te Ermelo</t>
  </si>
  <si>
    <t>Stichting Interconfessioneel Onderwijs te Bredevoort</t>
  </si>
  <si>
    <t>Stichting Overvecht Zuid Voor Het Katholiek Onderwijs</t>
  </si>
  <si>
    <t>Sticht. Nederlands Inst. voor Katholieke Kerkmuziek</t>
  </si>
  <si>
    <t>Katholieke Scholenstichting Utrecht (K.S.U.)</t>
  </si>
  <si>
    <t>Vereniging voor Prot. Christ. Primair Onderwijs te Rijssen</t>
  </si>
  <si>
    <t>LiemersNovum</t>
  </si>
  <si>
    <t>Stg. Veldvest bijzond. onderw. in Veldhoven en omgeving</t>
  </si>
  <si>
    <t>Stichting Vrijescholen Athena</t>
  </si>
  <si>
    <t>Stichting Prisma Scholengroep</t>
  </si>
  <si>
    <t>Sticht. Kolom, Stichting voor Speciaal en Regulier Onderwijs</t>
  </si>
  <si>
    <t>Stichting Trinamiek, stichting v kath, opb en alg-bijz primair en voortgezet ond</t>
  </si>
  <si>
    <t>Stichting Primair onderwijs in de gemeente Zundert</t>
  </si>
  <si>
    <t>Stichting Vrije School Zwolle</t>
  </si>
  <si>
    <t>Ver. voor Christelijk Onderw. op Reformatorische Grondslag</t>
  </si>
  <si>
    <t>Stichting Scala, stg. voor kath., openb./a.b.o.</t>
  </si>
  <si>
    <t>Stichting Joodse Kindergem. Cheider</t>
  </si>
  <si>
    <t>Octant, stichting voor christelijk basisonderwijs</t>
  </si>
  <si>
    <t>Stichting Het Zonnewiel, Vrijeschool De Bilt</t>
  </si>
  <si>
    <t>Montessori Vereniging Haarlemmermeer</t>
  </si>
  <si>
    <t>Stichting Neutraal Bijzonder Montessori Onderwijs Purmerend</t>
  </si>
  <si>
    <t>Veren. voor Montessorionderw. te Leusden</t>
  </si>
  <si>
    <t>Stichting Kopwerk</t>
  </si>
  <si>
    <t>Groenekanse Schoolvereniging de Nijepoort,BOAG Groenekan eo</t>
  </si>
  <si>
    <t>Ver. voor P.C. Basisonderwijs te Rijnsburg</t>
  </si>
  <si>
    <t>Stichting PIT-Onderwijs</t>
  </si>
  <si>
    <t>Vereniging voor Prot. Christ. Basis Onderwijs de Schakel</t>
  </si>
  <si>
    <t>Stichting Amsterdamse Oecumenische Scholengroep</t>
  </si>
  <si>
    <t>Ver. Prot. Chr. Basisonderwijs te Anjum</t>
  </si>
  <si>
    <t>Christelijke Schoolvereniging Amsterdam Zuid</t>
  </si>
  <si>
    <t>St. tot het verstrekken van Onderwijs Gereform. Grondslag</t>
  </si>
  <si>
    <t>Stichting voor Basisonderwijs op Gereformeerde Grondslag</t>
  </si>
  <si>
    <t>Ver. tot Stg. en Instandhoud. van een School met den Bijbel</t>
  </si>
  <si>
    <t>Stichting voor Prot. Christel. Basisonderwijs Apeldoorn</t>
  </si>
  <si>
    <t>Stichting Chr. B.s. De Klokkenberg</t>
  </si>
  <si>
    <t>Stichting Jenaplanscholen Bollenstreek</t>
  </si>
  <si>
    <t>Stichting Protestants Christelijk Onderwijs LEV</t>
  </si>
  <si>
    <t>Stichting Interconfessionele Samenwerkingsschool Meddo</t>
  </si>
  <si>
    <t>Vereniging Nieuwe School Edam</t>
  </si>
  <si>
    <t>Stichting Vrije School Michael</t>
  </si>
  <si>
    <t>Ver. bevordering Chr. Onderw. te Bruinisse</t>
  </si>
  <si>
    <t>VCO Bunschoten</t>
  </si>
  <si>
    <t>Stg. Katholiek/Interconfess. (RK/PC) Onderwijs 'Sint Bavo'</t>
  </si>
  <si>
    <t>Stichting Christelijk Onderwijs Delft e.o.</t>
  </si>
  <si>
    <t>Vereniging voor Protestants Christelijk Basisonderwijs te Lutten</t>
  </si>
  <si>
    <t>Stichting Kindante, leren leren, leren leven</t>
  </si>
  <si>
    <t>Stichting Hervormde Scholen de Drieslag</t>
  </si>
  <si>
    <t>Ver. Prot.-Christ. Onderwijs te Holten</t>
  </si>
  <si>
    <t>Vereniging voor Christelijk Onderwijs Instituut Coolsma</t>
  </si>
  <si>
    <t>Ver. v. Prot.-Christ. Onderw. te Eerbeek</t>
  </si>
  <si>
    <t>Ver. tot Stg. en Instandh. van een School met de Bijbel</t>
  </si>
  <si>
    <t>Ver. voor P.C. Basisonderwijs, 'Rehoboth' te Frieschepalen e</t>
  </si>
  <si>
    <t>Vereniging Jenaplanschool Gouda</t>
  </si>
  <si>
    <t>Ver. voor Prot. Chr. Onderwijs te Garderen, Stroe&amp;Kootw.broe</t>
  </si>
  <si>
    <t>Stichting Freinetschool Heiloo</t>
  </si>
  <si>
    <t>Stichting 'De Nieuwe Kring'</t>
  </si>
  <si>
    <t>Ver. Herv. Sch.gem. voor Prot.-Chr. Ond. te Genem.</t>
  </si>
  <si>
    <t>Vereniging voor Evangelisatie 'Het Mosterdzaadje'</t>
  </si>
  <si>
    <t>Stichting Vrije School Amersfoort</t>
  </si>
  <si>
    <t>Ver. Prot.-Chr. Bas.onderwijs te Sprang-Capelle/Kaatsheuvel</t>
  </si>
  <si>
    <t>De Capelse Schoolvereniging</t>
  </si>
  <si>
    <t>Salomo, Stichting voor Christ. Primair Onderw. Z-Kennemerlan</t>
  </si>
  <si>
    <t>Stg. voor Christelijk Onderw. Harderwijk-Hierden</t>
  </si>
  <si>
    <t>Stichting 'Ieder kind telt' Chr. Prim. Onderw. Hellendoorn</t>
  </si>
  <si>
    <t>Ver. voor Prot.-Chr. Onderwijs 'Het Mosterdzaadje'</t>
  </si>
  <si>
    <t>Ver. v. Prot.-Chr. Basisond. te Hulshorst</t>
  </si>
  <si>
    <t>Ver. ter Bev. Ger. Schoolond. te Kockengen</t>
  </si>
  <si>
    <t>Ver. tot Stg. en Instandhoud. van Scholen md Bijbel Lunteren</t>
  </si>
  <si>
    <t>Ver. School met de Bijbel Maartensdijk</t>
  </si>
  <si>
    <t>Ver. Bevordering Christelijk Schoolonderwijs Neerlangbroek</t>
  </si>
  <si>
    <t>Ver. tot Stg. en Instandh. van Scholen met de Bijbel N'loos</t>
  </si>
  <si>
    <t>Hervormde Schoolvereniging te Nijkerk</t>
  </si>
  <si>
    <t>Vereniging voor Christ. Nat. Schoolond.</t>
  </si>
  <si>
    <t>Ver. Basisond. op Reform. Grondsl. te Oostkapelle</t>
  </si>
  <si>
    <t>Vereniging voor Protestants Christelijk Onderwijs Putten</t>
  </si>
  <si>
    <t>Ver. Verstr. Basisonderwijs Reform. Gronslag Rilland-Bath</t>
  </si>
  <si>
    <t>Ver. Stg. Herv. Schol. op Geref. Grondsl. te Rouveen</t>
  </si>
  <si>
    <t>Vereniging Stichting Instandhouding School met de Bijbel</t>
  </si>
  <si>
    <t>Christelijke Gereformeerde Schoolvereniging Sliedrecht</t>
  </si>
  <si>
    <t>Ver. tot stg. en inst.houding Scholen met de Bijbel</t>
  </si>
  <si>
    <t>Ver. t/h Verstr. van Sch.ond. op Reformatorische Grondslag</t>
  </si>
  <si>
    <t>Vereniging voor Protestants Christ. Basisonderw. Vinkeveen</t>
  </si>
  <si>
    <t>'Nederlandse Hervormde Schoolvereniging'</t>
  </si>
  <si>
    <t>Ver. tot Stg. en Inst.houding van Scholen met de Bijbel</t>
  </si>
  <si>
    <t>Christ. Ver. voor Primair Onderwijs op Terschelling</t>
  </si>
  <si>
    <t>Verion Protestants Christelijk Onderwijs Wierden Enter</t>
  </si>
  <si>
    <t>Ver. Chr. Nat. Basisonderwijs Driesum, Wouterswoude,Damwoude</t>
  </si>
  <si>
    <t>Stg. Nutsscholen v. Kleuter-/ Lager Onderwijs Aalst-Waalre</t>
  </si>
  <si>
    <t>Schoolvereniging Aerdenhout-Bentveld</t>
  </si>
  <si>
    <t>Stichting Geert Groote School</t>
  </si>
  <si>
    <t>Stichting Nieuwe Schoolvereniging</t>
  </si>
  <si>
    <t>Stichting Beverwijkse Montessori Scholen</t>
  </si>
  <si>
    <t>Bloemendaalse Schoolvereniging</t>
  </si>
  <si>
    <t>Delftsche Schoolvereeniging</t>
  </si>
  <si>
    <t>Stichting Deventer en Almelose Montessorischolen</t>
  </si>
  <si>
    <t>Stg. Inst. van Opv. Ing. Door Luiten.-Admiraal v. Kinsbergen</t>
  </si>
  <si>
    <t>Enschedese Schoolvereniging</t>
  </si>
  <si>
    <t>School Ver. Neutraal Bijzonder Onderwijs Casimir</t>
  </si>
  <si>
    <t>Schoolvereniging Wolters</t>
  </si>
  <si>
    <t>Stichting Haagsche Schoolvereeniging</t>
  </si>
  <si>
    <t>Vereniging Montessorischool Waalsdorp</t>
  </si>
  <si>
    <t>Stichting Vrijescholen ZW Nederland</t>
  </si>
  <si>
    <t>De Haarlemse Montessorischool</t>
  </si>
  <si>
    <t>Hilversumse Schoolvereniging</t>
  </si>
  <si>
    <t>Godelinde Schoolvereniging</t>
  </si>
  <si>
    <t>Vereniging De Flevoschool te Huizen</t>
  </si>
  <si>
    <t>Eerste Leidse Schoolvereniging</t>
  </si>
  <si>
    <t>Ver. v. Prot.-Chr. Basisond. te Nij Beets</t>
  </si>
  <si>
    <t>De Kralingsche School</t>
  </si>
  <si>
    <t>Ver. De v. Oldenbarneveltsch. v. Neutr. Bijz. Ond.</t>
  </si>
  <si>
    <t>Stichting 'van der Huchtscholen'</t>
  </si>
  <si>
    <t>Wageningse Schoolvereniging</t>
  </si>
  <si>
    <t>Vereniging Montessorischool Wassenaar</t>
  </si>
  <si>
    <t>Ver. tot Opr. en Instandhoud. van een Neutraal Bijz. School</t>
  </si>
  <si>
    <t>Zeister Schoolvereeniging</t>
  </si>
  <si>
    <t>Stichting De Zeister Vrije School</t>
  </si>
  <si>
    <t>Ver. Protestants-Christelijk Basisonderwijs te Vroomshoop</t>
  </si>
  <si>
    <t>Vereniging voor P-C Basisond. te Beerzerveld</t>
  </si>
  <si>
    <t>Stichting Christelijk Onderw. De Roerganger</t>
  </si>
  <si>
    <t>WerkgeverNummer</t>
  </si>
  <si>
    <t>WerkgeverNaam</t>
  </si>
  <si>
    <t>Stichting Speciaal Onderwijs de Bolster</t>
  </si>
  <si>
    <t>Ver. Chr. Voortgezet Onderwijs te Rotterdam en omgeving</t>
  </si>
  <si>
    <t>Stichting Onderwijscentrum Leijpark</t>
  </si>
  <si>
    <t>Stichting Vitus Zuid</t>
  </si>
  <si>
    <t>Stichting VierTaal</t>
  </si>
  <si>
    <t>Stichting 's Heeren Loo Zorggroep</t>
  </si>
  <si>
    <t>Stichting Speciaal Onderwijs Amersfoort en Omstreken</t>
  </si>
  <si>
    <t>Stichting Altra</t>
  </si>
  <si>
    <t>Stichting Attendiz</t>
  </si>
  <si>
    <t>Stichting voor Chr. Speciaal Basisonderwijs Barneveld e.o.</t>
  </si>
  <si>
    <t>Stichting Herman Broeren</t>
  </si>
  <si>
    <t>Sticht. Speciaal Onderwijs op Gereformeerde Grondslag</t>
  </si>
  <si>
    <t>Stichting Maashorst, Multif. Org. Jeugdzorg/Onderw.</t>
  </si>
  <si>
    <t>Stichting Zozijn Daniël de Brouwerschool</t>
  </si>
  <si>
    <t>Stichting Samenwerkingsschool</t>
  </si>
  <si>
    <t>Stichting J.C. Pleysierschool</t>
  </si>
  <si>
    <t>Ver. voor Chr. Spec. Onderwijs op Goeree-Overflakkee</t>
  </si>
  <si>
    <t>Stichting Eduvier Onderwijsgroep</t>
  </si>
  <si>
    <t>Stichting Prof. Dr. Leo Kanneronderw.grp</t>
  </si>
  <si>
    <t>Stichting Entrea Jeugdzorg</t>
  </si>
  <si>
    <t>Stichting de Hoenderloo Groep</t>
  </si>
  <si>
    <t>Herman Broerenstichting</t>
  </si>
  <si>
    <t>Stg. Christelijk Voortgezet Onderwijs Zuidoost-Utrecht</t>
  </si>
  <si>
    <t>Stichting Kristallis</t>
  </si>
  <si>
    <t>Stichting De Onderwijsspecialisten</t>
  </si>
  <si>
    <t>Stichting voor Christelijk Speciaal Basisonderwijs te Leeuwarden</t>
  </si>
  <si>
    <t>Stichting Heliomare Onderwijs</t>
  </si>
  <si>
    <t>Stichting voor Christelijk Speciaal Onderwijs Groningen</t>
  </si>
  <si>
    <t>Stichting Respont</t>
  </si>
  <si>
    <t>Stichting SBO de Schilderspoort</t>
  </si>
  <si>
    <t>Aloysius Stichting Onderwijs Jeugdzorg</t>
  </si>
  <si>
    <t>Stichting SBO De Vlieger</t>
  </si>
  <si>
    <t>Stichting 'Het Driespan'</t>
  </si>
  <si>
    <t>Stichting Scholengemeenschap Voor Vrijeschoolonderwijs</t>
  </si>
  <si>
    <t>Stichting Onderwijsgroep Amersfoort</t>
  </si>
  <si>
    <t>Stichting Orthopedagogisch Instituut Deventer en Omgeving</t>
  </si>
  <si>
    <t>Stichting Mozarthof</t>
  </si>
  <si>
    <t>Stichting "De Korre"</t>
  </si>
  <si>
    <t>Stichting Onderwijs Koninklijke Auris Groep</t>
  </si>
  <si>
    <t>De Kleine Prins, Stichting v. speciaal onderwijs/voorzien.</t>
  </si>
  <si>
    <t>Stichting RENN4</t>
  </si>
  <si>
    <t>Stichting Specialisten in Passend Onderwijs</t>
  </si>
  <si>
    <t>Stichting de Bascule</t>
  </si>
  <si>
    <t>Stichting J.H. Donnerschool</t>
  </si>
  <si>
    <t>Stichting De Korenburg</t>
  </si>
  <si>
    <t>Stichting Orion</t>
  </si>
  <si>
    <t>Stichting Onderwijsgroep Punt Speciaal</t>
  </si>
  <si>
    <t>Stichting LSG-Rentray Onderwijs</t>
  </si>
  <si>
    <t>Stichting Dunamare Onderwijsgroep</t>
  </si>
  <si>
    <t>Stichting EduCare,Chr.Speciaal Onderwijs te Harderwijk e.o.</t>
  </si>
  <si>
    <t>Stichting Resonans</t>
  </si>
  <si>
    <t>Stichting Alterius</t>
  </si>
  <si>
    <t>Stichting Gewoon Speciaal Onderwijs</t>
  </si>
  <si>
    <t>Stichting Almere Speciaal</t>
  </si>
  <si>
    <t>St.Kon.Visio, expertisecentr. slechtziende en blinde mensen</t>
  </si>
  <si>
    <t>Stichting Oosterwijs</t>
  </si>
  <si>
    <t>Stichting Zonnehuizen Onderwijs</t>
  </si>
  <si>
    <t>Stichting Trigoon</t>
  </si>
  <si>
    <t>Stichting Speciaal Onderwijs Fryslân</t>
  </si>
  <si>
    <t>Stichting Elan</t>
  </si>
  <si>
    <t>Stichting Bartiméus Onderwijs</t>
  </si>
  <si>
    <t>Stichting De Sprong</t>
  </si>
  <si>
    <t>Stichting SOCA</t>
  </si>
  <si>
    <t>Stichting reformatorisch speciaal onderwijs Randstad</t>
  </si>
  <si>
    <t>Stichting Speciaal Onderwijs Tarcisiusschool</t>
  </si>
  <si>
    <t>Stichting Onderwijsgroep Buitengewoon</t>
  </si>
  <si>
    <t>Stichting Professor Fritz Redlschool voor Langdurig Zieke Kinderen</t>
  </si>
  <si>
    <t>Stichting Saltho-onderwijs</t>
  </si>
  <si>
    <t>Stichting Kentalis Onderwijs</t>
  </si>
  <si>
    <t>Stichting Scholen voor SOOG id Gemeente Dronten</t>
  </si>
  <si>
    <t>Stichting Horizon Jeugdzorg en Speciaal Onderwijs</t>
  </si>
  <si>
    <t>Stichting Volare</t>
  </si>
  <si>
    <t>Stichting Aquila, stichting voor Christelijk Speciaal Onderwijs regio Ommen</t>
  </si>
  <si>
    <t>Martinusstichting voor spec. en voortgezet spec. ond.</t>
  </si>
  <si>
    <t>Stichting Chr. Spec. Onderwijs Apeldoorn</t>
  </si>
  <si>
    <t>Stichting Speciaal Onderw. en Exp.centra</t>
  </si>
  <si>
    <t>Stichting Biezonderwijs</t>
  </si>
  <si>
    <t>Stichting Kempenhaeghe</t>
  </si>
  <si>
    <t>Stichting Gabriël bs en vso v. leerl. mot. bep.</t>
  </si>
  <si>
    <t>Stichting Adelante Onderwijs</t>
  </si>
  <si>
    <t>Stichting R.K. Mytylschool Roosendaal</t>
  </si>
  <si>
    <t>Stichting Samenwerking Nieuwegein</t>
  </si>
  <si>
    <t>Stichting Emiliusschool</t>
  </si>
  <si>
    <t>Stichting Hub Noord-Brabant</t>
  </si>
  <si>
    <t>Stichting Speciaal Onderwijs Twente en Oost Gelderland</t>
  </si>
  <si>
    <t>Stg. v. Spec. Onderw. op Geref. Grondsl. in Zeeland</t>
  </si>
  <si>
    <t>Stg. Chr. Spec.-/Voortg. Ond. vd Noordoostpolder en omgeving</t>
  </si>
  <si>
    <t>Stichting 'Tobiasschool Amsterdam'</t>
  </si>
  <si>
    <t>St. Sp. Ow&amp;V. Sp. Ow op Ger. Gr. in de Regio Veluwe</t>
  </si>
  <si>
    <t>Stichting Yulius Onderwijs</t>
  </si>
  <si>
    <t>Stichting Zuiderbos</t>
  </si>
  <si>
    <t>Stichting voor Christelijk Spec. Basisonderwijs Sneek eo</t>
  </si>
  <si>
    <t>Onderwijsstichting De Wijnberg</t>
  </si>
  <si>
    <t>Sticht. Epilepsie Instellingen Nederland</t>
  </si>
  <si>
    <t>Stichting voor PCSO &amp; VSO voor Kampen en omstreken</t>
  </si>
  <si>
    <t>Stichting Het Poortje Jeugdinrichtingen</t>
  </si>
  <si>
    <t>Stg. Orthopedagogisch Centrum De Ambelt</t>
  </si>
  <si>
    <t>VSO ZMOK de Sprengen Scholing &amp; Training</t>
  </si>
  <si>
    <t>Option_WerkgeverValtOnderWPO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</si>
</sst>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€&quot;#,##0.00_);\(&quot;€&quot;#,##0.00\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.00_-;_-* #,##0.00\-;_-* &quot;-&quot;??_-;_-@_-"/>
    <numFmt numFmtId="168" formatCode="_ [$€-413]\ * #,##0.00_ ;_ [$€-413]\ * \-#,##0.00_ ;_ [$€-413]\ * &quot;-&quot;??_ ;_ @_ "/>
  </numFmts>
  <fonts count="56" x14ac:knownFonts="1">
    <font>
      <sz val="11"/>
      <color theme="1"/>
      <name val="Calibri"/>
      <family val="2"/>
      <scheme val="minor"/>
    </font>
    <font>
      <b/>
      <sz val="14"/>
      <name val="Verdana"/>
      <family val="2"/>
    </font>
    <font>
      <b/>
      <sz val="14"/>
      <name val="Arial"/>
      <family val="2"/>
    </font>
    <font>
      <b/>
      <sz val="11"/>
      <name val="Verdana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9"/>
      <name val="Arial"/>
      <family val="2"/>
    </font>
    <font>
      <sz val="9"/>
      <name val="Arial"/>
      <family val="2"/>
    </font>
    <font>
      <sz val="9.9"/>
      <name val="Arial"/>
      <family val="2"/>
    </font>
    <font>
      <b/>
      <sz val="9.9"/>
      <name val="Arial"/>
      <family val="2"/>
    </font>
    <font>
      <sz val="11"/>
      <name val="Arial"/>
      <family val="2"/>
    </font>
    <font>
      <sz val="6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sz val="10"/>
      <color indexed="60"/>
      <name val="Arial"/>
      <family val="2"/>
    </font>
    <font>
      <sz val="10"/>
      <color indexed="3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i/>
      <sz val="11"/>
      <color indexed="8"/>
      <name val="Calibri"/>
      <family val="2"/>
    </font>
    <font>
      <b/>
      <sz val="11"/>
      <color indexed="8"/>
      <name val="Verdana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35"/>
      <color indexed="56"/>
      <name val="Calibri"/>
      <family val="2"/>
    </font>
    <font>
      <sz val="6"/>
      <color indexed="56"/>
      <name val="Calibri"/>
      <family val="2"/>
    </font>
    <font>
      <sz val="8"/>
      <name val="Calibri"/>
      <family val="2"/>
    </font>
    <font>
      <sz val="9"/>
      <color indexed="81"/>
      <name val="Tahoma"/>
      <family val="2"/>
    </font>
    <font>
      <b/>
      <i/>
      <sz val="8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u/>
      <sz val="12"/>
      <color indexed="8"/>
      <name val="Arial"/>
      <family val="2"/>
    </font>
    <font>
      <b/>
      <u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i/>
      <sz val="11"/>
      <color indexed="8"/>
      <name val="Calibri"/>
      <family val="2"/>
    </font>
    <font>
      <sz val="10"/>
      <color theme="1"/>
      <name val="Arial"/>
      <family val="2"/>
    </font>
    <font>
      <b/>
      <sz val="12"/>
      <color theme="1"/>
      <name val="Verdana"/>
      <family val="2"/>
    </font>
    <font>
      <b/>
      <sz val="28"/>
      <color rgb="FF660066"/>
      <name val="Arial Black"/>
      <family val="2"/>
    </font>
    <font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2060"/>
      <name val="Calibri"/>
      <family val="2"/>
      <scheme val="minor"/>
    </font>
    <font>
      <sz val="35"/>
      <color rgb="FF3E1B59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6" fontId="23" fillId="0" borderId="0" applyFont="0" applyFill="0" applyBorder="0" applyAlignment="0" applyProtection="0"/>
    <xf numFmtId="0" fontId="49" fillId="0" borderId="0"/>
    <xf numFmtId="0" fontId="8" fillId="0" borderId="0"/>
    <xf numFmtId="0" fontId="19" fillId="0" borderId="0"/>
    <xf numFmtId="165" fontId="41" fillId="0" borderId="0" applyFont="0" applyFill="0" applyBorder="0" applyAlignment="0" applyProtection="0"/>
    <xf numFmtId="165" fontId="52" fillId="0" borderId="0" applyFont="0" applyFill="0" applyBorder="0" applyAlignment="0" applyProtection="0"/>
  </cellStyleXfs>
  <cellXfs count="353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/>
    <xf numFmtId="15" fontId="1" fillId="0" borderId="0" xfId="2" applyNumberFormat="1" applyFont="1" applyAlignment="1">
      <alignment horizontal="left"/>
    </xf>
    <xf numFmtId="0" fontId="2" fillId="0" borderId="0" xfId="2" applyFont="1"/>
    <xf numFmtId="0" fontId="2" fillId="0" borderId="0" xfId="2" applyFont="1" applyAlignment="1">
      <alignment horizontal="center"/>
    </xf>
    <xf numFmtId="0" fontId="49" fillId="0" borderId="0" xfId="2"/>
    <xf numFmtId="0" fontId="3" fillId="0" borderId="0" xfId="2" applyFont="1"/>
    <xf numFmtId="0" fontId="4" fillId="0" borderId="0" xfId="2" applyFont="1"/>
    <xf numFmtId="0" fontId="24" fillId="0" borderId="0" xfId="2" applyFont="1" applyAlignment="1">
      <alignment horizontal="center"/>
    </xf>
    <xf numFmtId="0" fontId="28" fillId="0" borderId="0" xfId="2" applyFont="1" applyAlignment="1"/>
    <xf numFmtId="0" fontId="3" fillId="0" borderId="0" xfId="2" applyFont="1" applyAlignment="1"/>
    <xf numFmtId="0" fontId="24" fillId="0" borderId="0" xfId="2" applyFont="1"/>
    <xf numFmtId="0" fontId="49" fillId="0" borderId="0" xfId="2" quotePrefix="1"/>
    <xf numFmtId="0" fontId="29" fillId="0" borderId="0" xfId="2" applyFont="1"/>
    <xf numFmtId="0" fontId="30" fillId="0" borderId="0" xfId="2" applyFont="1"/>
    <xf numFmtId="0" fontId="49" fillId="0" borderId="0" xfId="2" applyAlignment="1">
      <alignment horizontal="center"/>
    </xf>
    <xf numFmtId="4" fontId="49" fillId="0" borderId="0" xfId="2" applyNumberFormat="1"/>
    <xf numFmtId="4" fontId="49" fillId="0" borderId="0" xfId="2" applyNumberFormat="1" applyAlignment="1">
      <alignment horizontal="center"/>
    </xf>
    <xf numFmtId="0" fontId="30" fillId="0" borderId="1" xfId="2" applyFont="1" applyBorder="1"/>
    <xf numFmtId="4" fontId="30" fillId="0" borderId="2" xfId="2" applyNumberFormat="1" applyFont="1" applyBorder="1" applyAlignment="1">
      <alignment horizontal="center"/>
    </xf>
    <xf numFmtId="0" fontId="30" fillId="0" borderId="2" xfId="2" applyFont="1" applyBorder="1" applyAlignment="1">
      <alignment horizontal="center"/>
    </xf>
    <xf numFmtId="4" fontId="49" fillId="0" borderId="0" xfId="2" applyNumberFormat="1" applyAlignment="1"/>
    <xf numFmtId="0" fontId="30" fillId="0" borderId="3" xfId="2" applyFont="1" applyBorder="1" applyAlignment="1">
      <alignment horizontal="right"/>
    </xf>
    <xf numFmtId="0" fontId="30" fillId="0" borderId="3" xfId="2" applyFont="1" applyBorder="1" applyAlignment="1">
      <alignment horizontal="center"/>
    </xf>
    <xf numFmtId="4" fontId="30" fillId="0" borderId="3" xfId="2" applyNumberFormat="1" applyFont="1" applyBorder="1"/>
    <xf numFmtId="0" fontId="30" fillId="0" borderId="0" xfId="2" applyFont="1" applyBorder="1" applyAlignment="1">
      <alignment horizontal="center"/>
    </xf>
    <xf numFmtId="0" fontId="30" fillId="0" borderId="4" xfId="2" applyFont="1" applyBorder="1" applyAlignment="1">
      <alignment horizontal="center"/>
    </xf>
    <xf numFmtId="4" fontId="30" fillId="0" borderId="5" xfId="2" applyNumberFormat="1" applyFont="1" applyBorder="1"/>
    <xf numFmtId="0" fontId="30" fillId="0" borderId="0" xfId="2" applyFont="1" applyBorder="1" applyAlignment="1">
      <alignment horizontal="right"/>
    </xf>
    <xf numFmtId="4" fontId="30" fillId="0" borderId="0" xfId="2" applyNumberFormat="1" applyFont="1" applyBorder="1"/>
    <xf numFmtId="0" fontId="30" fillId="0" borderId="6" xfId="2" applyFont="1" applyBorder="1" applyAlignment="1">
      <alignment horizontal="center"/>
    </xf>
    <xf numFmtId="4" fontId="30" fillId="0" borderId="7" xfId="2" applyNumberFormat="1" applyFont="1" applyBorder="1"/>
    <xf numFmtId="0" fontId="30" fillId="0" borderId="8" xfId="2" applyFont="1" applyBorder="1"/>
    <xf numFmtId="0" fontId="30" fillId="0" borderId="9" xfId="2" applyFont="1" applyBorder="1" applyAlignment="1">
      <alignment horizontal="right"/>
    </xf>
    <xf numFmtId="0" fontId="30" fillId="0" borderId="9" xfId="2" applyFont="1" applyBorder="1" applyAlignment="1">
      <alignment horizontal="center"/>
    </xf>
    <xf numFmtId="4" fontId="30" fillId="0" borderId="9" xfId="2" applyNumberFormat="1" applyFont="1" applyBorder="1"/>
    <xf numFmtId="0" fontId="30" fillId="0" borderId="8" xfId="2" applyFont="1" applyBorder="1" applyAlignment="1">
      <alignment horizontal="center"/>
    </xf>
    <xf numFmtId="4" fontId="30" fillId="0" borderId="10" xfId="2" applyNumberFormat="1" applyFont="1" applyBorder="1"/>
    <xf numFmtId="4" fontId="0" fillId="0" borderId="0" xfId="0" applyNumberFormat="1"/>
    <xf numFmtId="0" fontId="24" fillId="0" borderId="0" xfId="0" applyFont="1"/>
    <xf numFmtId="0" fontId="30" fillId="2" borderId="0" xfId="0" applyFont="1" applyFill="1"/>
    <xf numFmtId="0" fontId="24" fillId="2" borderId="0" xfId="0" applyFont="1" applyFill="1"/>
    <xf numFmtId="0" fontId="30" fillId="2" borderId="0" xfId="0" applyFont="1" applyFill="1" applyAlignment="1">
      <alignment horizontal="right"/>
    </xf>
    <xf numFmtId="4" fontId="24" fillId="2" borderId="0" xfId="0" applyNumberFormat="1" applyFont="1" applyFill="1"/>
    <xf numFmtId="4" fontId="24" fillId="2" borderId="9" xfId="0" applyNumberFormat="1" applyFont="1" applyFill="1" applyBorder="1"/>
    <xf numFmtId="4" fontId="31" fillId="3" borderId="0" xfId="0" applyNumberFormat="1" applyFont="1" applyFill="1"/>
    <xf numFmtId="4" fontId="30" fillId="2" borderId="0" xfId="0" applyNumberFormat="1" applyFont="1" applyFill="1"/>
    <xf numFmtId="4" fontId="24" fillId="2" borderId="0" xfId="0" applyNumberFormat="1" applyFont="1" applyFill="1" applyAlignment="1">
      <alignment horizontal="right"/>
    </xf>
    <xf numFmtId="4" fontId="24" fillId="0" borderId="0" xfId="2" applyNumberFormat="1" applyFont="1"/>
    <xf numFmtId="4" fontId="24" fillId="0" borderId="0" xfId="2" applyNumberFormat="1" applyFont="1" applyAlignment="1">
      <alignment horizontal="center"/>
    </xf>
    <xf numFmtId="4" fontId="24" fillId="0" borderId="0" xfId="2" applyNumberFormat="1" applyFont="1" applyAlignment="1"/>
    <xf numFmtId="0" fontId="24" fillId="0" borderId="2" xfId="2" applyFont="1" applyBorder="1"/>
    <xf numFmtId="0" fontId="24" fillId="0" borderId="2" xfId="2" applyFont="1" applyBorder="1" applyAlignment="1">
      <alignment horizontal="center"/>
    </xf>
    <xf numFmtId="4" fontId="24" fillId="0" borderId="2" xfId="2" applyNumberFormat="1" applyFont="1" applyBorder="1"/>
    <xf numFmtId="0" fontId="24" fillId="0" borderId="11" xfId="2" applyFont="1" applyBorder="1"/>
    <xf numFmtId="0" fontId="24" fillId="0" borderId="6" xfId="2" applyFont="1" applyBorder="1"/>
    <xf numFmtId="0" fontId="24" fillId="0" borderId="4" xfId="2" applyFont="1" applyBorder="1"/>
    <xf numFmtId="4" fontId="24" fillId="0" borderId="3" xfId="2" applyNumberFormat="1" applyFont="1" applyBorder="1"/>
    <xf numFmtId="0" fontId="24" fillId="0" borderId="5" xfId="2" applyFont="1" applyBorder="1"/>
    <xf numFmtId="4" fontId="24" fillId="0" borderId="0" xfId="2" applyNumberFormat="1" applyFont="1" applyBorder="1" applyAlignment="1">
      <alignment horizontal="center"/>
    </xf>
    <xf numFmtId="0" fontId="24" fillId="0" borderId="0" xfId="2" applyFont="1" applyBorder="1"/>
    <xf numFmtId="4" fontId="24" fillId="0" borderId="0" xfId="2" applyNumberFormat="1" applyFont="1" applyBorder="1"/>
    <xf numFmtId="0" fontId="24" fillId="0" borderId="7" xfId="2" applyFont="1" applyBorder="1"/>
    <xf numFmtId="4" fontId="24" fillId="0" borderId="9" xfId="2" applyNumberFormat="1" applyFont="1" applyBorder="1"/>
    <xf numFmtId="0" fontId="24" fillId="0" borderId="10" xfId="2" applyFont="1" applyBorder="1"/>
    <xf numFmtId="0" fontId="32" fillId="2" borderId="3" xfId="0" applyFont="1" applyFill="1" applyBorder="1"/>
    <xf numFmtId="0" fontId="32" fillId="2" borderId="9" xfId="0" applyFont="1" applyFill="1" applyBorder="1"/>
    <xf numFmtId="0" fontId="24" fillId="2" borderId="4" xfId="0" applyFont="1" applyFill="1" applyBorder="1"/>
    <xf numFmtId="4" fontId="31" fillId="3" borderId="3" xfId="0" applyNumberFormat="1" applyFont="1" applyFill="1" applyBorder="1"/>
    <xf numFmtId="0" fontId="24" fillId="2" borderId="5" xfId="0" applyFont="1" applyFill="1" applyBorder="1"/>
    <xf numFmtId="0" fontId="24" fillId="2" borderId="8" xfId="0" applyFont="1" applyFill="1" applyBorder="1"/>
    <xf numFmtId="4" fontId="31" fillId="3" borderId="9" xfId="0" applyNumberFormat="1" applyFont="1" applyFill="1" applyBorder="1"/>
    <xf numFmtId="0" fontId="24" fillId="2" borderId="10" xfId="0" applyFont="1" applyFill="1" applyBorder="1"/>
    <xf numFmtId="0" fontId="30" fillId="0" borderId="0" xfId="0" applyFont="1"/>
    <xf numFmtId="0" fontId="29" fillId="0" borderId="0" xfId="0" applyFont="1" applyAlignment="1">
      <alignment horizontal="center"/>
    </xf>
    <xf numFmtId="4" fontId="24" fillId="0" borderId="0" xfId="0" applyNumberFormat="1" applyFont="1"/>
    <xf numFmtId="0" fontId="30" fillId="0" borderId="1" xfId="0" applyFont="1" applyBorder="1"/>
    <xf numFmtId="0" fontId="30" fillId="0" borderId="2" xfId="0" applyFont="1" applyBorder="1"/>
    <xf numFmtId="0" fontId="30" fillId="0" borderId="11" xfId="0" applyFont="1" applyBorder="1"/>
    <xf numFmtId="0" fontId="33" fillId="4" borderId="0" xfId="0" applyFont="1" applyFill="1"/>
    <xf numFmtId="4" fontId="33" fillId="4" borderId="0" xfId="0" applyNumberFormat="1" applyFont="1" applyFill="1"/>
    <xf numFmtId="14" fontId="33" fillId="4" borderId="0" xfId="0" applyNumberFormat="1" applyFont="1" applyFill="1"/>
    <xf numFmtId="0" fontId="33" fillId="4" borderId="0" xfId="0" applyNumberFormat="1" applyFont="1" applyFill="1"/>
    <xf numFmtId="0" fontId="27" fillId="0" borderId="0" xfId="0" applyFont="1" applyAlignment="1">
      <alignment horizontal="right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1" fillId="0" borderId="0" xfId="4" applyFont="1"/>
    <xf numFmtId="0" fontId="9" fillId="0" borderId="0" xfId="4" applyFont="1"/>
    <xf numFmtId="0" fontId="19" fillId="0" borderId="0" xfId="4"/>
    <xf numFmtId="0" fontId="10" fillId="0" borderId="0" xfId="4" applyFont="1"/>
    <xf numFmtId="0" fontId="11" fillId="0" borderId="0" xfId="4" applyFont="1"/>
    <xf numFmtId="0" fontId="4" fillId="0" borderId="0" xfId="4" applyFont="1"/>
    <xf numFmtId="0" fontId="19" fillId="0" borderId="0" xfId="4" applyFont="1" applyAlignment="1">
      <alignment vertical="top" wrapText="1"/>
    </xf>
    <xf numFmtId="0" fontId="19" fillId="0" borderId="0" xfId="4" applyAlignment="1"/>
    <xf numFmtId="0" fontId="19" fillId="0" borderId="0" xfId="4" applyFont="1"/>
    <xf numFmtId="0" fontId="19" fillId="0" borderId="0" xfId="4" applyFont="1" applyAlignment="1"/>
    <xf numFmtId="0" fontId="19" fillId="0" borderId="0" xfId="4" applyFont="1" applyAlignment="1">
      <alignment vertical="top"/>
    </xf>
    <xf numFmtId="0" fontId="18" fillId="0" borderId="0" xfId="4" applyFont="1"/>
    <xf numFmtId="0" fontId="18" fillId="5" borderId="0" xfId="4" applyFont="1" applyFill="1"/>
    <xf numFmtId="0" fontId="19" fillId="5" borderId="0" xfId="4" applyFill="1"/>
    <xf numFmtId="0" fontId="19" fillId="5" borderId="0" xfId="4" applyFont="1" applyFill="1" applyAlignment="1">
      <alignment vertical="top"/>
    </xf>
    <xf numFmtId="0" fontId="19" fillId="5" borderId="0" xfId="4" applyFont="1" applyFill="1"/>
    <xf numFmtId="0" fontId="18" fillId="3" borderId="0" xfId="4" applyFont="1" applyFill="1"/>
    <xf numFmtId="0" fontId="19" fillId="3" borderId="0" xfId="4" applyFill="1"/>
    <xf numFmtId="0" fontId="19" fillId="3" borderId="0" xfId="4" applyFill="1" applyAlignment="1"/>
    <xf numFmtId="0" fontId="19" fillId="3" borderId="0" xfId="4" applyFont="1" applyFill="1" applyAlignment="1">
      <alignment vertical="top" wrapText="1"/>
    </xf>
    <xf numFmtId="0" fontId="19" fillId="0" borderId="0" xfId="4" applyAlignment="1">
      <alignment vertical="center"/>
    </xf>
    <xf numFmtId="0" fontId="19" fillId="3" borderId="0" xfId="4" applyFont="1" applyFill="1" applyAlignment="1">
      <alignment vertical="center"/>
    </xf>
    <xf numFmtId="0" fontId="19" fillId="3" borderId="0" xfId="4" applyFill="1" applyAlignment="1">
      <alignment vertical="center"/>
    </xf>
    <xf numFmtId="0" fontId="19" fillId="3" borderId="0" xfId="4" applyFont="1" applyFill="1"/>
    <xf numFmtId="0" fontId="18" fillId="6" borderId="0" xfId="4" applyFont="1" applyFill="1"/>
    <xf numFmtId="0" fontId="19" fillId="6" borderId="0" xfId="4" applyFill="1"/>
    <xf numFmtId="0" fontId="19" fillId="6" borderId="0" xfId="4" applyFont="1" applyFill="1"/>
    <xf numFmtId="0" fontId="19" fillId="6" borderId="0" xfId="4" applyFont="1" applyFill="1" applyAlignment="1">
      <alignment vertical="top" wrapText="1"/>
    </xf>
    <xf numFmtId="0" fontId="19" fillId="6" borderId="0" xfId="4" applyFill="1" applyAlignment="1"/>
    <xf numFmtId="0" fontId="19" fillId="0" borderId="0" xfId="4" applyFont="1" applyAlignment="1">
      <alignment vertical="center" wrapText="1"/>
    </xf>
    <xf numFmtId="0" fontId="19" fillId="6" borderId="0" xfId="4" applyFill="1" applyAlignment="1">
      <alignment vertical="center"/>
    </xf>
    <xf numFmtId="0" fontId="19" fillId="6" borderId="0" xfId="4" applyFont="1" applyFill="1" applyAlignment="1"/>
    <xf numFmtId="0" fontId="19" fillId="6" borderId="0" xfId="4" applyFont="1" applyFill="1" applyAlignment="1">
      <alignment vertical="center"/>
    </xf>
    <xf numFmtId="0" fontId="19" fillId="0" borderId="1" xfId="4" applyFont="1" applyBorder="1"/>
    <xf numFmtId="0" fontId="19" fillId="0" borderId="2" xfId="4" applyFont="1" applyBorder="1"/>
    <xf numFmtId="0" fontId="19" fillId="0" borderId="11" xfId="4" applyFont="1" applyBorder="1"/>
    <xf numFmtId="0" fontId="18" fillId="7" borderId="0" xfId="4" applyFont="1" applyFill="1"/>
    <xf numFmtId="0" fontId="19" fillId="7" borderId="0" xfId="4" applyFill="1"/>
    <xf numFmtId="0" fontId="19" fillId="7" borderId="0" xfId="4" applyFont="1" applyFill="1"/>
    <xf numFmtId="0" fontId="19" fillId="7" borderId="0" xfId="4" applyFont="1" applyFill="1" applyAlignment="1">
      <alignment vertical="top"/>
    </xf>
    <xf numFmtId="0" fontId="18" fillId="8" borderId="0" xfId="4" applyFont="1" applyFill="1"/>
    <xf numFmtId="0" fontId="19" fillId="8" borderId="0" xfId="4" applyFill="1"/>
    <xf numFmtId="0" fontId="19" fillId="8" borderId="0" xfId="4" applyFont="1" applyFill="1"/>
    <xf numFmtId="0" fontId="18" fillId="9" borderId="0" xfId="4" applyFont="1" applyFill="1"/>
    <xf numFmtId="0" fontId="19" fillId="9" borderId="0" xfId="4" applyFill="1"/>
    <xf numFmtId="0" fontId="19" fillId="9" borderId="0" xfId="4" applyFont="1" applyFill="1"/>
    <xf numFmtId="0" fontId="19" fillId="0" borderId="0" xfId="4" applyFont="1" applyBorder="1"/>
    <xf numFmtId="0" fontId="4" fillId="7" borderId="0" xfId="4" applyFont="1" applyFill="1"/>
    <xf numFmtId="0" fontId="4" fillId="5" borderId="0" xfId="4" applyFont="1" applyFill="1"/>
    <xf numFmtId="0" fontId="4" fillId="5" borderId="0" xfId="4" applyFont="1" applyFill="1" applyAlignment="1">
      <alignment vertical="top"/>
    </xf>
    <xf numFmtId="0" fontId="4" fillId="8" borderId="0" xfId="4" quotePrefix="1" applyFont="1" applyFill="1"/>
    <xf numFmtId="0" fontId="20" fillId="0" borderId="0" xfId="4" applyFont="1"/>
    <xf numFmtId="0" fontId="19" fillId="0" borderId="0" xfId="4" applyFont="1" applyAlignment="1">
      <alignment horizontal="right"/>
    </xf>
    <xf numFmtId="0" fontId="19" fillId="0" borderId="0" xfId="4" applyAlignment="1">
      <alignment horizontal="right"/>
    </xf>
    <xf numFmtId="4" fontId="19" fillId="0" borderId="0" xfId="4" applyNumberFormat="1"/>
    <xf numFmtId="0" fontId="19" fillId="0" borderId="0" xfId="4" quotePrefix="1" applyFont="1" applyAlignment="1">
      <alignment horizontal="right"/>
    </xf>
    <xf numFmtId="0" fontId="19" fillId="0" borderId="0" xfId="4" quotePrefix="1" applyFont="1"/>
    <xf numFmtId="0" fontId="19" fillId="0" borderId="0" xfId="4" applyFont="1" applyAlignment="1">
      <alignment horizontal="center"/>
    </xf>
    <xf numFmtId="0" fontId="19" fillId="0" borderId="0" xfId="4" applyAlignment="1">
      <alignment horizontal="center"/>
    </xf>
    <xf numFmtId="3" fontId="19" fillId="0" borderId="0" xfId="4" applyNumberFormat="1"/>
    <xf numFmtId="9" fontId="19" fillId="0" borderId="0" xfId="4" applyNumberFormat="1"/>
    <xf numFmtId="10" fontId="19" fillId="0" borderId="0" xfId="4" applyNumberFormat="1"/>
    <xf numFmtId="0" fontId="18" fillId="0" borderId="12" xfId="4" applyFont="1" applyBorder="1"/>
    <xf numFmtId="0" fontId="19" fillId="0" borderId="13" xfId="4" applyBorder="1"/>
    <xf numFmtId="0" fontId="18" fillId="0" borderId="14" xfId="4" applyFont="1" applyBorder="1"/>
    <xf numFmtId="0" fontId="18" fillId="0" borderId="15" xfId="4" applyFont="1" applyBorder="1"/>
    <xf numFmtId="0" fontId="18" fillId="0" borderId="15" xfId="4" applyFont="1" applyBorder="1" applyAlignment="1">
      <alignment horizontal="right"/>
    </xf>
    <xf numFmtId="0" fontId="18" fillId="0" borderId="13" xfId="4" applyFont="1" applyBorder="1"/>
    <xf numFmtId="0" fontId="18" fillId="0" borderId="16" xfId="4" applyFont="1" applyBorder="1"/>
    <xf numFmtId="0" fontId="19" fillId="0" borderId="15" xfId="4" applyBorder="1"/>
    <xf numFmtId="0" fontId="19" fillId="0" borderId="17" xfId="4" applyBorder="1"/>
    <xf numFmtId="0" fontId="18" fillId="0" borderId="18" xfId="4" applyFont="1" applyBorder="1"/>
    <xf numFmtId="0" fontId="19" fillId="0" borderId="19" xfId="4" applyBorder="1"/>
    <xf numFmtId="0" fontId="18" fillId="0" borderId="20" xfId="4" applyFont="1" applyBorder="1"/>
    <xf numFmtId="0" fontId="18" fillId="0" borderId="21" xfId="4" applyFont="1" applyBorder="1"/>
    <xf numFmtId="0" fontId="18" fillId="0" borderId="21" xfId="4" applyFont="1" applyBorder="1" applyAlignment="1">
      <alignment horizontal="right"/>
    </xf>
    <xf numFmtId="0" fontId="18" fillId="0" borderId="19" xfId="4" applyFont="1" applyBorder="1"/>
    <xf numFmtId="0" fontId="18" fillId="0" borderId="22" xfId="4" applyFont="1" applyBorder="1"/>
    <xf numFmtId="0" fontId="19" fillId="0" borderId="21" xfId="4" applyBorder="1"/>
    <xf numFmtId="0" fontId="18" fillId="0" borderId="23" xfId="4" applyFont="1" applyBorder="1"/>
    <xf numFmtId="0" fontId="19" fillId="0" borderId="24" xfId="4" applyBorder="1"/>
    <xf numFmtId="0" fontId="19" fillId="0" borderId="7" xfId="4" applyBorder="1"/>
    <xf numFmtId="0" fontId="19" fillId="0" borderId="6" xfId="4" applyBorder="1"/>
    <xf numFmtId="0" fontId="19" fillId="0" borderId="0" xfId="4" applyBorder="1"/>
    <xf numFmtId="0" fontId="19" fillId="0" borderId="0" xfId="4" applyBorder="1" applyAlignment="1">
      <alignment horizontal="right"/>
    </xf>
    <xf numFmtId="0" fontId="19" fillId="0" borderId="25" xfId="4" applyBorder="1"/>
    <xf numFmtId="0" fontId="19" fillId="0" borderId="25" xfId="4" applyFont="1" applyBorder="1"/>
    <xf numFmtId="0" fontId="19" fillId="0" borderId="26" xfId="4" applyBorder="1"/>
    <xf numFmtId="0" fontId="19" fillId="0" borderId="24" xfId="4" applyFont="1" applyBorder="1"/>
    <xf numFmtId="0" fontId="19" fillId="0" borderId="6" xfId="4" applyFont="1" applyBorder="1"/>
    <xf numFmtId="0" fontId="19" fillId="0" borderId="26" xfId="4" applyFont="1" applyBorder="1"/>
    <xf numFmtId="0" fontId="21" fillId="0" borderId="7" xfId="4" applyFont="1" applyBorder="1"/>
    <xf numFmtId="0" fontId="19" fillId="0" borderId="0" xfId="4" applyFont="1" applyBorder="1" applyAlignment="1">
      <alignment horizontal="right"/>
    </xf>
    <xf numFmtId="0" fontId="19" fillId="0" borderId="7" xfId="4" applyBorder="1" applyAlignment="1">
      <alignment horizontal="left"/>
    </xf>
    <xf numFmtId="4" fontId="19" fillId="0" borderId="25" xfId="4" applyNumberFormat="1" applyBorder="1"/>
    <xf numFmtId="0" fontId="19" fillId="0" borderId="0" xfId="4" applyFont="1" applyBorder="1" applyAlignment="1">
      <alignment horizontal="left"/>
    </xf>
    <xf numFmtId="0" fontId="19" fillId="0" borderId="0" xfId="4" applyFont="1" applyFill="1" applyBorder="1" applyAlignment="1">
      <alignment horizontal="right"/>
    </xf>
    <xf numFmtId="0" fontId="19" fillId="0" borderId="7" xfId="4" applyFill="1" applyBorder="1" applyAlignment="1">
      <alignment horizontal="left"/>
    </xf>
    <xf numFmtId="0" fontId="19" fillId="0" borderId="0" xfId="4" applyFill="1" applyBorder="1" applyAlignment="1">
      <alignment horizontal="left"/>
    </xf>
    <xf numFmtId="0" fontId="19" fillId="0" borderId="0" xfId="4" applyBorder="1" applyAlignment="1">
      <alignment horizontal="left"/>
    </xf>
    <xf numFmtId="0" fontId="19" fillId="0" borderId="7" xfId="4" applyFont="1" applyBorder="1"/>
    <xf numFmtId="10" fontId="19" fillId="0" borderId="7" xfId="4" applyNumberFormat="1" applyBorder="1" applyAlignment="1">
      <alignment horizontal="left"/>
    </xf>
    <xf numFmtId="0" fontId="19" fillId="0" borderId="0" xfId="4" applyFont="1" applyBorder="1" applyAlignment="1"/>
    <xf numFmtId="0" fontId="19" fillId="0" borderId="7" xfId="4" applyFont="1" applyBorder="1" applyAlignment="1">
      <alignment horizontal="left"/>
    </xf>
    <xf numFmtId="4" fontId="19" fillId="0" borderId="25" xfId="4" applyNumberFormat="1" applyBorder="1" applyAlignment="1">
      <alignment horizontal="right"/>
    </xf>
    <xf numFmtId="0" fontId="5" fillId="0" borderId="7" xfId="4" applyFont="1" applyBorder="1"/>
    <xf numFmtId="0" fontId="5" fillId="0" borderId="0" xfId="4" applyFont="1" applyBorder="1" applyAlignment="1"/>
    <xf numFmtId="0" fontId="5" fillId="0" borderId="26" xfId="4" applyFont="1" applyBorder="1"/>
    <xf numFmtId="0" fontId="19" fillId="0" borderId="21" xfId="4" applyBorder="1" applyAlignment="1">
      <alignment horizontal="right"/>
    </xf>
    <xf numFmtId="0" fontId="19" fillId="0" borderId="22" xfId="4" applyBorder="1"/>
    <xf numFmtId="0" fontId="19" fillId="0" borderId="20" xfId="4" applyBorder="1"/>
    <xf numFmtId="0" fontId="19" fillId="0" borderId="23" xfId="4" applyBorder="1"/>
    <xf numFmtId="0" fontId="18" fillId="0" borderId="4" xfId="4" applyFont="1" applyBorder="1"/>
    <xf numFmtId="0" fontId="18" fillId="0" borderId="3" xfId="4" applyFont="1" applyBorder="1"/>
    <xf numFmtId="0" fontId="19" fillId="0" borderId="3" xfId="4" applyFont="1" applyBorder="1"/>
    <xf numFmtId="0" fontId="19" fillId="0" borderId="3" xfId="4" applyBorder="1"/>
    <xf numFmtId="0" fontId="18" fillId="0" borderId="3" xfId="4" applyFont="1" applyBorder="1" applyAlignment="1">
      <alignment horizontal="left"/>
    </xf>
    <xf numFmtId="0" fontId="19" fillId="0" borderId="5" xfId="4" applyBorder="1"/>
    <xf numFmtId="0" fontId="19" fillId="0" borderId="14" xfId="4" applyFont="1" applyBorder="1"/>
    <xf numFmtId="0" fontId="19" fillId="0" borderId="15" xfId="4" applyFont="1" applyBorder="1"/>
    <xf numFmtId="0" fontId="19" fillId="0" borderId="17" xfId="4" applyFont="1" applyBorder="1"/>
    <xf numFmtId="0" fontId="19" fillId="0" borderId="14" xfId="4" applyFont="1" applyBorder="1" applyAlignment="1">
      <alignment horizontal="right"/>
    </xf>
    <xf numFmtId="0" fontId="19" fillId="0" borderId="0" xfId="4" applyAlignment="1">
      <alignment wrapText="1"/>
    </xf>
    <xf numFmtId="0" fontId="19" fillId="0" borderId="27" xfId="4" applyFont="1" applyBorder="1"/>
    <xf numFmtId="0" fontId="19" fillId="0" borderId="6" xfId="4" applyBorder="1" applyAlignment="1">
      <alignment horizontal="right"/>
    </xf>
    <xf numFmtId="4" fontId="19" fillId="0" borderId="6" xfId="4" applyNumberFormat="1" applyBorder="1"/>
    <xf numFmtId="0" fontId="19" fillId="0" borderId="8" xfId="4" applyFont="1" applyBorder="1"/>
    <xf numFmtId="0" fontId="19" fillId="0" borderId="9" xfId="4" applyFont="1" applyBorder="1"/>
    <xf numFmtId="0" fontId="19" fillId="0" borderId="28" xfId="4" quotePrefix="1" applyFont="1" applyBorder="1"/>
    <xf numFmtId="4" fontId="19" fillId="0" borderId="8" xfId="4" applyNumberFormat="1" applyBorder="1"/>
    <xf numFmtId="0" fontId="19" fillId="0" borderId="9" xfId="4" applyBorder="1"/>
    <xf numFmtId="0" fontId="19" fillId="0" borderId="10" xfId="4" applyBorder="1"/>
    <xf numFmtId="0" fontId="18" fillId="0" borderId="6" xfId="4" applyFont="1" applyBorder="1"/>
    <xf numFmtId="0" fontId="19" fillId="0" borderId="29" xfId="4" applyBorder="1"/>
    <xf numFmtId="0" fontId="22" fillId="0" borderId="24" xfId="4" applyFont="1" applyBorder="1" applyAlignment="1">
      <alignment horizontal="left"/>
    </xf>
    <xf numFmtId="4" fontId="19" fillId="0" borderId="0" xfId="4" applyNumberFormat="1" applyBorder="1"/>
    <xf numFmtId="0" fontId="19" fillId="0" borderId="27" xfId="4" applyBorder="1"/>
    <xf numFmtId="0" fontId="18" fillId="0" borderId="24" xfId="4" applyFont="1" applyBorder="1" applyAlignment="1">
      <alignment horizontal="left"/>
    </xf>
    <xf numFmtId="0" fontId="19" fillId="0" borderId="7" xfId="4" quotePrefix="1" applyFont="1" applyBorder="1"/>
    <xf numFmtId="0" fontId="18" fillId="4" borderId="0" xfId="4" applyFont="1" applyFill="1" applyBorder="1"/>
    <xf numFmtId="0" fontId="19" fillId="4" borderId="0" xfId="4" applyFill="1" applyBorder="1"/>
    <xf numFmtId="0" fontId="19" fillId="4" borderId="7" xfId="4" applyFill="1" applyBorder="1"/>
    <xf numFmtId="4" fontId="19" fillId="0" borderId="0" xfId="4" applyNumberFormat="1" applyFont="1" applyBorder="1"/>
    <xf numFmtId="0" fontId="19" fillId="0" borderId="27" xfId="4" quotePrefix="1" applyFont="1" applyBorder="1"/>
    <xf numFmtId="0" fontId="19" fillId="0" borderId="24" xfId="4" applyFont="1" applyBorder="1" applyAlignment="1">
      <alignment horizontal="left"/>
    </xf>
    <xf numFmtId="0" fontId="19" fillId="0" borderId="6" xfId="4" applyFont="1" applyBorder="1" applyAlignment="1">
      <alignment horizontal="center"/>
    </xf>
    <xf numFmtId="0" fontId="19" fillId="0" borderId="6" xfId="4" applyBorder="1" applyAlignment="1">
      <alignment horizontal="center"/>
    </xf>
    <xf numFmtId="3" fontId="19" fillId="0" borderId="0" xfId="4" applyNumberFormat="1" applyBorder="1"/>
    <xf numFmtId="10" fontId="19" fillId="0" borderId="0" xfId="4" applyNumberFormat="1" applyBorder="1"/>
    <xf numFmtId="9" fontId="19" fillId="0" borderId="0" xfId="4" applyNumberFormat="1" applyBorder="1"/>
    <xf numFmtId="0" fontId="19" fillId="0" borderId="28" xfId="4" applyBorder="1"/>
    <xf numFmtId="0" fontId="22" fillId="0" borderId="30" xfId="4" applyFont="1" applyBorder="1" applyAlignment="1">
      <alignment horizontal="left"/>
    </xf>
    <xf numFmtId="0" fontId="19" fillId="0" borderId="8" xfId="4" applyFont="1" applyBorder="1" applyAlignment="1">
      <alignment horizontal="center"/>
    </xf>
    <xf numFmtId="4" fontId="19" fillId="0" borderId="9" xfId="4" applyNumberFormat="1" applyBorder="1"/>
    <xf numFmtId="0" fontId="19" fillId="0" borderId="10" xfId="4" quotePrefix="1" applyFont="1" applyBorder="1"/>
    <xf numFmtId="0" fontId="22" fillId="0" borderId="31" xfId="4" applyFont="1" applyBorder="1" applyAlignment="1">
      <alignment horizontal="left"/>
    </xf>
    <xf numFmtId="0" fontId="19" fillId="0" borderId="4" xfId="4" applyFont="1" applyBorder="1" applyAlignment="1">
      <alignment horizontal="center"/>
    </xf>
    <xf numFmtId="4" fontId="19" fillId="0" borderId="3" xfId="4" applyNumberFormat="1" applyBorder="1"/>
    <xf numFmtId="0" fontId="19" fillId="0" borderId="5" xfId="4" quotePrefix="1" applyFont="1" applyBorder="1"/>
    <xf numFmtId="0" fontId="19" fillId="4" borderId="0" xfId="4" applyFont="1" applyFill="1" applyBorder="1"/>
    <xf numFmtId="0" fontId="19" fillId="0" borderId="0" xfId="4" applyFont="1" applyFill="1" applyBorder="1"/>
    <xf numFmtId="16" fontId="19" fillId="0" borderId="0" xfId="4" quotePrefix="1" applyNumberFormat="1" applyFont="1" applyBorder="1"/>
    <xf numFmtId="0" fontId="19" fillId="4" borderId="0" xfId="4" quotePrefix="1" applyFont="1" applyFill="1" applyBorder="1"/>
    <xf numFmtId="0" fontId="18" fillId="4" borderId="7" xfId="4" applyFont="1" applyFill="1" applyBorder="1"/>
    <xf numFmtId="0" fontId="19" fillId="4" borderId="7" xfId="4" quotePrefix="1" applyFont="1" applyFill="1" applyBorder="1"/>
    <xf numFmtId="0" fontId="19" fillId="4" borderId="0" xfId="4" quotePrefix="1" applyFill="1" applyBorder="1"/>
    <xf numFmtId="0" fontId="19" fillId="0" borderId="28" xfId="4" applyFont="1" applyBorder="1"/>
    <xf numFmtId="0" fontId="19" fillId="0" borderId="32" xfId="4" applyFont="1" applyBorder="1" applyAlignment="1">
      <alignment horizontal="left"/>
    </xf>
    <xf numFmtId="0" fontId="19" fillId="0" borderId="10" xfId="4" applyFont="1" applyBorder="1"/>
    <xf numFmtId="0" fontId="19" fillId="0" borderId="4" xfId="4" applyFont="1" applyBorder="1"/>
    <xf numFmtId="0" fontId="19" fillId="0" borderId="29" xfId="4" applyFont="1" applyBorder="1"/>
    <xf numFmtId="0" fontId="19" fillId="0" borderId="31" xfId="4" applyFont="1" applyBorder="1" applyAlignment="1">
      <alignment horizontal="left"/>
    </xf>
    <xf numFmtId="0" fontId="19" fillId="0" borderId="5" xfId="4" applyFont="1" applyBorder="1"/>
    <xf numFmtId="0" fontId="19" fillId="0" borderId="24" xfId="4" applyFont="1" applyBorder="1" applyAlignment="1"/>
    <xf numFmtId="4" fontId="19" fillId="0" borderId="0" xfId="4" applyNumberFormat="1" applyFont="1" applyBorder="1" applyAlignment="1">
      <alignment horizontal="right"/>
    </xf>
    <xf numFmtId="0" fontId="19" fillId="0" borderId="33" xfId="4" applyFont="1" applyBorder="1"/>
    <xf numFmtId="0" fontId="19" fillId="0" borderId="34" xfId="4" applyFont="1" applyBorder="1"/>
    <xf numFmtId="0" fontId="19" fillId="0" borderId="35" xfId="4" applyFont="1" applyBorder="1"/>
    <xf numFmtId="0" fontId="19" fillId="0" borderId="36" xfId="4" applyFont="1" applyBorder="1" applyAlignment="1">
      <alignment horizontal="right"/>
    </xf>
    <xf numFmtId="4" fontId="19" fillId="7" borderId="34" xfId="4" applyNumberFormat="1" applyFont="1" applyFill="1" applyBorder="1"/>
    <xf numFmtId="0" fontId="19" fillId="0" borderId="32" xfId="4" applyBorder="1" applyAlignment="1">
      <alignment horizontal="right"/>
    </xf>
    <xf numFmtId="0" fontId="19" fillId="0" borderId="8" xfId="4" applyBorder="1"/>
    <xf numFmtId="0" fontId="19" fillId="0" borderId="9" xfId="4" quotePrefix="1" applyFont="1" applyBorder="1"/>
    <xf numFmtId="0" fontId="19" fillId="3" borderId="12" xfId="4" applyNumberFormat="1" applyFont="1" applyFill="1" applyBorder="1" applyAlignment="1">
      <alignment horizontal="left"/>
    </xf>
    <xf numFmtId="0" fontId="19" fillId="3" borderId="24" xfId="4" applyNumberFormat="1" applyFont="1" applyFill="1" applyBorder="1" applyAlignment="1">
      <alignment horizontal="left"/>
    </xf>
    <xf numFmtId="0" fontId="19" fillId="3" borderId="32" xfId="4" applyNumberFormat="1" applyFont="1" applyFill="1" applyBorder="1" applyAlignment="1">
      <alignment horizontal="left"/>
    </xf>
    <xf numFmtId="0" fontId="29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19" fillId="0" borderId="34" xfId="4" applyNumberFormat="1" applyFont="1" applyBorder="1"/>
    <xf numFmtId="0" fontId="18" fillId="0" borderId="34" xfId="4" applyFont="1" applyBorder="1" applyAlignment="1">
      <alignment horizontal="right"/>
    </xf>
    <xf numFmtId="166" fontId="19" fillId="0" borderId="34" xfId="1" applyFont="1" applyBorder="1"/>
    <xf numFmtId="167" fontId="19" fillId="0" borderId="0" xfId="4" applyNumberFormat="1"/>
    <xf numFmtId="4" fontId="30" fillId="0" borderId="0" xfId="2" applyNumberFormat="1" applyFont="1" applyAlignment="1">
      <alignment horizontal="center"/>
    </xf>
    <xf numFmtId="0" fontId="42" fillId="0" borderId="0" xfId="2" applyFont="1"/>
    <xf numFmtId="0" fontId="43" fillId="0" borderId="0" xfId="2" applyFont="1"/>
    <xf numFmtId="0" fontId="44" fillId="0" borderId="0" xfId="2" applyFont="1"/>
    <xf numFmtId="165" fontId="45" fillId="0" borderId="0" xfId="5" applyFont="1"/>
    <xf numFmtId="0" fontId="45" fillId="0" borderId="0" xfId="2" applyFont="1"/>
    <xf numFmtId="0" fontId="49" fillId="4" borderId="37" xfId="2" applyFill="1" applyBorder="1"/>
    <xf numFmtId="165" fontId="40" fillId="0" borderId="0" xfId="5" applyFont="1"/>
    <xf numFmtId="9" fontId="49" fillId="0" borderId="0" xfId="2" applyNumberFormat="1" applyAlignment="1">
      <alignment horizontal="left"/>
    </xf>
    <xf numFmtId="165" fontId="45" fillId="3" borderId="37" xfId="2" applyNumberFormat="1" applyFont="1" applyFill="1" applyBorder="1"/>
    <xf numFmtId="2" fontId="0" fillId="0" borderId="0" xfId="0" applyNumberFormat="1"/>
    <xf numFmtId="165" fontId="45" fillId="0" borderId="37" xfId="2" applyNumberFormat="1" applyFont="1" applyFill="1" applyBorder="1"/>
    <xf numFmtId="0" fontId="46" fillId="0" borderId="0" xfId="0" applyFont="1"/>
    <xf numFmtId="0" fontId="47" fillId="0" borderId="0" xfId="0" applyFont="1"/>
    <xf numFmtId="0" fontId="6" fillId="2" borderId="0" xfId="0" applyFont="1" applyFill="1"/>
    <xf numFmtId="0" fontId="6" fillId="0" borderId="0" xfId="0" applyFont="1"/>
    <xf numFmtId="0" fontId="24" fillId="0" borderId="0" xfId="0" applyNumberFormat="1" applyFont="1"/>
    <xf numFmtId="0" fontId="6" fillId="0" borderId="0" xfId="0" applyFont="1" applyAlignment="1">
      <alignment horizontal="right"/>
    </xf>
    <xf numFmtId="0" fontId="24" fillId="2" borderId="0" xfId="0" applyFont="1" applyFill="1" applyAlignment="1">
      <alignment horizontal="left"/>
    </xf>
    <xf numFmtId="4" fontId="33" fillId="4" borderId="0" xfId="0" applyNumberFormat="1" applyFont="1" applyFill="1" applyAlignment="1">
      <alignment horizontal="right"/>
    </xf>
    <xf numFmtId="0" fontId="24" fillId="4" borderId="0" xfId="0" applyFont="1" applyFill="1" applyAlignment="1"/>
    <xf numFmtId="0" fontId="6" fillId="4" borderId="0" xfId="0" applyFont="1" applyFill="1" applyAlignment="1"/>
    <xf numFmtId="0" fontId="48" fillId="0" borderId="0" xfId="0" applyFont="1"/>
    <xf numFmtId="0" fontId="8" fillId="7" borderId="0" xfId="4" applyFont="1" applyFill="1"/>
    <xf numFmtId="0" fontId="0" fillId="0" borderId="0" xfId="0" applyFont="1"/>
    <xf numFmtId="0" fontId="50" fillId="0" borderId="0" xfId="2" applyFont="1"/>
    <xf numFmtId="14" fontId="50" fillId="10" borderId="38" xfId="2" applyNumberFormat="1" applyFont="1" applyFill="1" applyBorder="1"/>
    <xf numFmtId="0" fontId="4" fillId="7" borderId="0" xfId="4" applyFont="1" applyFill="1" applyAlignment="1">
      <alignment horizontal="left" indent="1"/>
    </xf>
    <xf numFmtId="0" fontId="4" fillId="5" borderId="0" xfId="4" applyFont="1" applyFill="1" applyAlignment="1">
      <alignment horizontal="left" indent="1"/>
    </xf>
    <xf numFmtId="0" fontId="4" fillId="8" borderId="0" xfId="4" quotePrefix="1" applyFont="1" applyFill="1" applyAlignment="1">
      <alignment horizontal="left" indent="1"/>
    </xf>
    <xf numFmtId="0" fontId="4" fillId="8" borderId="0" xfId="4" applyFont="1" applyFill="1"/>
    <xf numFmtId="4" fontId="19" fillId="10" borderId="0" xfId="4" applyNumberFormat="1" applyFont="1" applyFill="1" applyBorder="1"/>
    <xf numFmtId="0" fontId="19" fillId="10" borderId="0" xfId="4" applyFont="1" applyFill="1" applyBorder="1"/>
    <xf numFmtId="0" fontId="4" fillId="11" borderId="0" xfId="4" applyFont="1" applyFill="1"/>
    <xf numFmtId="0" fontId="4" fillId="11" borderId="0" xfId="4" applyFont="1" applyFill="1" applyAlignment="1">
      <alignment horizontal="left" indent="1"/>
    </xf>
    <xf numFmtId="0" fontId="8" fillId="0" borderId="0" xfId="4" applyFont="1"/>
    <xf numFmtId="0" fontId="6" fillId="2" borderId="0" xfId="0" applyFont="1" applyFill="1" applyAlignment="1">
      <alignment horizontal="left"/>
    </xf>
    <xf numFmtId="168" fontId="53" fillId="0" borderId="0" xfId="6" applyNumberFormat="1" applyFont="1" applyProtection="1">
      <protection locked="0"/>
    </xf>
    <xf numFmtId="0" fontId="54" fillId="0" borderId="0" xfId="0" applyFont="1" applyProtection="1">
      <protection locked="0"/>
    </xf>
    <xf numFmtId="165" fontId="0" fillId="0" borderId="0" xfId="6" applyFont="1"/>
    <xf numFmtId="0" fontId="0" fillId="0" borderId="0" xfId="0" applyFont="1" applyProtection="1"/>
    <xf numFmtId="165" fontId="0" fillId="0" borderId="0" xfId="6" applyFont="1" applyProtection="1"/>
    <xf numFmtId="164" fontId="0" fillId="0" borderId="0" xfId="0" applyNumberFormat="1"/>
    <xf numFmtId="0" fontId="0" fillId="0" borderId="0" xfId="0" applyFont="1" applyProtection="1">
      <protection locked="0"/>
    </xf>
    <xf numFmtId="2" fontId="0" fillId="0" borderId="0" xfId="0" applyNumberFormat="1" applyFont="1" applyAlignment="1" applyProtection="1">
      <alignment horizontal="left" indent="1"/>
      <protection locked="0"/>
    </xf>
    <xf numFmtId="2" fontId="54" fillId="0" borderId="0" xfId="0" applyNumberFormat="1" applyFont="1" applyAlignment="1" applyProtection="1">
      <alignment horizontal="right" indent="1"/>
      <protection locked="0"/>
    </xf>
    <xf numFmtId="0" fontId="54" fillId="0" borderId="0" xfId="0" applyNumberFormat="1" applyFont="1" applyAlignment="1" applyProtection="1">
      <alignment horizontal="right" indent="1"/>
      <protection locked="0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horizontal="right"/>
    </xf>
    <xf numFmtId="0" fontId="24" fillId="2" borderId="0" xfId="0" applyFont="1" applyFill="1" applyAlignment="1">
      <alignment horizontal="left"/>
    </xf>
    <xf numFmtId="0" fontId="19" fillId="0" borderId="0" xfId="4" applyFont="1" applyAlignment="1">
      <alignment vertical="top" wrapText="1"/>
    </xf>
    <xf numFmtId="0" fontId="19" fillId="0" borderId="0" xfId="4" applyAlignment="1"/>
    <xf numFmtId="0" fontId="19" fillId="0" borderId="0" xfId="4" applyAlignment="1">
      <alignment vertical="top" wrapText="1"/>
    </xf>
    <xf numFmtId="0" fontId="19" fillId="0" borderId="0" xfId="4" applyFont="1" applyAlignment="1"/>
    <xf numFmtId="0" fontId="4" fillId="0" borderId="0" xfId="4" applyFont="1" applyAlignment="1">
      <alignment vertical="top" wrapText="1"/>
    </xf>
    <xf numFmtId="0" fontId="19" fillId="5" borderId="0" xfId="4" applyFont="1" applyFill="1" applyAlignment="1">
      <alignment vertical="top" wrapText="1"/>
    </xf>
    <xf numFmtId="0" fontId="19" fillId="5" borderId="0" xfId="4" applyFill="1" applyAlignment="1"/>
    <xf numFmtId="0" fontId="19" fillId="3" borderId="0" xfId="4" applyFont="1" applyFill="1" applyAlignment="1">
      <alignment vertical="center"/>
    </xf>
    <xf numFmtId="0" fontId="19" fillId="3" borderId="0" xfId="4" applyFill="1" applyAlignment="1">
      <alignment vertical="center"/>
    </xf>
    <xf numFmtId="0" fontId="19" fillId="3" borderId="0" xfId="4" applyFont="1" applyFill="1" applyAlignment="1">
      <alignment vertical="top" wrapText="1"/>
    </xf>
    <xf numFmtId="0" fontId="19" fillId="3" borderId="0" xfId="4" applyFill="1" applyAlignment="1"/>
    <xf numFmtId="0" fontId="19" fillId="6" borderId="0" xfId="4" applyFont="1" applyFill="1" applyAlignment="1"/>
    <xf numFmtId="0" fontId="19" fillId="6" borderId="0" xfId="4" applyFill="1" applyAlignment="1"/>
    <xf numFmtId="0" fontId="4" fillId="9" borderId="0" xfId="4" applyFont="1" applyFill="1" applyAlignment="1">
      <alignment vertical="top" wrapText="1"/>
    </xf>
    <xf numFmtId="0" fontId="19" fillId="9" borderId="0" xfId="4" applyFill="1" applyAlignment="1">
      <alignment vertical="top" wrapText="1"/>
    </xf>
    <xf numFmtId="0" fontId="19" fillId="7" borderId="0" xfId="4" applyFont="1" applyFill="1" applyAlignment="1">
      <alignment vertical="top" wrapText="1"/>
    </xf>
    <xf numFmtId="0" fontId="19" fillId="7" borderId="0" xfId="4" applyFill="1" applyAlignment="1">
      <alignment vertical="top" wrapText="1"/>
    </xf>
    <xf numFmtId="0" fontId="55" fillId="0" borderId="0" xfId="0" applyFont="1" applyAlignment="1">
      <alignment horizontal="left" vertical="center"/>
    </xf>
  </cellXfs>
  <cellStyles count="7">
    <cellStyle name="Komma" xfId="1" builtinId="3"/>
    <cellStyle name="Standaard" xfId="0" builtinId="0"/>
    <cellStyle name="Standaard 2" xfId="2"/>
    <cellStyle name="Standaard 3" xfId="3"/>
    <cellStyle name="Standaard 4" xfId="4"/>
    <cellStyle name="Valuta" xfId="6" builtinId="4"/>
    <cellStyle name="Valuta 2" xfId="5"/>
  </cellStyles>
  <dxfs count="11"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rgb="FF002060"/>
        <name val="Calibri"/>
        <scheme val="minor"/>
      </font>
      <numFmt numFmtId="0" formatCode="General"/>
      <alignment horizontal="right" vertical="bottom" textRotation="0" wrapText="0" indent="1" justifyLastLine="0" shrinkToFit="0" readingOrder="0"/>
      <protection locked="0" hidden="0"/>
    </dxf>
    <dxf>
      <font>
        <b val="0"/>
        <i val="0"/>
        <strike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2060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</dxfs>
  <tableStyles count="0" defaultTableStyle="TableStyleMedium9" defaultPivotStyle="PivotStyleLight16"/>
  <colors>
    <mruColors>
      <color rgb="FF3E1B59"/>
      <color rgb="FFC20E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6</xdr:row>
      <xdr:rowOff>123825</xdr:rowOff>
    </xdr:from>
    <xdr:to>
      <xdr:col>15</xdr:col>
      <xdr:colOff>8385</xdr:colOff>
      <xdr:row>18</xdr:row>
      <xdr:rowOff>142587</xdr:rowOff>
    </xdr:to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266825"/>
          <a:ext cx="9123810" cy="23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127770</xdr:rowOff>
    </xdr:from>
    <xdr:to>
      <xdr:col>5</xdr:col>
      <xdr:colOff>385815</xdr:colOff>
      <xdr:row>18</xdr:row>
      <xdr:rowOff>133350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0770"/>
          <a:ext cx="3433815" cy="22915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228600</xdr:colOff>
          <xdr:row>13</xdr:row>
          <xdr:rowOff>9525</xdr:rowOff>
        </xdr:from>
        <xdr:to>
          <xdr:col>15</xdr:col>
          <xdr:colOff>0</xdr:colOff>
          <xdr:row>18</xdr:row>
          <xdr:rowOff>133350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73152" tIns="77724" rIns="73152" bIns="77724" anchor="ctr" upright="1"/>
            <a:lstStyle/>
            <a:p>
              <a:pPr algn="ctr" rtl="0">
                <a:defRPr sz="1000"/>
              </a:pPr>
              <a:r>
                <a:rPr lang="nl-NL" sz="2800" b="1" i="0" u="none" strike="noStrike" baseline="0">
                  <a:solidFill>
                    <a:srgbClr val="660066"/>
                  </a:solidFill>
                  <a:latin typeface="Arial Black"/>
                </a:rPr>
                <a:t>Start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24</xdr:row>
      <xdr:rowOff>161925</xdr:rowOff>
    </xdr:from>
    <xdr:to>
      <xdr:col>14</xdr:col>
      <xdr:colOff>598934</xdr:colOff>
      <xdr:row>32</xdr:row>
      <xdr:rowOff>180782</xdr:rowOff>
    </xdr:to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33925"/>
          <a:ext cx="9133334" cy="1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85725</xdr:rowOff>
    </xdr:from>
    <xdr:to>
      <xdr:col>6</xdr:col>
      <xdr:colOff>155562</xdr:colOff>
      <xdr:row>6</xdr:row>
      <xdr:rowOff>19049</xdr:rowOff>
    </xdr:to>
    <xdr:pic>
      <xdr:nvPicPr>
        <xdr:cNvPr id="9" name="Afbeelding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3813162" cy="10763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Leerlingaantallen" displayName="Leerlingaantallen" ref="A1:E7302" totalsRowShown="0" headerRowDxfId="10" dataDxfId="9">
  <autoFilter ref="A1:E7302"/>
  <tableColumns count="5">
    <tableColumn id="1" name="BRIN" dataDxfId="8"/>
    <tableColumn id="2" name="Soort onderwijs" dataDxfId="7"/>
    <tableColumn id="3" name="Werkgevernummer" dataDxfId="6"/>
    <tableColumn id="4" name="Aantal leerlingen" dataDxfId="5"/>
    <tableColumn id="5" name="Bedrag" dataDxfId="4" dataCellStyle="Valuta">
      <calculatedColumnFormula>D2*IF(B2=$G$9,WerkdrukbedragPerLeerlingBo,IF(B2=$G$10,WerkdrukbedragPerLeerlingSbo,IF(B2=$G$11,WerkdrukbedragPerLeerlingSo,IF(B2=$G$12,WerkdrukbedragPerLeerlingVso,0))))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BevoegdGezag" displayName="BevoegdGezag" ref="A1:D956" totalsRowShown="0" headerRowDxfId="3">
  <autoFilter ref="A1:D956"/>
  <tableColumns count="4">
    <tableColumn id="1" name="BEVOEGD GEZAG NUMMER" dataDxfId="2"/>
    <tableColumn id="2" name="BEVOEGD GEZAG NAAM" dataDxfId="1"/>
    <tableColumn id="3" name="DENOMINATIE" dataDxfId="0"/>
    <tableColumn id="4" name="Bedrag" dataCellStyle="Valuta">
      <calculatedColumnFormula>SUMIF(Leerlingaantallen[Werkgevernummer],BevoegdGezag!A2,Leerlingaantallen[Bedrag])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B21:O26"/>
  <sheetViews>
    <sheetView showGridLines="0" showRowColHeaders="0" tabSelected="1" workbookViewId="0">
      <selection activeCell="J35" sqref="J35"/>
    </sheetView>
  </sheetViews>
  <sheetFormatPr defaultRowHeight="15" x14ac:dyDescent="0.25"/>
  <sheetData>
    <row r="21" spans="2:15" x14ac:dyDescent="0.25">
      <c r="B21" s="352" t="s">
        <v>0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</row>
    <row r="22" spans="2:15" x14ac:dyDescent="0.25"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</row>
    <row r="23" spans="2:15" x14ac:dyDescent="0.25">
      <c r="B23" s="332"/>
      <c r="C23" s="332"/>
      <c r="D23" s="332"/>
      <c r="E23" s="332"/>
      <c r="F23" s="332"/>
      <c r="G23" s="332"/>
      <c r="H23" s="332"/>
      <c r="I23" s="332"/>
      <c r="J23" s="332"/>
      <c r="K23" s="332"/>
      <c r="L23" s="332"/>
      <c r="M23" s="332"/>
      <c r="N23" s="332"/>
      <c r="O23" s="332"/>
    </row>
    <row r="24" spans="2:15" x14ac:dyDescent="0.25">
      <c r="B24" s="332"/>
      <c r="C24" s="332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</row>
    <row r="26" spans="2:15" x14ac:dyDescent="0.25">
      <c r="N26" s="333"/>
      <c r="O26" s="333"/>
    </row>
  </sheetData>
  <sheetProtection selectLockedCells="1" selectUnlockedCells="1"/>
  <dataConsolidate/>
  <mergeCells count="2">
    <mergeCell ref="B21:O24"/>
    <mergeCell ref="N26:O26"/>
  </mergeCells>
  <phoneticPr fontId="37" type="noConversion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Start">
                <anchor moveWithCells="1" sizeWithCells="1">
                  <from>
                    <xdr:col>12</xdr:col>
                    <xdr:colOff>228600</xdr:colOff>
                    <xdr:row>13</xdr:row>
                    <xdr:rowOff>9525</xdr:rowOff>
                  </from>
                  <to>
                    <xdr:col>15</xdr:col>
                    <xdr:colOff>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pageSetUpPr fitToPage="1"/>
  </sheetPr>
  <dimension ref="A1:CI524"/>
  <sheetViews>
    <sheetView zoomScale="85" zoomScaleNormal="85" workbookViewId="0">
      <pane ySplit="19" topLeftCell="A20" activePane="bottomLeft" state="frozen"/>
      <selection pane="bottomLeft" activeCell="N16" sqref="N16"/>
    </sheetView>
  </sheetViews>
  <sheetFormatPr defaultRowHeight="15" outlineLevelCol="1" x14ac:dyDescent="0.25"/>
  <cols>
    <col min="1" max="7" width="3.7109375" customWidth="1"/>
    <col min="11" max="11" width="10.7109375" customWidth="1"/>
    <col min="12" max="12" width="12.7109375" customWidth="1"/>
    <col min="13" max="13" width="4.7109375" customWidth="1"/>
    <col min="14" max="14" width="15.7109375" customWidth="1"/>
    <col min="15" max="15" width="1.7109375" customWidth="1"/>
    <col min="16" max="16" width="5.7109375" customWidth="1"/>
    <col min="17" max="17" width="1.7109375" customWidth="1"/>
    <col min="18" max="18" width="3.7109375" customWidth="1" outlineLevel="1"/>
    <col min="19" max="19" width="1.7109375" customWidth="1" outlineLevel="1"/>
    <col min="20" max="20" width="4.7109375" customWidth="1" outlineLevel="1"/>
    <col min="21" max="21" width="12.7109375" customWidth="1" outlineLevel="1"/>
    <col min="22" max="22" width="1.7109375" customWidth="1" outlineLevel="1"/>
    <col min="23" max="23" width="4.7109375" customWidth="1" outlineLevel="1"/>
    <col min="24" max="24" width="12.7109375" customWidth="1" outlineLevel="1"/>
    <col min="25" max="25" width="1.7109375" customWidth="1" outlineLevel="1"/>
    <col min="26" max="26" width="2.7109375" customWidth="1"/>
    <col min="28" max="32" width="3.7109375" customWidth="1"/>
    <col min="34" max="34" width="9.28515625" bestFit="1" customWidth="1"/>
    <col min="38" max="38" width="5.28515625" customWidth="1"/>
    <col min="40" max="40" width="1.7109375" customWidth="1"/>
    <col min="41" max="41" width="6.28515625" customWidth="1"/>
    <col min="42" max="42" width="1.85546875" customWidth="1"/>
    <col min="43" max="43" width="4.7109375" customWidth="1"/>
    <col min="44" max="44" width="1.7109375" customWidth="1"/>
    <col min="45" max="45" width="5.28515625" customWidth="1"/>
    <col min="46" max="46" width="11.7109375" customWidth="1"/>
    <col min="47" max="47" width="1.85546875" customWidth="1"/>
    <col min="49" max="49" width="12.7109375" customWidth="1"/>
    <col min="50" max="50" width="1.85546875" customWidth="1"/>
    <col min="51" max="51" width="2.42578125" customWidth="1"/>
    <col min="52" max="52" width="11.7109375" bestFit="1" customWidth="1"/>
    <col min="55" max="55" width="10" customWidth="1"/>
    <col min="58" max="58" width="5.7109375" customWidth="1"/>
    <col min="60" max="60" width="1.7109375" customWidth="1"/>
    <col min="61" max="61" width="4.7109375" customWidth="1"/>
    <col min="62" max="62" width="2.140625" customWidth="1"/>
    <col min="63" max="63" width="5" customWidth="1"/>
    <col min="64" max="64" width="1.5703125" customWidth="1"/>
    <col min="65" max="65" width="4.5703125" customWidth="1"/>
    <col min="66" max="66" width="11" customWidth="1"/>
    <col min="67" max="67" width="1.7109375" customWidth="1"/>
    <col min="76" max="76" width="5.140625" customWidth="1"/>
    <col min="78" max="78" width="2.42578125" customWidth="1"/>
    <col min="79" max="79" width="5.5703125" customWidth="1"/>
    <col min="80" max="80" width="1.5703125" customWidth="1"/>
    <col min="82" max="82" width="1.7109375" customWidth="1"/>
    <col min="83" max="83" width="4.140625" customWidth="1"/>
    <col min="84" max="84" width="11.85546875" customWidth="1"/>
    <col min="85" max="85" width="1.7109375" customWidth="1"/>
  </cols>
  <sheetData>
    <row r="1" spans="1:26" s="7" customFormat="1" ht="18" x14ac:dyDescent="0.25">
      <c r="A1" s="4" t="s">
        <v>20</v>
      </c>
      <c r="B1" s="4"/>
      <c r="C1" s="4"/>
      <c r="D1" s="4"/>
      <c r="E1" s="4"/>
      <c r="F1" s="5"/>
      <c r="M1" s="17"/>
      <c r="N1" s="18"/>
      <c r="P1" s="19"/>
      <c r="Q1" s="19"/>
      <c r="R1" s="19"/>
      <c r="S1" s="19"/>
      <c r="T1" s="19"/>
      <c r="U1" s="19"/>
      <c r="W1" s="19"/>
      <c r="X1" s="23"/>
    </row>
    <row r="2" spans="1:26" s="18" customFormat="1" ht="14.25" x14ac:dyDescent="0.2">
      <c r="A2" s="8" t="s">
        <v>21</v>
      </c>
      <c r="B2" s="8"/>
      <c r="C2" s="8"/>
      <c r="D2" s="8"/>
      <c r="E2" s="8"/>
      <c r="F2" s="11" t="s">
        <v>22</v>
      </c>
      <c r="G2" s="7"/>
      <c r="H2" s="7"/>
      <c r="I2" s="7"/>
      <c r="J2" s="7"/>
      <c r="K2" s="7"/>
      <c r="L2" s="7"/>
      <c r="M2" s="17"/>
      <c r="O2" s="7"/>
      <c r="P2" s="19"/>
      <c r="Q2" s="19"/>
      <c r="R2" s="19"/>
      <c r="S2" s="19"/>
      <c r="T2" s="19"/>
      <c r="U2" s="19"/>
      <c r="V2" s="7"/>
      <c r="W2" s="19"/>
      <c r="X2" s="23"/>
      <c r="Y2" s="7"/>
    </row>
    <row r="3" spans="1:26" s="7" customFormat="1" ht="14.25" x14ac:dyDescent="0.2">
      <c r="A3" s="8" t="s">
        <v>23</v>
      </c>
      <c r="B3" s="8"/>
      <c r="C3" s="8"/>
      <c r="D3" s="8"/>
      <c r="E3" s="8"/>
      <c r="F3" s="11" t="s">
        <v>24</v>
      </c>
      <c r="M3" s="17"/>
      <c r="N3" s="18"/>
      <c r="P3" s="19"/>
      <c r="Q3" s="19"/>
      <c r="R3" s="19"/>
      <c r="S3" s="19"/>
      <c r="T3" s="19"/>
      <c r="U3" s="19"/>
      <c r="W3" s="19"/>
      <c r="X3" s="23"/>
    </row>
    <row r="4" spans="1:26" s="7" customFormat="1" ht="14.25" x14ac:dyDescent="0.2">
      <c r="A4" s="8" t="s">
        <v>25</v>
      </c>
      <c r="B4" s="8"/>
      <c r="C4" s="8"/>
      <c r="D4" s="8"/>
      <c r="E4" s="8"/>
      <c r="F4" s="12" t="s">
        <v>181</v>
      </c>
      <c r="M4" s="17"/>
      <c r="N4" s="18"/>
      <c r="P4" s="19"/>
      <c r="Q4" s="19"/>
      <c r="R4" s="19"/>
      <c r="S4" s="19"/>
      <c r="T4" s="19"/>
      <c r="U4" s="19"/>
      <c r="W4" s="19"/>
      <c r="X4" s="23"/>
    </row>
    <row r="5" spans="1:26" s="7" customFormat="1" ht="14.25" x14ac:dyDescent="0.2">
      <c r="A5" s="8" t="s">
        <v>27</v>
      </c>
      <c r="B5" s="8"/>
      <c r="C5" s="8"/>
      <c r="D5" s="8"/>
      <c r="E5" s="8"/>
      <c r="F5" s="11" t="s">
        <v>193</v>
      </c>
      <c r="M5" s="17"/>
      <c r="N5" s="18"/>
      <c r="P5" s="19"/>
      <c r="Q5" s="19"/>
      <c r="R5" s="19"/>
      <c r="S5" s="19"/>
      <c r="T5" s="19"/>
      <c r="U5" s="19"/>
      <c r="W5" s="19"/>
      <c r="X5" s="23"/>
    </row>
    <row r="6" spans="1:26" s="7" customFormat="1" ht="12.75" x14ac:dyDescent="0.2">
      <c r="M6" s="17"/>
      <c r="N6" s="18"/>
      <c r="P6" s="19"/>
      <c r="Q6" s="19"/>
      <c r="R6" s="19"/>
      <c r="S6" s="19"/>
      <c r="T6" s="19"/>
      <c r="U6" s="19"/>
      <c r="W6" s="19"/>
      <c r="X6" s="23"/>
    </row>
    <row r="7" spans="1:26" s="13" customFormat="1" ht="12.75" x14ac:dyDescent="0.2">
      <c r="M7" s="10"/>
      <c r="N7" s="50"/>
      <c r="P7" s="51"/>
      <c r="Q7" s="51"/>
      <c r="R7" s="51"/>
      <c r="S7" s="51"/>
      <c r="T7" s="51"/>
      <c r="U7" s="51"/>
      <c r="W7" s="51"/>
      <c r="X7" s="52"/>
    </row>
    <row r="8" spans="1:26" s="13" customFormat="1" ht="12.75" x14ac:dyDescent="0.2">
      <c r="B8" s="20" t="s">
        <v>133</v>
      </c>
      <c r="C8" s="53"/>
      <c r="D8" s="53"/>
      <c r="E8" s="53"/>
      <c r="F8" s="53"/>
      <c r="G8" s="22"/>
      <c r="H8" s="22" t="s">
        <v>194</v>
      </c>
      <c r="I8" s="53"/>
      <c r="J8" s="53"/>
      <c r="K8" s="22" t="s">
        <v>183</v>
      </c>
      <c r="L8" s="53"/>
      <c r="M8" s="21" t="s">
        <v>195</v>
      </c>
      <c r="N8" s="22" t="s">
        <v>134</v>
      </c>
      <c r="O8" s="21"/>
      <c r="P8" s="22" t="s">
        <v>135</v>
      </c>
      <c r="Q8" s="22"/>
      <c r="R8" s="22" t="s">
        <v>136</v>
      </c>
      <c r="S8" s="54"/>
      <c r="T8" s="22" t="s">
        <v>137</v>
      </c>
      <c r="U8" s="21" t="s">
        <v>186</v>
      </c>
      <c r="V8" s="55"/>
      <c r="W8" s="21" t="s">
        <v>187</v>
      </c>
      <c r="X8" s="22" t="s">
        <v>139</v>
      </c>
      <c r="Y8" s="56"/>
      <c r="Z8" s="57"/>
    </row>
    <row r="9" spans="1:26" s="13" customFormat="1" ht="12.75" x14ac:dyDescent="0.2">
      <c r="M9" s="10"/>
      <c r="N9" s="50"/>
      <c r="P9" s="51"/>
      <c r="Q9" s="51"/>
      <c r="R9" s="51"/>
      <c r="S9" s="51"/>
      <c r="T9" s="51"/>
      <c r="U9" s="51"/>
      <c r="W9" s="51"/>
      <c r="X9" s="52"/>
    </row>
    <row r="10" spans="1:26" s="13" customFormat="1" ht="12.75" x14ac:dyDescent="0.2">
      <c r="B10" s="16" t="s">
        <v>196</v>
      </c>
      <c r="J10" s="58"/>
      <c r="K10" s="59"/>
      <c r="L10" s="24" t="s">
        <v>726</v>
      </c>
      <c r="M10" s="25" t="s">
        <v>134</v>
      </c>
      <c r="N10" s="26">
        <f>SUM(N24:N524)</f>
        <v>0</v>
      </c>
      <c r="O10" s="60"/>
      <c r="P10" s="51"/>
      <c r="Q10" s="51"/>
      <c r="R10" s="51"/>
      <c r="S10" s="51"/>
      <c r="T10" s="285" t="s">
        <v>134</v>
      </c>
      <c r="U10" s="51"/>
      <c r="W10" s="28" t="s">
        <v>134</v>
      </c>
      <c r="X10" s="29">
        <f>SUM(X24:X524)</f>
        <v>0</v>
      </c>
    </row>
    <row r="11" spans="1:26" s="50" customFormat="1" ht="12.75" x14ac:dyDescent="0.2">
      <c r="C11" s="13"/>
      <c r="D11" s="13"/>
      <c r="E11" s="13"/>
      <c r="F11" s="13"/>
      <c r="G11" s="13"/>
      <c r="H11" s="13"/>
      <c r="J11" s="57"/>
      <c r="K11" s="63"/>
      <c r="L11" s="30" t="s">
        <v>197</v>
      </c>
      <c r="M11" s="27" t="s">
        <v>137</v>
      </c>
      <c r="N11" s="31">
        <f>SUM(AM24:AM524)</f>
        <v>0</v>
      </c>
      <c r="O11" s="64"/>
      <c r="P11" s="51"/>
      <c r="Q11" s="51"/>
      <c r="R11" s="51"/>
      <c r="S11" s="51"/>
      <c r="T11" s="27" t="s">
        <v>137</v>
      </c>
      <c r="U11" s="61"/>
      <c r="V11" s="13"/>
      <c r="W11" s="32" t="s">
        <v>137</v>
      </c>
      <c r="X11" s="33">
        <f>SUM(AW24:AW524)</f>
        <v>0</v>
      </c>
      <c r="Y11" s="62"/>
      <c r="Z11" s="63"/>
    </row>
    <row r="12" spans="1:26" s="50" customFormat="1" ht="12.75" x14ac:dyDescent="0.2">
      <c r="B12" s="13"/>
      <c r="C12" s="13"/>
      <c r="D12" s="16"/>
      <c r="E12" s="13"/>
      <c r="F12" s="13"/>
      <c r="G12" s="13"/>
      <c r="H12" s="13"/>
      <c r="J12" s="57"/>
      <c r="K12" s="63"/>
      <c r="L12" s="30" t="s">
        <v>198</v>
      </c>
      <c r="M12" s="27" t="s">
        <v>187</v>
      </c>
      <c r="N12" s="31">
        <f>SUM(BG24:BG524)</f>
        <v>0</v>
      </c>
      <c r="O12" s="64"/>
      <c r="P12" s="51"/>
      <c r="Q12" s="51"/>
      <c r="R12" s="51"/>
      <c r="S12" s="51"/>
      <c r="T12" s="27" t="s">
        <v>187</v>
      </c>
      <c r="U12" s="61"/>
      <c r="V12" s="13"/>
      <c r="W12" s="32" t="s">
        <v>187</v>
      </c>
      <c r="X12" s="33">
        <f>SUM(BQ24:BQ524)</f>
        <v>0</v>
      </c>
      <c r="Y12" s="62"/>
      <c r="Z12" s="63"/>
    </row>
    <row r="13" spans="1:26" s="50" customFormat="1" ht="12.75" x14ac:dyDescent="0.2">
      <c r="B13" s="13"/>
      <c r="C13" s="13"/>
      <c r="G13" s="13"/>
      <c r="H13" s="13"/>
      <c r="J13" s="34"/>
      <c r="K13" s="65"/>
      <c r="L13" s="35" t="s">
        <v>199</v>
      </c>
      <c r="M13" s="36" t="s">
        <v>138</v>
      </c>
      <c r="N13" s="37">
        <f>SUM(BY24:BY524)</f>
        <v>0</v>
      </c>
      <c r="O13" s="66"/>
      <c r="P13" s="51"/>
      <c r="Q13" s="51"/>
      <c r="R13" s="51"/>
      <c r="S13" s="51"/>
      <c r="T13" s="27" t="s">
        <v>138</v>
      </c>
      <c r="U13" s="61"/>
      <c r="V13" s="13"/>
      <c r="W13" s="38" t="s">
        <v>138</v>
      </c>
      <c r="X13" s="39">
        <f>SUM(CI24:CI524)</f>
        <v>0</v>
      </c>
      <c r="Y13" s="62"/>
      <c r="Z13" s="63"/>
    </row>
    <row r="14" spans="1:26" s="50" customFormat="1" ht="12.75" x14ac:dyDescent="0.2">
      <c r="B14" s="13"/>
      <c r="C14" s="13"/>
      <c r="G14" s="13"/>
      <c r="H14" s="13"/>
      <c r="I14" s="16"/>
      <c r="J14" s="16"/>
      <c r="K14" s="16"/>
      <c r="L14" s="13"/>
      <c r="M14" s="10"/>
      <c r="O14" s="13"/>
      <c r="P14" s="51"/>
      <c r="Q14" s="51"/>
      <c r="R14" s="51"/>
      <c r="S14" s="51"/>
      <c r="T14" s="51"/>
      <c r="U14" s="51"/>
      <c r="V14" s="13"/>
      <c r="W14" s="51"/>
      <c r="X14" s="52"/>
      <c r="Y14" s="13"/>
    </row>
    <row r="15" spans="1:26" s="41" customFormat="1" ht="14.25" x14ac:dyDescent="0.2">
      <c r="H15" s="69" t="s">
        <v>200</v>
      </c>
      <c r="I15" s="67"/>
      <c r="J15" s="67"/>
      <c r="K15" s="67"/>
      <c r="L15" s="67"/>
      <c r="M15" s="67"/>
      <c r="N15" s="70">
        <f>Consolidatie!Q43</f>
        <v>0</v>
      </c>
      <c r="O15" s="71"/>
    </row>
    <row r="16" spans="1:26" s="41" customFormat="1" ht="14.25" x14ac:dyDescent="0.2">
      <c r="H16" s="72" t="s">
        <v>201</v>
      </c>
      <c r="I16" s="68"/>
      <c r="J16" s="68"/>
      <c r="K16" s="68"/>
      <c r="L16" s="68"/>
      <c r="M16" s="68"/>
      <c r="N16" s="73">
        <f>Consolidatie!Q53</f>
        <v>0</v>
      </c>
      <c r="O16" s="74"/>
    </row>
    <row r="17" spans="2:87" s="41" customFormat="1" ht="12.75" x14ac:dyDescent="0.2">
      <c r="N17" s="77">
        <f>Consolidatie!Q44</f>
        <v>0</v>
      </c>
    </row>
    <row r="18" spans="2:87" s="75" customFormat="1" ht="12.75" x14ac:dyDescent="0.2">
      <c r="H18" s="75" t="s">
        <v>202</v>
      </c>
      <c r="K18" s="75" t="s">
        <v>203</v>
      </c>
      <c r="N18" s="75" t="s">
        <v>204</v>
      </c>
      <c r="P18" s="75" t="s">
        <v>205</v>
      </c>
      <c r="T18" s="75" t="s">
        <v>155</v>
      </c>
      <c r="W18" s="75" t="s">
        <v>206</v>
      </c>
    </row>
    <row r="19" spans="2:87" s="75" customFormat="1" ht="12.75" x14ac:dyDescent="0.2">
      <c r="K19" s="75" t="s">
        <v>207</v>
      </c>
      <c r="N19" s="75" t="s">
        <v>208</v>
      </c>
    </row>
    <row r="20" spans="2:87" s="75" customFormat="1" ht="12.75" x14ac:dyDescent="0.2">
      <c r="B20" s="75">
        <v>1</v>
      </c>
      <c r="C20" s="75" t="s">
        <v>721</v>
      </c>
      <c r="AA20" s="75">
        <v>2</v>
      </c>
      <c r="AB20" s="75" t="s">
        <v>209</v>
      </c>
      <c r="AZ20" s="75">
        <v>3</v>
      </c>
      <c r="BA20" s="75" t="s">
        <v>210</v>
      </c>
      <c r="BR20" s="75">
        <v>4</v>
      </c>
      <c r="BS20" s="75" t="s">
        <v>211</v>
      </c>
    </row>
    <row r="21" spans="2:87" s="75" customFormat="1" ht="12.75" x14ac:dyDescent="0.2">
      <c r="D21" s="41" t="s">
        <v>722</v>
      </c>
      <c r="AC21" s="41" t="s">
        <v>212</v>
      </c>
      <c r="BB21" s="75" t="s">
        <v>213</v>
      </c>
      <c r="BT21" s="75" t="s">
        <v>214</v>
      </c>
    </row>
    <row r="22" spans="2:87" s="75" customFormat="1" ht="12.75" x14ac:dyDescent="0.2"/>
    <row r="23" spans="2:87" s="75" customFormat="1" ht="12.75" x14ac:dyDescent="0.2">
      <c r="H23" s="75" t="s">
        <v>215</v>
      </c>
      <c r="K23" s="75" t="s">
        <v>216</v>
      </c>
      <c r="N23" s="75" t="s">
        <v>217</v>
      </c>
      <c r="AG23" s="75" t="s">
        <v>215</v>
      </c>
      <c r="AJ23" s="75" t="s">
        <v>216</v>
      </c>
      <c r="AM23" s="75" t="s">
        <v>217</v>
      </c>
      <c r="BA23" s="75" t="s">
        <v>215</v>
      </c>
      <c r="BD23" s="75" t="s">
        <v>216</v>
      </c>
      <c r="BG23" s="75" t="s">
        <v>217</v>
      </c>
      <c r="BS23" s="75" t="s">
        <v>215</v>
      </c>
      <c r="BV23" s="75" t="s">
        <v>216</v>
      </c>
      <c r="BY23" s="75" t="s">
        <v>217</v>
      </c>
    </row>
    <row r="24" spans="2:87" s="41" customFormat="1" ht="12.75" x14ac:dyDescent="0.2">
      <c r="H24" s="81" t="str">
        <f>IF(Data_NaamPersoonNatVerloop001="","",Data_NaamPersoonNatVerloop001)</f>
        <v/>
      </c>
      <c r="K24" s="83" t="str">
        <f>IF(Data_BeeindigingsdatumNatVerloop001="","",Data_BeeindigingsdatumNatVerloop001)</f>
        <v/>
      </c>
      <c r="N24" s="82" t="str">
        <f>IF(Data_LoonkostenNatVerloop001="","",Data_LoonkostenNatVerloop001)</f>
        <v/>
      </c>
      <c r="P24" s="276" t="s">
        <v>160</v>
      </c>
      <c r="R24" s="76" t="s">
        <v>160</v>
      </c>
      <c r="W24" s="41">
        <f>IF($P24="v",M24,T24)</f>
        <v>0</v>
      </c>
      <c r="X24" s="77" t="str">
        <f t="shared" ref="X24:X88" si="0">IF(AND($P24="v",$R24="v"),N24,IF(AND($P24="v",$R24&lt;&gt;"v"),U24,0))</f>
        <v/>
      </c>
      <c r="AG24" s="81" t="str">
        <f>IF(Data_NaamPersoonTijd001="","",Data_NaamPersoonTijd001)</f>
        <v/>
      </c>
      <c r="AJ24" s="83" t="str">
        <f>IF(Data_BeeindigingsdatumTijd001="","",Data_BeeindigingsdatumTijd001)</f>
        <v/>
      </c>
      <c r="AM24" s="82" t="str">
        <f>IF(Data_LoonkostenTijd001="","",Data_LoonkostenTijd001)</f>
        <v/>
      </c>
      <c r="AO24" s="276" t="str">
        <f>IF(Data_PersoonAanUitTijd001=-1,"v","")</f>
        <v/>
      </c>
      <c r="AQ24" s="76" t="s">
        <v>160</v>
      </c>
      <c r="AV24" s="41">
        <f>IF($AO24="v",AL24,AS24)</f>
        <v>0</v>
      </c>
      <c r="AW24" s="77">
        <f>IF(AND($AO24="v",$AQ24="v"),AM24,IF(AND($AO24="v",$AQ24&lt;&gt;"v"),AT24,0))</f>
        <v>0</v>
      </c>
      <c r="BA24" s="81" t="str">
        <f>IF(Data_NaamPersoonVastVrij001="","",Data_NaamPersoonVastVrij001)</f>
        <v/>
      </c>
      <c r="BD24" s="83" t="str">
        <f>IF(Data_BeeindigingsdatumVastVrij001="","",Data_BeeindigingsdatumVastVrij001)</f>
        <v/>
      </c>
      <c r="BG24" s="82" t="str">
        <f>IF(Data_LoonkostenVastVrij001="","",Data_LoonkostenVastVrij001)</f>
        <v/>
      </c>
      <c r="BI24" s="76" t="str">
        <f>IF(Data_PersoonAanUitVastVrij001=-1,"v","")</f>
        <v/>
      </c>
      <c r="BK24" s="76" t="s">
        <v>160</v>
      </c>
      <c r="BP24" s="41">
        <f>IF($BI24="v",BF24,BM24)</f>
        <v>0</v>
      </c>
      <c r="BQ24" s="77">
        <f t="shared" ref="BQ24:BQ87" si="1">IF(AND($BI24="v",$BK24="v"),BG24,IF(AND($BI24="v",$BK24&lt;&gt;"v"),BN24,0))</f>
        <v>0</v>
      </c>
      <c r="BS24" s="81" t="str">
        <f>IF(Data_NaamPersoonVastOntslag001="","",Data_NaamPersoonVastOntslag001)</f>
        <v/>
      </c>
      <c r="BV24" s="83" t="str">
        <f>IF(Data_BeeindigingsdatumVastOntslag001="","",Data_BeeindigingsdatumVastOntslag001)</f>
        <v/>
      </c>
      <c r="BY24" s="82" t="str">
        <f>IF(Data_LoonkostenVastOntslag001="","",Data_LoonkostenVastOntslag001)</f>
        <v/>
      </c>
      <c r="CA24" s="76" t="str">
        <f>IF(Data_PersoonAanUitVastOntslag001=-1,"v","")</f>
        <v/>
      </c>
      <c r="CC24" s="76" t="s">
        <v>160</v>
      </c>
      <c r="CH24" s="41">
        <f>IF($CA24="v",BX24,CE24)</f>
        <v>0</v>
      </c>
      <c r="CI24" s="41">
        <f t="shared" ref="CI24:CI87" si="2">IF(AND($CA24="v",$CC24="v"),BY24,IF(AND($CA24="v",$CC24&lt;&gt;"v"),CF23,0))</f>
        <v>0</v>
      </c>
    </row>
    <row r="25" spans="2:87" s="41" customFormat="1" ht="12" customHeight="1" x14ac:dyDescent="0.2">
      <c r="H25" s="81" t="str">
        <f>IF(Data_NaamPersoonNatVerloop002="","",Data_NaamPersoonNatVerloop002)</f>
        <v/>
      </c>
      <c r="K25" s="83" t="str">
        <f>IF(Data_BeeindigingsdatumNatVerloop002="","",Data_BeeindigingsdatumNatVerloop002)</f>
        <v/>
      </c>
      <c r="N25" s="82" t="str">
        <f>IF(Data_LoonkostenNatVerloop002="","",Data_LoonkostenNatVerloop002)</f>
        <v/>
      </c>
      <c r="P25" s="276" t="s">
        <v>160</v>
      </c>
      <c r="R25" s="76" t="s">
        <v>160</v>
      </c>
      <c r="W25" s="41">
        <f t="shared" ref="W25:W87" si="3">IF($AO25="v",M25,T25)</f>
        <v>0</v>
      </c>
      <c r="X25" s="77" t="str">
        <f t="shared" si="0"/>
        <v/>
      </c>
      <c r="AG25" s="81" t="str">
        <f>IF(Data_NaamPersoonTijd002="","",Data_NaamPersoonTijd002)</f>
        <v/>
      </c>
      <c r="AJ25" s="83" t="str">
        <f>IF(Data_BeeindigingsdatumTijd002="","",Data_BeeindigingsdatumTijd002)</f>
        <v/>
      </c>
      <c r="AM25" s="82" t="str">
        <f>IF(Data_LoonkostenTijd002="","",Data_LoonkostenTijd002)</f>
        <v/>
      </c>
      <c r="AO25" s="276" t="str">
        <f>IF(Data_PersoonAanUitTijd002=-1,"v","")</f>
        <v/>
      </c>
      <c r="AQ25" s="76" t="s">
        <v>160</v>
      </c>
      <c r="AV25" s="41">
        <f t="shared" ref="AV25:AV87" si="4">IF($AO25="v",AL25,AS25)</f>
        <v>0</v>
      </c>
      <c r="AW25" s="77">
        <f t="shared" ref="AW25:AW87" si="5">IF(AND($AO25="v",$AQ25="v"),AM25,IF(AND($AO25="v",$AQ25&lt;&gt;"v"),AT25,0))</f>
        <v>0</v>
      </c>
      <c r="BA25" s="81" t="str">
        <f>IF(Data_NaamPersoonVastVrij002="","",Data_NaamPersoonVastVrij002)</f>
        <v/>
      </c>
      <c r="BD25" s="83" t="str">
        <f>IF(Data_BeeindigingsdatumVastVrij002="","",Data_BeeindigingsdatumVastVrij002)</f>
        <v/>
      </c>
      <c r="BG25" s="82" t="str">
        <f>IF(Data_LoonkostenVastVrij002="","",Data_LoonkostenVastVrij002)</f>
        <v/>
      </c>
      <c r="BI25" s="76" t="str">
        <f>IF(Data_PersoonAanUitVastVrij002=-1,"v","")</f>
        <v/>
      </c>
      <c r="BK25" s="76" t="s">
        <v>160</v>
      </c>
      <c r="BP25" s="41">
        <f t="shared" ref="BP25:BP87" si="6">IF($BI25="v",BF25,BM25)</f>
        <v>0</v>
      </c>
      <c r="BQ25" s="77">
        <f t="shared" si="1"/>
        <v>0</v>
      </c>
      <c r="BS25" s="81" t="str">
        <f>IF(Data_NaamPersoonVastOntslag002="","",Data_NaamPersoonVastOntslag002)</f>
        <v/>
      </c>
      <c r="BV25" s="83" t="str">
        <f>IF(Data_BeeindigingsdatumVastOntslag002="","",Data_BeeindigingsdatumVastOntslag002)</f>
        <v/>
      </c>
      <c r="BY25" s="82" t="str">
        <f>IF(Data_LoonkostenVastOntslag002="","",Data_LoonkostenVastOntslag002)</f>
        <v/>
      </c>
      <c r="CA25" s="76" t="str">
        <f>IF(Data_PersoonAanUitVastOntslag002=-1,"v","")</f>
        <v/>
      </c>
      <c r="CC25" s="76" t="s">
        <v>160</v>
      </c>
      <c r="CH25" s="41">
        <f t="shared" ref="CH25:CH88" si="7">IF($CA25="v",BX25,CE25)</f>
        <v>0</v>
      </c>
      <c r="CI25" s="41">
        <f t="shared" si="2"/>
        <v>0</v>
      </c>
    </row>
    <row r="26" spans="2:87" s="41" customFormat="1" ht="12.75" x14ac:dyDescent="0.2">
      <c r="H26" s="81" t="str">
        <f>IF(Data_NaamPersoonNatVerloop003="","",Data_NaamPersoonNatVerloop003)</f>
        <v/>
      </c>
      <c r="K26" s="83" t="str">
        <f>IF(Data_BeeindigingsdatumNatVerloop003="","",Data_BeeindigingsdatumNatVerloop003)</f>
        <v/>
      </c>
      <c r="N26" s="82" t="str">
        <f>IF(Data_LoonkostenNatVerloop003="","",Data_LoonkostenNatVerloop003)</f>
        <v/>
      </c>
      <c r="P26" s="276" t="s">
        <v>160</v>
      </c>
      <c r="R26" s="76" t="s">
        <v>160</v>
      </c>
      <c r="W26" s="41">
        <f t="shared" si="3"/>
        <v>0</v>
      </c>
      <c r="X26" s="77" t="str">
        <f t="shared" si="0"/>
        <v/>
      </c>
      <c r="AG26" s="81" t="str">
        <f>IF(Data_NaamPersoonTijd003="","",Data_NaamPersoonTijd003)</f>
        <v/>
      </c>
      <c r="AJ26" s="83" t="str">
        <f>IF(Data_BeeindigingsdatumTijd003="","",Data_BeeindigingsdatumTijd003)</f>
        <v/>
      </c>
      <c r="AM26" s="82" t="str">
        <f>IF(Data_LoonkostenTijd003="","",Data_LoonkostenTijd003)</f>
        <v/>
      </c>
      <c r="AO26" s="276" t="str">
        <f>IF(Data_PersoonAanUitTijd003=-1,"v","")</f>
        <v/>
      </c>
      <c r="AQ26" s="76" t="s">
        <v>160</v>
      </c>
      <c r="AV26" s="41">
        <f t="shared" si="4"/>
        <v>0</v>
      </c>
      <c r="AW26" s="77">
        <f t="shared" si="5"/>
        <v>0</v>
      </c>
      <c r="BA26" s="81" t="str">
        <f>IF(Data_NaamPersoonVastVrij003="","",Data_NaamPersoonVastVrij003)</f>
        <v/>
      </c>
      <c r="BD26" s="83" t="str">
        <f>IF(Data_BeeindigingsdatumVastVrij003="","",Data_BeeindigingsdatumVastVrij003)</f>
        <v/>
      </c>
      <c r="BG26" s="82" t="str">
        <f>IF(Data_LoonkostenVastVrij003="","",Data_LoonkostenVastVrij003)</f>
        <v/>
      </c>
      <c r="BI26" s="76" t="str">
        <f>IF(Data_PersoonAanUitVastVrij003=-1,"v","")</f>
        <v/>
      </c>
      <c r="BK26" s="76" t="s">
        <v>160</v>
      </c>
      <c r="BP26" s="41">
        <f t="shared" si="6"/>
        <v>0</v>
      </c>
      <c r="BQ26" s="77">
        <f t="shared" si="1"/>
        <v>0</v>
      </c>
      <c r="BS26" s="81" t="str">
        <f>IF(Data_NaamPersoonVastOntslag003="","",Data_NaamPersoonVastOntslag003)</f>
        <v/>
      </c>
      <c r="BV26" s="83" t="str">
        <f>IF(Data_BeeindigingsdatumVastOntslag003="","",Data_BeeindigingsdatumVastOntslag003)</f>
        <v/>
      </c>
      <c r="BY26" s="82" t="str">
        <f>IF(Data_LoonkostenVastOntslag003="","",Data_LoonkostenVastOntslag003)</f>
        <v/>
      </c>
      <c r="CA26" s="76" t="str">
        <f>IF(Data_PersoonAanUitVastOntslag003=-1,"v","")</f>
        <v/>
      </c>
      <c r="CC26" s="76" t="s">
        <v>160</v>
      </c>
      <c r="CH26" s="41">
        <f t="shared" si="7"/>
        <v>0</v>
      </c>
      <c r="CI26" s="41">
        <f t="shared" si="2"/>
        <v>0</v>
      </c>
    </row>
    <row r="27" spans="2:87" s="41" customFormat="1" ht="12.75" x14ac:dyDescent="0.2">
      <c r="H27" s="81" t="str">
        <f>IF(Data_NaamPersoonNatVerloop004="","",Data_NaamPersoonNatVerloop004)</f>
        <v/>
      </c>
      <c r="K27" s="83" t="str">
        <f>IF(Data_BeeindigingsdatumNatVerloop004="","",Data_BeeindigingsdatumNatVerloop004)</f>
        <v/>
      </c>
      <c r="N27" s="82" t="str">
        <f>IF(Data_LoonkostenNatVerloop004="","",Data_LoonkostenNatVerloop004)</f>
        <v/>
      </c>
      <c r="P27" s="276" t="s">
        <v>160</v>
      </c>
      <c r="R27" s="76" t="s">
        <v>160</v>
      </c>
      <c r="W27" s="41">
        <f t="shared" si="3"/>
        <v>0</v>
      </c>
      <c r="X27" s="77" t="str">
        <f t="shared" si="0"/>
        <v/>
      </c>
      <c r="AG27" s="81" t="str">
        <f>IF(Data_NaamPersoonTijd004="","",Data_NaamPersoonTijd004)</f>
        <v/>
      </c>
      <c r="AJ27" s="83" t="str">
        <f>IF(Data_BeeindigingsdatumTijd004="","",Data_BeeindigingsdatumTijd004)</f>
        <v/>
      </c>
      <c r="AM27" s="82" t="str">
        <f>IF(Data_LoonkostenTijd004="","",Data_LoonkostenTijd004)</f>
        <v/>
      </c>
      <c r="AO27" s="276" t="str">
        <f>IF(Data_PersoonAanUitTijd004=-1,"v","")</f>
        <v/>
      </c>
      <c r="AQ27" s="76" t="s">
        <v>160</v>
      </c>
      <c r="AV27" s="41">
        <f t="shared" si="4"/>
        <v>0</v>
      </c>
      <c r="AW27" s="77">
        <f t="shared" si="5"/>
        <v>0</v>
      </c>
      <c r="BA27" s="81" t="str">
        <f>IF(Data_NaamPersoonVastVrij004="","",Data_NaamPersoonVastVrij004)</f>
        <v/>
      </c>
      <c r="BD27" s="83" t="str">
        <f>IF(Data_BeeindigingsdatumVastVrij004="","",Data_BeeindigingsdatumVastVrij004)</f>
        <v/>
      </c>
      <c r="BG27" s="82" t="str">
        <f>IF(Data_LoonkostenVastVrij004="","",Data_LoonkostenVastVrij004)</f>
        <v/>
      </c>
      <c r="BI27" s="76" t="str">
        <f>IF(Data_PersoonAanUitVastVrij004=-1,"v","")</f>
        <v/>
      </c>
      <c r="BK27" s="76" t="s">
        <v>160</v>
      </c>
      <c r="BP27" s="41">
        <f t="shared" si="6"/>
        <v>0</v>
      </c>
      <c r="BQ27" s="77">
        <f t="shared" si="1"/>
        <v>0</v>
      </c>
      <c r="BS27" s="81" t="str">
        <f>IF(Data_NaamPersoonVastOntslag004="","",Data_NaamPersoonVastOntslag004)</f>
        <v/>
      </c>
      <c r="BV27" s="83" t="str">
        <f>IF(Data_BeeindigingsdatumVastOntslag004="","",Data_BeeindigingsdatumVastOntslag004)</f>
        <v/>
      </c>
      <c r="BY27" s="82" t="str">
        <f>IF(Data_LoonkostenVastOntslag004="","",Data_LoonkostenVastOntslag004)</f>
        <v/>
      </c>
      <c r="CA27" s="76" t="str">
        <f>IF(Data_PersoonAanUitVastOntslag004=-1,"v","")</f>
        <v/>
      </c>
      <c r="CC27" s="76" t="s">
        <v>160</v>
      </c>
      <c r="CH27" s="41">
        <f t="shared" si="7"/>
        <v>0</v>
      </c>
      <c r="CI27" s="41">
        <f t="shared" si="2"/>
        <v>0</v>
      </c>
    </row>
    <row r="28" spans="2:87" s="41" customFormat="1" ht="12.75" x14ac:dyDescent="0.2">
      <c r="H28" s="81" t="str">
        <f>IF(Data_NaamPersoonNatVerloop005="","",Data_NaamPersoonNatVerloop005)</f>
        <v/>
      </c>
      <c r="K28" s="83" t="str">
        <f>IF(Data_BeeindigingsdatumNatVerloop005="","",Data_BeeindigingsdatumNatVerloop005)</f>
        <v/>
      </c>
      <c r="N28" s="82" t="str">
        <f>IF(Data_LoonkostenNatVerloop005="","",Data_LoonkostenNatVerloop005)</f>
        <v/>
      </c>
      <c r="P28" s="276" t="s">
        <v>160</v>
      </c>
      <c r="R28" s="76" t="s">
        <v>160</v>
      </c>
      <c r="W28" s="41">
        <f t="shared" si="3"/>
        <v>0</v>
      </c>
      <c r="X28" s="77" t="str">
        <f t="shared" si="0"/>
        <v/>
      </c>
      <c r="AG28" s="81" t="str">
        <f>IF(Data_NaamPersoonTijd005="","",Data_NaamPersoonTijd005)</f>
        <v/>
      </c>
      <c r="AJ28" s="83" t="str">
        <f>IF(Data_BeeindigingsdatumTijd005="","",Data_BeeindigingsdatumTijd005)</f>
        <v/>
      </c>
      <c r="AM28" s="82" t="str">
        <f>IF(Data_LoonkostenTijd005="","",Data_LoonkostenTijd005)</f>
        <v/>
      </c>
      <c r="AO28" s="276" t="str">
        <f>IF(Data_PersoonAanUitTijd005=-1,"v","")</f>
        <v/>
      </c>
      <c r="AQ28" s="76" t="s">
        <v>160</v>
      </c>
      <c r="AV28" s="41">
        <f t="shared" si="4"/>
        <v>0</v>
      </c>
      <c r="AW28" s="77">
        <f t="shared" si="5"/>
        <v>0</v>
      </c>
      <c r="BA28" s="81" t="str">
        <f>IF(Data_NaamPersoonVastVrij005="","",Data_NaamPersoonVastVrij005)</f>
        <v/>
      </c>
      <c r="BD28" s="83" t="str">
        <f>IF(Data_BeeindigingsdatumVastVrij005="","",Data_BeeindigingsdatumVastVrij005)</f>
        <v/>
      </c>
      <c r="BG28" s="82" t="str">
        <f>IF(Data_LoonkostenVastVrij005="","",Data_LoonkostenVastVrij005)</f>
        <v/>
      </c>
      <c r="BI28" s="76" t="str">
        <f>IF(Data_PersoonAanUitVastVrij005=-1,"v","")</f>
        <v/>
      </c>
      <c r="BK28" s="76" t="s">
        <v>160</v>
      </c>
      <c r="BP28" s="41">
        <f t="shared" si="6"/>
        <v>0</v>
      </c>
      <c r="BQ28" s="77">
        <f t="shared" si="1"/>
        <v>0</v>
      </c>
      <c r="BS28" s="81" t="str">
        <f>IF(Data_NaamPersoonVastOntslag005="","",Data_NaamPersoonVastOntslag005)</f>
        <v/>
      </c>
      <c r="BV28" s="83" t="str">
        <f>IF(Data_BeeindigingsdatumVastOntslag005="","",Data_BeeindigingsdatumVastOntslag005)</f>
        <v/>
      </c>
      <c r="BY28" s="82" t="str">
        <f>IF(Data_LoonkostenVastOntslag005="","",Data_LoonkostenVastOntslag005)</f>
        <v/>
      </c>
      <c r="CA28" s="76" t="str">
        <f>IF(Data_PersoonAanUitVastOntslag005=-1,"v","")</f>
        <v/>
      </c>
      <c r="CC28" s="76" t="s">
        <v>160</v>
      </c>
      <c r="CH28" s="41">
        <f t="shared" si="7"/>
        <v>0</v>
      </c>
      <c r="CI28" s="41">
        <f t="shared" si="2"/>
        <v>0</v>
      </c>
    </row>
    <row r="29" spans="2:87" s="41" customFormat="1" ht="12.75" x14ac:dyDescent="0.2">
      <c r="H29" s="81" t="str">
        <f>IF(Data_NaamPersoonNatVerloop006="","",Data_NaamPersoonNatVerloop006)</f>
        <v/>
      </c>
      <c r="K29" s="83" t="str">
        <f>IF(Data_BeeindigingsdatumNatVerloop006="","",Data_BeeindigingsdatumNatVerloop006)</f>
        <v/>
      </c>
      <c r="N29" s="82" t="str">
        <f>IF(Data_LoonkostenNatVerloop006="","",Data_LoonkostenNatVerloop006)</f>
        <v/>
      </c>
      <c r="P29" s="276" t="s">
        <v>160</v>
      </c>
      <c r="R29" s="76" t="s">
        <v>160</v>
      </c>
      <c r="W29" s="41">
        <f t="shared" si="3"/>
        <v>0</v>
      </c>
      <c r="X29" s="77" t="str">
        <f t="shared" si="0"/>
        <v/>
      </c>
      <c r="AG29" s="81" t="str">
        <f>IF(Data_NaamPersoonTijd006="","",Data_NaamPersoonTijd006)</f>
        <v/>
      </c>
      <c r="AJ29" s="83" t="str">
        <f>IF(Data_BeeindigingsdatumTijd006="","",Data_BeeindigingsdatumTijd006)</f>
        <v/>
      </c>
      <c r="AM29" s="82" t="str">
        <f>IF(Data_LoonkostenTijd006="","",Data_LoonkostenTijd006)</f>
        <v/>
      </c>
      <c r="AO29" s="276" t="str">
        <f>IF(Data_PersoonAanUitTijd006=-1,"v","")</f>
        <v/>
      </c>
      <c r="AQ29" s="76" t="s">
        <v>160</v>
      </c>
      <c r="AV29" s="41">
        <f t="shared" si="4"/>
        <v>0</v>
      </c>
      <c r="AW29" s="77">
        <f t="shared" si="5"/>
        <v>0</v>
      </c>
      <c r="BA29" s="81" t="str">
        <f>IF(Data_NaamPersoonVastVrij006="","",Data_NaamPersoonVastVrij006)</f>
        <v/>
      </c>
      <c r="BD29" s="83" t="str">
        <f>IF(Data_BeeindigingsdatumVastVrij006="","",Data_BeeindigingsdatumVastVrij006)</f>
        <v/>
      </c>
      <c r="BG29" s="82" t="str">
        <f>IF(Data_LoonkostenVastVrij006="","",Data_LoonkostenVastVrij006)</f>
        <v/>
      </c>
      <c r="BI29" s="76" t="str">
        <f>IF(Data_PersoonAanUitVastVrij006=-1,"v","")</f>
        <v/>
      </c>
      <c r="BK29" s="76" t="s">
        <v>160</v>
      </c>
      <c r="BP29" s="41">
        <f t="shared" si="6"/>
        <v>0</v>
      </c>
      <c r="BQ29" s="77">
        <f t="shared" si="1"/>
        <v>0</v>
      </c>
      <c r="BS29" s="81" t="str">
        <f>IF(Data_NaamPersoonVastOntslag006="","",Data_NaamPersoonVastOntslag006)</f>
        <v/>
      </c>
      <c r="BV29" s="83" t="str">
        <f>IF(Data_BeeindigingsdatumVastOntslag006="","",Data_BeeindigingsdatumVastOntslag006)</f>
        <v/>
      </c>
      <c r="BY29" s="82" t="str">
        <f>IF(Data_LoonkostenVastOntslag006="","",Data_LoonkostenVastOntslag006)</f>
        <v/>
      </c>
      <c r="CA29" s="76" t="str">
        <f>IF(Data_PersoonAanUitVastOntslag006=-1,"v","")</f>
        <v/>
      </c>
      <c r="CC29" s="76" t="s">
        <v>160</v>
      </c>
      <c r="CH29" s="41">
        <f t="shared" si="7"/>
        <v>0</v>
      </c>
      <c r="CI29" s="41">
        <f t="shared" si="2"/>
        <v>0</v>
      </c>
    </row>
    <row r="30" spans="2:87" s="41" customFormat="1" ht="12.75" x14ac:dyDescent="0.2">
      <c r="H30" s="81" t="str">
        <f>IF(Data_NaamPersoonNatVerloop007="","",Data_NaamPersoonNatVerloop007)</f>
        <v/>
      </c>
      <c r="K30" s="83" t="str">
        <f>IF(Data_BeeindigingsdatumNatVerloop007="","",Data_BeeindigingsdatumNatVerloop007)</f>
        <v/>
      </c>
      <c r="N30" s="82" t="str">
        <f>IF(Data_LoonkostenNatVerloop007="","",Data_LoonkostenNatVerloop007)</f>
        <v/>
      </c>
      <c r="P30" s="276" t="s">
        <v>160</v>
      </c>
      <c r="R30" s="76" t="s">
        <v>160</v>
      </c>
      <c r="W30" s="41">
        <f t="shared" si="3"/>
        <v>0</v>
      </c>
      <c r="X30" s="77" t="str">
        <f t="shared" si="0"/>
        <v/>
      </c>
      <c r="AG30" s="81" t="str">
        <f>IF(Data_NaamPersoonTijd007="","",Data_NaamPersoonTijd007)</f>
        <v/>
      </c>
      <c r="AJ30" s="83" t="str">
        <f>IF(Data_BeeindigingsdatumTijd007="","",Data_BeeindigingsdatumTijd007)</f>
        <v/>
      </c>
      <c r="AM30" s="82" t="str">
        <f>IF(Data_LoonkostenTijd007="","",Data_LoonkostenTijd007)</f>
        <v/>
      </c>
      <c r="AO30" s="276" t="str">
        <f>IF(Data_PersoonAanUitTijd007=-1,"v","")</f>
        <v/>
      </c>
      <c r="AQ30" s="76" t="s">
        <v>160</v>
      </c>
      <c r="AV30" s="41">
        <f t="shared" si="4"/>
        <v>0</v>
      </c>
      <c r="AW30" s="77">
        <f t="shared" si="5"/>
        <v>0</v>
      </c>
      <c r="BA30" s="81" t="str">
        <f>IF(Data_NaamPersoonVastVrij007="","",Data_NaamPersoonVastVrij007)</f>
        <v/>
      </c>
      <c r="BD30" s="83" t="str">
        <f>IF(Data_BeeindigingsdatumVastVrij007="","",Data_BeeindigingsdatumVastVrij007)</f>
        <v/>
      </c>
      <c r="BG30" s="82" t="str">
        <f>IF(Data_LoonkostenVastVrij007="","",Data_LoonkostenVastVrij007)</f>
        <v/>
      </c>
      <c r="BI30" s="76" t="str">
        <f>IF(Data_PersoonAanUitVastVrij007=-1,"v","")</f>
        <v/>
      </c>
      <c r="BK30" s="76" t="s">
        <v>160</v>
      </c>
      <c r="BP30" s="41">
        <f t="shared" si="6"/>
        <v>0</v>
      </c>
      <c r="BQ30" s="77">
        <f t="shared" si="1"/>
        <v>0</v>
      </c>
      <c r="BS30" s="81" t="str">
        <f>IF(Data_NaamPersoonVastOntslag007="","",Data_NaamPersoonVastOntslag007)</f>
        <v/>
      </c>
      <c r="BV30" s="83" t="str">
        <f>IF(Data_BeeindigingsdatumVastOntslag007="","",Data_BeeindigingsdatumVastOntslag007)</f>
        <v/>
      </c>
      <c r="BY30" s="82" t="str">
        <f>IF(Data_LoonkostenVastOntslag007="","",Data_LoonkostenVastOntslag007)</f>
        <v/>
      </c>
      <c r="CA30" s="76" t="str">
        <f>IF(Data_PersoonAanUitVastOntslag007=-1,"v","")</f>
        <v/>
      </c>
      <c r="CC30" s="76" t="s">
        <v>160</v>
      </c>
      <c r="CH30" s="41">
        <f t="shared" si="7"/>
        <v>0</v>
      </c>
      <c r="CI30" s="41">
        <f t="shared" si="2"/>
        <v>0</v>
      </c>
    </row>
    <row r="31" spans="2:87" s="41" customFormat="1" ht="12.75" x14ac:dyDescent="0.2">
      <c r="H31" s="81" t="str">
        <f>IF(Data_NaamPersoonNatVerloop008="","",Data_NaamPersoonNatVerloop008)</f>
        <v/>
      </c>
      <c r="K31" s="83" t="str">
        <f>IF(Data_BeeindigingsdatumNatVerloop008="","",Data_BeeindigingsdatumNatVerloop008)</f>
        <v/>
      </c>
      <c r="N31" s="82" t="str">
        <f>IF(Data_LoonkostenNatVerloop008="","",Data_LoonkostenNatVerloop008)</f>
        <v/>
      </c>
      <c r="P31" s="276" t="s">
        <v>160</v>
      </c>
      <c r="R31" s="76" t="s">
        <v>160</v>
      </c>
      <c r="W31" s="41">
        <f t="shared" si="3"/>
        <v>0</v>
      </c>
      <c r="X31" s="77" t="str">
        <f t="shared" si="0"/>
        <v/>
      </c>
      <c r="AG31" s="81" t="str">
        <f>IF(Data_NaamPersoonTijd008="","",Data_NaamPersoonTijd008)</f>
        <v/>
      </c>
      <c r="AJ31" s="83" t="str">
        <f>IF(Data_BeeindigingsdatumTijd008="","",Data_BeeindigingsdatumTijd008)</f>
        <v/>
      </c>
      <c r="AM31" s="82" t="str">
        <f>IF(Data_LoonkostenTijd008="","",Data_LoonkostenTijd008)</f>
        <v/>
      </c>
      <c r="AO31" s="276" t="str">
        <f>IF(Data_PersoonAanUitTijd008=-1,"v","")</f>
        <v/>
      </c>
      <c r="AQ31" s="76" t="s">
        <v>160</v>
      </c>
      <c r="AV31" s="41">
        <f t="shared" si="4"/>
        <v>0</v>
      </c>
      <c r="AW31" s="77">
        <f t="shared" si="5"/>
        <v>0</v>
      </c>
      <c r="BA31" s="81" t="str">
        <f>IF(Data_NaamPersoonVastVrij008="","",Data_NaamPersoonVastVrij008)</f>
        <v/>
      </c>
      <c r="BD31" s="83" t="str">
        <f>IF(Data_BeeindigingsdatumVastVrij008="","",Data_BeeindigingsdatumVastVrij008)</f>
        <v/>
      </c>
      <c r="BG31" s="82" t="str">
        <f>IF(Data_LoonkostenVastVrij008="","",Data_LoonkostenVastVrij008)</f>
        <v/>
      </c>
      <c r="BI31" s="76" t="str">
        <f>IF(Data_PersoonAanUitVastVrij008=-1,"v","")</f>
        <v/>
      </c>
      <c r="BK31" s="76" t="s">
        <v>160</v>
      </c>
      <c r="BP31" s="41">
        <f t="shared" si="6"/>
        <v>0</v>
      </c>
      <c r="BQ31" s="77">
        <f t="shared" si="1"/>
        <v>0</v>
      </c>
      <c r="BS31" s="81" t="str">
        <f>IF(Data_NaamPersoonVastOntslag008="","",Data_NaamPersoonVastOntslag008)</f>
        <v/>
      </c>
      <c r="BV31" s="83" t="str">
        <f>IF(Data_BeeindigingsdatumVastOntslag008="","",Data_BeeindigingsdatumVastOntslag008)</f>
        <v/>
      </c>
      <c r="BY31" s="82" t="str">
        <f>IF(Data_LoonkostenVastOntslag008="","",Data_LoonkostenVastOntslag008)</f>
        <v/>
      </c>
      <c r="CA31" s="76" t="str">
        <f>IF(Data_PersoonAanUitVastOntslag008=-1,"v","")</f>
        <v/>
      </c>
      <c r="CC31" s="76" t="s">
        <v>160</v>
      </c>
      <c r="CH31" s="41">
        <f t="shared" si="7"/>
        <v>0</v>
      </c>
      <c r="CI31" s="41">
        <f t="shared" si="2"/>
        <v>0</v>
      </c>
    </row>
    <row r="32" spans="2:87" s="41" customFormat="1" ht="12.75" x14ac:dyDescent="0.2">
      <c r="H32" s="81" t="str">
        <f>IF(Data_NaamPersoonNatVerloop009="","",Data_NaamPersoonNatVerloop009)</f>
        <v/>
      </c>
      <c r="K32" s="83" t="str">
        <f>IF(Data_BeeindigingsdatumNatVerloop009="","",Data_BeeindigingsdatumNatVerloop009)</f>
        <v/>
      </c>
      <c r="N32" s="82" t="str">
        <f>IF(Data_LoonkostenNatVerloop009="","",Data_LoonkostenNatVerloop009)</f>
        <v/>
      </c>
      <c r="P32" s="276" t="s">
        <v>160</v>
      </c>
      <c r="R32" s="76" t="s">
        <v>160</v>
      </c>
      <c r="W32" s="41">
        <f t="shared" si="3"/>
        <v>0</v>
      </c>
      <c r="X32" s="77" t="str">
        <f t="shared" si="0"/>
        <v/>
      </c>
      <c r="AG32" s="81" t="str">
        <f>IF(Data_NaamPersoonTijd009="","",Data_NaamPersoonTijd009)</f>
        <v/>
      </c>
      <c r="AJ32" s="83" t="str">
        <f>IF(Data_BeeindigingsdatumTijd009="","",Data_BeeindigingsdatumTijd009)</f>
        <v/>
      </c>
      <c r="AM32" s="82" t="str">
        <f>IF(Data_LoonkostenTijd009="","",Data_LoonkostenTijd009)</f>
        <v/>
      </c>
      <c r="AO32" s="276" t="str">
        <f>IF(Data_PersoonAanUitTijd009=-1,"v","")</f>
        <v/>
      </c>
      <c r="AQ32" s="76" t="s">
        <v>160</v>
      </c>
      <c r="AV32" s="41">
        <f t="shared" si="4"/>
        <v>0</v>
      </c>
      <c r="AW32" s="77">
        <f t="shared" si="5"/>
        <v>0</v>
      </c>
      <c r="BA32" s="81" t="str">
        <f>IF(Data_NaamPersoonVastVrij009="","",Data_NaamPersoonVastVrij009)</f>
        <v/>
      </c>
      <c r="BD32" s="83" t="str">
        <f>IF(Data_BeeindigingsdatumVastVrij009="","",Data_BeeindigingsdatumVastVrij009)</f>
        <v/>
      </c>
      <c r="BG32" s="82" t="str">
        <f>IF(Data_LoonkostenVastVrij009="","",Data_LoonkostenVastVrij009)</f>
        <v/>
      </c>
      <c r="BI32" s="76" t="str">
        <f>IF(Data_PersoonAanUitVastVrij009=-1,"v","")</f>
        <v/>
      </c>
      <c r="BK32" s="76" t="s">
        <v>160</v>
      </c>
      <c r="BP32" s="41">
        <f t="shared" si="6"/>
        <v>0</v>
      </c>
      <c r="BQ32" s="77">
        <f t="shared" si="1"/>
        <v>0</v>
      </c>
      <c r="BS32" s="81" t="str">
        <f>IF(Data_NaamPersoonVastOntslag009="","",Data_NaamPersoonVastOntslag009)</f>
        <v/>
      </c>
      <c r="BV32" s="83" t="str">
        <f>IF(Data_BeeindigingsdatumVastOntslag009="","",Data_BeeindigingsdatumVastOntslag009)</f>
        <v/>
      </c>
      <c r="BY32" s="82" t="str">
        <f>IF(Data_LoonkostenVastOntslag009="","",Data_LoonkostenVastOntslag009)</f>
        <v/>
      </c>
      <c r="CA32" s="76" t="str">
        <f>IF(Data_PersoonAanUitVastOntslag009=-1,"v","")</f>
        <v/>
      </c>
      <c r="CC32" s="76" t="s">
        <v>160</v>
      </c>
      <c r="CH32" s="41">
        <f t="shared" si="7"/>
        <v>0</v>
      </c>
      <c r="CI32" s="41">
        <f t="shared" si="2"/>
        <v>0</v>
      </c>
    </row>
    <row r="33" spans="8:87" s="41" customFormat="1" ht="12.75" x14ac:dyDescent="0.2">
      <c r="H33" s="81" t="str">
        <f>IF(Data_NaamPersoonNatVerloop010="","",Data_NaamPersoonNatVerloop010)</f>
        <v/>
      </c>
      <c r="K33" s="83" t="str">
        <f>IF(Data_BeeindigingsdatumNatVerloop010="","",Data_BeeindigingsdatumNatVerloop010)</f>
        <v/>
      </c>
      <c r="N33" s="82" t="str">
        <f>IF(Data_LoonkostenNatVerloop010="","",Data_LoonkostenNatVerloop010)</f>
        <v/>
      </c>
      <c r="P33" s="276" t="s">
        <v>160</v>
      </c>
      <c r="R33" s="76" t="s">
        <v>160</v>
      </c>
      <c r="W33" s="41">
        <f t="shared" si="3"/>
        <v>0</v>
      </c>
      <c r="X33" s="77" t="str">
        <f t="shared" si="0"/>
        <v/>
      </c>
      <c r="AG33" s="81" t="str">
        <f>IF(Data_NaamPersoonTijd010="","",Data_NaamPersoonTijd010)</f>
        <v/>
      </c>
      <c r="AJ33" s="83" t="str">
        <f>IF(Data_BeeindigingsdatumTijd010="","",Data_BeeindigingsdatumTijd010)</f>
        <v/>
      </c>
      <c r="AM33" s="82" t="str">
        <f>IF(Data_LoonkostenTijd010="","",Data_LoonkostenTijd010)</f>
        <v/>
      </c>
      <c r="AO33" s="276" t="str">
        <f>IF(Data_PersoonAanUitTijd010=-1,"v","")</f>
        <v/>
      </c>
      <c r="AQ33" s="76" t="s">
        <v>160</v>
      </c>
      <c r="AV33" s="41">
        <f t="shared" si="4"/>
        <v>0</v>
      </c>
      <c r="AW33" s="77">
        <f t="shared" si="5"/>
        <v>0</v>
      </c>
      <c r="BA33" s="81" t="str">
        <f>IF(Data_NaamPersoonVastVrij010="","",Data_NaamPersoonVastVrij010)</f>
        <v/>
      </c>
      <c r="BD33" s="83" t="str">
        <f>IF(Data_BeeindigingsdatumVastVrij010="","",Data_BeeindigingsdatumVastVrij010)</f>
        <v/>
      </c>
      <c r="BG33" s="82" t="str">
        <f>IF(Data_LoonkostenVastVrij010="","",Data_LoonkostenVastVrij010)</f>
        <v/>
      </c>
      <c r="BI33" s="76" t="str">
        <f>IF(Data_PersoonAanUitVastVrij010=-1,"v","")</f>
        <v/>
      </c>
      <c r="BK33" s="76" t="s">
        <v>160</v>
      </c>
      <c r="BP33" s="41">
        <f t="shared" si="6"/>
        <v>0</v>
      </c>
      <c r="BQ33" s="77">
        <f t="shared" si="1"/>
        <v>0</v>
      </c>
      <c r="BS33" s="81" t="str">
        <f>IF(Data_NaamPersoonVastOntslag010="","",Data_NaamPersoonVastOntslag010)</f>
        <v/>
      </c>
      <c r="BV33" s="83" t="str">
        <f>IF(Data_BeeindigingsdatumVastOntslag010="","",Data_BeeindigingsdatumVastOntslag010)</f>
        <v/>
      </c>
      <c r="BY33" s="82" t="str">
        <f>IF(Data_LoonkostenVastOntslag010="","",Data_LoonkostenVastOntslag010)</f>
        <v/>
      </c>
      <c r="CA33" s="76" t="str">
        <f>IF(Data_PersoonAanUitVastOntslag010=-1,"v","")</f>
        <v/>
      </c>
      <c r="CC33" s="76" t="s">
        <v>160</v>
      </c>
      <c r="CH33" s="41">
        <f t="shared" si="7"/>
        <v>0</v>
      </c>
      <c r="CI33" s="41">
        <f t="shared" si="2"/>
        <v>0</v>
      </c>
    </row>
    <row r="34" spans="8:87" s="41" customFormat="1" ht="12.75" x14ac:dyDescent="0.2">
      <c r="H34" s="81" t="str">
        <f>IF(Data_NaamPersoonNatVerloop011="","",Data_NaamPersoonNatVerloop011)</f>
        <v/>
      </c>
      <c r="K34" s="83" t="str">
        <f>IF(Data_BeeindigingsdatumNatVerloop011="","",Data_BeeindigingsdatumNatVerloop011)</f>
        <v/>
      </c>
      <c r="N34" s="82" t="str">
        <f>IF(Data_LoonkostenNatVerloop011="","",Data_LoonkostenNatVerloop011)</f>
        <v/>
      </c>
      <c r="P34" s="276" t="s">
        <v>160</v>
      </c>
      <c r="R34" s="76" t="s">
        <v>160</v>
      </c>
      <c r="W34" s="41">
        <f t="shared" si="3"/>
        <v>0</v>
      </c>
      <c r="X34" s="77" t="str">
        <f t="shared" si="0"/>
        <v/>
      </c>
      <c r="AG34" s="81" t="str">
        <f>IF(Data_NaamPersoonTijd011="","",Data_NaamPersoonTijd011)</f>
        <v/>
      </c>
      <c r="AJ34" s="83" t="str">
        <f>IF(Data_BeeindigingsdatumTijd011="","",Data_BeeindigingsdatumTijd011)</f>
        <v/>
      </c>
      <c r="AM34" s="82" t="str">
        <f>IF(Data_LoonkostenTijd011="","",Data_LoonkostenTijd011)</f>
        <v/>
      </c>
      <c r="AO34" s="276" t="str">
        <f>IF(Data_PersoonAanUitTijd011=-1,"v","")</f>
        <v/>
      </c>
      <c r="AQ34" s="76" t="s">
        <v>160</v>
      </c>
      <c r="AV34" s="41">
        <f t="shared" si="4"/>
        <v>0</v>
      </c>
      <c r="AW34" s="77">
        <f t="shared" si="5"/>
        <v>0</v>
      </c>
      <c r="BA34" s="81" t="str">
        <f>IF(Data_NaamPersoonVastVrij011="","",Data_NaamPersoonVastVrij011)</f>
        <v/>
      </c>
      <c r="BD34" s="83" t="str">
        <f>IF(Data_BeeindigingsdatumVastVrij011="","",Data_BeeindigingsdatumVastVrij011)</f>
        <v/>
      </c>
      <c r="BG34" s="82" t="str">
        <f>IF(Data_LoonkostenVastVrij011="","",Data_LoonkostenVastVrij011)</f>
        <v/>
      </c>
      <c r="BI34" s="76" t="str">
        <f>IF(Data_PersoonAanUitVastVrij011=-1,"v","")</f>
        <v/>
      </c>
      <c r="BK34" s="76" t="s">
        <v>160</v>
      </c>
      <c r="BP34" s="41">
        <f t="shared" si="6"/>
        <v>0</v>
      </c>
      <c r="BQ34" s="77">
        <f t="shared" si="1"/>
        <v>0</v>
      </c>
      <c r="BS34" s="81" t="str">
        <f>IF(Data_NaamPersoonVastOntslag011="","",Data_NaamPersoonVastOntslag011)</f>
        <v/>
      </c>
      <c r="BV34" s="83" t="str">
        <f>IF(Data_BeeindigingsdatumVastOntslag011="","",Data_BeeindigingsdatumVastOntslag011)</f>
        <v/>
      </c>
      <c r="BY34" s="82" t="str">
        <f>IF(Data_LoonkostenVastOntslag011="","",Data_LoonkostenVastOntslag011)</f>
        <v/>
      </c>
      <c r="CA34" s="76" t="str">
        <f>IF(Data_PersoonAanUitVastOntslag011=-1,"v","")</f>
        <v/>
      </c>
      <c r="CC34" s="76" t="s">
        <v>160</v>
      </c>
      <c r="CH34" s="41">
        <f t="shared" si="7"/>
        <v>0</v>
      </c>
      <c r="CI34" s="41">
        <f t="shared" si="2"/>
        <v>0</v>
      </c>
    </row>
    <row r="35" spans="8:87" s="41" customFormat="1" ht="12.75" x14ac:dyDescent="0.2">
      <c r="H35" s="81" t="str">
        <f>IF(Data_NaamPersoonNatVerloop012="","",Data_NaamPersoonNatVerloop012)</f>
        <v/>
      </c>
      <c r="K35" s="83" t="str">
        <f>IF(Data_BeeindigingsdatumNatVerloop012="","",Data_BeeindigingsdatumNatVerloop012)</f>
        <v/>
      </c>
      <c r="N35" s="82" t="str">
        <f>IF(Data_LoonkostenNatVerloop012="","",Data_LoonkostenNatVerloop012)</f>
        <v/>
      </c>
      <c r="P35" s="276" t="s">
        <v>160</v>
      </c>
      <c r="R35" s="76" t="s">
        <v>160</v>
      </c>
      <c r="W35" s="41">
        <f t="shared" si="3"/>
        <v>0</v>
      </c>
      <c r="X35" s="77" t="str">
        <f t="shared" si="0"/>
        <v/>
      </c>
      <c r="AG35" s="81" t="str">
        <f>IF(Data_NaamPersoonTijd012="","",Data_NaamPersoonTijd012)</f>
        <v/>
      </c>
      <c r="AJ35" s="83" t="str">
        <f>IF(Data_BeeindigingsdatumTijd012="","",Data_BeeindigingsdatumTijd012)</f>
        <v/>
      </c>
      <c r="AM35" s="82" t="str">
        <f>IF(Data_LoonkostenTijd012="","",Data_LoonkostenTijd012)</f>
        <v/>
      </c>
      <c r="AO35" s="276" t="str">
        <f>IF(Data_PersoonAanUitTijd012=-1,"v","")</f>
        <v/>
      </c>
      <c r="AQ35" s="76" t="s">
        <v>160</v>
      </c>
      <c r="AV35" s="41">
        <f t="shared" si="4"/>
        <v>0</v>
      </c>
      <c r="AW35" s="77">
        <f t="shared" si="5"/>
        <v>0</v>
      </c>
      <c r="BA35" s="81" t="str">
        <f>IF(Data_NaamPersoonVastVrij012="","",Data_NaamPersoonVastVrij012)</f>
        <v/>
      </c>
      <c r="BD35" s="83" t="str">
        <f>IF(Data_BeeindigingsdatumVastVrij012="","",Data_BeeindigingsdatumVastVrij012)</f>
        <v/>
      </c>
      <c r="BG35" s="82" t="str">
        <f>IF(Data_LoonkostenVastVrij012="","",Data_LoonkostenVastVrij012)</f>
        <v/>
      </c>
      <c r="BI35" s="76" t="str">
        <f>IF(Data_PersoonAanUitVastVrij012=-1,"v","")</f>
        <v/>
      </c>
      <c r="BK35" s="76" t="s">
        <v>160</v>
      </c>
      <c r="BP35" s="41">
        <f t="shared" si="6"/>
        <v>0</v>
      </c>
      <c r="BQ35" s="77">
        <f t="shared" si="1"/>
        <v>0</v>
      </c>
      <c r="BS35" s="81" t="str">
        <f>IF(Data_NaamPersoonVastOntslag012="","",Data_NaamPersoonVastOntslag012)</f>
        <v/>
      </c>
      <c r="BV35" s="83" t="str">
        <f>IF(Data_BeeindigingsdatumVastOntslag012="","",Data_BeeindigingsdatumVastOntslag012)</f>
        <v/>
      </c>
      <c r="BY35" s="82" t="str">
        <f>IF(Data_LoonkostenVastOntslag012="","",Data_LoonkostenVastOntslag012)</f>
        <v/>
      </c>
      <c r="CA35" s="76" t="str">
        <f>IF(Data_PersoonAanUitVastOntslag012=-1,"v","")</f>
        <v/>
      </c>
      <c r="CC35" s="76" t="s">
        <v>160</v>
      </c>
      <c r="CH35" s="41">
        <f t="shared" si="7"/>
        <v>0</v>
      </c>
      <c r="CI35" s="41">
        <f t="shared" si="2"/>
        <v>0</v>
      </c>
    </row>
    <row r="36" spans="8:87" s="41" customFormat="1" ht="12.75" x14ac:dyDescent="0.2">
      <c r="H36" s="81" t="str">
        <f>IF(Data_NaamPersoonNatVerloop013="","",Data_NaamPersoonNatVerloop013)</f>
        <v/>
      </c>
      <c r="K36" s="83" t="str">
        <f>IF(Data_BeeindigingsdatumNatVerloop013="","",Data_BeeindigingsdatumNatVerloop013)</f>
        <v/>
      </c>
      <c r="N36" s="82" t="str">
        <f>IF(Data_LoonkostenNatVerloop013="","",Data_LoonkostenNatVerloop013)</f>
        <v/>
      </c>
      <c r="P36" s="276" t="s">
        <v>160</v>
      </c>
      <c r="R36" s="76" t="s">
        <v>160</v>
      </c>
      <c r="W36" s="41">
        <f t="shared" si="3"/>
        <v>0</v>
      </c>
      <c r="X36" s="77" t="str">
        <f t="shared" si="0"/>
        <v/>
      </c>
      <c r="AG36" s="81" t="str">
        <f>IF(Data_NaamPersoonTijd013="","",Data_NaamPersoonTijd013)</f>
        <v/>
      </c>
      <c r="AJ36" s="83" t="str">
        <f>IF(Data_BeeindigingsdatumTijd013="","",Data_BeeindigingsdatumTijd013)</f>
        <v/>
      </c>
      <c r="AM36" s="82" t="str">
        <f>IF(Data_LoonkostenTijd013="","",Data_LoonkostenTijd013)</f>
        <v/>
      </c>
      <c r="AO36" s="276" t="str">
        <f>IF(Data_PersoonAanUitTijd013=-1,"v","")</f>
        <v/>
      </c>
      <c r="AQ36" s="76" t="s">
        <v>160</v>
      </c>
      <c r="AV36" s="41">
        <f t="shared" si="4"/>
        <v>0</v>
      </c>
      <c r="AW36" s="77">
        <f t="shared" si="5"/>
        <v>0</v>
      </c>
      <c r="BA36" s="81" t="str">
        <f>IF(Data_NaamPersoonVastVrij013="","",Data_NaamPersoonVastVrij013)</f>
        <v/>
      </c>
      <c r="BD36" s="83" t="str">
        <f>IF(Data_BeeindigingsdatumVastVrij013="","",Data_BeeindigingsdatumVastVrij013)</f>
        <v/>
      </c>
      <c r="BG36" s="82" t="str">
        <f>IF(Data_LoonkostenVastVrij013="","",Data_LoonkostenVastVrij013)</f>
        <v/>
      </c>
      <c r="BI36" s="76" t="str">
        <f>IF(Data_PersoonAanUitVastVrij013=-1,"v","")</f>
        <v/>
      </c>
      <c r="BK36" s="76" t="s">
        <v>160</v>
      </c>
      <c r="BP36" s="41">
        <f t="shared" si="6"/>
        <v>0</v>
      </c>
      <c r="BQ36" s="77">
        <f t="shared" si="1"/>
        <v>0</v>
      </c>
      <c r="BS36" s="81" t="str">
        <f>IF(Data_NaamPersoonVastOntslag013="","",Data_NaamPersoonVastOntslag013)</f>
        <v/>
      </c>
      <c r="BV36" s="83" t="str">
        <f>IF(Data_BeeindigingsdatumVastOntslag013="","",Data_BeeindigingsdatumVastOntslag013)</f>
        <v/>
      </c>
      <c r="BY36" s="82" t="str">
        <f>IF(Data_LoonkostenVastOntslag013="","",Data_LoonkostenVastOntslag013)</f>
        <v/>
      </c>
      <c r="CA36" s="76" t="str">
        <f>IF(Data_PersoonAanUitVastOntslag013=-1,"v","")</f>
        <v/>
      </c>
      <c r="CC36" s="76" t="s">
        <v>160</v>
      </c>
      <c r="CH36" s="41">
        <f t="shared" si="7"/>
        <v>0</v>
      </c>
      <c r="CI36" s="41">
        <f t="shared" si="2"/>
        <v>0</v>
      </c>
    </row>
    <row r="37" spans="8:87" s="41" customFormat="1" ht="12.75" x14ac:dyDescent="0.2">
      <c r="H37" s="81" t="str">
        <f>IF(Data_NaamPersoonNatVerloop014="","",Data_NaamPersoonNatVerloop014)</f>
        <v/>
      </c>
      <c r="K37" s="83" t="str">
        <f>IF(Data_BeeindigingsdatumNatVerloop014="","",Data_BeeindigingsdatumNatVerloop014)</f>
        <v/>
      </c>
      <c r="N37" s="82" t="str">
        <f>IF(Data_LoonkostenNatVerloop014="","",Data_LoonkostenNatVerloop014)</f>
        <v/>
      </c>
      <c r="P37" s="276" t="s">
        <v>160</v>
      </c>
      <c r="R37" s="76" t="s">
        <v>160</v>
      </c>
      <c r="W37" s="41">
        <f t="shared" si="3"/>
        <v>0</v>
      </c>
      <c r="X37" s="77" t="str">
        <f t="shared" si="0"/>
        <v/>
      </c>
      <c r="AG37" s="81" t="str">
        <f>IF(Data_NaamPersoonTijd014="","",Data_NaamPersoonTijd014)</f>
        <v/>
      </c>
      <c r="AJ37" s="83" t="str">
        <f>IF(Data_BeeindigingsdatumTijd014="","",Data_BeeindigingsdatumTijd014)</f>
        <v/>
      </c>
      <c r="AM37" s="82" t="str">
        <f>IF(Data_LoonkostenTijd014="","",Data_LoonkostenTijd014)</f>
        <v/>
      </c>
      <c r="AO37" s="276" t="str">
        <f>IF(Data_PersoonAanUitTijd014=-1,"v","")</f>
        <v/>
      </c>
      <c r="AQ37" s="76" t="s">
        <v>160</v>
      </c>
      <c r="AV37" s="41">
        <f t="shared" si="4"/>
        <v>0</v>
      </c>
      <c r="AW37" s="77">
        <f t="shared" si="5"/>
        <v>0</v>
      </c>
      <c r="BA37" s="81" t="str">
        <f>IF(Data_NaamPersoonVastVrij014="","",Data_NaamPersoonVastVrij014)</f>
        <v/>
      </c>
      <c r="BD37" s="83" t="str">
        <f>IF(Data_BeeindigingsdatumVastVrij014="","",Data_BeeindigingsdatumVastVrij014)</f>
        <v/>
      </c>
      <c r="BG37" s="82" t="str">
        <f>IF(Data_LoonkostenVastVrij014="","",Data_LoonkostenVastVrij014)</f>
        <v/>
      </c>
      <c r="BI37" s="76" t="str">
        <f>IF(Data_PersoonAanUitVastVrij014=-1,"v","")</f>
        <v/>
      </c>
      <c r="BK37" s="76" t="s">
        <v>160</v>
      </c>
      <c r="BP37" s="41">
        <f t="shared" si="6"/>
        <v>0</v>
      </c>
      <c r="BQ37" s="77">
        <f t="shared" si="1"/>
        <v>0</v>
      </c>
      <c r="BS37" s="81" t="str">
        <f>IF(Data_NaamPersoonVastOntslag014="","",Data_NaamPersoonVastOntslag014)</f>
        <v/>
      </c>
      <c r="BV37" s="83" t="str">
        <f>IF(Data_BeeindigingsdatumVastOntslag014="","",Data_BeeindigingsdatumVastOntslag014)</f>
        <v/>
      </c>
      <c r="BY37" s="82" t="str">
        <f>IF(Data_LoonkostenVastOntslag014="","",Data_LoonkostenVastOntslag014)</f>
        <v/>
      </c>
      <c r="CA37" s="76" t="str">
        <f>IF(Data_PersoonAanUitVastOntslag014=-1,"v","")</f>
        <v/>
      </c>
      <c r="CC37" s="76" t="s">
        <v>160</v>
      </c>
      <c r="CH37" s="41">
        <f>IF($CA37="v",BX37,CE37)</f>
        <v>0</v>
      </c>
      <c r="CI37" s="41">
        <f t="shared" si="2"/>
        <v>0</v>
      </c>
    </row>
    <row r="38" spans="8:87" s="41" customFormat="1" ht="12.75" x14ac:dyDescent="0.2">
      <c r="H38" s="81" t="str">
        <f>IF(Data_NaamPersoonNatVerloop015="","",Data_NaamPersoonNatVerloop015)</f>
        <v/>
      </c>
      <c r="K38" s="83" t="str">
        <f>IF(Data_BeeindigingsdatumNatVerloop015="","",Data_BeeindigingsdatumNatVerloop015)</f>
        <v/>
      </c>
      <c r="N38" s="82" t="str">
        <f>IF(Data_LoonkostenNatVerloop015="","",Data_LoonkostenNatVerloop015)</f>
        <v/>
      </c>
      <c r="P38" s="276" t="s">
        <v>160</v>
      </c>
      <c r="R38" s="76" t="s">
        <v>160</v>
      </c>
      <c r="W38" s="41">
        <f t="shared" si="3"/>
        <v>0</v>
      </c>
      <c r="X38" s="77" t="str">
        <f t="shared" si="0"/>
        <v/>
      </c>
      <c r="AG38" s="81" t="str">
        <f>IF(Data_NaamPersoonTijd015="","",Data_NaamPersoonTijd015)</f>
        <v/>
      </c>
      <c r="AJ38" s="83" t="str">
        <f>IF(Data_BeeindigingsdatumTijd015="","",Data_BeeindigingsdatumTijd015)</f>
        <v/>
      </c>
      <c r="AM38" s="82" t="str">
        <f>IF(Data_LoonkostenTijd015="","",Data_LoonkostenTijd015)</f>
        <v/>
      </c>
      <c r="AO38" s="276" t="str">
        <f>IF(Data_PersoonAanUitTijd015=-1,"v","")</f>
        <v/>
      </c>
      <c r="AQ38" s="76" t="s">
        <v>160</v>
      </c>
      <c r="AV38" s="41">
        <f t="shared" si="4"/>
        <v>0</v>
      </c>
      <c r="AW38" s="77">
        <f t="shared" si="5"/>
        <v>0</v>
      </c>
      <c r="BA38" s="81" t="str">
        <f>IF(Data_NaamPersoonVastVrij015="","",Data_NaamPersoonVastVrij015)</f>
        <v/>
      </c>
      <c r="BD38" s="83" t="str">
        <f>IF(Data_BeeindigingsdatumVastVrij015="","",Data_BeeindigingsdatumVastVrij015)</f>
        <v/>
      </c>
      <c r="BG38" s="82" t="str">
        <f>IF(Data_LoonkostenVastVrij015="","",Data_LoonkostenVastVrij015)</f>
        <v/>
      </c>
      <c r="BI38" s="76" t="str">
        <f>IF(Data_PersoonAanUitVastVrij015=-1,"v","")</f>
        <v/>
      </c>
      <c r="BK38" s="76" t="s">
        <v>160</v>
      </c>
      <c r="BP38" s="41">
        <f t="shared" si="6"/>
        <v>0</v>
      </c>
      <c r="BQ38" s="77">
        <f t="shared" si="1"/>
        <v>0</v>
      </c>
      <c r="BS38" s="81" t="str">
        <f>IF(Data_NaamPersoonVastOntslag015="","",Data_NaamPersoonVastOntslag015)</f>
        <v/>
      </c>
      <c r="BV38" s="83" t="str">
        <f>IF(Data_BeeindigingsdatumVastOntslag015="","",Data_BeeindigingsdatumVastOntslag015)</f>
        <v/>
      </c>
      <c r="BY38" s="82" t="str">
        <f>IF(Data_LoonkostenVastOntslag015="","",Data_LoonkostenVastOntslag015)</f>
        <v/>
      </c>
      <c r="CA38" s="76" t="str">
        <f>IF(Data_PersoonAanUitVastOntslag015=-1,"v","")</f>
        <v/>
      </c>
      <c r="CC38" s="76" t="s">
        <v>160</v>
      </c>
      <c r="CH38" s="41">
        <f t="shared" si="7"/>
        <v>0</v>
      </c>
      <c r="CI38" s="41">
        <f t="shared" si="2"/>
        <v>0</v>
      </c>
    </row>
    <row r="39" spans="8:87" s="41" customFormat="1" ht="12.75" x14ac:dyDescent="0.2">
      <c r="H39" s="81" t="str">
        <f>IF(Data_NaamPersoonNatVerloop016="","",Data_NaamPersoonNatVerloop016)</f>
        <v/>
      </c>
      <c r="K39" s="83" t="str">
        <f>IF(Data_BeeindigingsdatumNatVerloop016="","",Data_BeeindigingsdatumNatVerloop016)</f>
        <v/>
      </c>
      <c r="N39" s="82" t="str">
        <f>IF(Data_LoonkostenNatVerloop016="","",Data_LoonkostenNatVerloop016)</f>
        <v/>
      </c>
      <c r="P39" s="276" t="s">
        <v>160</v>
      </c>
      <c r="R39" s="76" t="s">
        <v>160</v>
      </c>
      <c r="W39" s="41">
        <f t="shared" si="3"/>
        <v>0</v>
      </c>
      <c r="X39" s="77" t="str">
        <f t="shared" si="0"/>
        <v/>
      </c>
      <c r="AG39" s="81" t="str">
        <f>IF(Data_NaamPersoonTijd016="","",Data_NaamPersoonTijd016)</f>
        <v/>
      </c>
      <c r="AJ39" s="83" t="str">
        <f>IF(Data_BeeindigingsdatumTijd016="","",Data_BeeindigingsdatumTijd016)</f>
        <v/>
      </c>
      <c r="AM39" s="82" t="str">
        <f>IF(Data_LoonkostenTijd016="","",Data_LoonkostenTijd016)</f>
        <v/>
      </c>
      <c r="AO39" s="276" t="str">
        <f>IF(Data_PersoonAanUitTijd016=-1,"v","")</f>
        <v/>
      </c>
      <c r="AQ39" s="76" t="s">
        <v>160</v>
      </c>
      <c r="AV39" s="41">
        <f t="shared" si="4"/>
        <v>0</v>
      </c>
      <c r="AW39" s="77">
        <f t="shared" si="5"/>
        <v>0</v>
      </c>
      <c r="BA39" s="81" t="str">
        <f>IF(Data_NaamPersoonVastVrij016="","",Data_NaamPersoonVastVrij016)</f>
        <v/>
      </c>
      <c r="BD39" s="83" t="str">
        <f>IF(Data_BeeindigingsdatumVastVrij016="","",Data_BeeindigingsdatumVastVrij016)</f>
        <v/>
      </c>
      <c r="BG39" s="82" t="str">
        <f>IF(Data_LoonkostenVastVrij016="","",Data_LoonkostenVastVrij016)</f>
        <v/>
      </c>
      <c r="BI39" s="76" t="str">
        <f>IF(Data_PersoonAanUitVastVrij016=-1,"v","")</f>
        <v/>
      </c>
      <c r="BK39" s="76" t="s">
        <v>160</v>
      </c>
      <c r="BP39" s="41">
        <f t="shared" si="6"/>
        <v>0</v>
      </c>
      <c r="BQ39" s="77">
        <f t="shared" si="1"/>
        <v>0</v>
      </c>
      <c r="BS39" s="81" t="str">
        <f>IF(Data_NaamPersoonVastOntslag016="","",Data_NaamPersoonVastOntslag016)</f>
        <v/>
      </c>
      <c r="BV39" s="83" t="str">
        <f>IF(Data_BeeindigingsdatumVastOntslag016="","",Data_BeeindigingsdatumVastOntslag016)</f>
        <v/>
      </c>
      <c r="BY39" s="82" t="str">
        <f>IF(Data_LoonkostenVastOntslag016="","",Data_LoonkostenVastOntslag016)</f>
        <v/>
      </c>
      <c r="CA39" s="76" t="str">
        <f>IF(Data_PersoonAanUitVastOntslag016=-1,"v","")</f>
        <v/>
      </c>
      <c r="CC39" s="76" t="s">
        <v>160</v>
      </c>
      <c r="CH39" s="41">
        <f t="shared" si="7"/>
        <v>0</v>
      </c>
      <c r="CI39" s="41">
        <f t="shared" si="2"/>
        <v>0</v>
      </c>
    </row>
    <row r="40" spans="8:87" s="41" customFormat="1" ht="12.75" x14ac:dyDescent="0.2">
      <c r="H40" s="81" t="str">
        <f>IF(Data_NaamPersoonNatVerloop017="","",Data_NaamPersoonNatVerloop017)</f>
        <v/>
      </c>
      <c r="K40" s="83" t="str">
        <f>IF(Data_BeeindigingsdatumNatVerloop017="","",Data_BeeindigingsdatumNatVerloop017)</f>
        <v/>
      </c>
      <c r="N40" s="82" t="str">
        <f>IF(Data_LoonkostenNatVerloop017="","",Data_LoonkostenNatVerloop017)</f>
        <v/>
      </c>
      <c r="P40" s="276" t="s">
        <v>160</v>
      </c>
      <c r="R40" s="76" t="s">
        <v>160</v>
      </c>
      <c r="W40" s="41">
        <f t="shared" si="3"/>
        <v>0</v>
      </c>
      <c r="X40" s="77" t="str">
        <f t="shared" si="0"/>
        <v/>
      </c>
      <c r="AG40" s="81" t="str">
        <f>IF(Data_NaamPersoonTijd017="","",Data_NaamPersoonTijd017)</f>
        <v/>
      </c>
      <c r="AJ40" s="83" t="str">
        <f>IF(Data_BeeindigingsdatumTijd017="","",Data_BeeindigingsdatumTijd017)</f>
        <v/>
      </c>
      <c r="AM40" s="82" t="str">
        <f>IF(Data_LoonkostenTijd017="","",Data_LoonkostenTijd017)</f>
        <v/>
      </c>
      <c r="AO40" s="276" t="str">
        <f>IF(Data_PersoonAanUitTijd017=-1,"v","")</f>
        <v/>
      </c>
      <c r="AQ40" s="76" t="s">
        <v>160</v>
      </c>
      <c r="AV40" s="41">
        <f t="shared" si="4"/>
        <v>0</v>
      </c>
      <c r="AW40" s="77">
        <f t="shared" si="5"/>
        <v>0</v>
      </c>
      <c r="BA40" s="81" t="str">
        <f>IF(Data_NaamPersoonVastVrij017="","",Data_NaamPersoonVastVrij017)</f>
        <v/>
      </c>
      <c r="BD40" s="83" t="str">
        <f>IF(Data_BeeindigingsdatumVastVrij017="","",Data_BeeindigingsdatumVastVrij017)</f>
        <v/>
      </c>
      <c r="BG40" s="82" t="str">
        <f>IF(Data_LoonkostenVastVrij017="","",Data_LoonkostenVastVrij017)</f>
        <v/>
      </c>
      <c r="BI40" s="76" t="str">
        <f>IF(Data_PersoonAanUitVastVrij017=-1,"v","")</f>
        <v/>
      </c>
      <c r="BK40" s="76" t="s">
        <v>160</v>
      </c>
      <c r="BP40" s="41">
        <f t="shared" si="6"/>
        <v>0</v>
      </c>
      <c r="BQ40" s="77">
        <f t="shared" si="1"/>
        <v>0</v>
      </c>
      <c r="BS40" s="81" t="str">
        <f>IF(Data_NaamPersoonVastOntslag017="","",Data_NaamPersoonVastOntslag017)</f>
        <v/>
      </c>
      <c r="BV40" s="83" t="str">
        <f>IF(Data_BeeindigingsdatumVastOntslag017="","",Data_BeeindigingsdatumVastOntslag017)</f>
        <v/>
      </c>
      <c r="BY40" s="82" t="str">
        <f>IF(Data_LoonkostenVastOntslag017="","",Data_LoonkostenVastOntslag017)</f>
        <v/>
      </c>
      <c r="CA40" s="76" t="str">
        <f>IF(Data_PersoonAanUitVastOntslag017=-1,"v","")</f>
        <v/>
      </c>
      <c r="CC40" s="76" t="s">
        <v>160</v>
      </c>
      <c r="CH40" s="41">
        <f t="shared" si="7"/>
        <v>0</v>
      </c>
      <c r="CI40" s="41">
        <f t="shared" si="2"/>
        <v>0</v>
      </c>
    </row>
    <row r="41" spans="8:87" s="41" customFormat="1" ht="12.75" x14ac:dyDescent="0.2">
      <c r="H41" s="81" t="str">
        <f>IF(Data_NaamPersoonNatVerloop018="","",Data_NaamPersoonNatVerloop018)</f>
        <v/>
      </c>
      <c r="K41" s="83" t="str">
        <f>IF(Data_BeeindigingsdatumNatVerloop018="","",Data_BeeindigingsdatumNatVerloop018)</f>
        <v/>
      </c>
      <c r="N41" s="82" t="str">
        <f>IF(Data_LoonkostenNatVerloop018="","",Data_LoonkostenNatVerloop018)</f>
        <v/>
      </c>
      <c r="P41" s="276" t="s">
        <v>160</v>
      </c>
      <c r="R41" s="76" t="s">
        <v>160</v>
      </c>
      <c r="W41" s="41">
        <f t="shared" si="3"/>
        <v>0</v>
      </c>
      <c r="X41" s="77" t="str">
        <f t="shared" si="0"/>
        <v/>
      </c>
      <c r="AG41" s="81" t="str">
        <f>IF(Data_NaamPersoonTijd018="","",Data_NaamPersoonTijd018)</f>
        <v/>
      </c>
      <c r="AJ41" s="83" t="str">
        <f>IF(Data_BeeindigingsdatumTijd018="","",Data_BeeindigingsdatumTijd018)</f>
        <v/>
      </c>
      <c r="AM41" s="82" t="str">
        <f>IF(Data_LoonkostenTijd018="","",Data_LoonkostenTijd018)</f>
        <v/>
      </c>
      <c r="AO41" s="276" t="str">
        <f>IF(Data_PersoonAanUitTijd018=-1,"v","")</f>
        <v/>
      </c>
      <c r="AQ41" s="76" t="s">
        <v>160</v>
      </c>
      <c r="AV41" s="41">
        <f t="shared" si="4"/>
        <v>0</v>
      </c>
      <c r="AW41" s="77">
        <f t="shared" si="5"/>
        <v>0</v>
      </c>
      <c r="BA41" s="81" t="str">
        <f>IF(Data_NaamPersoonVastVrij018="","",Data_NaamPersoonVastVrij018)</f>
        <v/>
      </c>
      <c r="BD41" s="83" t="str">
        <f>IF(Data_BeeindigingsdatumVastVrij018="","",Data_BeeindigingsdatumVastVrij018)</f>
        <v/>
      </c>
      <c r="BG41" s="82" t="str">
        <f>IF(Data_LoonkostenVastVrij018="","",Data_LoonkostenVastVrij018)</f>
        <v/>
      </c>
      <c r="BI41" s="76" t="str">
        <f>IF(Data_PersoonAanUitVastVrij018=-1,"v","")</f>
        <v/>
      </c>
      <c r="BK41" s="76" t="s">
        <v>160</v>
      </c>
      <c r="BP41" s="41">
        <f t="shared" si="6"/>
        <v>0</v>
      </c>
      <c r="BQ41" s="77">
        <f t="shared" si="1"/>
        <v>0</v>
      </c>
      <c r="BS41" s="81" t="str">
        <f>IF(Data_NaamPersoonVastOntslag018="","",Data_NaamPersoonVastOntslag018)</f>
        <v/>
      </c>
      <c r="BV41" s="83" t="str">
        <f>IF(Data_BeeindigingsdatumVastOntslag018="","",Data_BeeindigingsdatumVastOntslag018)</f>
        <v/>
      </c>
      <c r="BY41" s="82" t="str">
        <f>IF(Data_LoonkostenVastOntslag018="","",Data_LoonkostenVastOntslag018)</f>
        <v/>
      </c>
      <c r="CA41" s="76" t="str">
        <f>IF(Data_PersoonAanUitVastOntslag018=-1,"v","")</f>
        <v/>
      </c>
      <c r="CC41" s="76" t="s">
        <v>160</v>
      </c>
      <c r="CH41" s="41">
        <f t="shared" si="7"/>
        <v>0</v>
      </c>
      <c r="CI41" s="41">
        <f t="shared" si="2"/>
        <v>0</v>
      </c>
    </row>
    <row r="42" spans="8:87" s="41" customFormat="1" ht="12.75" x14ac:dyDescent="0.2">
      <c r="H42" s="81" t="str">
        <f>IF(Data_NaamPersoonNatVerloop019="","",Data_NaamPersoonNatVerloop019)</f>
        <v/>
      </c>
      <c r="K42" s="83" t="str">
        <f>IF(Data_BeeindigingsdatumNatVerloop019="","",Data_BeeindigingsdatumNatVerloop019)</f>
        <v/>
      </c>
      <c r="N42" s="82" t="str">
        <f>IF(Data_LoonkostenNatVerloop019="","",Data_LoonkostenNatVerloop019)</f>
        <v/>
      </c>
      <c r="P42" s="276" t="s">
        <v>160</v>
      </c>
      <c r="R42" s="76" t="s">
        <v>160</v>
      </c>
      <c r="W42" s="41">
        <f t="shared" si="3"/>
        <v>0</v>
      </c>
      <c r="X42" s="77" t="str">
        <f t="shared" si="0"/>
        <v/>
      </c>
      <c r="AG42" s="81" t="str">
        <f>IF(Data_NaamPersoonTijd019="","",Data_NaamPersoonTijd019)</f>
        <v/>
      </c>
      <c r="AJ42" s="83" t="str">
        <f>IF(Data_BeeindigingsdatumTijd019="","",Data_BeeindigingsdatumTijd019)</f>
        <v/>
      </c>
      <c r="AM42" s="82" t="str">
        <f>IF(Data_LoonkostenTijd019="","",Data_LoonkostenTijd019)</f>
        <v/>
      </c>
      <c r="AO42" s="276" t="str">
        <f>IF(Data_PersoonAanUitTijd019=-1,"v","")</f>
        <v/>
      </c>
      <c r="AQ42" s="76" t="s">
        <v>160</v>
      </c>
      <c r="AV42" s="41">
        <f t="shared" si="4"/>
        <v>0</v>
      </c>
      <c r="AW42" s="77">
        <f t="shared" si="5"/>
        <v>0</v>
      </c>
      <c r="BA42" s="81" t="str">
        <f>IF(Data_NaamPersoonVastVrij019="","",Data_NaamPersoonVastVrij019)</f>
        <v/>
      </c>
      <c r="BD42" s="83" t="str">
        <f>IF(Data_BeeindigingsdatumVastVrij019="","",Data_BeeindigingsdatumVastVrij019)</f>
        <v/>
      </c>
      <c r="BG42" s="82" t="str">
        <f>IF(Data_LoonkostenVastVrij019="","",Data_LoonkostenVastVrij019)</f>
        <v/>
      </c>
      <c r="BI42" s="76" t="str">
        <f>IF(Data_PersoonAanUitVastVrij019=-1,"v","")</f>
        <v/>
      </c>
      <c r="BK42" s="76" t="s">
        <v>160</v>
      </c>
      <c r="BP42" s="41">
        <f t="shared" si="6"/>
        <v>0</v>
      </c>
      <c r="BQ42" s="77">
        <f t="shared" si="1"/>
        <v>0</v>
      </c>
      <c r="BS42" s="81" t="str">
        <f>IF(Data_NaamPersoonVastOntslag019="","",Data_NaamPersoonVastOntslag019)</f>
        <v/>
      </c>
      <c r="BV42" s="83" t="str">
        <f>IF(Data_BeeindigingsdatumVastOntslag019="","",Data_BeeindigingsdatumVastOntslag019)</f>
        <v/>
      </c>
      <c r="BY42" s="82" t="str">
        <f>IF(Data_LoonkostenVastOntslag019="","",Data_LoonkostenVastOntslag019)</f>
        <v/>
      </c>
      <c r="CA42" s="76" t="str">
        <f>IF(Data_PersoonAanUitVastOntslag019=-1,"v","")</f>
        <v/>
      </c>
      <c r="CC42" s="76" t="s">
        <v>160</v>
      </c>
      <c r="CH42" s="41">
        <f t="shared" si="7"/>
        <v>0</v>
      </c>
      <c r="CI42" s="41">
        <f t="shared" si="2"/>
        <v>0</v>
      </c>
    </row>
    <row r="43" spans="8:87" s="41" customFormat="1" ht="12.75" x14ac:dyDescent="0.2">
      <c r="H43" s="81" t="str">
        <f>IF(Data_NaamPersoonNatVerloop020="","",Data_NaamPersoonNatVerloop020)</f>
        <v/>
      </c>
      <c r="K43" s="83" t="str">
        <f>IF(Data_BeeindigingsdatumNatVerloop020="","",Data_BeeindigingsdatumNatVerloop020)</f>
        <v/>
      </c>
      <c r="N43" s="82" t="str">
        <f>IF(Data_LoonkostenNatVerloop020="","",Data_LoonkostenNatVerloop020)</f>
        <v/>
      </c>
      <c r="P43" s="276" t="s">
        <v>160</v>
      </c>
      <c r="R43" s="76" t="s">
        <v>160</v>
      </c>
      <c r="W43" s="41">
        <f t="shared" si="3"/>
        <v>0</v>
      </c>
      <c r="X43" s="77" t="str">
        <f t="shared" si="0"/>
        <v/>
      </c>
      <c r="AG43" s="81" t="str">
        <f>IF(Data_NaamPersoonTijd020="","",Data_NaamPersoonTijd020)</f>
        <v/>
      </c>
      <c r="AJ43" s="83" t="str">
        <f>IF(Data_BeeindigingsdatumTijd020="","",Data_BeeindigingsdatumTijd020)</f>
        <v/>
      </c>
      <c r="AM43" s="82" t="str">
        <f>IF(Data_LoonkostenTijd020="","",Data_LoonkostenTijd020)</f>
        <v/>
      </c>
      <c r="AO43" s="276" t="str">
        <f>IF(Data_PersoonAanUitTijd020=-1,"v","")</f>
        <v/>
      </c>
      <c r="AQ43" s="76" t="s">
        <v>160</v>
      </c>
      <c r="AV43" s="41">
        <f t="shared" si="4"/>
        <v>0</v>
      </c>
      <c r="AW43" s="77">
        <f t="shared" si="5"/>
        <v>0</v>
      </c>
      <c r="BA43" s="81" t="str">
        <f>IF(Data_NaamPersoonVastVrij020="","",Data_NaamPersoonVastVrij020)</f>
        <v/>
      </c>
      <c r="BD43" s="83" t="str">
        <f>IF(Data_BeeindigingsdatumVastVrij020="","",Data_BeeindigingsdatumVastVrij020)</f>
        <v/>
      </c>
      <c r="BG43" s="82" t="str">
        <f>IF(Data_LoonkostenVastVrij020="","",Data_LoonkostenVastVrij020)</f>
        <v/>
      </c>
      <c r="BI43" s="76" t="str">
        <f>IF(Data_PersoonAanUitVastVrij020=-1,"v","")</f>
        <v/>
      </c>
      <c r="BK43" s="76" t="s">
        <v>160</v>
      </c>
      <c r="BP43" s="41">
        <f t="shared" si="6"/>
        <v>0</v>
      </c>
      <c r="BQ43" s="77">
        <f t="shared" si="1"/>
        <v>0</v>
      </c>
      <c r="BS43" s="81" t="str">
        <f>IF(Data_NaamPersoonVastOntslag020="","",Data_NaamPersoonVastOntslag020)</f>
        <v/>
      </c>
      <c r="BV43" s="83" t="str">
        <f>IF(Data_BeeindigingsdatumVastOntslag020="","",Data_BeeindigingsdatumVastOntslag020)</f>
        <v/>
      </c>
      <c r="BY43" s="82" t="str">
        <f>IF(Data_LoonkostenVastOntslag020="","",Data_LoonkostenVastOntslag020)</f>
        <v/>
      </c>
      <c r="CA43" s="76" t="str">
        <f>IF(Data_PersoonAanUitVastOntslag020=-1,"v","")</f>
        <v/>
      </c>
      <c r="CC43" s="76" t="s">
        <v>160</v>
      </c>
      <c r="CH43" s="41">
        <f t="shared" si="7"/>
        <v>0</v>
      </c>
      <c r="CI43" s="41">
        <f t="shared" si="2"/>
        <v>0</v>
      </c>
    </row>
    <row r="44" spans="8:87" s="41" customFormat="1" ht="12.75" x14ac:dyDescent="0.2">
      <c r="H44" s="81" t="str">
        <f>IF(Data_NaamPersoonNatVerloop021="","",Data_NaamPersoonNatVerloop021)</f>
        <v/>
      </c>
      <c r="K44" s="83" t="str">
        <f>IF(Data_BeeindigingsdatumNatVerloop021="","",Data_BeeindigingsdatumNatVerloop021)</f>
        <v/>
      </c>
      <c r="N44" s="82" t="str">
        <f>IF(Data_LoonkostenNatVerloop021="","",Data_LoonkostenNatVerloop021)</f>
        <v/>
      </c>
      <c r="P44" s="276" t="s">
        <v>160</v>
      </c>
      <c r="R44" s="76" t="s">
        <v>160</v>
      </c>
      <c r="W44" s="41">
        <f t="shared" si="3"/>
        <v>0</v>
      </c>
      <c r="X44" s="77" t="str">
        <f t="shared" si="0"/>
        <v/>
      </c>
      <c r="AG44" s="81" t="str">
        <f>IF(Data_NaamPersoonTijd021="","",Data_NaamPersoonTijd021)</f>
        <v/>
      </c>
      <c r="AJ44" s="83" t="str">
        <f>IF(Data_BeeindigingsdatumTijd021="","",Data_BeeindigingsdatumTijd021)</f>
        <v/>
      </c>
      <c r="AM44" s="82" t="str">
        <f>IF(Data_LoonkostenTijd021="","",Data_LoonkostenTijd021)</f>
        <v/>
      </c>
      <c r="AO44" s="276" t="str">
        <f>IF(Data_PersoonAanUitTijd021=-1,"v","")</f>
        <v/>
      </c>
      <c r="AQ44" s="76" t="s">
        <v>160</v>
      </c>
      <c r="AV44" s="41">
        <f t="shared" si="4"/>
        <v>0</v>
      </c>
      <c r="AW44" s="77">
        <f t="shared" si="5"/>
        <v>0</v>
      </c>
      <c r="BA44" s="81" t="str">
        <f>IF(Data_NaamPersoonVastVrij021="","",Data_NaamPersoonVastVrij021)</f>
        <v/>
      </c>
      <c r="BD44" s="83" t="str">
        <f>IF(Data_BeeindigingsdatumVastVrij021="","",Data_BeeindigingsdatumVastVrij021)</f>
        <v/>
      </c>
      <c r="BG44" s="82" t="str">
        <f>IF(Data_LoonkostenVastVrij021="","",Data_LoonkostenVastVrij021)</f>
        <v/>
      </c>
      <c r="BI44" s="76" t="str">
        <f>IF(Data_PersoonAanUitVastVrij021=-1,"v","")</f>
        <v/>
      </c>
      <c r="BK44" s="76" t="s">
        <v>160</v>
      </c>
      <c r="BP44" s="41">
        <f t="shared" si="6"/>
        <v>0</v>
      </c>
      <c r="BQ44" s="77">
        <f t="shared" si="1"/>
        <v>0</v>
      </c>
      <c r="BS44" s="81" t="str">
        <f>IF(Data_NaamPersoonVastOntslag021="","",Data_NaamPersoonVastOntslag021)</f>
        <v/>
      </c>
      <c r="BV44" s="83" t="str">
        <f>IF(Data_BeeindigingsdatumVastOntslag021="","",Data_BeeindigingsdatumVastOntslag021)</f>
        <v/>
      </c>
      <c r="BY44" s="82" t="str">
        <f>IF(Data_LoonkostenVastOntslag021="","",Data_LoonkostenVastOntslag021)</f>
        <v/>
      </c>
      <c r="CA44" s="76" t="str">
        <f>IF(Data_PersoonAanUitVastOntslag021=-1,"v","")</f>
        <v/>
      </c>
      <c r="CC44" s="76" t="s">
        <v>160</v>
      </c>
      <c r="CH44" s="41">
        <f t="shared" si="7"/>
        <v>0</v>
      </c>
      <c r="CI44" s="41">
        <f t="shared" si="2"/>
        <v>0</v>
      </c>
    </row>
    <row r="45" spans="8:87" s="41" customFormat="1" ht="12.75" x14ac:dyDescent="0.2">
      <c r="H45" s="81" t="str">
        <f>IF(Data_NaamPersoonNatVerloop022="","",Data_NaamPersoonNatVerloop022)</f>
        <v/>
      </c>
      <c r="K45" s="83" t="str">
        <f>IF(Data_BeeindigingsdatumNatVerloop022="","",Data_BeeindigingsdatumNatVerloop022)</f>
        <v/>
      </c>
      <c r="N45" s="82" t="str">
        <f>IF(Data_LoonkostenNatVerloop022="","",Data_LoonkostenNatVerloop022)</f>
        <v/>
      </c>
      <c r="P45" s="276" t="s">
        <v>160</v>
      </c>
      <c r="R45" s="76" t="s">
        <v>160</v>
      </c>
      <c r="W45" s="41">
        <f t="shared" si="3"/>
        <v>0</v>
      </c>
      <c r="X45" s="77" t="str">
        <f t="shared" si="0"/>
        <v/>
      </c>
      <c r="AG45" s="81" t="str">
        <f>IF(Data_NaamPersoonTijd022="","",Data_NaamPersoonTijd022)</f>
        <v/>
      </c>
      <c r="AJ45" s="83" t="str">
        <f>IF(Data_BeeindigingsdatumTijd022="","",Data_BeeindigingsdatumTijd022)</f>
        <v/>
      </c>
      <c r="AM45" s="82" t="str">
        <f>IF(Data_LoonkostenTijd022="","",Data_LoonkostenTijd022)</f>
        <v/>
      </c>
      <c r="AO45" s="276" t="str">
        <f>IF(Data_PersoonAanUitTijd022=-1,"v","")</f>
        <v/>
      </c>
      <c r="AQ45" s="76" t="s">
        <v>160</v>
      </c>
      <c r="AV45" s="41">
        <f t="shared" si="4"/>
        <v>0</v>
      </c>
      <c r="AW45" s="77">
        <f t="shared" si="5"/>
        <v>0</v>
      </c>
      <c r="BA45" s="81" t="str">
        <f>IF(Data_NaamPersoonVastVrij022="","",Data_NaamPersoonVastVrij022)</f>
        <v/>
      </c>
      <c r="BD45" s="83" t="str">
        <f>IF(Data_BeeindigingsdatumVastVrij022="","",Data_BeeindigingsdatumVastVrij022)</f>
        <v/>
      </c>
      <c r="BG45" s="82" t="str">
        <f>IF(Data_LoonkostenVastVrij022="","",Data_LoonkostenVastVrij022)</f>
        <v/>
      </c>
      <c r="BI45" s="76" t="str">
        <f>IF(Data_PersoonAanUitVastVrij022=-1,"v","")</f>
        <v/>
      </c>
      <c r="BK45" s="76" t="s">
        <v>160</v>
      </c>
      <c r="BP45" s="41">
        <f t="shared" si="6"/>
        <v>0</v>
      </c>
      <c r="BQ45" s="77">
        <f t="shared" si="1"/>
        <v>0</v>
      </c>
      <c r="BS45" s="81" t="str">
        <f>IF(Data_NaamPersoonVastOntslag022="","",Data_NaamPersoonVastOntslag022)</f>
        <v/>
      </c>
      <c r="BV45" s="83" t="str">
        <f>IF(Data_BeeindigingsdatumVastOntslag022="","",Data_BeeindigingsdatumVastOntslag022)</f>
        <v/>
      </c>
      <c r="BY45" s="82" t="str">
        <f>IF(Data_LoonkostenVastOntslag022="","",Data_LoonkostenVastOntslag022)</f>
        <v/>
      </c>
      <c r="CA45" s="76" t="str">
        <f>IF(Data_PersoonAanUitVastOntslag022=-1,"v","")</f>
        <v/>
      </c>
      <c r="CC45" s="76" t="s">
        <v>160</v>
      </c>
      <c r="CH45" s="41">
        <f t="shared" si="7"/>
        <v>0</v>
      </c>
      <c r="CI45" s="41">
        <f t="shared" si="2"/>
        <v>0</v>
      </c>
    </row>
    <row r="46" spans="8:87" s="41" customFormat="1" ht="12.75" x14ac:dyDescent="0.2">
      <c r="H46" s="81" t="str">
        <f>IF(Data_NaamPersoonNatVerloop023="","",Data_NaamPersoonNatVerloop023)</f>
        <v/>
      </c>
      <c r="K46" s="83" t="str">
        <f>IF(Data_BeeindigingsdatumNatVerloop023="","",Data_BeeindigingsdatumNatVerloop023)</f>
        <v/>
      </c>
      <c r="N46" s="82" t="str">
        <f>IF(Data_LoonkostenNatVerloop023="","",Data_LoonkostenNatVerloop023)</f>
        <v/>
      </c>
      <c r="P46" s="276" t="s">
        <v>160</v>
      </c>
      <c r="R46" s="76" t="s">
        <v>160</v>
      </c>
      <c r="W46" s="41">
        <f t="shared" si="3"/>
        <v>0</v>
      </c>
      <c r="X46" s="77" t="str">
        <f t="shared" si="0"/>
        <v/>
      </c>
      <c r="AG46" s="81" t="str">
        <f>IF(Data_NaamPersoonTijd023="","",Data_NaamPersoonTijd023)</f>
        <v/>
      </c>
      <c r="AJ46" s="83" t="str">
        <f>IF(Data_BeeindigingsdatumTijd023="","",Data_BeeindigingsdatumTijd023)</f>
        <v/>
      </c>
      <c r="AM46" s="82" t="str">
        <f>IF(Data_LoonkostenTijd023="","",Data_LoonkostenTijd023)</f>
        <v/>
      </c>
      <c r="AO46" s="276" t="str">
        <f>IF(Data_PersoonAanUitTijd023=-1,"v","")</f>
        <v/>
      </c>
      <c r="AQ46" s="76" t="s">
        <v>160</v>
      </c>
      <c r="AV46" s="41">
        <f t="shared" si="4"/>
        <v>0</v>
      </c>
      <c r="AW46" s="77">
        <f t="shared" si="5"/>
        <v>0</v>
      </c>
      <c r="BA46" s="81" t="str">
        <f>IF(Data_NaamPersoonVastVrij023="","",Data_NaamPersoonVastVrij023)</f>
        <v/>
      </c>
      <c r="BD46" s="83" t="str">
        <f>IF(Data_BeeindigingsdatumVastVrij023="","",Data_BeeindigingsdatumVastVrij023)</f>
        <v/>
      </c>
      <c r="BG46" s="82" t="str">
        <f>IF(Data_LoonkostenVastVrij023="","",Data_LoonkostenVastVrij023)</f>
        <v/>
      </c>
      <c r="BI46" s="76" t="str">
        <f>IF(Data_PersoonAanUitVastVrij023=-1,"v","")</f>
        <v/>
      </c>
      <c r="BK46" s="76" t="s">
        <v>160</v>
      </c>
      <c r="BP46" s="41">
        <f t="shared" si="6"/>
        <v>0</v>
      </c>
      <c r="BQ46" s="77">
        <f t="shared" si="1"/>
        <v>0</v>
      </c>
      <c r="BS46" s="81" t="str">
        <f>IF(Data_NaamPersoonVastOntslag023="","",Data_NaamPersoonVastOntslag023)</f>
        <v/>
      </c>
      <c r="BV46" s="83" t="str">
        <f>IF(Data_BeeindigingsdatumVastOntslag023="","",Data_BeeindigingsdatumVastOntslag023)</f>
        <v/>
      </c>
      <c r="BY46" s="82" t="str">
        <f>IF(Data_LoonkostenVastOntslag023="","",Data_LoonkostenVastOntslag023)</f>
        <v/>
      </c>
      <c r="CA46" s="76" t="str">
        <f>IF(Data_PersoonAanUitVastOntslag023=-1,"v","")</f>
        <v/>
      </c>
      <c r="CC46" s="76" t="s">
        <v>160</v>
      </c>
      <c r="CH46" s="41">
        <f t="shared" si="7"/>
        <v>0</v>
      </c>
      <c r="CI46" s="41">
        <f t="shared" si="2"/>
        <v>0</v>
      </c>
    </row>
    <row r="47" spans="8:87" s="41" customFormat="1" ht="12.75" x14ac:dyDescent="0.2">
      <c r="H47" s="81" t="str">
        <f>IF(Data_NaamPersoonNatVerloop024="","",Data_NaamPersoonNatVerloop024)</f>
        <v/>
      </c>
      <c r="K47" s="83" t="str">
        <f>IF(Data_BeeindigingsdatumNatVerloop024="","",Data_BeeindigingsdatumNatVerloop024)</f>
        <v/>
      </c>
      <c r="N47" s="82" t="str">
        <f>IF(Data_LoonkostenNatVerloop024="","",Data_LoonkostenNatVerloop024)</f>
        <v/>
      </c>
      <c r="P47" s="276" t="s">
        <v>160</v>
      </c>
      <c r="R47" s="76" t="s">
        <v>160</v>
      </c>
      <c r="W47" s="41">
        <f t="shared" si="3"/>
        <v>0</v>
      </c>
      <c r="X47" s="77" t="str">
        <f t="shared" si="0"/>
        <v/>
      </c>
      <c r="AG47" s="81" t="str">
        <f>IF(Data_NaamPersoonTijd024="","",Data_NaamPersoonTijd024)</f>
        <v/>
      </c>
      <c r="AJ47" s="83" t="str">
        <f>IF(Data_BeeindigingsdatumTijd024="","",Data_BeeindigingsdatumTijd024)</f>
        <v/>
      </c>
      <c r="AM47" s="82" t="str">
        <f>IF(Data_LoonkostenTijd024="","",Data_LoonkostenTijd024)</f>
        <v/>
      </c>
      <c r="AO47" s="276" t="str">
        <f>IF(Data_PersoonAanUitTijd024=-1,"v","")</f>
        <v/>
      </c>
      <c r="AQ47" s="76" t="s">
        <v>160</v>
      </c>
      <c r="AV47" s="41">
        <f t="shared" si="4"/>
        <v>0</v>
      </c>
      <c r="AW47" s="77">
        <f t="shared" si="5"/>
        <v>0</v>
      </c>
      <c r="BA47" s="81" t="str">
        <f>IF(Data_NaamPersoonVastVrij024="","",Data_NaamPersoonVastVrij024)</f>
        <v/>
      </c>
      <c r="BD47" s="83" t="str">
        <f>IF(Data_BeeindigingsdatumVastVrij024="","",Data_BeeindigingsdatumVastVrij024)</f>
        <v/>
      </c>
      <c r="BG47" s="82" t="str">
        <f>IF(Data_LoonkostenVastVrij024="","",Data_LoonkostenVastVrij024)</f>
        <v/>
      </c>
      <c r="BI47" s="76" t="str">
        <f>IF(Data_PersoonAanUitVastVrij024=-1,"v","")</f>
        <v/>
      </c>
      <c r="BK47" s="76" t="s">
        <v>160</v>
      </c>
      <c r="BP47" s="41">
        <f t="shared" si="6"/>
        <v>0</v>
      </c>
      <c r="BQ47" s="77">
        <f t="shared" si="1"/>
        <v>0</v>
      </c>
      <c r="BS47" s="81" t="str">
        <f>IF(Data_NaamPersoonVastOntslag024="","",Data_NaamPersoonVastOntslag024)</f>
        <v/>
      </c>
      <c r="BV47" s="83" t="str">
        <f>IF(Data_BeeindigingsdatumVastOntslag024="","",Data_BeeindigingsdatumVastOntslag024)</f>
        <v/>
      </c>
      <c r="BY47" s="82" t="str">
        <f>IF(Data_LoonkostenVastOntslag024="","",Data_LoonkostenVastOntslag024)</f>
        <v/>
      </c>
      <c r="CA47" s="76" t="str">
        <f>IF(Data_PersoonAanUitVastOntslag024=-1,"v","")</f>
        <v/>
      </c>
      <c r="CC47" s="76" t="s">
        <v>160</v>
      </c>
      <c r="CH47" s="41">
        <f t="shared" si="7"/>
        <v>0</v>
      </c>
      <c r="CI47" s="41">
        <f t="shared" si="2"/>
        <v>0</v>
      </c>
    </row>
    <row r="48" spans="8:87" s="41" customFormat="1" ht="12.75" x14ac:dyDescent="0.2">
      <c r="H48" s="81" t="str">
        <f>IF(Data_NaamPersoonNatVerloop025="","",Data_NaamPersoonNatVerloop025)</f>
        <v/>
      </c>
      <c r="K48" s="83" t="str">
        <f>IF(Data_BeeindigingsdatumNatVerloop025="","",Data_BeeindigingsdatumNatVerloop025)</f>
        <v/>
      </c>
      <c r="N48" s="82" t="str">
        <f>IF(Data_LoonkostenNatVerloop025="","",Data_LoonkostenNatVerloop025)</f>
        <v/>
      </c>
      <c r="P48" s="276" t="s">
        <v>160</v>
      </c>
      <c r="R48" s="76" t="s">
        <v>160</v>
      </c>
      <c r="W48" s="41">
        <f t="shared" si="3"/>
        <v>0</v>
      </c>
      <c r="X48" s="77" t="str">
        <f t="shared" si="0"/>
        <v/>
      </c>
      <c r="AG48" s="81" t="str">
        <f>IF(Data_NaamPersoonTijd025="","",Data_NaamPersoonTijd025)</f>
        <v/>
      </c>
      <c r="AJ48" s="83" t="str">
        <f>IF(Data_BeeindigingsdatumTijd025="","",Data_BeeindigingsdatumTijd025)</f>
        <v/>
      </c>
      <c r="AM48" s="82" t="str">
        <f>IF(Data_LoonkostenTijd025="","",Data_LoonkostenTijd025)</f>
        <v/>
      </c>
      <c r="AO48" s="276" t="str">
        <f>IF(Data_PersoonAanUitTijd025=-1,"v","")</f>
        <v/>
      </c>
      <c r="AQ48" s="76" t="s">
        <v>160</v>
      </c>
      <c r="AV48" s="41">
        <f t="shared" si="4"/>
        <v>0</v>
      </c>
      <c r="AW48" s="77">
        <f t="shared" si="5"/>
        <v>0</v>
      </c>
      <c r="BA48" s="81" t="str">
        <f>IF(Data_NaamPersoonVastVrij025="","",Data_NaamPersoonVastVrij025)</f>
        <v/>
      </c>
      <c r="BD48" s="83" t="str">
        <f>IF(Data_BeeindigingsdatumVastVrij025="","",Data_BeeindigingsdatumVastVrij025)</f>
        <v/>
      </c>
      <c r="BG48" s="82" t="str">
        <f>IF(Data_LoonkostenVastVrij025="","",Data_LoonkostenVastVrij025)</f>
        <v/>
      </c>
      <c r="BI48" s="76" t="str">
        <f>IF(Data_PersoonAanUitVastVrij025=-1,"v","")</f>
        <v/>
      </c>
      <c r="BK48" s="76" t="s">
        <v>160</v>
      </c>
      <c r="BP48" s="41">
        <f t="shared" si="6"/>
        <v>0</v>
      </c>
      <c r="BQ48" s="77">
        <f t="shared" si="1"/>
        <v>0</v>
      </c>
      <c r="BS48" s="81" t="str">
        <f>IF(Data_NaamPersoonVastOntslag025="","",Data_NaamPersoonVastOntslag025)</f>
        <v/>
      </c>
      <c r="BV48" s="83" t="str">
        <f>IF(Data_BeeindigingsdatumVastOntslag025="","",Data_BeeindigingsdatumVastOntslag025)</f>
        <v/>
      </c>
      <c r="BY48" s="82" t="str">
        <f>IF(Data_LoonkostenVastOntslag025="","",Data_LoonkostenVastOntslag025)</f>
        <v/>
      </c>
      <c r="CA48" s="76" t="str">
        <f>IF(Data_PersoonAanUitVastOntslag025=-1,"v","")</f>
        <v/>
      </c>
      <c r="CC48" s="76" t="s">
        <v>160</v>
      </c>
      <c r="CH48" s="41">
        <f t="shared" si="7"/>
        <v>0</v>
      </c>
      <c r="CI48" s="41">
        <f t="shared" si="2"/>
        <v>0</v>
      </c>
    </row>
    <row r="49" spans="8:87" s="41" customFormat="1" ht="12.75" x14ac:dyDescent="0.2">
      <c r="H49" s="81" t="str">
        <f>IF(Data_NaamPersoonNatVerloop026="","",Data_NaamPersoonNatVerloop026)</f>
        <v/>
      </c>
      <c r="K49" s="83" t="str">
        <f>IF(Data_BeeindigingsdatumNatVerloop026="","",Data_BeeindigingsdatumNatVerloop026)</f>
        <v/>
      </c>
      <c r="N49" s="82" t="str">
        <f>IF(Data_LoonkostenNatVerloop026="","",Data_LoonkostenNatVerloop026)</f>
        <v/>
      </c>
      <c r="P49" s="276" t="s">
        <v>160</v>
      </c>
      <c r="R49" s="76" t="s">
        <v>160</v>
      </c>
      <c r="W49" s="41">
        <f t="shared" si="3"/>
        <v>0</v>
      </c>
      <c r="X49" s="77" t="str">
        <f t="shared" si="0"/>
        <v/>
      </c>
      <c r="AG49" s="81" t="str">
        <f>IF(Data_NaamPersoonTijd026="","",Data_NaamPersoonTijd026)</f>
        <v/>
      </c>
      <c r="AJ49" s="83" t="str">
        <f>IF(Data_BeeindigingsdatumTijd026="","",Data_BeeindigingsdatumTijd026)</f>
        <v/>
      </c>
      <c r="AM49" s="82" t="str">
        <f>IF(Data_LoonkostenTijd026="","",Data_LoonkostenTijd026)</f>
        <v/>
      </c>
      <c r="AO49" s="276" t="str">
        <f>IF(Data_PersoonAanUitTijd026=-1,"v","")</f>
        <v/>
      </c>
      <c r="AQ49" s="76" t="s">
        <v>160</v>
      </c>
      <c r="AV49" s="41">
        <f t="shared" si="4"/>
        <v>0</v>
      </c>
      <c r="AW49" s="77">
        <f t="shared" si="5"/>
        <v>0</v>
      </c>
      <c r="BA49" s="81" t="str">
        <f>IF(Data_NaamPersoonVastVrij026="","",Data_NaamPersoonVastVrij026)</f>
        <v/>
      </c>
      <c r="BD49" s="83" t="str">
        <f>IF(Data_BeeindigingsdatumVastVrij026="","",Data_BeeindigingsdatumVastVrij026)</f>
        <v/>
      </c>
      <c r="BG49" s="82" t="str">
        <f>IF(Data_LoonkostenVastVrij026="","",Data_LoonkostenVastVrij026)</f>
        <v/>
      </c>
      <c r="BI49" s="76" t="str">
        <f>IF(Data_PersoonAanUitVastVrij026=-1,"v","")</f>
        <v/>
      </c>
      <c r="BK49" s="76" t="s">
        <v>160</v>
      </c>
      <c r="BP49" s="41">
        <f t="shared" si="6"/>
        <v>0</v>
      </c>
      <c r="BQ49" s="77">
        <f t="shared" si="1"/>
        <v>0</v>
      </c>
      <c r="BS49" s="81" t="str">
        <f>IF(Data_NaamPersoonVastOntslag026="","",Data_NaamPersoonVastOntslag026)</f>
        <v/>
      </c>
      <c r="BV49" s="83" t="str">
        <f>IF(Data_BeeindigingsdatumVastOntslag026="","",Data_BeeindigingsdatumVastOntslag026)</f>
        <v/>
      </c>
      <c r="BY49" s="82" t="str">
        <f>IF(Data_LoonkostenVastOntslag026="","",Data_LoonkostenVastOntslag026)</f>
        <v/>
      </c>
      <c r="CA49" s="76" t="str">
        <f>IF(Data_PersoonAanUitVastOntslag026=-1,"v","")</f>
        <v/>
      </c>
      <c r="CC49" s="76" t="s">
        <v>160</v>
      </c>
      <c r="CH49" s="41">
        <f t="shared" si="7"/>
        <v>0</v>
      </c>
      <c r="CI49" s="41">
        <f t="shared" si="2"/>
        <v>0</v>
      </c>
    </row>
    <row r="50" spans="8:87" s="41" customFormat="1" ht="12.75" x14ac:dyDescent="0.2">
      <c r="H50" s="81" t="str">
        <f>IF(Data_NaamPersoonNatVerloop027="","",Data_NaamPersoonNatVerloop027)</f>
        <v/>
      </c>
      <c r="K50" s="83" t="str">
        <f>IF(Data_BeeindigingsdatumNatVerloop027="","",Data_BeeindigingsdatumNatVerloop027)</f>
        <v/>
      </c>
      <c r="N50" s="82" t="str">
        <f>IF(Data_LoonkostenNatVerloop027="","",Data_LoonkostenNatVerloop027)</f>
        <v/>
      </c>
      <c r="P50" s="276" t="s">
        <v>160</v>
      </c>
      <c r="R50" s="76" t="s">
        <v>160</v>
      </c>
      <c r="W50" s="41">
        <f t="shared" si="3"/>
        <v>0</v>
      </c>
      <c r="X50" s="77" t="str">
        <f t="shared" si="0"/>
        <v/>
      </c>
      <c r="AG50" s="81" t="str">
        <f>IF(Data_NaamPersoonTijd027="","",Data_NaamPersoonTijd027)</f>
        <v/>
      </c>
      <c r="AJ50" s="83" t="str">
        <f>IF(Data_BeeindigingsdatumTijd027="","",Data_BeeindigingsdatumTijd027)</f>
        <v/>
      </c>
      <c r="AM50" s="82" t="str">
        <f>IF(Data_LoonkostenTijd027="","",Data_LoonkostenTijd027)</f>
        <v/>
      </c>
      <c r="AO50" s="276" t="str">
        <f>IF(Data_PersoonAanUitTijd027=-1,"v","")</f>
        <v/>
      </c>
      <c r="AQ50" s="76" t="s">
        <v>160</v>
      </c>
      <c r="AV50" s="41">
        <f t="shared" si="4"/>
        <v>0</v>
      </c>
      <c r="AW50" s="77">
        <f t="shared" si="5"/>
        <v>0</v>
      </c>
      <c r="BA50" s="81" t="str">
        <f>IF(Data_NaamPersoonVastVrij027="","",Data_NaamPersoonVastVrij027)</f>
        <v/>
      </c>
      <c r="BD50" s="83" t="str">
        <f>IF(Data_BeeindigingsdatumVastVrij027="","",Data_BeeindigingsdatumVastVrij027)</f>
        <v/>
      </c>
      <c r="BG50" s="82" t="str">
        <f>IF(Data_LoonkostenVastVrij027="","",Data_LoonkostenVastVrij027)</f>
        <v/>
      </c>
      <c r="BI50" s="76" t="str">
        <f>IF(Data_PersoonAanUitVastVrij027=-1,"v","")</f>
        <v/>
      </c>
      <c r="BK50" s="76" t="s">
        <v>160</v>
      </c>
      <c r="BP50" s="41">
        <f t="shared" si="6"/>
        <v>0</v>
      </c>
      <c r="BQ50" s="77">
        <f t="shared" si="1"/>
        <v>0</v>
      </c>
      <c r="BS50" s="81" t="str">
        <f>IF(Data_NaamPersoonVastOntslag027="","",Data_NaamPersoonVastOntslag027)</f>
        <v/>
      </c>
      <c r="BV50" s="83" t="str">
        <f>IF(Data_BeeindigingsdatumVastOntslag027="","",Data_BeeindigingsdatumVastOntslag027)</f>
        <v/>
      </c>
      <c r="BY50" s="82" t="str">
        <f>IF(Data_LoonkostenVastOntslag027="","",Data_LoonkostenVastOntslag027)</f>
        <v/>
      </c>
      <c r="CA50" s="76" t="str">
        <f>IF(Data_PersoonAanUitVastOntslag027=-1,"v","")</f>
        <v/>
      </c>
      <c r="CC50" s="76" t="s">
        <v>160</v>
      </c>
      <c r="CH50" s="41">
        <f t="shared" si="7"/>
        <v>0</v>
      </c>
      <c r="CI50" s="41">
        <f t="shared" si="2"/>
        <v>0</v>
      </c>
    </row>
    <row r="51" spans="8:87" s="41" customFormat="1" ht="12.75" x14ac:dyDescent="0.2">
      <c r="H51" s="81" t="str">
        <f>IF(Data_NaamPersoonNatVerloop028="","",Data_NaamPersoonNatVerloop028)</f>
        <v/>
      </c>
      <c r="K51" s="83" t="str">
        <f>IF(Data_BeeindigingsdatumNatVerloop028="","",Data_BeeindigingsdatumNatVerloop028)</f>
        <v/>
      </c>
      <c r="N51" s="82" t="str">
        <f>IF(Data_LoonkostenNatVerloop028="","",Data_LoonkostenNatVerloop028)</f>
        <v/>
      </c>
      <c r="P51" s="276" t="s">
        <v>160</v>
      </c>
      <c r="R51" s="76" t="s">
        <v>160</v>
      </c>
      <c r="W51" s="41">
        <f t="shared" si="3"/>
        <v>0</v>
      </c>
      <c r="X51" s="77" t="str">
        <f t="shared" si="0"/>
        <v/>
      </c>
      <c r="AG51" s="81" t="str">
        <f>IF(Data_NaamPersoonTijd028="","",Data_NaamPersoonTijd028)</f>
        <v/>
      </c>
      <c r="AJ51" s="83" t="str">
        <f>IF(Data_BeeindigingsdatumTijd028="","",Data_BeeindigingsdatumTijd028)</f>
        <v/>
      </c>
      <c r="AM51" s="82" t="str">
        <f>IF(Data_LoonkostenTijd028="","",Data_LoonkostenTijd028)</f>
        <v/>
      </c>
      <c r="AO51" s="276" t="str">
        <f>IF(Data_PersoonAanUitTijd028=-1,"v","")</f>
        <v/>
      </c>
      <c r="AQ51" s="76" t="s">
        <v>160</v>
      </c>
      <c r="AV51" s="41">
        <f t="shared" si="4"/>
        <v>0</v>
      </c>
      <c r="AW51" s="77">
        <f t="shared" si="5"/>
        <v>0</v>
      </c>
      <c r="BA51" s="81" t="str">
        <f>IF(Data_NaamPersoonVastVrij028="","",Data_NaamPersoonVastVrij028)</f>
        <v/>
      </c>
      <c r="BD51" s="83" t="str">
        <f>IF(Data_BeeindigingsdatumVastVrij028="","",Data_BeeindigingsdatumVastVrij028)</f>
        <v/>
      </c>
      <c r="BG51" s="82" t="str">
        <f>IF(Data_LoonkostenVastVrij028="","",Data_LoonkostenVastVrij028)</f>
        <v/>
      </c>
      <c r="BI51" s="76" t="str">
        <f>IF(Data_PersoonAanUitVastVrij028=-1,"v","")</f>
        <v/>
      </c>
      <c r="BK51" s="76" t="s">
        <v>160</v>
      </c>
      <c r="BP51" s="41">
        <f t="shared" si="6"/>
        <v>0</v>
      </c>
      <c r="BQ51" s="77">
        <f t="shared" si="1"/>
        <v>0</v>
      </c>
      <c r="BS51" s="81" t="str">
        <f>IF(Data_NaamPersoonVastOntslag028="","",Data_NaamPersoonVastOntslag028)</f>
        <v/>
      </c>
      <c r="BV51" s="83" t="str">
        <f>IF(Data_BeeindigingsdatumVastOntslag028="","",Data_BeeindigingsdatumVastOntslag028)</f>
        <v/>
      </c>
      <c r="BY51" s="82" t="str">
        <f>IF(Data_LoonkostenVastOntslag028="","",Data_LoonkostenVastOntslag028)</f>
        <v/>
      </c>
      <c r="CA51" s="76" t="str">
        <f>IF(Data_PersoonAanUitVastOntslag028=-1,"v","")</f>
        <v/>
      </c>
      <c r="CC51" s="76" t="s">
        <v>160</v>
      </c>
      <c r="CH51" s="41">
        <f t="shared" si="7"/>
        <v>0</v>
      </c>
      <c r="CI51" s="41">
        <f t="shared" si="2"/>
        <v>0</v>
      </c>
    </row>
    <row r="52" spans="8:87" s="41" customFormat="1" ht="12.75" x14ac:dyDescent="0.2">
      <c r="H52" s="81" t="str">
        <f>IF(Data_NaamPersoonNatVerloop029="","",Data_NaamPersoonNatVerloop029)</f>
        <v/>
      </c>
      <c r="K52" s="83" t="str">
        <f>IF(Data_BeeindigingsdatumNatVerloop029="","",Data_BeeindigingsdatumNatVerloop029)</f>
        <v/>
      </c>
      <c r="N52" s="82" t="str">
        <f>IF(Data_LoonkostenNatVerloop029="","",Data_LoonkostenNatVerloop029)</f>
        <v/>
      </c>
      <c r="P52" s="276" t="s">
        <v>160</v>
      </c>
      <c r="R52" s="76" t="s">
        <v>160</v>
      </c>
      <c r="W52" s="41">
        <f t="shared" si="3"/>
        <v>0</v>
      </c>
      <c r="X52" s="77" t="str">
        <f t="shared" si="0"/>
        <v/>
      </c>
      <c r="AG52" s="81" t="str">
        <f>IF(Data_NaamPersoonTijd029="","",Data_NaamPersoonTijd029)</f>
        <v/>
      </c>
      <c r="AJ52" s="83" t="str">
        <f>IF(Data_BeeindigingsdatumTijd029="","",Data_BeeindigingsdatumTijd029)</f>
        <v/>
      </c>
      <c r="AM52" s="82" t="str">
        <f>IF(Data_LoonkostenTijd029="","",Data_LoonkostenTijd029)</f>
        <v/>
      </c>
      <c r="AO52" s="276" t="str">
        <f>IF(Data_PersoonAanUitTijd029=-1,"v","")</f>
        <v/>
      </c>
      <c r="AQ52" s="76" t="s">
        <v>160</v>
      </c>
      <c r="AV52" s="41">
        <f t="shared" si="4"/>
        <v>0</v>
      </c>
      <c r="AW52" s="77">
        <f t="shared" si="5"/>
        <v>0</v>
      </c>
      <c r="BA52" s="81" t="str">
        <f>IF(Data_NaamPersoonVastVrij029="","",Data_NaamPersoonVastVrij029)</f>
        <v/>
      </c>
      <c r="BD52" s="83" t="str">
        <f>IF(Data_BeeindigingsdatumVastVrij029="","",Data_BeeindigingsdatumVastVrij029)</f>
        <v/>
      </c>
      <c r="BG52" s="82" t="str">
        <f>IF(Data_LoonkostenVastVrij029="","",Data_LoonkostenVastVrij029)</f>
        <v/>
      </c>
      <c r="BI52" s="76" t="str">
        <f>IF(Data_PersoonAanUitVastVrij029=-1,"v","")</f>
        <v/>
      </c>
      <c r="BK52" s="76" t="s">
        <v>160</v>
      </c>
      <c r="BP52" s="41">
        <f t="shared" si="6"/>
        <v>0</v>
      </c>
      <c r="BQ52" s="77">
        <f t="shared" si="1"/>
        <v>0</v>
      </c>
      <c r="BS52" s="81" t="str">
        <f>IF(Data_NaamPersoonVastOntslag029="","",Data_NaamPersoonVastOntslag029)</f>
        <v/>
      </c>
      <c r="BV52" s="83" t="str">
        <f>IF(Data_BeeindigingsdatumVastOntslag029="","",Data_BeeindigingsdatumVastOntslag029)</f>
        <v/>
      </c>
      <c r="BY52" s="82" t="str">
        <f>IF(Data_LoonkostenVastOntslag029="","",Data_LoonkostenVastOntslag029)</f>
        <v/>
      </c>
      <c r="CA52" s="76" t="str">
        <f>IF(Data_PersoonAanUitVastOntslag029=-1,"v","")</f>
        <v/>
      </c>
      <c r="CC52" s="76" t="s">
        <v>160</v>
      </c>
      <c r="CH52" s="41">
        <f t="shared" si="7"/>
        <v>0</v>
      </c>
      <c r="CI52" s="41">
        <f t="shared" si="2"/>
        <v>0</v>
      </c>
    </row>
    <row r="53" spans="8:87" s="41" customFormat="1" ht="12.75" x14ac:dyDescent="0.2">
      <c r="H53" s="81" t="str">
        <f>IF(Data_NaamPersoonNatVerloop030="","",Data_NaamPersoonNatVerloop030)</f>
        <v/>
      </c>
      <c r="K53" s="83" t="str">
        <f>IF(Data_BeeindigingsdatumNatVerloop030="","",Data_BeeindigingsdatumNatVerloop030)</f>
        <v/>
      </c>
      <c r="N53" s="82" t="str">
        <f>IF(Data_LoonkostenNatVerloop030="","",Data_LoonkostenNatVerloop030)</f>
        <v/>
      </c>
      <c r="P53" s="276" t="s">
        <v>160</v>
      </c>
      <c r="R53" s="76" t="s">
        <v>160</v>
      </c>
      <c r="W53" s="41">
        <f t="shared" si="3"/>
        <v>0</v>
      </c>
      <c r="X53" s="77" t="str">
        <f t="shared" si="0"/>
        <v/>
      </c>
      <c r="AG53" s="81" t="str">
        <f>IF(Data_NaamPersoonTijd030="","",Data_NaamPersoonTijd030)</f>
        <v/>
      </c>
      <c r="AJ53" s="83" t="str">
        <f>IF(Data_BeeindigingsdatumTijd030="","",Data_BeeindigingsdatumTijd030)</f>
        <v/>
      </c>
      <c r="AM53" s="82" t="str">
        <f>IF(Data_LoonkostenTijd030="","",Data_LoonkostenTijd030)</f>
        <v/>
      </c>
      <c r="AO53" s="276" t="str">
        <f>IF(Data_PersoonAanUitTijd030=-1,"v","")</f>
        <v/>
      </c>
      <c r="AQ53" s="76" t="s">
        <v>160</v>
      </c>
      <c r="AV53" s="41">
        <f t="shared" si="4"/>
        <v>0</v>
      </c>
      <c r="AW53" s="77">
        <f t="shared" si="5"/>
        <v>0</v>
      </c>
      <c r="BA53" s="81" t="str">
        <f>IF(Data_NaamPersoonVastVrij030="","",Data_NaamPersoonVastVrij030)</f>
        <v/>
      </c>
      <c r="BD53" s="83" t="str">
        <f>IF(Data_BeeindigingsdatumVastVrij030="","",Data_BeeindigingsdatumVastVrij030)</f>
        <v/>
      </c>
      <c r="BG53" s="82" t="str">
        <f>IF(Data_LoonkostenVastVrij030="","",Data_LoonkostenVastVrij030)</f>
        <v/>
      </c>
      <c r="BI53" s="76" t="str">
        <f>IF(Data_PersoonAanUitVastVrij030=-1,"v","")</f>
        <v/>
      </c>
      <c r="BK53" s="76" t="s">
        <v>160</v>
      </c>
      <c r="BP53" s="41">
        <f t="shared" si="6"/>
        <v>0</v>
      </c>
      <c r="BQ53" s="77">
        <f t="shared" si="1"/>
        <v>0</v>
      </c>
      <c r="BS53" s="81" t="str">
        <f>IF(Data_NaamPersoonVastOntslag030="","",Data_NaamPersoonVastOntslag030)</f>
        <v/>
      </c>
      <c r="BV53" s="83" t="str">
        <f>IF(Data_BeeindigingsdatumVastOntslag030="","",Data_BeeindigingsdatumVastOntslag030)</f>
        <v/>
      </c>
      <c r="BY53" s="82" t="str">
        <f>IF(Data_LoonkostenVastOntslag030="","",Data_LoonkostenVastOntslag030)</f>
        <v/>
      </c>
      <c r="CA53" s="76" t="str">
        <f>IF(Data_PersoonAanUitVastOntslag030=-1,"v","")</f>
        <v/>
      </c>
      <c r="CC53" s="76" t="s">
        <v>160</v>
      </c>
      <c r="CH53" s="41">
        <f t="shared" si="7"/>
        <v>0</v>
      </c>
      <c r="CI53" s="41">
        <f t="shared" si="2"/>
        <v>0</v>
      </c>
    </row>
    <row r="54" spans="8:87" s="41" customFormat="1" ht="12.75" x14ac:dyDescent="0.2">
      <c r="H54" s="81" t="str">
        <f>IF(Data_NaamPersoonNatVerloop031="","",Data_NaamPersoonNatVerloop031)</f>
        <v/>
      </c>
      <c r="K54" s="83" t="str">
        <f>IF(Data_BeeindigingsdatumNatVerloop031="","",Data_BeeindigingsdatumNatVerloop031)</f>
        <v/>
      </c>
      <c r="N54" s="82" t="str">
        <f>IF(Data_LoonkostenNatVerloop031="","",Data_LoonkostenNatVerloop031)</f>
        <v/>
      </c>
      <c r="P54" s="276" t="s">
        <v>160</v>
      </c>
      <c r="R54" s="76" t="s">
        <v>160</v>
      </c>
      <c r="W54" s="41">
        <f t="shared" si="3"/>
        <v>0</v>
      </c>
      <c r="X54" s="77" t="str">
        <f t="shared" si="0"/>
        <v/>
      </c>
      <c r="AG54" s="81" t="str">
        <f>IF(Data_NaamPersoonTijd031="","",Data_NaamPersoonTijd031)</f>
        <v/>
      </c>
      <c r="AJ54" s="83" t="str">
        <f>IF(Data_BeeindigingsdatumTijd031="","",Data_BeeindigingsdatumTijd031)</f>
        <v/>
      </c>
      <c r="AM54" s="82" t="str">
        <f>IF(Data_LoonkostenTijd031="","",Data_LoonkostenTijd031)</f>
        <v/>
      </c>
      <c r="AO54" s="276" t="str">
        <f>IF(Data_PersoonAanUitTijd031=-1,"v","")</f>
        <v/>
      </c>
      <c r="AQ54" s="76" t="s">
        <v>160</v>
      </c>
      <c r="AV54" s="41">
        <f t="shared" si="4"/>
        <v>0</v>
      </c>
      <c r="AW54" s="77">
        <f t="shared" si="5"/>
        <v>0</v>
      </c>
      <c r="BA54" s="81" t="str">
        <f>IF(Data_NaamPersoonVastVrij031="","",Data_NaamPersoonVastVrij031)</f>
        <v/>
      </c>
      <c r="BD54" s="83" t="str">
        <f>IF(Data_BeeindigingsdatumVastVrij031="","",Data_BeeindigingsdatumVastVrij031)</f>
        <v/>
      </c>
      <c r="BG54" s="82" t="str">
        <f>IF(Data_LoonkostenVastVrij031="","",Data_LoonkostenVastVrij031)</f>
        <v/>
      </c>
      <c r="BI54" s="76" t="str">
        <f>IF(Data_PersoonAanUitVastVrij031=-1,"v","")</f>
        <v/>
      </c>
      <c r="BK54" s="76" t="s">
        <v>160</v>
      </c>
      <c r="BP54" s="41">
        <f t="shared" si="6"/>
        <v>0</v>
      </c>
      <c r="BQ54" s="77">
        <f t="shared" si="1"/>
        <v>0</v>
      </c>
      <c r="BS54" s="81" t="str">
        <f>IF(Data_NaamPersoonVastOntslag031="","",Data_NaamPersoonVastOntslag031)</f>
        <v/>
      </c>
      <c r="BV54" s="83" t="str">
        <f>IF(Data_BeeindigingsdatumVastOntslag031="","",Data_BeeindigingsdatumVastOntslag031)</f>
        <v/>
      </c>
      <c r="BY54" s="82" t="str">
        <f>IF(Data_LoonkostenVastOntslag031="","",Data_LoonkostenVastOntslag031)</f>
        <v/>
      </c>
      <c r="CA54" s="76" t="str">
        <f>IF(Data_PersoonAanUitVastOntslag031=-1,"v","")</f>
        <v/>
      </c>
      <c r="CC54" s="76" t="s">
        <v>160</v>
      </c>
      <c r="CH54" s="41">
        <f t="shared" si="7"/>
        <v>0</v>
      </c>
      <c r="CI54" s="41">
        <f t="shared" si="2"/>
        <v>0</v>
      </c>
    </row>
    <row r="55" spans="8:87" s="41" customFormat="1" ht="12.75" x14ac:dyDescent="0.2">
      <c r="H55" s="81" t="str">
        <f>IF(Data_NaamPersoonNatVerloop032="","",Data_NaamPersoonNatVerloop032)</f>
        <v/>
      </c>
      <c r="K55" s="83" t="str">
        <f>IF(Data_BeeindigingsdatumNatVerloop032="","",Data_BeeindigingsdatumNatVerloop032)</f>
        <v/>
      </c>
      <c r="N55" s="82" t="str">
        <f>IF(Data_LoonkostenNatVerloop032="","",Data_LoonkostenNatVerloop032)</f>
        <v/>
      </c>
      <c r="P55" s="276" t="s">
        <v>160</v>
      </c>
      <c r="R55" s="76" t="s">
        <v>160</v>
      </c>
      <c r="W55" s="41">
        <f t="shared" si="3"/>
        <v>0</v>
      </c>
      <c r="X55" s="77" t="str">
        <f t="shared" si="0"/>
        <v/>
      </c>
      <c r="AG55" s="81" t="str">
        <f>IF(Data_NaamPersoonTijd032="","",Data_NaamPersoonTijd032)</f>
        <v/>
      </c>
      <c r="AJ55" s="83" t="str">
        <f>IF(Data_BeeindigingsdatumTijd032="","",Data_BeeindigingsdatumTijd032)</f>
        <v/>
      </c>
      <c r="AM55" s="82" t="str">
        <f>IF(Data_LoonkostenTijd032="","",Data_LoonkostenTijd032)</f>
        <v/>
      </c>
      <c r="AO55" s="276" t="str">
        <f>IF(Data_PersoonAanUitTijd032=-1,"v","")</f>
        <v/>
      </c>
      <c r="AQ55" s="76" t="s">
        <v>160</v>
      </c>
      <c r="AV55" s="41">
        <f t="shared" si="4"/>
        <v>0</v>
      </c>
      <c r="AW55" s="77">
        <f t="shared" si="5"/>
        <v>0</v>
      </c>
      <c r="BA55" s="81" t="str">
        <f>IF(Data_NaamPersoonVastVrij032="","",Data_NaamPersoonVastVrij032)</f>
        <v/>
      </c>
      <c r="BD55" s="83" t="str">
        <f>IF(Data_BeeindigingsdatumVastVrij032="","",Data_BeeindigingsdatumVastVrij032)</f>
        <v/>
      </c>
      <c r="BG55" s="82" t="str">
        <f>IF(Data_LoonkostenVastVrij032="","",Data_LoonkostenVastVrij032)</f>
        <v/>
      </c>
      <c r="BI55" s="76" t="str">
        <f>IF(Data_PersoonAanUitVastVrij032=-1,"v","")</f>
        <v/>
      </c>
      <c r="BK55" s="76" t="s">
        <v>160</v>
      </c>
      <c r="BP55" s="41">
        <f t="shared" si="6"/>
        <v>0</v>
      </c>
      <c r="BQ55" s="77">
        <f t="shared" si="1"/>
        <v>0</v>
      </c>
      <c r="BS55" s="81" t="str">
        <f>IF(Data_NaamPersoonVastOntslag032="","",Data_NaamPersoonVastOntslag032)</f>
        <v/>
      </c>
      <c r="BV55" s="83" t="str">
        <f>IF(Data_BeeindigingsdatumVastOntslag032="","",Data_BeeindigingsdatumVastOntslag032)</f>
        <v/>
      </c>
      <c r="BY55" s="82" t="str">
        <f>IF(Data_LoonkostenVastOntslag032="","",Data_LoonkostenVastOntslag032)</f>
        <v/>
      </c>
      <c r="CA55" s="76" t="str">
        <f>IF(Data_PersoonAanUitVastOntslag032=-1,"v","")</f>
        <v/>
      </c>
      <c r="CC55" s="76" t="s">
        <v>160</v>
      </c>
      <c r="CH55" s="41">
        <f t="shared" si="7"/>
        <v>0</v>
      </c>
      <c r="CI55" s="41">
        <f t="shared" si="2"/>
        <v>0</v>
      </c>
    </row>
    <row r="56" spans="8:87" s="41" customFormat="1" ht="12.75" x14ac:dyDescent="0.2">
      <c r="H56" s="81" t="str">
        <f>IF(Data_NaamPersoonNatVerloop033="","",Data_NaamPersoonNatVerloop033)</f>
        <v/>
      </c>
      <c r="K56" s="83" t="str">
        <f>IF(Data_BeeindigingsdatumNatVerloop033="","",Data_BeeindigingsdatumNatVerloop033)</f>
        <v/>
      </c>
      <c r="N56" s="82" t="str">
        <f>IF(Data_LoonkostenNatVerloop033="","",Data_LoonkostenNatVerloop033)</f>
        <v/>
      </c>
      <c r="P56" s="276" t="s">
        <v>160</v>
      </c>
      <c r="R56" s="76" t="s">
        <v>160</v>
      </c>
      <c r="W56" s="41">
        <f t="shared" si="3"/>
        <v>0</v>
      </c>
      <c r="X56" s="77" t="str">
        <f t="shared" si="0"/>
        <v/>
      </c>
      <c r="AG56" s="81" t="str">
        <f>IF(Data_NaamPersoonTijd033="","",Data_NaamPersoonTijd033)</f>
        <v/>
      </c>
      <c r="AJ56" s="83" t="str">
        <f>IF(Data_BeeindigingsdatumTijd033="","",Data_BeeindigingsdatumTijd033)</f>
        <v/>
      </c>
      <c r="AM56" s="82" t="str">
        <f>IF(Data_LoonkostenTijd033="","",Data_LoonkostenTijd033)</f>
        <v/>
      </c>
      <c r="AO56" s="276" t="str">
        <f>IF(Data_PersoonAanUitTijd033=-1,"v","")</f>
        <v/>
      </c>
      <c r="AQ56" s="76" t="s">
        <v>160</v>
      </c>
      <c r="AV56" s="41">
        <f t="shared" si="4"/>
        <v>0</v>
      </c>
      <c r="AW56" s="77">
        <f t="shared" si="5"/>
        <v>0</v>
      </c>
      <c r="BA56" s="81" t="str">
        <f>IF(Data_NaamPersoonVastVrij033="","",Data_NaamPersoonVastVrij033)</f>
        <v/>
      </c>
      <c r="BD56" s="83" t="str">
        <f>IF(Data_BeeindigingsdatumVastVrij033="","",Data_BeeindigingsdatumVastVrij033)</f>
        <v/>
      </c>
      <c r="BG56" s="82" t="str">
        <f>IF(Data_LoonkostenVastVrij033="","",Data_LoonkostenVastVrij033)</f>
        <v/>
      </c>
      <c r="BI56" s="76" t="str">
        <f>IF(Data_PersoonAanUitVastVrij033=-1,"v","")</f>
        <v/>
      </c>
      <c r="BK56" s="76" t="s">
        <v>160</v>
      </c>
      <c r="BP56" s="41">
        <f t="shared" si="6"/>
        <v>0</v>
      </c>
      <c r="BQ56" s="77">
        <f t="shared" si="1"/>
        <v>0</v>
      </c>
      <c r="BS56" s="81" t="str">
        <f>IF(Data_NaamPersoonVastOntslag033="","",Data_NaamPersoonVastOntslag033)</f>
        <v/>
      </c>
      <c r="BV56" s="83" t="str">
        <f>IF(Data_BeeindigingsdatumVastOntslag033="","",Data_BeeindigingsdatumVastOntslag033)</f>
        <v/>
      </c>
      <c r="BY56" s="82" t="str">
        <f>IF(Data_LoonkostenVastOntslag033="","",Data_LoonkostenVastOntslag033)</f>
        <v/>
      </c>
      <c r="CA56" s="76" t="str">
        <f>IF(Data_PersoonAanUitVastOntslag033=-1,"v","")</f>
        <v/>
      </c>
      <c r="CC56" s="76" t="s">
        <v>160</v>
      </c>
      <c r="CH56" s="41">
        <f t="shared" si="7"/>
        <v>0</v>
      </c>
      <c r="CI56" s="41">
        <f t="shared" si="2"/>
        <v>0</v>
      </c>
    </row>
    <row r="57" spans="8:87" s="41" customFormat="1" ht="12.75" x14ac:dyDescent="0.2">
      <c r="H57" s="81" t="str">
        <f>IF(Data_NaamPersoonNatVerloop034="","",Data_NaamPersoonNatVerloop034)</f>
        <v/>
      </c>
      <c r="K57" s="83" t="str">
        <f>IF(Data_BeeindigingsdatumNatVerloop034="","",Data_BeeindigingsdatumNatVerloop034)</f>
        <v/>
      </c>
      <c r="N57" s="82" t="str">
        <f>IF(Data_LoonkostenNatVerloop034="","",Data_LoonkostenNatVerloop034)</f>
        <v/>
      </c>
      <c r="P57" s="276" t="s">
        <v>160</v>
      </c>
      <c r="R57" s="76" t="s">
        <v>160</v>
      </c>
      <c r="W57" s="41">
        <f t="shared" si="3"/>
        <v>0</v>
      </c>
      <c r="X57" s="77" t="str">
        <f t="shared" si="0"/>
        <v/>
      </c>
      <c r="AG57" s="81" t="str">
        <f>IF(Data_NaamPersoonTijd034="","",Data_NaamPersoonTijd034)</f>
        <v/>
      </c>
      <c r="AJ57" s="83" t="str">
        <f>IF(Data_BeeindigingsdatumTijd034="","",Data_BeeindigingsdatumTijd034)</f>
        <v/>
      </c>
      <c r="AM57" s="82" t="str">
        <f>IF(Data_LoonkostenTijd034="","",Data_LoonkostenTijd034)</f>
        <v/>
      </c>
      <c r="AO57" s="276" t="str">
        <f>IF(Data_PersoonAanUitTijd034=-1,"v","")</f>
        <v/>
      </c>
      <c r="AQ57" s="76" t="s">
        <v>160</v>
      </c>
      <c r="AV57" s="41">
        <f t="shared" si="4"/>
        <v>0</v>
      </c>
      <c r="AW57" s="77">
        <f t="shared" si="5"/>
        <v>0</v>
      </c>
      <c r="BA57" s="81" t="str">
        <f>IF(Data_NaamPersoonVastVrij034="","",Data_NaamPersoonVastVrij034)</f>
        <v/>
      </c>
      <c r="BD57" s="83" t="str">
        <f>IF(Data_BeeindigingsdatumVastVrij034="","",Data_BeeindigingsdatumVastVrij034)</f>
        <v/>
      </c>
      <c r="BG57" s="82" t="str">
        <f>IF(Data_LoonkostenVastVrij034="","",Data_LoonkostenVastVrij034)</f>
        <v/>
      </c>
      <c r="BI57" s="76" t="str">
        <f>IF(Data_PersoonAanUitVastVrij034=-1,"v","")</f>
        <v/>
      </c>
      <c r="BK57" s="76" t="s">
        <v>160</v>
      </c>
      <c r="BP57" s="41">
        <f t="shared" si="6"/>
        <v>0</v>
      </c>
      <c r="BQ57" s="77">
        <f t="shared" si="1"/>
        <v>0</v>
      </c>
      <c r="BS57" s="81" t="str">
        <f>IF(Data_NaamPersoonVastOntslag034="","",Data_NaamPersoonVastOntslag034)</f>
        <v/>
      </c>
      <c r="BV57" s="83" t="str">
        <f>IF(Data_BeeindigingsdatumVastOntslag034="","",Data_BeeindigingsdatumVastOntslag034)</f>
        <v/>
      </c>
      <c r="BY57" s="82" t="str">
        <f>IF(Data_LoonkostenVastOntslag034="","",Data_LoonkostenVastOntslag034)</f>
        <v/>
      </c>
      <c r="CA57" s="76" t="str">
        <f>IF(Data_PersoonAanUitVastOntslag034=-1,"v","")</f>
        <v/>
      </c>
      <c r="CC57" s="76" t="s">
        <v>160</v>
      </c>
      <c r="CH57" s="41">
        <f t="shared" si="7"/>
        <v>0</v>
      </c>
      <c r="CI57" s="41">
        <f t="shared" si="2"/>
        <v>0</v>
      </c>
    </row>
    <row r="58" spans="8:87" s="41" customFormat="1" ht="12.75" x14ac:dyDescent="0.2">
      <c r="H58" s="81" t="str">
        <f>IF(Data_NaamPersoonNatVerloop035="","",Data_NaamPersoonNatVerloop035)</f>
        <v/>
      </c>
      <c r="K58" s="83" t="str">
        <f>IF(Data_BeeindigingsdatumNatVerloop035="","",Data_BeeindigingsdatumNatVerloop035)</f>
        <v/>
      </c>
      <c r="N58" s="82" t="str">
        <f>IF(Data_LoonkostenNatVerloop035="","",Data_LoonkostenNatVerloop035)</f>
        <v/>
      </c>
      <c r="P58" s="276" t="s">
        <v>160</v>
      </c>
      <c r="R58" s="76" t="s">
        <v>160</v>
      </c>
      <c r="W58" s="41">
        <f t="shared" si="3"/>
        <v>0</v>
      </c>
      <c r="X58" s="77" t="str">
        <f t="shared" si="0"/>
        <v/>
      </c>
      <c r="AG58" s="81" t="str">
        <f>IF(Data_NaamPersoonTijd035="","",Data_NaamPersoonTijd035)</f>
        <v/>
      </c>
      <c r="AJ58" s="83" t="str">
        <f>IF(Data_BeeindigingsdatumTijd035="","",Data_BeeindigingsdatumTijd035)</f>
        <v/>
      </c>
      <c r="AM58" s="82" t="str">
        <f>IF(Data_LoonkostenTijd035="","",Data_LoonkostenTijd035)</f>
        <v/>
      </c>
      <c r="AO58" s="276" t="str">
        <f>IF(Data_PersoonAanUitTijd035=-1,"v","")</f>
        <v/>
      </c>
      <c r="AQ58" s="76" t="s">
        <v>160</v>
      </c>
      <c r="AV58" s="41">
        <f t="shared" si="4"/>
        <v>0</v>
      </c>
      <c r="AW58" s="77">
        <f t="shared" si="5"/>
        <v>0</v>
      </c>
      <c r="BA58" s="81" t="str">
        <f>IF(Data_NaamPersoonVastVrij035="","",Data_NaamPersoonVastVrij035)</f>
        <v/>
      </c>
      <c r="BD58" s="83" t="str">
        <f>IF(Data_BeeindigingsdatumVastVrij035="","",Data_BeeindigingsdatumVastVrij035)</f>
        <v/>
      </c>
      <c r="BG58" s="82" t="str">
        <f>IF(Data_LoonkostenVastVrij035="","",Data_LoonkostenVastVrij035)</f>
        <v/>
      </c>
      <c r="BI58" s="76" t="str">
        <f>IF(Data_PersoonAanUitVastVrij035=-1,"v","")</f>
        <v/>
      </c>
      <c r="BK58" s="76" t="s">
        <v>160</v>
      </c>
      <c r="BP58" s="41">
        <f t="shared" si="6"/>
        <v>0</v>
      </c>
      <c r="BQ58" s="77">
        <f t="shared" si="1"/>
        <v>0</v>
      </c>
      <c r="BS58" s="81" t="str">
        <f>IF(Data_NaamPersoonVastOntslag035="","",Data_NaamPersoonVastOntslag035)</f>
        <v/>
      </c>
      <c r="BV58" s="83" t="str">
        <f>IF(Data_BeeindigingsdatumVastOntslag035="","",Data_BeeindigingsdatumVastOntslag035)</f>
        <v/>
      </c>
      <c r="BY58" s="82" t="str">
        <f>IF(Data_LoonkostenVastOntslag035="","",Data_LoonkostenVastOntslag035)</f>
        <v/>
      </c>
      <c r="CA58" s="76" t="str">
        <f>IF(Data_PersoonAanUitVastOntslag035=-1,"v","")</f>
        <v/>
      </c>
      <c r="CC58" s="76" t="s">
        <v>160</v>
      </c>
      <c r="CH58" s="41">
        <f t="shared" si="7"/>
        <v>0</v>
      </c>
      <c r="CI58" s="41">
        <f t="shared" si="2"/>
        <v>0</v>
      </c>
    </row>
    <row r="59" spans="8:87" s="41" customFormat="1" ht="12.75" x14ac:dyDescent="0.2">
      <c r="H59" s="81" t="str">
        <f>IF(Data_NaamPersoonNatVerloop036="","",Data_NaamPersoonNatVerloop036)</f>
        <v/>
      </c>
      <c r="K59" s="83" t="str">
        <f>IF(Data_BeeindigingsdatumNatVerloop036="","",Data_BeeindigingsdatumNatVerloop036)</f>
        <v/>
      </c>
      <c r="N59" s="82" t="str">
        <f>IF(Data_LoonkostenNatVerloop036="","",Data_LoonkostenNatVerloop036)</f>
        <v/>
      </c>
      <c r="P59" s="276" t="s">
        <v>160</v>
      </c>
      <c r="R59" s="76" t="s">
        <v>160</v>
      </c>
      <c r="W59" s="41">
        <f t="shared" si="3"/>
        <v>0</v>
      </c>
      <c r="X59" s="77" t="str">
        <f t="shared" si="0"/>
        <v/>
      </c>
      <c r="AG59" s="81" t="str">
        <f>IF(Data_NaamPersoonTijd036="","",Data_NaamPersoonTijd036)</f>
        <v/>
      </c>
      <c r="AJ59" s="83" t="str">
        <f>IF(Data_BeeindigingsdatumTijd036="","",Data_BeeindigingsdatumTijd036)</f>
        <v/>
      </c>
      <c r="AM59" s="82" t="str">
        <f>IF(Data_LoonkostenTijd036="","",Data_LoonkostenTijd036)</f>
        <v/>
      </c>
      <c r="AO59" s="276" t="str">
        <f>IF(Data_PersoonAanUitTijd036=-1,"v","")</f>
        <v/>
      </c>
      <c r="AQ59" s="76" t="s">
        <v>160</v>
      </c>
      <c r="AV59" s="41">
        <f t="shared" si="4"/>
        <v>0</v>
      </c>
      <c r="AW59" s="77">
        <f t="shared" si="5"/>
        <v>0</v>
      </c>
      <c r="BA59" s="81" t="str">
        <f>IF(Data_NaamPersoonVastVrij036="","",Data_NaamPersoonVastVrij036)</f>
        <v/>
      </c>
      <c r="BD59" s="83" t="str">
        <f>IF(Data_BeeindigingsdatumVastVrij036="","",Data_BeeindigingsdatumVastVrij036)</f>
        <v/>
      </c>
      <c r="BG59" s="82" t="str">
        <f>IF(Data_LoonkostenVastVrij036="","",Data_LoonkostenVastVrij036)</f>
        <v/>
      </c>
      <c r="BI59" s="76" t="str">
        <f>IF(Data_PersoonAanUitVastVrij036=-1,"v","")</f>
        <v/>
      </c>
      <c r="BK59" s="76" t="s">
        <v>160</v>
      </c>
      <c r="BP59" s="41">
        <f t="shared" si="6"/>
        <v>0</v>
      </c>
      <c r="BQ59" s="77">
        <f t="shared" si="1"/>
        <v>0</v>
      </c>
      <c r="BS59" s="81" t="str">
        <f>IF(Data_NaamPersoonVastOntslag036="","",Data_NaamPersoonVastOntslag036)</f>
        <v/>
      </c>
      <c r="BV59" s="83" t="str">
        <f>IF(Data_BeeindigingsdatumVastOntslag036="","",Data_BeeindigingsdatumVastOntslag036)</f>
        <v/>
      </c>
      <c r="BY59" s="82" t="str">
        <f>IF(Data_LoonkostenVastOntslag036="","",Data_LoonkostenVastOntslag036)</f>
        <v/>
      </c>
      <c r="CA59" s="76" t="str">
        <f>IF(Data_PersoonAanUitVastOntslag036=-1,"v","")</f>
        <v/>
      </c>
      <c r="CC59" s="76" t="s">
        <v>160</v>
      </c>
      <c r="CH59" s="41">
        <f t="shared" si="7"/>
        <v>0</v>
      </c>
      <c r="CI59" s="41">
        <f t="shared" si="2"/>
        <v>0</v>
      </c>
    </row>
    <row r="60" spans="8:87" s="41" customFormat="1" ht="12.75" x14ac:dyDescent="0.2">
      <c r="H60" s="81" t="str">
        <f>IF(Data_NaamPersoonNatVerloop037="","",Data_NaamPersoonNatVerloop037)</f>
        <v/>
      </c>
      <c r="K60" s="83" t="str">
        <f>IF(Data_BeeindigingsdatumNatVerloop037="","",Data_BeeindigingsdatumNatVerloop037)</f>
        <v/>
      </c>
      <c r="N60" s="82" t="str">
        <f>IF(Data_LoonkostenNatVerloop037="","",Data_LoonkostenNatVerloop037)</f>
        <v/>
      </c>
      <c r="P60" s="276" t="s">
        <v>160</v>
      </c>
      <c r="R60" s="76" t="s">
        <v>160</v>
      </c>
      <c r="W60" s="41">
        <f t="shared" si="3"/>
        <v>0</v>
      </c>
      <c r="X60" s="77" t="str">
        <f t="shared" si="0"/>
        <v/>
      </c>
      <c r="AG60" s="81" t="str">
        <f>IF(Data_NaamPersoonTijd037="","",Data_NaamPersoonTijd037)</f>
        <v/>
      </c>
      <c r="AJ60" s="83" t="str">
        <f>IF(Data_BeeindigingsdatumTijd037="","",Data_BeeindigingsdatumTijd037)</f>
        <v/>
      </c>
      <c r="AM60" s="82" t="str">
        <f>IF(Data_LoonkostenTijd037="","",Data_LoonkostenTijd037)</f>
        <v/>
      </c>
      <c r="AO60" s="276" t="str">
        <f>IF(Data_PersoonAanUitTijd037=-1,"v","")</f>
        <v/>
      </c>
      <c r="AQ60" s="76" t="s">
        <v>160</v>
      </c>
      <c r="AV60" s="41">
        <f t="shared" si="4"/>
        <v>0</v>
      </c>
      <c r="AW60" s="77">
        <f t="shared" si="5"/>
        <v>0</v>
      </c>
      <c r="BA60" s="81" t="str">
        <f>IF(Data_NaamPersoonVastVrij037="","",Data_NaamPersoonVastVrij037)</f>
        <v/>
      </c>
      <c r="BD60" s="83" t="str">
        <f>IF(Data_BeeindigingsdatumVastVrij037="","",Data_BeeindigingsdatumVastVrij037)</f>
        <v/>
      </c>
      <c r="BG60" s="82" t="str">
        <f>IF(Data_LoonkostenVastVrij037="","",Data_LoonkostenVastVrij037)</f>
        <v/>
      </c>
      <c r="BI60" s="76" t="str">
        <f>IF(Data_PersoonAanUitVastVrij037=-1,"v","")</f>
        <v/>
      </c>
      <c r="BK60" s="76" t="s">
        <v>160</v>
      </c>
      <c r="BP60" s="41">
        <f t="shared" si="6"/>
        <v>0</v>
      </c>
      <c r="BQ60" s="77">
        <f t="shared" si="1"/>
        <v>0</v>
      </c>
      <c r="BS60" s="81" t="str">
        <f>IF(Data_NaamPersoonVastOntslag037="","",Data_NaamPersoonVastOntslag037)</f>
        <v/>
      </c>
      <c r="BV60" s="83" t="str">
        <f>IF(Data_BeeindigingsdatumVastOntslag037="","",Data_BeeindigingsdatumVastOntslag037)</f>
        <v/>
      </c>
      <c r="BY60" s="82" t="str">
        <f>IF(Data_LoonkostenVastOntslag037="","",Data_LoonkostenVastOntslag037)</f>
        <v/>
      </c>
      <c r="CA60" s="76" t="str">
        <f>IF(Data_PersoonAanUitVastOntslag037=-1,"v","")</f>
        <v/>
      </c>
      <c r="CC60" s="76" t="s">
        <v>160</v>
      </c>
      <c r="CH60" s="41">
        <f t="shared" si="7"/>
        <v>0</v>
      </c>
      <c r="CI60" s="41">
        <f t="shared" si="2"/>
        <v>0</v>
      </c>
    </row>
    <row r="61" spans="8:87" s="41" customFormat="1" ht="12.75" x14ac:dyDescent="0.2">
      <c r="H61" s="81" t="str">
        <f>IF(Data_NaamPersoonNatVerloop038="","",Data_NaamPersoonNatVerloop038)</f>
        <v/>
      </c>
      <c r="K61" s="83" t="str">
        <f>IF(Data_BeeindigingsdatumNatVerloop038="","",Data_BeeindigingsdatumNatVerloop038)</f>
        <v/>
      </c>
      <c r="N61" s="82" t="str">
        <f>IF(Data_LoonkostenNatVerloop038="","",Data_LoonkostenNatVerloop038)</f>
        <v/>
      </c>
      <c r="P61" s="276" t="s">
        <v>160</v>
      </c>
      <c r="R61" s="76" t="s">
        <v>160</v>
      </c>
      <c r="W61" s="41">
        <f t="shared" si="3"/>
        <v>0</v>
      </c>
      <c r="X61" s="77" t="str">
        <f t="shared" si="0"/>
        <v/>
      </c>
      <c r="AG61" s="81" t="str">
        <f>IF(Data_NaamPersoonTijd038="","",Data_NaamPersoonTijd038)</f>
        <v/>
      </c>
      <c r="AJ61" s="83" t="str">
        <f>IF(Data_BeeindigingsdatumTijd038="","",Data_BeeindigingsdatumTijd038)</f>
        <v/>
      </c>
      <c r="AM61" s="82" t="str">
        <f>IF(Data_LoonkostenTijd038="","",Data_LoonkostenTijd038)</f>
        <v/>
      </c>
      <c r="AO61" s="276" t="str">
        <f>IF(Data_PersoonAanUitTijd038=-1,"v","")</f>
        <v/>
      </c>
      <c r="AQ61" s="76" t="s">
        <v>160</v>
      </c>
      <c r="AV61" s="41">
        <f t="shared" si="4"/>
        <v>0</v>
      </c>
      <c r="AW61" s="77">
        <f t="shared" si="5"/>
        <v>0</v>
      </c>
      <c r="BA61" s="81" t="str">
        <f>IF(Data_NaamPersoonVastVrij038="","",Data_NaamPersoonVastVrij038)</f>
        <v/>
      </c>
      <c r="BD61" s="83" t="str">
        <f>IF(Data_BeeindigingsdatumVastVrij038="","",Data_BeeindigingsdatumVastVrij038)</f>
        <v/>
      </c>
      <c r="BG61" s="82" t="str">
        <f>IF(Data_LoonkostenVastVrij038="","",Data_LoonkostenVastVrij038)</f>
        <v/>
      </c>
      <c r="BI61" s="76" t="str">
        <f>IF(Data_PersoonAanUitVastVrij038=-1,"v","")</f>
        <v/>
      </c>
      <c r="BK61" s="76" t="s">
        <v>160</v>
      </c>
      <c r="BP61" s="41">
        <f t="shared" si="6"/>
        <v>0</v>
      </c>
      <c r="BQ61" s="77">
        <f t="shared" si="1"/>
        <v>0</v>
      </c>
      <c r="BS61" s="81" t="str">
        <f>IF(Data_NaamPersoonVastOntslag038="","",Data_NaamPersoonVastOntslag038)</f>
        <v/>
      </c>
      <c r="BV61" s="83" t="str">
        <f>IF(Data_BeeindigingsdatumVastOntslag038="","",Data_BeeindigingsdatumVastOntslag038)</f>
        <v/>
      </c>
      <c r="BY61" s="82" t="str">
        <f>IF(Data_LoonkostenVastOntslag038="","",Data_LoonkostenVastOntslag038)</f>
        <v/>
      </c>
      <c r="CA61" s="76" t="str">
        <f>IF(Data_PersoonAanUitVastOntslag038=-1,"v","")</f>
        <v/>
      </c>
      <c r="CC61" s="76" t="s">
        <v>160</v>
      </c>
      <c r="CH61" s="41">
        <f t="shared" si="7"/>
        <v>0</v>
      </c>
      <c r="CI61" s="41">
        <f t="shared" si="2"/>
        <v>0</v>
      </c>
    </row>
    <row r="62" spans="8:87" s="41" customFormat="1" ht="12.75" x14ac:dyDescent="0.2">
      <c r="H62" s="81" t="str">
        <f>IF(Data_NaamPersoonNatVerloop039="","",Data_NaamPersoonNatVerloop039)</f>
        <v/>
      </c>
      <c r="K62" s="83" t="str">
        <f>IF(Data_BeeindigingsdatumNatVerloop039="","",Data_BeeindigingsdatumNatVerloop039)</f>
        <v/>
      </c>
      <c r="N62" s="82" t="str">
        <f>IF(Data_LoonkostenNatVerloop039="","",Data_LoonkostenNatVerloop039)</f>
        <v/>
      </c>
      <c r="P62" s="276" t="s">
        <v>160</v>
      </c>
      <c r="R62" s="76" t="s">
        <v>160</v>
      </c>
      <c r="W62" s="41">
        <f t="shared" si="3"/>
        <v>0</v>
      </c>
      <c r="X62" s="77" t="str">
        <f t="shared" si="0"/>
        <v/>
      </c>
      <c r="AG62" s="81" t="str">
        <f>IF(Data_NaamPersoonTijd039="","",Data_NaamPersoonTijd039)</f>
        <v/>
      </c>
      <c r="AJ62" s="83" t="str">
        <f>IF(Data_BeeindigingsdatumTijd039="","",Data_BeeindigingsdatumTijd039)</f>
        <v/>
      </c>
      <c r="AM62" s="82" t="str">
        <f>IF(Data_LoonkostenTijd039="","",Data_LoonkostenTijd039)</f>
        <v/>
      </c>
      <c r="AO62" s="276" t="str">
        <f>IF(Data_PersoonAanUitTijd039=-1,"v","")</f>
        <v/>
      </c>
      <c r="AQ62" s="76" t="s">
        <v>160</v>
      </c>
      <c r="AV62" s="41">
        <f t="shared" si="4"/>
        <v>0</v>
      </c>
      <c r="AW62" s="77">
        <f t="shared" si="5"/>
        <v>0</v>
      </c>
      <c r="BA62" s="81" t="str">
        <f>IF(Data_NaamPersoonVastVrij039="","",Data_NaamPersoonVastVrij039)</f>
        <v/>
      </c>
      <c r="BD62" s="83" t="str">
        <f>IF(Data_BeeindigingsdatumVastVrij039="","",Data_BeeindigingsdatumVastVrij039)</f>
        <v/>
      </c>
      <c r="BG62" s="82" t="str">
        <f>IF(Data_LoonkostenVastVrij039="","",Data_LoonkostenVastVrij039)</f>
        <v/>
      </c>
      <c r="BI62" s="76" t="str">
        <f>IF(Data_PersoonAanUitVastVrij039=-1,"v","")</f>
        <v/>
      </c>
      <c r="BK62" s="76" t="s">
        <v>160</v>
      </c>
      <c r="BP62" s="41">
        <f t="shared" si="6"/>
        <v>0</v>
      </c>
      <c r="BQ62" s="77">
        <f t="shared" si="1"/>
        <v>0</v>
      </c>
      <c r="BS62" s="81" t="str">
        <f>IF(Data_NaamPersoonVastOntslag039="","",Data_NaamPersoonVastOntslag039)</f>
        <v/>
      </c>
      <c r="BV62" s="83" t="str">
        <f>IF(Data_BeeindigingsdatumVastOntslag039="","",Data_BeeindigingsdatumVastOntslag039)</f>
        <v/>
      </c>
      <c r="BY62" s="82" t="str">
        <f>IF(Data_LoonkostenVastOntslag039="","",Data_LoonkostenVastOntslag039)</f>
        <v/>
      </c>
      <c r="CA62" s="76" t="str">
        <f>IF(Data_PersoonAanUitVastOntslag039=-1,"v","")</f>
        <v/>
      </c>
      <c r="CC62" s="76" t="s">
        <v>160</v>
      </c>
      <c r="CH62" s="41">
        <f t="shared" si="7"/>
        <v>0</v>
      </c>
      <c r="CI62" s="41">
        <f t="shared" si="2"/>
        <v>0</v>
      </c>
    </row>
    <row r="63" spans="8:87" s="41" customFormat="1" ht="12.75" x14ac:dyDescent="0.2">
      <c r="H63" s="81" t="str">
        <f>IF(Data_NaamPersoonNatVerloop040="","",Data_NaamPersoonNatVerloop040)</f>
        <v/>
      </c>
      <c r="K63" s="83" t="str">
        <f>IF(Data_BeeindigingsdatumNatVerloop040="","",Data_BeeindigingsdatumNatVerloop040)</f>
        <v/>
      </c>
      <c r="N63" s="82" t="str">
        <f>IF(Data_LoonkostenNatVerloop040="","",Data_LoonkostenNatVerloop040)</f>
        <v/>
      </c>
      <c r="P63" s="276" t="s">
        <v>160</v>
      </c>
      <c r="R63" s="76" t="s">
        <v>160</v>
      </c>
      <c r="W63" s="41">
        <f t="shared" si="3"/>
        <v>0</v>
      </c>
      <c r="X63" s="77" t="str">
        <f t="shared" si="0"/>
        <v/>
      </c>
      <c r="AG63" s="81" t="str">
        <f>IF(Data_NaamPersoonTijd040="","",Data_NaamPersoonTijd040)</f>
        <v/>
      </c>
      <c r="AJ63" s="83" t="str">
        <f>IF(Data_BeeindigingsdatumTijd040="","",Data_BeeindigingsdatumTijd040)</f>
        <v/>
      </c>
      <c r="AM63" s="82" t="str">
        <f>IF(Data_LoonkostenTijd040="","",Data_LoonkostenTijd040)</f>
        <v/>
      </c>
      <c r="AO63" s="276" t="str">
        <f>IF(Data_PersoonAanUitTijd040=-1,"v","")</f>
        <v/>
      </c>
      <c r="AQ63" s="76" t="s">
        <v>160</v>
      </c>
      <c r="AV63" s="41">
        <f t="shared" si="4"/>
        <v>0</v>
      </c>
      <c r="AW63" s="77">
        <f t="shared" si="5"/>
        <v>0</v>
      </c>
      <c r="BA63" s="81" t="str">
        <f>IF(Data_NaamPersoonVastVrij040="","",Data_NaamPersoonVastVrij040)</f>
        <v/>
      </c>
      <c r="BD63" s="83" t="str">
        <f>IF(Data_BeeindigingsdatumVastVrij040="","",Data_BeeindigingsdatumVastVrij040)</f>
        <v/>
      </c>
      <c r="BG63" s="82" t="str">
        <f>IF(Data_LoonkostenVastVrij040="","",Data_LoonkostenVastVrij040)</f>
        <v/>
      </c>
      <c r="BI63" s="76" t="str">
        <f>IF(Data_PersoonAanUitVastVrij040=-1,"v","")</f>
        <v/>
      </c>
      <c r="BK63" s="76" t="s">
        <v>160</v>
      </c>
      <c r="BP63" s="41">
        <f t="shared" si="6"/>
        <v>0</v>
      </c>
      <c r="BQ63" s="77">
        <f t="shared" si="1"/>
        <v>0</v>
      </c>
      <c r="BS63" s="81" t="str">
        <f>IF(Data_NaamPersoonVastOntslag040="","",Data_NaamPersoonVastOntslag040)</f>
        <v/>
      </c>
      <c r="BV63" s="83" t="str">
        <f>IF(Data_BeeindigingsdatumVastOntslag040="","",Data_BeeindigingsdatumVastOntslag040)</f>
        <v/>
      </c>
      <c r="BY63" s="82" t="str">
        <f>IF(Data_LoonkostenVastOntslag040="","",Data_LoonkostenVastOntslag040)</f>
        <v/>
      </c>
      <c r="CA63" s="76" t="str">
        <f>IF(Data_PersoonAanUitVastOntslag040=-1,"v","")</f>
        <v/>
      </c>
      <c r="CC63" s="76" t="s">
        <v>160</v>
      </c>
      <c r="CH63" s="41">
        <f t="shared" si="7"/>
        <v>0</v>
      </c>
      <c r="CI63" s="41">
        <f t="shared" si="2"/>
        <v>0</v>
      </c>
    </row>
    <row r="64" spans="8:87" s="41" customFormat="1" ht="12.75" x14ac:dyDescent="0.2">
      <c r="H64" s="81" t="str">
        <f>IF(Data_NaamPersoonNatVerloop041="","",Data_NaamPersoonNatVerloop041)</f>
        <v/>
      </c>
      <c r="K64" s="83" t="str">
        <f>IF(Data_BeeindigingsdatumNatVerloop041="","",Data_BeeindigingsdatumNatVerloop041)</f>
        <v/>
      </c>
      <c r="N64" s="82" t="str">
        <f>IF(Data_LoonkostenNatVerloop041="","",Data_LoonkostenNatVerloop041)</f>
        <v/>
      </c>
      <c r="P64" s="276" t="s">
        <v>160</v>
      </c>
      <c r="R64" s="76" t="s">
        <v>160</v>
      </c>
      <c r="W64" s="41">
        <f t="shared" si="3"/>
        <v>0</v>
      </c>
      <c r="X64" s="77" t="str">
        <f t="shared" si="0"/>
        <v/>
      </c>
      <c r="AG64" s="81" t="str">
        <f>IF(Data_NaamPersoonTijd041="","",Data_NaamPersoonTijd041)</f>
        <v/>
      </c>
      <c r="AJ64" s="83" t="str">
        <f>IF(Data_BeeindigingsdatumTijd041="","",Data_BeeindigingsdatumTijd041)</f>
        <v/>
      </c>
      <c r="AM64" s="82" t="str">
        <f>IF(Data_LoonkostenTijd041="","",Data_LoonkostenTijd041)</f>
        <v/>
      </c>
      <c r="AO64" s="276" t="str">
        <f>IF(Data_PersoonAanUitTijd041=-1,"v","")</f>
        <v/>
      </c>
      <c r="AQ64" s="76" t="s">
        <v>160</v>
      </c>
      <c r="AV64" s="41">
        <f t="shared" si="4"/>
        <v>0</v>
      </c>
      <c r="AW64" s="77">
        <f t="shared" si="5"/>
        <v>0</v>
      </c>
      <c r="BA64" s="81" t="str">
        <f>IF(Data_NaamPersoonVastVrij041="","",Data_NaamPersoonVastVrij041)</f>
        <v/>
      </c>
      <c r="BD64" s="83" t="str">
        <f>IF(Data_BeeindigingsdatumVastVrij041="","",Data_BeeindigingsdatumVastVrij041)</f>
        <v/>
      </c>
      <c r="BG64" s="82" t="str">
        <f>IF(Data_LoonkostenVastVrij041="","",Data_LoonkostenVastVrij041)</f>
        <v/>
      </c>
      <c r="BI64" s="76" t="str">
        <f>IF(Data_PersoonAanUitVastVrij041=-1,"v","")</f>
        <v/>
      </c>
      <c r="BK64" s="76" t="s">
        <v>160</v>
      </c>
      <c r="BP64" s="41">
        <f t="shared" si="6"/>
        <v>0</v>
      </c>
      <c r="BQ64" s="77">
        <f t="shared" si="1"/>
        <v>0</v>
      </c>
      <c r="BS64" s="81" t="str">
        <f>IF(Data_NaamPersoonVastOntslag041="","",Data_NaamPersoonVastOntslag041)</f>
        <v/>
      </c>
      <c r="BV64" s="83" t="str">
        <f>IF(Data_BeeindigingsdatumVastOntslag041="","",Data_BeeindigingsdatumVastOntslag041)</f>
        <v/>
      </c>
      <c r="BY64" s="82" t="str">
        <f>IF(Data_LoonkostenVastOntslag041="","",Data_LoonkostenVastOntslag041)</f>
        <v/>
      </c>
      <c r="CA64" s="76" t="str">
        <f>IF(Data_PersoonAanUitVastOntslag041=-1,"v","")</f>
        <v/>
      </c>
      <c r="CC64" s="76" t="s">
        <v>160</v>
      </c>
      <c r="CH64" s="41">
        <f t="shared" si="7"/>
        <v>0</v>
      </c>
      <c r="CI64" s="41">
        <f t="shared" si="2"/>
        <v>0</v>
      </c>
    </row>
    <row r="65" spans="8:87" s="41" customFormat="1" ht="12.75" x14ac:dyDescent="0.2">
      <c r="H65" s="81" t="str">
        <f>IF(Data_NaamPersoonNatVerloop042="","",Data_NaamPersoonNatVerloop042)</f>
        <v/>
      </c>
      <c r="K65" s="83" t="str">
        <f>IF(Data_BeeindigingsdatumNatVerloop042="","",Data_BeeindigingsdatumNatVerloop042)</f>
        <v/>
      </c>
      <c r="N65" s="82" t="str">
        <f>IF(Data_LoonkostenNatVerloop042="","",Data_LoonkostenNatVerloop042)</f>
        <v/>
      </c>
      <c r="P65" s="276" t="s">
        <v>160</v>
      </c>
      <c r="R65" s="76" t="s">
        <v>160</v>
      </c>
      <c r="W65" s="41">
        <f t="shared" si="3"/>
        <v>0</v>
      </c>
      <c r="X65" s="77" t="str">
        <f t="shared" si="0"/>
        <v/>
      </c>
      <c r="AG65" s="81" t="str">
        <f>IF(Data_NaamPersoonTijd042="","",Data_NaamPersoonTijd042)</f>
        <v/>
      </c>
      <c r="AJ65" s="83" t="str">
        <f>IF(Data_BeeindigingsdatumTijd042="","",Data_BeeindigingsdatumTijd042)</f>
        <v/>
      </c>
      <c r="AM65" s="82" t="str">
        <f>IF(Data_LoonkostenTijd042="","",Data_LoonkostenTijd042)</f>
        <v/>
      </c>
      <c r="AO65" s="276" t="str">
        <f>IF(Data_PersoonAanUitTijd042=-1,"v","")</f>
        <v/>
      </c>
      <c r="AQ65" s="76" t="s">
        <v>160</v>
      </c>
      <c r="AV65" s="41">
        <f t="shared" si="4"/>
        <v>0</v>
      </c>
      <c r="AW65" s="77">
        <f t="shared" si="5"/>
        <v>0</v>
      </c>
      <c r="BA65" s="81" t="str">
        <f>IF(Data_NaamPersoonVastVrij042="","",Data_NaamPersoonVastVrij042)</f>
        <v/>
      </c>
      <c r="BD65" s="83" t="str">
        <f>IF(Data_BeeindigingsdatumVastVrij042="","",Data_BeeindigingsdatumVastVrij042)</f>
        <v/>
      </c>
      <c r="BG65" s="82" t="str">
        <f>IF(Data_LoonkostenVastVrij042="","",Data_LoonkostenVastVrij042)</f>
        <v/>
      </c>
      <c r="BI65" s="76" t="str">
        <f>IF(Data_PersoonAanUitVastVrij042=-1,"v","")</f>
        <v/>
      </c>
      <c r="BK65" s="76" t="s">
        <v>160</v>
      </c>
      <c r="BP65" s="41">
        <f t="shared" si="6"/>
        <v>0</v>
      </c>
      <c r="BQ65" s="77">
        <f t="shared" si="1"/>
        <v>0</v>
      </c>
      <c r="BS65" s="81" t="str">
        <f>IF(Data_NaamPersoonVastOntslag042="","",Data_NaamPersoonVastOntslag042)</f>
        <v/>
      </c>
      <c r="BV65" s="83" t="str">
        <f>IF(Data_BeeindigingsdatumVastOntslag042="","",Data_BeeindigingsdatumVastOntslag042)</f>
        <v/>
      </c>
      <c r="BY65" s="82" t="str">
        <f>IF(Data_LoonkostenVastOntslag042="","",Data_LoonkostenVastOntslag042)</f>
        <v/>
      </c>
      <c r="CA65" s="76" t="str">
        <f>IF(Data_PersoonAanUitVastOntslag042=-1,"v","")</f>
        <v/>
      </c>
      <c r="CC65" s="76" t="s">
        <v>160</v>
      </c>
      <c r="CH65" s="41">
        <f t="shared" si="7"/>
        <v>0</v>
      </c>
      <c r="CI65" s="41">
        <f t="shared" si="2"/>
        <v>0</v>
      </c>
    </row>
    <row r="66" spans="8:87" s="41" customFormat="1" ht="12.75" x14ac:dyDescent="0.2">
      <c r="H66" s="81" t="str">
        <f>IF(Data_NaamPersoonNatVerloop043="","",Data_NaamPersoonNatVerloop043)</f>
        <v/>
      </c>
      <c r="K66" s="83" t="str">
        <f>IF(Data_BeeindigingsdatumNatVerloop043="","",Data_BeeindigingsdatumNatVerloop043)</f>
        <v/>
      </c>
      <c r="N66" s="82" t="str">
        <f>IF(Data_LoonkostenNatVerloop043="","",Data_LoonkostenNatVerloop043)</f>
        <v/>
      </c>
      <c r="P66" s="276" t="s">
        <v>160</v>
      </c>
      <c r="R66" s="76" t="s">
        <v>160</v>
      </c>
      <c r="W66" s="41">
        <f t="shared" si="3"/>
        <v>0</v>
      </c>
      <c r="X66" s="77" t="str">
        <f t="shared" si="0"/>
        <v/>
      </c>
      <c r="AG66" s="81" t="str">
        <f>IF(Data_NaamPersoonTijd043="","",Data_NaamPersoonTijd043)</f>
        <v/>
      </c>
      <c r="AJ66" s="83" t="str">
        <f>IF(Data_BeeindigingsdatumTijd043="","",Data_BeeindigingsdatumTijd043)</f>
        <v/>
      </c>
      <c r="AM66" s="82" t="str">
        <f>IF(Data_LoonkostenTijd043="","",Data_LoonkostenTijd043)</f>
        <v/>
      </c>
      <c r="AO66" s="276" t="str">
        <f>IF(Data_PersoonAanUitTijd043=-1,"v","")</f>
        <v/>
      </c>
      <c r="AQ66" s="76" t="s">
        <v>160</v>
      </c>
      <c r="AV66" s="41">
        <f t="shared" si="4"/>
        <v>0</v>
      </c>
      <c r="AW66" s="77">
        <f t="shared" si="5"/>
        <v>0</v>
      </c>
      <c r="BA66" s="81" t="str">
        <f>IF(Data_NaamPersoonVastVrij043="","",Data_NaamPersoonVastVrij043)</f>
        <v/>
      </c>
      <c r="BD66" s="83" t="str">
        <f>IF(Data_BeeindigingsdatumVastVrij043="","",Data_BeeindigingsdatumVastVrij043)</f>
        <v/>
      </c>
      <c r="BG66" s="82" t="str">
        <f>IF(Data_LoonkostenVastVrij043="","",Data_LoonkostenVastVrij043)</f>
        <v/>
      </c>
      <c r="BI66" s="76" t="str">
        <f>IF(Data_PersoonAanUitVastVrij043=-1,"v","")</f>
        <v/>
      </c>
      <c r="BK66" s="76" t="s">
        <v>160</v>
      </c>
      <c r="BP66" s="41">
        <f t="shared" si="6"/>
        <v>0</v>
      </c>
      <c r="BQ66" s="77">
        <f t="shared" si="1"/>
        <v>0</v>
      </c>
      <c r="BS66" s="81" t="str">
        <f>IF(Data_NaamPersoonVastOntslag043="","",Data_NaamPersoonVastOntslag043)</f>
        <v/>
      </c>
      <c r="BV66" s="83" t="str">
        <f>IF(Data_BeeindigingsdatumVastOntslag043="","",Data_BeeindigingsdatumVastOntslag043)</f>
        <v/>
      </c>
      <c r="BY66" s="82" t="str">
        <f>IF(Data_LoonkostenVastOntslag043="","",Data_LoonkostenVastOntslag043)</f>
        <v/>
      </c>
      <c r="CA66" s="76" t="str">
        <f>IF(Data_PersoonAanUitVastOntslag043=-1,"v","")</f>
        <v/>
      </c>
      <c r="CC66" s="76" t="s">
        <v>160</v>
      </c>
      <c r="CH66" s="41">
        <f t="shared" si="7"/>
        <v>0</v>
      </c>
      <c r="CI66" s="41">
        <f t="shared" si="2"/>
        <v>0</v>
      </c>
    </row>
    <row r="67" spans="8:87" s="41" customFormat="1" ht="12.75" x14ac:dyDescent="0.2">
      <c r="H67" s="81" t="str">
        <f>IF(Data_NaamPersoonNatVerloop044="","",Data_NaamPersoonNatVerloop044)</f>
        <v/>
      </c>
      <c r="K67" s="83" t="str">
        <f>IF(Data_BeeindigingsdatumNatVerloop044="","",Data_BeeindigingsdatumNatVerloop044)</f>
        <v/>
      </c>
      <c r="N67" s="82" t="str">
        <f>IF(Data_LoonkostenNatVerloop044="","",Data_LoonkostenNatVerloop044)</f>
        <v/>
      </c>
      <c r="P67" s="276" t="s">
        <v>160</v>
      </c>
      <c r="R67" s="76" t="s">
        <v>160</v>
      </c>
      <c r="W67" s="41">
        <f t="shared" si="3"/>
        <v>0</v>
      </c>
      <c r="X67" s="77" t="str">
        <f t="shared" si="0"/>
        <v/>
      </c>
      <c r="AG67" s="81" t="str">
        <f>IF(Data_NaamPersoonTijd044="","",Data_NaamPersoonTijd044)</f>
        <v/>
      </c>
      <c r="AJ67" s="83" t="str">
        <f>IF(Data_BeeindigingsdatumTijd044="","",Data_BeeindigingsdatumTijd044)</f>
        <v/>
      </c>
      <c r="AM67" s="82" t="str">
        <f>IF(Data_LoonkostenTijd044="","",Data_LoonkostenTijd044)</f>
        <v/>
      </c>
      <c r="AO67" s="276" t="str">
        <f>IF(Data_PersoonAanUitTijd044=-1,"v","")</f>
        <v/>
      </c>
      <c r="AQ67" s="76" t="s">
        <v>160</v>
      </c>
      <c r="AV67" s="41">
        <f t="shared" si="4"/>
        <v>0</v>
      </c>
      <c r="AW67" s="77">
        <f t="shared" si="5"/>
        <v>0</v>
      </c>
      <c r="BA67" s="81" t="str">
        <f>IF(Data_NaamPersoonVastVrij044="","",Data_NaamPersoonVastVrij044)</f>
        <v/>
      </c>
      <c r="BD67" s="83" t="str">
        <f>IF(Data_BeeindigingsdatumVastVrij044="","",Data_BeeindigingsdatumVastVrij044)</f>
        <v/>
      </c>
      <c r="BG67" s="82" t="str">
        <f>IF(Data_LoonkostenVastVrij044="","",Data_LoonkostenVastVrij044)</f>
        <v/>
      </c>
      <c r="BI67" s="76" t="str">
        <f>IF(Data_PersoonAanUitVastVrij044=-1,"v","")</f>
        <v/>
      </c>
      <c r="BK67" s="76" t="s">
        <v>160</v>
      </c>
      <c r="BP67" s="41">
        <f t="shared" si="6"/>
        <v>0</v>
      </c>
      <c r="BQ67" s="77">
        <f t="shared" si="1"/>
        <v>0</v>
      </c>
      <c r="BS67" s="81" t="str">
        <f>IF(Data_NaamPersoonVastOntslag044="","",Data_NaamPersoonVastOntslag044)</f>
        <v/>
      </c>
      <c r="BV67" s="83" t="str">
        <f>IF(Data_BeeindigingsdatumVastOntslag044="","",Data_BeeindigingsdatumVastOntslag044)</f>
        <v/>
      </c>
      <c r="BY67" s="82" t="str">
        <f>IF(Data_LoonkostenVastOntslag044="","",Data_LoonkostenVastOntslag044)</f>
        <v/>
      </c>
      <c r="CA67" s="76" t="str">
        <f>IF(Data_PersoonAanUitVastOntslag044=-1,"v","")</f>
        <v/>
      </c>
      <c r="CC67" s="76" t="s">
        <v>160</v>
      </c>
      <c r="CH67" s="41">
        <f t="shared" si="7"/>
        <v>0</v>
      </c>
      <c r="CI67" s="41">
        <f t="shared" si="2"/>
        <v>0</v>
      </c>
    </row>
    <row r="68" spans="8:87" s="41" customFormat="1" ht="12.75" x14ac:dyDescent="0.2">
      <c r="H68" s="81" t="str">
        <f>IF(Data_NaamPersoonNatVerloop045="","",Data_NaamPersoonNatVerloop045)</f>
        <v/>
      </c>
      <c r="K68" s="83" t="str">
        <f>IF(Data_BeeindigingsdatumNatVerloop045="","",Data_BeeindigingsdatumNatVerloop045)</f>
        <v/>
      </c>
      <c r="N68" s="82" t="str">
        <f>IF(Data_LoonkostenNatVerloop045="","",Data_LoonkostenNatVerloop045)</f>
        <v/>
      </c>
      <c r="P68" s="276" t="s">
        <v>160</v>
      </c>
      <c r="R68" s="76" t="s">
        <v>160</v>
      </c>
      <c r="W68" s="41">
        <f t="shared" si="3"/>
        <v>0</v>
      </c>
      <c r="X68" s="77" t="str">
        <f t="shared" si="0"/>
        <v/>
      </c>
      <c r="AG68" s="81" t="str">
        <f>IF(Data_NaamPersoonTijd045="","",Data_NaamPersoonTijd045)</f>
        <v/>
      </c>
      <c r="AJ68" s="83" t="str">
        <f>IF(Data_BeeindigingsdatumTijd045="","",Data_BeeindigingsdatumTijd045)</f>
        <v/>
      </c>
      <c r="AM68" s="82" t="str">
        <f>IF(Data_LoonkostenTijd045="","",Data_LoonkostenTijd045)</f>
        <v/>
      </c>
      <c r="AO68" s="276" t="str">
        <f>IF(Data_PersoonAanUitTijd045=-1,"v","")</f>
        <v/>
      </c>
      <c r="AQ68" s="76" t="s">
        <v>160</v>
      </c>
      <c r="AV68" s="41">
        <f t="shared" si="4"/>
        <v>0</v>
      </c>
      <c r="AW68" s="77">
        <f t="shared" si="5"/>
        <v>0</v>
      </c>
      <c r="BA68" s="81" t="str">
        <f>IF(Data_NaamPersoonVastVrij045="","",Data_NaamPersoonVastVrij045)</f>
        <v/>
      </c>
      <c r="BD68" s="83" t="str">
        <f>IF(Data_BeeindigingsdatumVastVrij045="","",Data_BeeindigingsdatumVastVrij045)</f>
        <v/>
      </c>
      <c r="BG68" s="82" t="str">
        <f>IF(Data_LoonkostenVastVrij045="","",Data_LoonkostenVastVrij045)</f>
        <v/>
      </c>
      <c r="BI68" s="76" t="str">
        <f>IF(Data_PersoonAanUitVastVrij045=-1,"v","")</f>
        <v/>
      </c>
      <c r="BK68" s="76" t="s">
        <v>160</v>
      </c>
      <c r="BP68" s="41">
        <f t="shared" si="6"/>
        <v>0</v>
      </c>
      <c r="BQ68" s="77">
        <f t="shared" si="1"/>
        <v>0</v>
      </c>
      <c r="BS68" s="81" t="str">
        <f>IF(Data_NaamPersoonVastOntslag045="","",Data_NaamPersoonVastOntslag045)</f>
        <v/>
      </c>
      <c r="BV68" s="83" t="str">
        <f>IF(Data_BeeindigingsdatumVastOntslag045="","",Data_BeeindigingsdatumVastOntslag045)</f>
        <v/>
      </c>
      <c r="BY68" s="82" t="str">
        <f>IF(Data_LoonkostenVastOntslag045="","",Data_LoonkostenVastOntslag045)</f>
        <v/>
      </c>
      <c r="CA68" s="76" t="str">
        <f>IF(Data_PersoonAanUitVastOntslag045=-1,"v","")</f>
        <v/>
      </c>
      <c r="CC68" s="76" t="s">
        <v>160</v>
      </c>
      <c r="CH68" s="41">
        <f t="shared" si="7"/>
        <v>0</v>
      </c>
      <c r="CI68" s="41">
        <f t="shared" si="2"/>
        <v>0</v>
      </c>
    </row>
    <row r="69" spans="8:87" s="41" customFormat="1" ht="12.75" x14ac:dyDescent="0.2">
      <c r="H69" s="81" t="str">
        <f>IF(Data_NaamPersoonNatVerloop046="","",Data_NaamPersoonNatVerloop046)</f>
        <v/>
      </c>
      <c r="K69" s="83" t="str">
        <f>IF(Data_BeeindigingsdatumNatVerloop046="","",Data_BeeindigingsdatumNatVerloop046)</f>
        <v/>
      </c>
      <c r="N69" s="82" t="str">
        <f>IF(Data_LoonkostenNatVerloop046="","",Data_LoonkostenNatVerloop046)</f>
        <v/>
      </c>
      <c r="P69" s="276" t="s">
        <v>160</v>
      </c>
      <c r="R69" s="76" t="s">
        <v>160</v>
      </c>
      <c r="W69" s="41">
        <f t="shared" si="3"/>
        <v>0</v>
      </c>
      <c r="X69" s="77" t="str">
        <f t="shared" si="0"/>
        <v/>
      </c>
      <c r="AG69" s="81" t="str">
        <f>IF(Data_NaamPersoonTijd046="","",Data_NaamPersoonTijd046)</f>
        <v/>
      </c>
      <c r="AJ69" s="83" t="str">
        <f>IF(Data_BeeindigingsdatumTijd046="","",Data_BeeindigingsdatumTijd046)</f>
        <v/>
      </c>
      <c r="AM69" s="82" t="str">
        <f>IF(Data_LoonkostenTijd046="","",Data_LoonkostenTijd046)</f>
        <v/>
      </c>
      <c r="AO69" s="276" t="str">
        <f>IF(Data_PersoonAanUitTijd046=-1,"v","")</f>
        <v/>
      </c>
      <c r="AQ69" s="76" t="s">
        <v>160</v>
      </c>
      <c r="AV69" s="41">
        <f t="shared" si="4"/>
        <v>0</v>
      </c>
      <c r="AW69" s="77">
        <f t="shared" si="5"/>
        <v>0</v>
      </c>
      <c r="BA69" s="81" t="str">
        <f>IF(Data_NaamPersoonVastVrij046="","",Data_NaamPersoonVastVrij046)</f>
        <v/>
      </c>
      <c r="BD69" s="83" t="str">
        <f>IF(Data_BeeindigingsdatumVastVrij046="","",Data_BeeindigingsdatumVastVrij046)</f>
        <v/>
      </c>
      <c r="BG69" s="82" t="str">
        <f>IF(Data_LoonkostenVastVrij046="","",Data_LoonkostenVastVrij046)</f>
        <v/>
      </c>
      <c r="BI69" s="76" t="str">
        <f>IF(Data_PersoonAanUitVastVrij046=-1,"v","")</f>
        <v/>
      </c>
      <c r="BK69" s="76" t="s">
        <v>160</v>
      </c>
      <c r="BP69" s="41">
        <f t="shared" si="6"/>
        <v>0</v>
      </c>
      <c r="BQ69" s="77">
        <f t="shared" si="1"/>
        <v>0</v>
      </c>
      <c r="BS69" s="81" t="str">
        <f>IF(Data_NaamPersoonVastOntslag046="","",Data_NaamPersoonVastOntslag046)</f>
        <v/>
      </c>
      <c r="BV69" s="83" t="str">
        <f>IF(Data_BeeindigingsdatumVastOntslag046="","",Data_BeeindigingsdatumVastOntslag046)</f>
        <v/>
      </c>
      <c r="BY69" s="82" t="str">
        <f>IF(Data_LoonkostenVastOntslag046="","",Data_LoonkostenVastOntslag046)</f>
        <v/>
      </c>
      <c r="CA69" s="76" t="str">
        <f>IF(Data_PersoonAanUitVastOntslag046=-1,"v","")</f>
        <v/>
      </c>
      <c r="CC69" s="76" t="s">
        <v>160</v>
      </c>
      <c r="CH69" s="41">
        <f t="shared" si="7"/>
        <v>0</v>
      </c>
      <c r="CI69" s="41">
        <f t="shared" si="2"/>
        <v>0</v>
      </c>
    </row>
    <row r="70" spans="8:87" s="41" customFormat="1" ht="12.75" x14ac:dyDescent="0.2">
      <c r="H70" s="81" t="str">
        <f>IF(Data_NaamPersoonNatVerloop047="","",Data_NaamPersoonNatVerloop047)</f>
        <v/>
      </c>
      <c r="K70" s="83" t="str">
        <f>IF(Data_BeeindigingsdatumNatVerloop047="","",Data_BeeindigingsdatumNatVerloop047)</f>
        <v/>
      </c>
      <c r="N70" s="82" t="str">
        <f>IF(Data_LoonkostenNatVerloop047="","",Data_LoonkostenNatVerloop047)</f>
        <v/>
      </c>
      <c r="P70" s="276" t="s">
        <v>160</v>
      </c>
      <c r="R70" s="76" t="s">
        <v>160</v>
      </c>
      <c r="W70" s="41">
        <f t="shared" si="3"/>
        <v>0</v>
      </c>
      <c r="X70" s="77" t="str">
        <f t="shared" si="0"/>
        <v/>
      </c>
      <c r="AG70" s="81" t="str">
        <f>IF(Data_NaamPersoonTijd047="","",Data_NaamPersoonTijd047)</f>
        <v/>
      </c>
      <c r="AJ70" s="83" t="str">
        <f>IF(Data_BeeindigingsdatumTijd047="","",Data_BeeindigingsdatumTijd047)</f>
        <v/>
      </c>
      <c r="AM70" s="82" t="str">
        <f>IF(Data_LoonkostenTijd047="","",Data_LoonkostenTijd047)</f>
        <v/>
      </c>
      <c r="AO70" s="276" t="str">
        <f>IF(Data_PersoonAanUitTijd047=-1,"v","")</f>
        <v/>
      </c>
      <c r="AQ70" s="76" t="s">
        <v>160</v>
      </c>
      <c r="AV70" s="41">
        <f t="shared" si="4"/>
        <v>0</v>
      </c>
      <c r="AW70" s="77">
        <f t="shared" si="5"/>
        <v>0</v>
      </c>
      <c r="BA70" s="81" t="str">
        <f>IF(Data_NaamPersoonVastVrij047="","",Data_NaamPersoonVastVrij047)</f>
        <v/>
      </c>
      <c r="BD70" s="83" t="str">
        <f>IF(Data_BeeindigingsdatumVastVrij047="","",Data_BeeindigingsdatumVastVrij047)</f>
        <v/>
      </c>
      <c r="BG70" s="82" t="str">
        <f>IF(Data_LoonkostenVastVrij047="","",Data_LoonkostenVastVrij047)</f>
        <v/>
      </c>
      <c r="BI70" s="76" t="str">
        <f>IF(Data_PersoonAanUitVastVrij047=-1,"v","")</f>
        <v/>
      </c>
      <c r="BK70" s="76" t="s">
        <v>160</v>
      </c>
      <c r="BP70" s="41">
        <f t="shared" si="6"/>
        <v>0</v>
      </c>
      <c r="BQ70" s="77">
        <f t="shared" si="1"/>
        <v>0</v>
      </c>
      <c r="BS70" s="81" t="str">
        <f>IF(Data_NaamPersoonVastOntslag047="","",Data_NaamPersoonVastOntslag047)</f>
        <v/>
      </c>
      <c r="BV70" s="83" t="str">
        <f>IF(Data_BeeindigingsdatumVastOntslag047="","",Data_BeeindigingsdatumVastOntslag047)</f>
        <v/>
      </c>
      <c r="BY70" s="82" t="str">
        <f>IF(Data_LoonkostenVastOntslag047="","",Data_LoonkostenVastOntslag047)</f>
        <v/>
      </c>
      <c r="CA70" s="76" t="str">
        <f>IF(Data_PersoonAanUitVastOntslag047=-1,"v","")</f>
        <v/>
      </c>
      <c r="CC70" s="76" t="s">
        <v>160</v>
      </c>
      <c r="CH70" s="41">
        <f t="shared" si="7"/>
        <v>0</v>
      </c>
      <c r="CI70" s="41">
        <f t="shared" si="2"/>
        <v>0</v>
      </c>
    </row>
    <row r="71" spans="8:87" s="41" customFormat="1" ht="12.75" x14ac:dyDescent="0.2">
      <c r="H71" s="81" t="str">
        <f>IF(Data_NaamPersoonNatVerloop048="","",Data_NaamPersoonNatVerloop048)</f>
        <v/>
      </c>
      <c r="K71" s="83" t="str">
        <f>IF(Data_BeeindigingsdatumNatVerloop048="","",Data_BeeindigingsdatumNatVerloop048)</f>
        <v/>
      </c>
      <c r="N71" s="82" t="str">
        <f>IF(Data_LoonkostenNatVerloop048="","",Data_LoonkostenNatVerloop048)</f>
        <v/>
      </c>
      <c r="P71" s="276" t="s">
        <v>160</v>
      </c>
      <c r="R71" s="76" t="s">
        <v>160</v>
      </c>
      <c r="W71" s="41">
        <f t="shared" si="3"/>
        <v>0</v>
      </c>
      <c r="X71" s="77" t="str">
        <f t="shared" si="0"/>
        <v/>
      </c>
      <c r="AG71" s="81" t="str">
        <f>IF(Data_NaamPersoonTijd048="","",Data_NaamPersoonTijd048)</f>
        <v/>
      </c>
      <c r="AJ71" s="83" t="str">
        <f>IF(Data_BeeindigingsdatumTijd048="","",Data_BeeindigingsdatumTijd048)</f>
        <v/>
      </c>
      <c r="AM71" s="82" t="str">
        <f>IF(Data_LoonkostenTijd048="","",Data_LoonkostenTijd048)</f>
        <v/>
      </c>
      <c r="AO71" s="276" t="str">
        <f>IF(Data_PersoonAanUitTijd048=-1,"v","")</f>
        <v/>
      </c>
      <c r="AQ71" s="76" t="s">
        <v>160</v>
      </c>
      <c r="AV71" s="41">
        <f t="shared" si="4"/>
        <v>0</v>
      </c>
      <c r="AW71" s="77">
        <f t="shared" si="5"/>
        <v>0</v>
      </c>
      <c r="BA71" s="81" t="str">
        <f>IF(Data_NaamPersoonVastVrij048="","",Data_NaamPersoonVastVrij048)</f>
        <v/>
      </c>
      <c r="BD71" s="83" t="str">
        <f>IF(Data_BeeindigingsdatumVastVrij048="","",Data_BeeindigingsdatumVastVrij048)</f>
        <v/>
      </c>
      <c r="BG71" s="82" t="str">
        <f>IF(Data_LoonkostenVastVrij048="","",Data_LoonkostenVastVrij048)</f>
        <v/>
      </c>
      <c r="BI71" s="76" t="str">
        <f>IF(Data_PersoonAanUitVastVrij048=-1,"v","")</f>
        <v/>
      </c>
      <c r="BK71" s="76" t="s">
        <v>160</v>
      </c>
      <c r="BP71" s="41">
        <f t="shared" si="6"/>
        <v>0</v>
      </c>
      <c r="BQ71" s="77">
        <f t="shared" si="1"/>
        <v>0</v>
      </c>
      <c r="BS71" s="81" t="str">
        <f>IF(Data_NaamPersoonVastOntslag048="","",Data_NaamPersoonVastOntslag048)</f>
        <v/>
      </c>
      <c r="BV71" s="83" t="str">
        <f>IF(Data_BeeindigingsdatumVastOntslag048="","",Data_BeeindigingsdatumVastOntslag048)</f>
        <v/>
      </c>
      <c r="BY71" s="82" t="str">
        <f>IF(Data_LoonkostenVastOntslag048="","",Data_LoonkostenVastOntslag048)</f>
        <v/>
      </c>
      <c r="CA71" s="76" t="str">
        <f>IF(Data_PersoonAanUitVastOntslag048=-1,"v","")</f>
        <v/>
      </c>
      <c r="CC71" s="76" t="s">
        <v>160</v>
      </c>
      <c r="CH71" s="41">
        <f t="shared" si="7"/>
        <v>0</v>
      </c>
      <c r="CI71" s="41">
        <f t="shared" si="2"/>
        <v>0</v>
      </c>
    </row>
    <row r="72" spans="8:87" s="41" customFormat="1" ht="12.75" x14ac:dyDescent="0.2">
      <c r="H72" s="81" t="str">
        <f>IF(Data_NaamPersoonNatVerloop049="","",Data_NaamPersoonNatVerloop049)</f>
        <v/>
      </c>
      <c r="K72" s="83" t="str">
        <f>IF(Data_BeeindigingsdatumNatVerloop049="","",Data_BeeindigingsdatumNatVerloop049)</f>
        <v/>
      </c>
      <c r="N72" s="82" t="str">
        <f>IF(Data_LoonkostenNatVerloop049="","",Data_LoonkostenNatVerloop049)</f>
        <v/>
      </c>
      <c r="P72" s="276" t="s">
        <v>160</v>
      </c>
      <c r="R72" s="76" t="s">
        <v>160</v>
      </c>
      <c r="W72" s="41">
        <f t="shared" si="3"/>
        <v>0</v>
      </c>
      <c r="X72" s="77" t="str">
        <f t="shared" si="0"/>
        <v/>
      </c>
      <c r="AG72" s="81" t="str">
        <f>IF(Data_NaamPersoonTijd049="","",Data_NaamPersoonTijd049)</f>
        <v/>
      </c>
      <c r="AJ72" s="83" t="str">
        <f>IF(Data_BeeindigingsdatumTijd049="","",Data_BeeindigingsdatumTijd049)</f>
        <v/>
      </c>
      <c r="AM72" s="82" t="str">
        <f>IF(Data_LoonkostenTijd049="","",Data_LoonkostenTijd049)</f>
        <v/>
      </c>
      <c r="AO72" s="276" t="str">
        <f>IF(Data_PersoonAanUitTijd049=-1,"v","")</f>
        <v/>
      </c>
      <c r="AQ72" s="76" t="s">
        <v>160</v>
      </c>
      <c r="AV72" s="41">
        <f t="shared" si="4"/>
        <v>0</v>
      </c>
      <c r="AW72" s="77">
        <f t="shared" si="5"/>
        <v>0</v>
      </c>
      <c r="BA72" s="81" t="str">
        <f>IF(Data_NaamPersoonVastVrij049="","",Data_NaamPersoonVastVrij049)</f>
        <v/>
      </c>
      <c r="BD72" s="83" t="str">
        <f>IF(Data_BeeindigingsdatumVastVrij049="","",Data_BeeindigingsdatumVastVrij049)</f>
        <v/>
      </c>
      <c r="BG72" s="82" t="str">
        <f>IF(Data_LoonkostenVastVrij049="","",Data_LoonkostenVastVrij049)</f>
        <v/>
      </c>
      <c r="BI72" s="76" t="str">
        <f>IF(Data_PersoonAanUitVastVrij049=-1,"v","")</f>
        <v/>
      </c>
      <c r="BK72" s="76" t="s">
        <v>160</v>
      </c>
      <c r="BP72" s="41">
        <f t="shared" si="6"/>
        <v>0</v>
      </c>
      <c r="BQ72" s="77">
        <f t="shared" si="1"/>
        <v>0</v>
      </c>
      <c r="BS72" s="81" t="str">
        <f>IF(Data_NaamPersoonVastOntslag049="","",Data_NaamPersoonVastOntslag049)</f>
        <v/>
      </c>
      <c r="BV72" s="83" t="str">
        <f>IF(Data_BeeindigingsdatumVastOntslag049="","",Data_BeeindigingsdatumVastOntslag049)</f>
        <v/>
      </c>
      <c r="BY72" s="82" t="str">
        <f>IF(Data_LoonkostenVastOntslag049="","",Data_LoonkostenVastOntslag049)</f>
        <v/>
      </c>
      <c r="CA72" s="76" t="str">
        <f>IF(Data_PersoonAanUitVastOntslag049=-1,"v","")</f>
        <v/>
      </c>
      <c r="CC72" s="76" t="s">
        <v>160</v>
      </c>
      <c r="CH72" s="41">
        <f t="shared" si="7"/>
        <v>0</v>
      </c>
      <c r="CI72" s="41">
        <f t="shared" si="2"/>
        <v>0</v>
      </c>
    </row>
    <row r="73" spans="8:87" s="41" customFormat="1" ht="12.75" x14ac:dyDescent="0.2">
      <c r="H73" s="81" t="str">
        <f>IF(Data_NaamPersoonNatVerloop050="","",Data_NaamPersoonNatVerloop050)</f>
        <v/>
      </c>
      <c r="K73" s="83" t="str">
        <f>IF(Data_BeeindigingsdatumNatVerloop050="","",Data_BeeindigingsdatumNatVerloop050)</f>
        <v/>
      </c>
      <c r="N73" s="82" t="str">
        <f>IF(Data_LoonkostenNatVerloop050="","",Data_LoonkostenNatVerloop050)</f>
        <v/>
      </c>
      <c r="P73" s="276" t="s">
        <v>160</v>
      </c>
      <c r="R73" s="76" t="s">
        <v>160</v>
      </c>
      <c r="W73" s="41">
        <f t="shared" si="3"/>
        <v>0</v>
      </c>
      <c r="X73" s="77" t="str">
        <f t="shared" si="0"/>
        <v/>
      </c>
      <c r="AG73" s="81" t="str">
        <f>IF(Data_NaamPersoonTijd050="","",Data_NaamPersoonTijd050)</f>
        <v/>
      </c>
      <c r="AJ73" s="83" t="str">
        <f>IF(Data_BeeindigingsdatumTijd050="","",Data_BeeindigingsdatumTijd050)</f>
        <v/>
      </c>
      <c r="AM73" s="82" t="str">
        <f>IF(Data_LoonkostenTijd050="","",Data_LoonkostenTijd050)</f>
        <v/>
      </c>
      <c r="AO73" s="276" t="str">
        <f>IF(Data_PersoonAanUitTijd050=-1,"v","")</f>
        <v/>
      </c>
      <c r="AQ73" s="76" t="s">
        <v>160</v>
      </c>
      <c r="AV73" s="41">
        <f t="shared" si="4"/>
        <v>0</v>
      </c>
      <c r="AW73" s="77">
        <f t="shared" si="5"/>
        <v>0</v>
      </c>
      <c r="BA73" s="81" t="str">
        <f>IF(Data_NaamPersoonVastVrij050="","",Data_NaamPersoonVastVrij050)</f>
        <v/>
      </c>
      <c r="BD73" s="83" t="str">
        <f>IF(Data_BeeindigingsdatumVastVrij050="","",Data_BeeindigingsdatumVastVrij050)</f>
        <v/>
      </c>
      <c r="BG73" s="82" t="str">
        <f>IF(Data_LoonkostenVastVrij050="","",Data_LoonkostenVastVrij050)</f>
        <v/>
      </c>
      <c r="BI73" s="76" t="str">
        <f>IF(Data_PersoonAanUitVastVrij050=-1,"v","")</f>
        <v/>
      </c>
      <c r="BK73" s="76" t="s">
        <v>160</v>
      </c>
      <c r="BP73" s="41">
        <f t="shared" si="6"/>
        <v>0</v>
      </c>
      <c r="BQ73" s="77">
        <f t="shared" si="1"/>
        <v>0</v>
      </c>
      <c r="BS73" s="81" t="str">
        <f>IF(Data_NaamPersoonVastOntslag050="","",Data_NaamPersoonVastOntslag050)</f>
        <v/>
      </c>
      <c r="BV73" s="83" t="str">
        <f>IF(Data_BeeindigingsdatumVastOntslag050="","",Data_BeeindigingsdatumVastOntslag050)</f>
        <v/>
      </c>
      <c r="BY73" s="82" t="str">
        <f>IF(Data_LoonkostenVastOntslag050="","",Data_LoonkostenVastOntslag050)</f>
        <v/>
      </c>
      <c r="CA73" s="76" t="str">
        <f>IF(Data_PersoonAanUitVastOntslag050=-1,"v","")</f>
        <v/>
      </c>
      <c r="CC73" s="76" t="s">
        <v>160</v>
      </c>
      <c r="CH73" s="41">
        <f t="shared" si="7"/>
        <v>0</v>
      </c>
      <c r="CI73" s="41">
        <f t="shared" si="2"/>
        <v>0</v>
      </c>
    </row>
    <row r="74" spans="8:87" s="41" customFormat="1" ht="12.75" x14ac:dyDescent="0.2">
      <c r="H74" s="81" t="str">
        <f>IF(Data_NaamPersoonNatVerloop051="","",Data_NaamPersoonNatVerloop051)</f>
        <v/>
      </c>
      <c r="K74" s="83" t="str">
        <f>IF(Data_BeeindigingsdatumNatVerloop051="","",Data_BeeindigingsdatumNatVerloop051)</f>
        <v/>
      </c>
      <c r="N74" s="82" t="str">
        <f>IF(Data_LoonkostenNatVerloop051="","",Data_LoonkostenNatVerloop051)</f>
        <v/>
      </c>
      <c r="P74" s="276" t="s">
        <v>160</v>
      </c>
      <c r="R74" s="76" t="s">
        <v>160</v>
      </c>
      <c r="W74" s="41">
        <f t="shared" si="3"/>
        <v>0</v>
      </c>
      <c r="X74" s="77" t="str">
        <f t="shared" si="0"/>
        <v/>
      </c>
      <c r="AG74" s="81" t="str">
        <f>IF(Data_NaamPersoonTijd051="","",Data_NaamPersoonTijd051)</f>
        <v/>
      </c>
      <c r="AJ74" s="83" t="str">
        <f>IF(Data_BeeindigingsdatumTijd051="","",Data_BeeindigingsdatumTijd051)</f>
        <v/>
      </c>
      <c r="AM74" s="82" t="str">
        <f>IF(Data_LoonkostenTijd051="","",Data_LoonkostenTijd051)</f>
        <v/>
      </c>
      <c r="AO74" s="276" t="str">
        <f>IF(Data_PersoonAanUitTijd051=-1,"v","")</f>
        <v/>
      </c>
      <c r="AQ74" s="76" t="s">
        <v>160</v>
      </c>
      <c r="AV74" s="41">
        <f t="shared" si="4"/>
        <v>0</v>
      </c>
      <c r="AW74" s="77">
        <f t="shared" si="5"/>
        <v>0</v>
      </c>
      <c r="BA74" s="81" t="str">
        <f>IF(Data_NaamPersoonVastVrij051="","",Data_NaamPersoonVastVrij051)</f>
        <v/>
      </c>
      <c r="BD74" s="83" t="str">
        <f>IF(Data_BeeindigingsdatumVastVrij051="","",Data_BeeindigingsdatumVastVrij051)</f>
        <v/>
      </c>
      <c r="BG74" s="82" t="str">
        <f>IF(Data_LoonkostenVastVrij051="","",Data_LoonkostenVastVrij051)</f>
        <v/>
      </c>
      <c r="BI74" s="76" t="str">
        <f>IF(Data_PersoonAanUitVastVrij051=-1,"v","")</f>
        <v/>
      </c>
      <c r="BK74" s="76" t="s">
        <v>160</v>
      </c>
      <c r="BP74" s="41">
        <f t="shared" si="6"/>
        <v>0</v>
      </c>
      <c r="BQ74" s="77">
        <f t="shared" si="1"/>
        <v>0</v>
      </c>
      <c r="BS74" s="81" t="str">
        <f>IF(Data_NaamPersoonVastOntslag051="","",Data_NaamPersoonVastOntslag051)</f>
        <v/>
      </c>
      <c r="BV74" s="83" t="str">
        <f>IF(Data_BeeindigingsdatumVastOntslag051="","",Data_BeeindigingsdatumVastOntslag051)</f>
        <v/>
      </c>
      <c r="BY74" s="82" t="str">
        <f>IF(Data_LoonkostenVastOntslag051="","",Data_LoonkostenVastOntslag051)</f>
        <v/>
      </c>
      <c r="CA74" s="76" t="str">
        <f>IF(Data_PersoonAanUitVastOntslag051=-1,"v","")</f>
        <v/>
      </c>
      <c r="CC74" s="76" t="s">
        <v>160</v>
      </c>
      <c r="CH74" s="41">
        <f t="shared" si="7"/>
        <v>0</v>
      </c>
      <c r="CI74" s="41">
        <f t="shared" si="2"/>
        <v>0</v>
      </c>
    </row>
    <row r="75" spans="8:87" s="41" customFormat="1" ht="12.75" x14ac:dyDescent="0.2">
      <c r="H75" s="81" t="str">
        <f>IF(Data_NaamPersoonNatVerloop052="","",Data_NaamPersoonNatVerloop052)</f>
        <v/>
      </c>
      <c r="K75" s="83" t="str">
        <f>IF(Data_BeeindigingsdatumNatVerloop052="","",Data_BeeindigingsdatumNatVerloop052)</f>
        <v/>
      </c>
      <c r="N75" s="82" t="str">
        <f>IF(Data_LoonkostenNatVerloop052="","",Data_LoonkostenNatVerloop052)</f>
        <v/>
      </c>
      <c r="P75" s="276" t="s">
        <v>160</v>
      </c>
      <c r="R75" s="76" t="s">
        <v>160</v>
      </c>
      <c r="W75" s="41">
        <f t="shared" si="3"/>
        <v>0</v>
      </c>
      <c r="X75" s="77" t="str">
        <f t="shared" si="0"/>
        <v/>
      </c>
      <c r="AG75" s="81" t="str">
        <f>IF(Data_NaamPersoonTijd052="","",Data_NaamPersoonTijd052)</f>
        <v/>
      </c>
      <c r="AJ75" s="83" t="str">
        <f>IF(Data_BeeindigingsdatumTijd052="","",Data_BeeindigingsdatumTijd052)</f>
        <v/>
      </c>
      <c r="AM75" s="82" t="str">
        <f>IF(Data_LoonkostenTijd052="","",Data_LoonkostenTijd052)</f>
        <v/>
      </c>
      <c r="AO75" s="276" t="str">
        <f>IF(Data_PersoonAanUitTijd052=-1,"v","")</f>
        <v/>
      </c>
      <c r="AQ75" s="76" t="s">
        <v>160</v>
      </c>
      <c r="AV75" s="41">
        <f t="shared" si="4"/>
        <v>0</v>
      </c>
      <c r="AW75" s="77">
        <f t="shared" si="5"/>
        <v>0</v>
      </c>
      <c r="BA75" s="81" t="str">
        <f>IF(Data_NaamPersoonVastVrij052="","",Data_NaamPersoonVastVrij052)</f>
        <v/>
      </c>
      <c r="BD75" s="83" t="str">
        <f>IF(Data_BeeindigingsdatumVastVrij052="","",Data_BeeindigingsdatumVastVrij052)</f>
        <v/>
      </c>
      <c r="BG75" s="82" t="str">
        <f>IF(Data_LoonkostenVastVrij052="","",Data_LoonkostenVastVrij052)</f>
        <v/>
      </c>
      <c r="BI75" s="76" t="str">
        <f>IF(Data_PersoonAanUitVastVrij052=-1,"v","")</f>
        <v/>
      </c>
      <c r="BK75" s="76" t="s">
        <v>160</v>
      </c>
      <c r="BP75" s="41">
        <f t="shared" si="6"/>
        <v>0</v>
      </c>
      <c r="BQ75" s="77">
        <f t="shared" si="1"/>
        <v>0</v>
      </c>
      <c r="BS75" s="81" t="str">
        <f>IF(Data_NaamPersoonVastOntslag052="","",Data_NaamPersoonVastOntslag052)</f>
        <v/>
      </c>
      <c r="BV75" s="83" t="str">
        <f>IF(Data_BeeindigingsdatumVastOntslag052="","",Data_BeeindigingsdatumVastOntslag052)</f>
        <v/>
      </c>
      <c r="BY75" s="82" t="str">
        <f>IF(Data_LoonkostenVastOntslag052="","",Data_LoonkostenVastOntslag052)</f>
        <v/>
      </c>
      <c r="CA75" s="76" t="str">
        <f>IF(Data_PersoonAanUitVastOntslag052=-1,"v","")</f>
        <v/>
      </c>
      <c r="CC75" s="76" t="s">
        <v>160</v>
      </c>
      <c r="CH75" s="41">
        <f t="shared" si="7"/>
        <v>0</v>
      </c>
      <c r="CI75" s="41">
        <f t="shared" si="2"/>
        <v>0</v>
      </c>
    </row>
    <row r="76" spans="8:87" s="41" customFormat="1" ht="12.75" x14ac:dyDescent="0.2">
      <c r="H76" s="81" t="str">
        <f>IF(Data_NaamPersoonNatVerloop053="","",Data_NaamPersoonNatVerloop053)</f>
        <v/>
      </c>
      <c r="K76" s="83" t="str">
        <f>IF(Data_BeeindigingsdatumNatVerloop053="","",Data_BeeindigingsdatumNatVerloop053)</f>
        <v/>
      </c>
      <c r="N76" s="82" t="str">
        <f>IF(Data_LoonkostenNatVerloop053="","",Data_LoonkostenNatVerloop053)</f>
        <v/>
      </c>
      <c r="P76" s="276" t="s">
        <v>160</v>
      </c>
      <c r="R76" s="76" t="s">
        <v>160</v>
      </c>
      <c r="W76" s="41">
        <f t="shared" si="3"/>
        <v>0</v>
      </c>
      <c r="X76" s="77" t="str">
        <f t="shared" si="0"/>
        <v/>
      </c>
      <c r="AG76" s="81" t="str">
        <f>IF(Data_NaamPersoonTijd053="","",Data_NaamPersoonTijd053)</f>
        <v/>
      </c>
      <c r="AJ76" s="83" t="str">
        <f>IF(Data_BeeindigingsdatumTijd053="","",Data_BeeindigingsdatumTijd053)</f>
        <v/>
      </c>
      <c r="AM76" s="82" t="str">
        <f>IF(Data_LoonkostenTijd053="","",Data_LoonkostenTijd053)</f>
        <v/>
      </c>
      <c r="AO76" s="276" t="str">
        <f>IF(Data_PersoonAanUitTijd053=-1,"v","")</f>
        <v/>
      </c>
      <c r="AQ76" s="76" t="s">
        <v>160</v>
      </c>
      <c r="AV76" s="41">
        <f t="shared" si="4"/>
        <v>0</v>
      </c>
      <c r="AW76" s="77">
        <f t="shared" si="5"/>
        <v>0</v>
      </c>
      <c r="BA76" s="81" t="str">
        <f>IF(Data_NaamPersoonVastVrij053="","",Data_NaamPersoonVastVrij053)</f>
        <v/>
      </c>
      <c r="BD76" s="83" t="str">
        <f>IF(Data_BeeindigingsdatumVastVrij053="","",Data_BeeindigingsdatumVastVrij053)</f>
        <v/>
      </c>
      <c r="BG76" s="82" t="str">
        <f>IF(Data_LoonkostenVastVrij053="","",Data_LoonkostenVastVrij053)</f>
        <v/>
      </c>
      <c r="BI76" s="76" t="str">
        <f>IF(Data_PersoonAanUitVastVrij053=-1,"v","")</f>
        <v/>
      </c>
      <c r="BK76" s="76" t="s">
        <v>160</v>
      </c>
      <c r="BP76" s="41">
        <f t="shared" si="6"/>
        <v>0</v>
      </c>
      <c r="BQ76" s="77">
        <f t="shared" si="1"/>
        <v>0</v>
      </c>
      <c r="BS76" s="81" t="str">
        <f>IF(Data_NaamPersoonVastOntslag053="","",Data_NaamPersoonVastOntslag053)</f>
        <v/>
      </c>
      <c r="BV76" s="83" t="str">
        <f>IF(Data_BeeindigingsdatumVastOntslag053="","",Data_BeeindigingsdatumVastOntslag053)</f>
        <v/>
      </c>
      <c r="BY76" s="82" t="str">
        <f>IF(Data_LoonkostenVastOntslag053="","",Data_LoonkostenVastOntslag053)</f>
        <v/>
      </c>
      <c r="CA76" s="76" t="str">
        <f>IF(Data_PersoonAanUitVastOntslag053=-1,"v","")</f>
        <v/>
      </c>
      <c r="CC76" s="76" t="s">
        <v>160</v>
      </c>
      <c r="CH76" s="41">
        <f t="shared" si="7"/>
        <v>0</v>
      </c>
      <c r="CI76" s="41">
        <f t="shared" si="2"/>
        <v>0</v>
      </c>
    </row>
    <row r="77" spans="8:87" s="41" customFormat="1" ht="12.75" x14ac:dyDescent="0.2">
      <c r="H77" s="81" t="str">
        <f>IF(Data_NaamPersoonNatVerloop054="","",Data_NaamPersoonNatVerloop054)</f>
        <v/>
      </c>
      <c r="K77" s="83" t="str">
        <f>IF(Data_BeeindigingsdatumNatVerloop054="","",Data_BeeindigingsdatumNatVerloop054)</f>
        <v/>
      </c>
      <c r="N77" s="82" t="str">
        <f>IF(Data_LoonkostenNatVerloop054="","",Data_LoonkostenNatVerloop054)</f>
        <v/>
      </c>
      <c r="P77" s="276" t="s">
        <v>160</v>
      </c>
      <c r="R77" s="76" t="s">
        <v>160</v>
      </c>
      <c r="W77" s="41">
        <f t="shared" si="3"/>
        <v>0</v>
      </c>
      <c r="X77" s="77" t="str">
        <f t="shared" si="0"/>
        <v/>
      </c>
      <c r="AG77" s="81" t="str">
        <f>IF(Data_NaamPersoonTijd054="","",Data_NaamPersoonTijd054)</f>
        <v/>
      </c>
      <c r="AJ77" s="83" t="str">
        <f>IF(Data_BeeindigingsdatumTijd054="","",Data_BeeindigingsdatumTijd054)</f>
        <v/>
      </c>
      <c r="AM77" s="82" t="str">
        <f>IF(Data_LoonkostenTijd054="","",Data_LoonkostenTijd054)</f>
        <v/>
      </c>
      <c r="AO77" s="276" t="str">
        <f>IF(Data_PersoonAanUitTijd054=-1,"v","")</f>
        <v/>
      </c>
      <c r="AQ77" s="76" t="s">
        <v>160</v>
      </c>
      <c r="AV77" s="41">
        <f t="shared" si="4"/>
        <v>0</v>
      </c>
      <c r="AW77" s="77">
        <f t="shared" si="5"/>
        <v>0</v>
      </c>
      <c r="BA77" s="81" t="str">
        <f>IF(Data_NaamPersoonVastVrij054="","",Data_NaamPersoonVastVrij054)</f>
        <v/>
      </c>
      <c r="BD77" s="83" t="str">
        <f>IF(Data_BeeindigingsdatumVastVrij054="","",Data_BeeindigingsdatumVastVrij054)</f>
        <v/>
      </c>
      <c r="BG77" s="82" t="str">
        <f>IF(Data_LoonkostenVastVrij054="","",Data_LoonkostenVastVrij054)</f>
        <v/>
      </c>
      <c r="BI77" s="76" t="str">
        <f>IF(Data_PersoonAanUitVastVrij054=-1,"v","")</f>
        <v/>
      </c>
      <c r="BK77" s="76" t="s">
        <v>160</v>
      </c>
      <c r="BP77" s="41">
        <f t="shared" si="6"/>
        <v>0</v>
      </c>
      <c r="BQ77" s="77">
        <f t="shared" si="1"/>
        <v>0</v>
      </c>
      <c r="BS77" s="81" t="str">
        <f>IF(Data_NaamPersoonVastOntslag054="","",Data_NaamPersoonVastOntslag054)</f>
        <v/>
      </c>
      <c r="BV77" s="83" t="str">
        <f>IF(Data_BeeindigingsdatumVastOntslag054="","",Data_BeeindigingsdatumVastOntslag054)</f>
        <v/>
      </c>
      <c r="BY77" s="82" t="str">
        <f>IF(Data_LoonkostenVastOntslag054="","",Data_LoonkostenVastOntslag054)</f>
        <v/>
      </c>
      <c r="CA77" s="76" t="str">
        <f>IF(Data_PersoonAanUitVastOntslag054=-1,"v","")</f>
        <v/>
      </c>
      <c r="CC77" s="76" t="s">
        <v>160</v>
      </c>
      <c r="CH77" s="41">
        <f t="shared" si="7"/>
        <v>0</v>
      </c>
      <c r="CI77" s="41">
        <f t="shared" si="2"/>
        <v>0</v>
      </c>
    </row>
    <row r="78" spans="8:87" s="41" customFormat="1" ht="12.75" x14ac:dyDescent="0.2">
      <c r="H78" s="81" t="str">
        <f>IF(Data_NaamPersoonNatVerloop055="","",Data_NaamPersoonNatVerloop055)</f>
        <v/>
      </c>
      <c r="K78" s="83" t="str">
        <f>IF(Data_BeeindigingsdatumNatVerloop055="","",Data_BeeindigingsdatumNatVerloop055)</f>
        <v/>
      </c>
      <c r="N78" s="82" t="str">
        <f>IF(Data_LoonkostenNatVerloop055="","",Data_LoonkostenNatVerloop055)</f>
        <v/>
      </c>
      <c r="P78" s="276" t="s">
        <v>160</v>
      </c>
      <c r="R78" s="76" t="s">
        <v>160</v>
      </c>
      <c r="W78" s="41">
        <f t="shared" si="3"/>
        <v>0</v>
      </c>
      <c r="X78" s="77" t="str">
        <f t="shared" si="0"/>
        <v/>
      </c>
      <c r="AG78" s="81" t="str">
        <f>IF(Data_NaamPersoonTijd055="","",Data_NaamPersoonTijd055)</f>
        <v/>
      </c>
      <c r="AJ78" s="83" t="str">
        <f>IF(Data_BeeindigingsdatumTijd055="","",Data_BeeindigingsdatumTijd055)</f>
        <v/>
      </c>
      <c r="AM78" s="82" t="str">
        <f>IF(Data_LoonkostenTijd055="","",Data_LoonkostenTijd055)</f>
        <v/>
      </c>
      <c r="AO78" s="276" t="str">
        <f>IF(Data_PersoonAanUitTijd055=-1,"v","")</f>
        <v/>
      </c>
      <c r="AQ78" s="76" t="s">
        <v>160</v>
      </c>
      <c r="AV78" s="41">
        <f t="shared" si="4"/>
        <v>0</v>
      </c>
      <c r="AW78" s="77">
        <f t="shared" si="5"/>
        <v>0</v>
      </c>
      <c r="BA78" s="81" t="str">
        <f>IF(Data_NaamPersoonVastVrij055="","",Data_NaamPersoonVastVrij055)</f>
        <v/>
      </c>
      <c r="BD78" s="83" t="str">
        <f>IF(Data_BeeindigingsdatumVastVrij055="","",Data_BeeindigingsdatumVastVrij055)</f>
        <v/>
      </c>
      <c r="BG78" s="82" t="str">
        <f>IF(Data_LoonkostenVastVrij055="","",Data_LoonkostenVastVrij055)</f>
        <v/>
      </c>
      <c r="BI78" s="76" t="str">
        <f>IF(Data_PersoonAanUitVastVrij055=-1,"v","")</f>
        <v/>
      </c>
      <c r="BK78" s="76" t="s">
        <v>160</v>
      </c>
      <c r="BP78" s="41">
        <f t="shared" si="6"/>
        <v>0</v>
      </c>
      <c r="BQ78" s="77">
        <f t="shared" si="1"/>
        <v>0</v>
      </c>
      <c r="BS78" s="81" t="str">
        <f>IF(Data_NaamPersoonVastOntslag055="","",Data_NaamPersoonVastOntslag055)</f>
        <v/>
      </c>
      <c r="BV78" s="83" t="str">
        <f>IF(Data_BeeindigingsdatumVastOntslag055="","",Data_BeeindigingsdatumVastOntslag055)</f>
        <v/>
      </c>
      <c r="BY78" s="82" t="str">
        <f>IF(Data_LoonkostenVastOntslag055="","",Data_LoonkostenVastOntslag055)</f>
        <v/>
      </c>
      <c r="CA78" s="76" t="str">
        <f>IF(Data_PersoonAanUitVastOntslag055=-1,"v","")</f>
        <v/>
      </c>
      <c r="CC78" s="76" t="s">
        <v>160</v>
      </c>
      <c r="CH78" s="41">
        <f t="shared" si="7"/>
        <v>0</v>
      </c>
      <c r="CI78" s="41">
        <f t="shared" si="2"/>
        <v>0</v>
      </c>
    </row>
    <row r="79" spans="8:87" s="41" customFormat="1" ht="12.75" x14ac:dyDescent="0.2">
      <c r="H79" s="81" t="str">
        <f>IF(Data_NaamPersoonNatVerloop056="","",Data_NaamPersoonNatVerloop056)</f>
        <v/>
      </c>
      <c r="K79" s="83" t="str">
        <f>IF(Data_BeeindigingsdatumNatVerloop056="","",Data_BeeindigingsdatumNatVerloop056)</f>
        <v/>
      </c>
      <c r="N79" s="82" t="str">
        <f>IF(Data_LoonkostenNatVerloop056="","",Data_LoonkostenNatVerloop056)</f>
        <v/>
      </c>
      <c r="P79" s="276" t="s">
        <v>160</v>
      </c>
      <c r="R79" s="76" t="s">
        <v>160</v>
      </c>
      <c r="W79" s="41">
        <f t="shared" si="3"/>
        <v>0</v>
      </c>
      <c r="X79" s="77" t="str">
        <f t="shared" si="0"/>
        <v/>
      </c>
      <c r="AG79" s="81" t="str">
        <f>IF(Data_NaamPersoonTijd056="","",Data_NaamPersoonTijd056)</f>
        <v/>
      </c>
      <c r="AJ79" s="83" t="str">
        <f>IF(Data_BeeindigingsdatumTijd056="","",Data_BeeindigingsdatumTijd056)</f>
        <v/>
      </c>
      <c r="AM79" s="82" t="str">
        <f>IF(Data_LoonkostenTijd056="","",Data_LoonkostenTijd056)</f>
        <v/>
      </c>
      <c r="AO79" s="276" t="str">
        <f>IF(Data_PersoonAanUitTijd056=-1,"v","")</f>
        <v/>
      </c>
      <c r="AQ79" s="76" t="s">
        <v>160</v>
      </c>
      <c r="AV79" s="41">
        <f t="shared" si="4"/>
        <v>0</v>
      </c>
      <c r="AW79" s="77">
        <f t="shared" si="5"/>
        <v>0</v>
      </c>
      <c r="BA79" s="81" t="str">
        <f>IF(Data_NaamPersoonVastVrij056="","",Data_NaamPersoonVastVrij056)</f>
        <v/>
      </c>
      <c r="BD79" s="83" t="str">
        <f>IF(Data_BeeindigingsdatumVastVrij056="","",Data_BeeindigingsdatumVastVrij056)</f>
        <v/>
      </c>
      <c r="BG79" s="82" t="str">
        <f>IF(Data_LoonkostenVastVrij056="","",Data_LoonkostenVastVrij056)</f>
        <v/>
      </c>
      <c r="BI79" s="76" t="str">
        <f>IF(Data_PersoonAanUitVastVrij056=-1,"v","")</f>
        <v/>
      </c>
      <c r="BK79" s="76" t="s">
        <v>160</v>
      </c>
      <c r="BP79" s="41">
        <f t="shared" si="6"/>
        <v>0</v>
      </c>
      <c r="BQ79" s="77">
        <f t="shared" si="1"/>
        <v>0</v>
      </c>
      <c r="BS79" s="81" t="str">
        <f>IF(Data_NaamPersoonVastOntslag056="","",Data_NaamPersoonVastOntslag056)</f>
        <v/>
      </c>
      <c r="BV79" s="83" t="str">
        <f>IF(Data_BeeindigingsdatumVastOntslag056="","",Data_BeeindigingsdatumVastOntslag056)</f>
        <v/>
      </c>
      <c r="BY79" s="82" t="str">
        <f>IF(Data_LoonkostenVastOntslag056="","",Data_LoonkostenVastOntslag056)</f>
        <v/>
      </c>
      <c r="CA79" s="76" t="str">
        <f>IF(Data_PersoonAanUitVastOntslag056=-1,"v","")</f>
        <v/>
      </c>
      <c r="CC79" s="76" t="s">
        <v>160</v>
      </c>
      <c r="CH79" s="41">
        <f t="shared" si="7"/>
        <v>0</v>
      </c>
      <c r="CI79" s="41">
        <f t="shared" si="2"/>
        <v>0</v>
      </c>
    </row>
    <row r="80" spans="8:87" s="41" customFormat="1" ht="12.75" x14ac:dyDescent="0.2">
      <c r="H80" s="81" t="str">
        <f>IF(Data_NaamPersoonNatVerloop057="","",Data_NaamPersoonNatVerloop057)</f>
        <v/>
      </c>
      <c r="K80" s="83" t="str">
        <f>IF(Data_BeeindigingsdatumNatVerloop057="","",Data_BeeindigingsdatumNatVerloop057)</f>
        <v/>
      </c>
      <c r="N80" s="82" t="str">
        <f>IF(Data_LoonkostenNatVerloop057="","",Data_LoonkostenNatVerloop057)</f>
        <v/>
      </c>
      <c r="P80" s="276" t="s">
        <v>160</v>
      </c>
      <c r="R80" s="76" t="s">
        <v>160</v>
      </c>
      <c r="W80" s="41">
        <f t="shared" si="3"/>
        <v>0</v>
      </c>
      <c r="X80" s="77" t="str">
        <f t="shared" si="0"/>
        <v/>
      </c>
      <c r="AG80" s="81" t="str">
        <f>IF(Data_NaamPersoonTijd057="","",Data_NaamPersoonTijd057)</f>
        <v/>
      </c>
      <c r="AJ80" s="83" t="str">
        <f>IF(Data_BeeindigingsdatumTijd057="","",Data_BeeindigingsdatumTijd057)</f>
        <v/>
      </c>
      <c r="AM80" s="82" t="str">
        <f>IF(Data_LoonkostenTijd057="","",Data_LoonkostenTijd057)</f>
        <v/>
      </c>
      <c r="AO80" s="276" t="str">
        <f>IF(Data_PersoonAanUitTijd057=-1,"v","")</f>
        <v/>
      </c>
      <c r="AQ80" s="76" t="s">
        <v>160</v>
      </c>
      <c r="AV80" s="41">
        <f t="shared" si="4"/>
        <v>0</v>
      </c>
      <c r="AW80" s="77">
        <f t="shared" si="5"/>
        <v>0</v>
      </c>
      <c r="BA80" s="81" t="str">
        <f>IF(Data_NaamPersoonVastVrij057="","",Data_NaamPersoonVastVrij057)</f>
        <v/>
      </c>
      <c r="BD80" s="83" t="str">
        <f>IF(Data_BeeindigingsdatumVastVrij057="","",Data_BeeindigingsdatumVastVrij057)</f>
        <v/>
      </c>
      <c r="BG80" s="82" t="str">
        <f>IF(Data_LoonkostenVastVrij057="","",Data_LoonkostenVastVrij057)</f>
        <v/>
      </c>
      <c r="BI80" s="76" t="str">
        <f>IF(Data_PersoonAanUitVastVrij057=-1,"v","")</f>
        <v/>
      </c>
      <c r="BK80" s="76" t="s">
        <v>160</v>
      </c>
      <c r="BP80" s="41">
        <f t="shared" si="6"/>
        <v>0</v>
      </c>
      <c r="BQ80" s="77">
        <f t="shared" si="1"/>
        <v>0</v>
      </c>
      <c r="BS80" s="81" t="str">
        <f>IF(Data_NaamPersoonVastOntslag057="","",Data_NaamPersoonVastOntslag057)</f>
        <v/>
      </c>
      <c r="BV80" s="83" t="str">
        <f>IF(Data_BeeindigingsdatumVastOntslag057="","",Data_BeeindigingsdatumVastOntslag057)</f>
        <v/>
      </c>
      <c r="BY80" s="82" t="str">
        <f>IF(Data_LoonkostenVastOntslag057="","",Data_LoonkostenVastOntslag057)</f>
        <v/>
      </c>
      <c r="CA80" s="76" t="str">
        <f>IF(Data_PersoonAanUitVastOntslag057=-1,"v","")</f>
        <v/>
      </c>
      <c r="CC80" s="76" t="s">
        <v>160</v>
      </c>
      <c r="CH80" s="41">
        <f t="shared" si="7"/>
        <v>0</v>
      </c>
      <c r="CI80" s="41">
        <f t="shared" si="2"/>
        <v>0</v>
      </c>
    </row>
    <row r="81" spans="8:87" s="41" customFormat="1" ht="12.75" x14ac:dyDescent="0.2">
      <c r="H81" s="81" t="str">
        <f>IF(Data_NaamPersoonNatVerloop058="","",Data_NaamPersoonNatVerloop058)</f>
        <v/>
      </c>
      <c r="K81" s="83" t="str">
        <f>IF(Data_BeeindigingsdatumNatVerloop058="","",Data_BeeindigingsdatumNatVerloop058)</f>
        <v/>
      </c>
      <c r="N81" s="82" t="str">
        <f>IF(Data_LoonkostenNatVerloop058="","",Data_LoonkostenNatVerloop058)</f>
        <v/>
      </c>
      <c r="P81" s="276" t="s">
        <v>160</v>
      </c>
      <c r="R81" s="76" t="s">
        <v>160</v>
      </c>
      <c r="W81" s="41">
        <f t="shared" si="3"/>
        <v>0</v>
      </c>
      <c r="X81" s="77" t="str">
        <f t="shared" si="0"/>
        <v/>
      </c>
      <c r="AG81" s="81" t="str">
        <f>IF(Data_NaamPersoonTijd058="","",Data_NaamPersoonTijd058)</f>
        <v/>
      </c>
      <c r="AJ81" s="83" t="str">
        <f>IF(Data_BeeindigingsdatumTijd058="","",Data_BeeindigingsdatumTijd058)</f>
        <v/>
      </c>
      <c r="AM81" s="82" t="str">
        <f>IF(Data_LoonkostenTijd058="","",Data_LoonkostenTijd058)</f>
        <v/>
      </c>
      <c r="AO81" s="276" t="str">
        <f>IF(Data_PersoonAanUitTijd058=-1,"v","")</f>
        <v/>
      </c>
      <c r="AQ81" s="76" t="s">
        <v>160</v>
      </c>
      <c r="AV81" s="41">
        <f t="shared" si="4"/>
        <v>0</v>
      </c>
      <c r="AW81" s="77">
        <f t="shared" si="5"/>
        <v>0</v>
      </c>
      <c r="BA81" s="81" t="str">
        <f>IF(Data_NaamPersoonVastVrij058="","",Data_NaamPersoonVastVrij058)</f>
        <v/>
      </c>
      <c r="BD81" s="83" t="str">
        <f>IF(Data_BeeindigingsdatumVastVrij058="","",Data_BeeindigingsdatumVastVrij058)</f>
        <v/>
      </c>
      <c r="BG81" s="82" t="str">
        <f>IF(Data_LoonkostenVastVrij058="","",Data_LoonkostenVastVrij058)</f>
        <v/>
      </c>
      <c r="BI81" s="76" t="str">
        <f>IF(Data_PersoonAanUitVastVrij058=-1,"v","")</f>
        <v/>
      </c>
      <c r="BK81" s="76" t="s">
        <v>160</v>
      </c>
      <c r="BP81" s="41">
        <f t="shared" si="6"/>
        <v>0</v>
      </c>
      <c r="BQ81" s="77">
        <f t="shared" si="1"/>
        <v>0</v>
      </c>
      <c r="BS81" s="81" t="str">
        <f>IF(Data_NaamPersoonVastOntslag058="","",Data_NaamPersoonVastOntslag058)</f>
        <v/>
      </c>
      <c r="BV81" s="83" t="str">
        <f>IF(Data_BeeindigingsdatumVastOntslag058="","",Data_BeeindigingsdatumVastOntslag058)</f>
        <v/>
      </c>
      <c r="BY81" s="82" t="str">
        <f>IF(Data_LoonkostenVastOntslag058="","",Data_LoonkostenVastOntslag058)</f>
        <v/>
      </c>
      <c r="CA81" s="76" t="str">
        <f>IF(Data_PersoonAanUitVastOntslag058=-1,"v","")</f>
        <v/>
      </c>
      <c r="CC81" s="76" t="s">
        <v>160</v>
      </c>
      <c r="CH81" s="41">
        <f t="shared" si="7"/>
        <v>0</v>
      </c>
      <c r="CI81" s="41">
        <f t="shared" si="2"/>
        <v>0</v>
      </c>
    </row>
    <row r="82" spans="8:87" s="41" customFormat="1" ht="12.75" x14ac:dyDescent="0.2">
      <c r="H82" s="81" t="str">
        <f>IF(Data_NaamPersoonNatVerloop059="","",Data_NaamPersoonNatVerloop059)</f>
        <v/>
      </c>
      <c r="K82" s="83" t="str">
        <f>IF(Data_BeeindigingsdatumNatVerloop059="","",Data_BeeindigingsdatumNatVerloop059)</f>
        <v/>
      </c>
      <c r="N82" s="82" t="str">
        <f>IF(Data_LoonkostenNatVerloop059="","",Data_LoonkostenNatVerloop059)</f>
        <v/>
      </c>
      <c r="P82" s="276" t="s">
        <v>160</v>
      </c>
      <c r="R82" s="76" t="s">
        <v>160</v>
      </c>
      <c r="W82" s="41">
        <f t="shared" si="3"/>
        <v>0</v>
      </c>
      <c r="X82" s="77" t="str">
        <f t="shared" si="0"/>
        <v/>
      </c>
      <c r="AG82" s="81" t="str">
        <f>IF(Data_NaamPersoonTijd059="","",Data_NaamPersoonTijd059)</f>
        <v/>
      </c>
      <c r="AJ82" s="83" t="str">
        <f>IF(Data_BeeindigingsdatumTijd059="","",Data_BeeindigingsdatumTijd059)</f>
        <v/>
      </c>
      <c r="AM82" s="82" t="str">
        <f>IF(Data_LoonkostenTijd059="","",Data_LoonkostenTijd059)</f>
        <v/>
      </c>
      <c r="AO82" s="276" t="str">
        <f>IF(Data_PersoonAanUitTijd059=-1,"v","")</f>
        <v/>
      </c>
      <c r="AQ82" s="76" t="s">
        <v>160</v>
      </c>
      <c r="AV82" s="41">
        <f t="shared" si="4"/>
        <v>0</v>
      </c>
      <c r="AW82" s="77">
        <f t="shared" si="5"/>
        <v>0</v>
      </c>
      <c r="BA82" s="81" t="str">
        <f>IF(Data_NaamPersoonVastVrij059="","",Data_NaamPersoonVastVrij059)</f>
        <v/>
      </c>
      <c r="BD82" s="83" t="str">
        <f>IF(Data_BeeindigingsdatumVastVrij059="","",Data_BeeindigingsdatumVastVrij059)</f>
        <v/>
      </c>
      <c r="BG82" s="82" t="str">
        <f>IF(Data_LoonkostenVastVrij059="","",Data_LoonkostenVastVrij059)</f>
        <v/>
      </c>
      <c r="BI82" s="76" t="str">
        <f>IF(Data_PersoonAanUitVastVrij059=-1,"v","")</f>
        <v/>
      </c>
      <c r="BK82" s="76" t="s">
        <v>160</v>
      </c>
      <c r="BP82" s="41">
        <f t="shared" si="6"/>
        <v>0</v>
      </c>
      <c r="BQ82" s="77">
        <f t="shared" si="1"/>
        <v>0</v>
      </c>
      <c r="BS82" s="81" t="str">
        <f>IF(Data_NaamPersoonVastOntslag059="","",Data_NaamPersoonVastOntslag059)</f>
        <v/>
      </c>
      <c r="BV82" s="83" t="str">
        <f>IF(Data_BeeindigingsdatumVastOntslag059="","",Data_BeeindigingsdatumVastOntslag059)</f>
        <v/>
      </c>
      <c r="BY82" s="82" t="str">
        <f>IF(Data_LoonkostenVastOntslag059="","",Data_LoonkostenVastOntslag059)</f>
        <v/>
      </c>
      <c r="CA82" s="76" t="str">
        <f>IF(Data_PersoonAanUitVastOntslag059=-1,"v","")</f>
        <v/>
      </c>
      <c r="CC82" s="76" t="s">
        <v>160</v>
      </c>
      <c r="CH82" s="41">
        <f t="shared" si="7"/>
        <v>0</v>
      </c>
      <c r="CI82" s="41">
        <f t="shared" si="2"/>
        <v>0</v>
      </c>
    </row>
    <row r="83" spans="8:87" s="41" customFormat="1" ht="12.75" x14ac:dyDescent="0.2">
      <c r="H83" s="81" t="str">
        <f>IF(Data_NaamPersoonNatVerloop060="","",Data_NaamPersoonNatVerloop060)</f>
        <v/>
      </c>
      <c r="K83" s="83" t="str">
        <f>IF(Data_BeeindigingsdatumNatVerloop060="","",Data_BeeindigingsdatumNatVerloop060)</f>
        <v/>
      </c>
      <c r="N83" s="82" t="str">
        <f>IF(Data_LoonkostenNatVerloop060="","",Data_LoonkostenNatVerloop060)</f>
        <v/>
      </c>
      <c r="P83" s="276" t="s">
        <v>160</v>
      </c>
      <c r="R83" s="76" t="s">
        <v>160</v>
      </c>
      <c r="W83" s="41">
        <f t="shared" si="3"/>
        <v>0</v>
      </c>
      <c r="X83" s="77" t="str">
        <f t="shared" si="0"/>
        <v/>
      </c>
      <c r="AG83" s="81" t="str">
        <f>IF(Data_NaamPersoonTijd060="","",Data_NaamPersoonTijd060)</f>
        <v/>
      </c>
      <c r="AJ83" s="83" t="str">
        <f>IF(Data_BeeindigingsdatumTijd060="","",Data_BeeindigingsdatumTijd060)</f>
        <v/>
      </c>
      <c r="AM83" s="82" t="str">
        <f>IF(Data_LoonkostenTijd060="","",Data_LoonkostenTijd060)</f>
        <v/>
      </c>
      <c r="AO83" s="276" t="str">
        <f>IF(Data_PersoonAanUitTijd060=-1,"v","")</f>
        <v/>
      </c>
      <c r="AQ83" s="76" t="s">
        <v>160</v>
      </c>
      <c r="AV83" s="41">
        <f t="shared" si="4"/>
        <v>0</v>
      </c>
      <c r="AW83" s="77">
        <f t="shared" si="5"/>
        <v>0</v>
      </c>
      <c r="BA83" s="81" t="str">
        <f>IF(Data_NaamPersoonVastVrij060="","",Data_NaamPersoonVastVrij060)</f>
        <v/>
      </c>
      <c r="BD83" s="83" t="str">
        <f>IF(Data_BeeindigingsdatumVastVrij060="","",Data_BeeindigingsdatumVastVrij060)</f>
        <v/>
      </c>
      <c r="BG83" s="82" t="str">
        <f>IF(Data_LoonkostenVastVrij060="","",Data_LoonkostenVastVrij060)</f>
        <v/>
      </c>
      <c r="BI83" s="76" t="str">
        <f>IF(Data_PersoonAanUitVastVrij060=-1,"v","")</f>
        <v/>
      </c>
      <c r="BK83" s="76" t="s">
        <v>160</v>
      </c>
      <c r="BP83" s="41">
        <f t="shared" si="6"/>
        <v>0</v>
      </c>
      <c r="BQ83" s="77">
        <f t="shared" si="1"/>
        <v>0</v>
      </c>
      <c r="BS83" s="81" t="str">
        <f>IF(Data_NaamPersoonVastOntslag060="","",Data_NaamPersoonVastOntslag060)</f>
        <v/>
      </c>
      <c r="BV83" s="83" t="str">
        <f>IF(Data_BeeindigingsdatumVastOntslag060="","",Data_BeeindigingsdatumVastOntslag060)</f>
        <v/>
      </c>
      <c r="BY83" s="82" t="str">
        <f>IF(Data_LoonkostenVastOntslag060="","",Data_LoonkostenVastOntslag060)</f>
        <v/>
      </c>
      <c r="CA83" s="76" t="str">
        <f>IF(Data_PersoonAanUitVastOntslag060=-1,"v","")</f>
        <v/>
      </c>
      <c r="CC83" s="76" t="s">
        <v>160</v>
      </c>
      <c r="CH83" s="41">
        <f t="shared" si="7"/>
        <v>0</v>
      </c>
      <c r="CI83" s="41">
        <f t="shared" si="2"/>
        <v>0</v>
      </c>
    </row>
    <row r="84" spans="8:87" s="41" customFormat="1" ht="12.75" x14ac:dyDescent="0.2">
      <c r="H84" s="81" t="str">
        <f>IF(Data_NaamPersoonNatVerloop061="","",Data_NaamPersoonNatVerloop061)</f>
        <v/>
      </c>
      <c r="K84" s="83" t="str">
        <f>IF(Data_BeeindigingsdatumNatVerloop061="","",Data_BeeindigingsdatumNatVerloop061)</f>
        <v/>
      </c>
      <c r="N84" s="82" t="str">
        <f>IF(Data_LoonkostenNatVerloop061="","",Data_LoonkostenNatVerloop061)</f>
        <v/>
      </c>
      <c r="P84" s="276" t="s">
        <v>160</v>
      </c>
      <c r="R84" s="76" t="s">
        <v>160</v>
      </c>
      <c r="W84" s="41">
        <f t="shared" si="3"/>
        <v>0</v>
      </c>
      <c r="X84" s="77" t="str">
        <f t="shared" si="0"/>
        <v/>
      </c>
      <c r="AG84" s="81" t="str">
        <f>IF(Data_NaamPersoonTijd061="","",Data_NaamPersoonTijd061)</f>
        <v/>
      </c>
      <c r="AJ84" s="83" t="str">
        <f>IF(Data_BeeindigingsdatumTijd061="","",Data_BeeindigingsdatumTijd061)</f>
        <v/>
      </c>
      <c r="AM84" s="82" t="str">
        <f>IF(Data_LoonkostenTijd061="","",Data_LoonkostenTijd061)</f>
        <v/>
      </c>
      <c r="AO84" s="276" t="str">
        <f>IF(Data_PersoonAanUitTijd061=-1,"v","")</f>
        <v/>
      </c>
      <c r="AQ84" s="76" t="s">
        <v>160</v>
      </c>
      <c r="AV84" s="41">
        <f t="shared" si="4"/>
        <v>0</v>
      </c>
      <c r="AW84" s="77">
        <f t="shared" si="5"/>
        <v>0</v>
      </c>
      <c r="BA84" s="81" t="str">
        <f>IF(Data_NaamPersoonVastVrij061="","",Data_NaamPersoonVastVrij061)</f>
        <v/>
      </c>
      <c r="BD84" s="83" t="str">
        <f>IF(Data_BeeindigingsdatumVastVrij061="","",Data_BeeindigingsdatumVastVrij061)</f>
        <v/>
      </c>
      <c r="BG84" s="82" t="str">
        <f>IF(Data_LoonkostenVastVrij061="","",Data_LoonkostenVastVrij061)</f>
        <v/>
      </c>
      <c r="BI84" s="76" t="str">
        <f>IF(Data_PersoonAanUitVastVrij061=-1,"v","")</f>
        <v/>
      </c>
      <c r="BK84" s="76" t="s">
        <v>160</v>
      </c>
      <c r="BP84" s="41">
        <f t="shared" si="6"/>
        <v>0</v>
      </c>
      <c r="BQ84" s="77">
        <f t="shared" si="1"/>
        <v>0</v>
      </c>
      <c r="BS84" s="81" t="str">
        <f>IF(Data_NaamPersoonVastOntslag061="","",Data_NaamPersoonVastOntslag061)</f>
        <v/>
      </c>
      <c r="BV84" s="83" t="str">
        <f>IF(Data_BeeindigingsdatumVastOntslag061="","",Data_BeeindigingsdatumVastOntslag061)</f>
        <v/>
      </c>
      <c r="BY84" s="82" t="str">
        <f>IF(Data_LoonkostenVastOntslag061="","",Data_LoonkostenVastOntslag061)</f>
        <v/>
      </c>
      <c r="CA84" s="76" t="str">
        <f>IF(Data_PersoonAanUitVastOntslag061=-1,"v","")</f>
        <v/>
      </c>
      <c r="CC84" s="76" t="s">
        <v>160</v>
      </c>
      <c r="CH84" s="41">
        <f t="shared" si="7"/>
        <v>0</v>
      </c>
      <c r="CI84" s="41">
        <f t="shared" si="2"/>
        <v>0</v>
      </c>
    </row>
    <row r="85" spans="8:87" s="41" customFormat="1" ht="12.75" x14ac:dyDescent="0.2">
      <c r="H85" s="81" t="str">
        <f>IF(Data_NaamPersoonNatVerloop062="","",Data_NaamPersoonNatVerloop062)</f>
        <v/>
      </c>
      <c r="K85" s="83" t="str">
        <f>IF(Data_BeeindigingsdatumNatVerloop062="","",Data_BeeindigingsdatumNatVerloop062)</f>
        <v/>
      </c>
      <c r="N85" s="82" t="str">
        <f>IF(Data_LoonkostenNatVerloop062="","",Data_LoonkostenNatVerloop062)</f>
        <v/>
      </c>
      <c r="P85" s="276" t="s">
        <v>160</v>
      </c>
      <c r="R85" s="76" t="s">
        <v>160</v>
      </c>
      <c r="W85" s="41">
        <f t="shared" si="3"/>
        <v>0</v>
      </c>
      <c r="X85" s="77" t="str">
        <f t="shared" si="0"/>
        <v/>
      </c>
      <c r="AG85" s="81" t="str">
        <f>IF(Data_NaamPersoonTijd062="","",Data_NaamPersoonTijd062)</f>
        <v/>
      </c>
      <c r="AJ85" s="83" t="str">
        <f>IF(Data_BeeindigingsdatumTijd062="","",Data_BeeindigingsdatumTijd062)</f>
        <v/>
      </c>
      <c r="AM85" s="82" t="str">
        <f>IF(Data_LoonkostenTijd062="","",Data_LoonkostenTijd062)</f>
        <v/>
      </c>
      <c r="AO85" s="276" t="str">
        <f>IF(Data_PersoonAanUitTijd062=-1,"v","")</f>
        <v/>
      </c>
      <c r="AQ85" s="76" t="s">
        <v>160</v>
      </c>
      <c r="AV85" s="41">
        <f t="shared" si="4"/>
        <v>0</v>
      </c>
      <c r="AW85" s="77">
        <f t="shared" si="5"/>
        <v>0</v>
      </c>
      <c r="BA85" s="81" t="str">
        <f>IF(Data_NaamPersoonVastVrij062="","",Data_NaamPersoonVastVrij062)</f>
        <v/>
      </c>
      <c r="BD85" s="83" t="str">
        <f>IF(Data_BeeindigingsdatumVastVrij062="","",Data_BeeindigingsdatumVastVrij062)</f>
        <v/>
      </c>
      <c r="BG85" s="82" t="str">
        <f>IF(Data_LoonkostenVastVrij062="","",Data_LoonkostenVastVrij062)</f>
        <v/>
      </c>
      <c r="BI85" s="76" t="str">
        <f>IF(Data_PersoonAanUitVastVrij062=-1,"v","")</f>
        <v/>
      </c>
      <c r="BK85" s="76" t="s">
        <v>160</v>
      </c>
      <c r="BP85" s="41">
        <f t="shared" si="6"/>
        <v>0</v>
      </c>
      <c r="BQ85" s="77">
        <f t="shared" si="1"/>
        <v>0</v>
      </c>
      <c r="BS85" s="81" t="str">
        <f>IF(Data_NaamPersoonVastOntslag062="","",Data_NaamPersoonVastOntslag062)</f>
        <v/>
      </c>
      <c r="BV85" s="83" t="str">
        <f>IF(Data_BeeindigingsdatumVastOntslag062="","",Data_BeeindigingsdatumVastOntslag062)</f>
        <v/>
      </c>
      <c r="BY85" s="82" t="str">
        <f>IF(Data_LoonkostenVastOntslag062="","",Data_LoonkostenVastOntslag062)</f>
        <v/>
      </c>
      <c r="CA85" s="76" t="str">
        <f>IF(Data_PersoonAanUitVastOntslag062=-1,"v","")</f>
        <v/>
      </c>
      <c r="CC85" s="76" t="s">
        <v>160</v>
      </c>
      <c r="CH85" s="41">
        <f t="shared" si="7"/>
        <v>0</v>
      </c>
      <c r="CI85" s="41">
        <f t="shared" si="2"/>
        <v>0</v>
      </c>
    </row>
    <row r="86" spans="8:87" s="41" customFormat="1" ht="12.75" x14ac:dyDescent="0.2">
      <c r="H86" s="81" t="str">
        <f>IF(Data_NaamPersoonNatVerloop063="","",Data_NaamPersoonNatVerloop063)</f>
        <v/>
      </c>
      <c r="K86" s="83" t="str">
        <f>IF(Data_BeeindigingsdatumNatVerloop063="","",Data_BeeindigingsdatumNatVerloop063)</f>
        <v/>
      </c>
      <c r="N86" s="82" t="str">
        <f>IF(Data_LoonkostenNatVerloop063="","",Data_LoonkostenNatVerloop063)</f>
        <v/>
      </c>
      <c r="P86" s="276" t="s">
        <v>160</v>
      </c>
      <c r="R86" s="76" t="s">
        <v>160</v>
      </c>
      <c r="W86" s="41">
        <f t="shared" si="3"/>
        <v>0</v>
      </c>
      <c r="X86" s="77" t="str">
        <f t="shared" si="0"/>
        <v/>
      </c>
      <c r="AG86" s="81" t="str">
        <f>IF(Data_NaamPersoonTijd063="","",Data_NaamPersoonTijd063)</f>
        <v/>
      </c>
      <c r="AJ86" s="83" t="str">
        <f>IF(Data_BeeindigingsdatumTijd063="","",Data_BeeindigingsdatumTijd063)</f>
        <v/>
      </c>
      <c r="AM86" s="82" t="str">
        <f>IF(Data_LoonkostenTijd063="","",Data_LoonkostenTijd063)</f>
        <v/>
      </c>
      <c r="AO86" s="276" t="str">
        <f>IF(Data_PersoonAanUitTijd063=-1,"v","")</f>
        <v/>
      </c>
      <c r="AQ86" s="76" t="s">
        <v>160</v>
      </c>
      <c r="AV86" s="41">
        <f t="shared" si="4"/>
        <v>0</v>
      </c>
      <c r="AW86" s="77">
        <f t="shared" si="5"/>
        <v>0</v>
      </c>
      <c r="BA86" s="81" t="str">
        <f>IF(Data_NaamPersoonVastVrij063="","",Data_NaamPersoonVastVrij063)</f>
        <v/>
      </c>
      <c r="BD86" s="83" t="str">
        <f>IF(Data_BeeindigingsdatumVastVrij063="","",Data_BeeindigingsdatumVastVrij063)</f>
        <v/>
      </c>
      <c r="BG86" s="82" t="str">
        <f>IF(Data_LoonkostenVastVrij063="","",Data_LoonkostenVastVrij063)</f>
        <v/>
      </c>
      <c r="BI86" s="76" t="str">
        <f>IF(Data_PersoonAanUitVastVrij063=-1,"v","")</f>
        <v/>
      </c>
      <c r="BK86" s="76" t="s">
        <v>160</v>
      </c>
      <c r="BP86" s="41">
        <f t="shared" si="6"/>
        <v>0</v>
      </c>
      <c r="BQ86" s="77">
        <f t="shared" si="1"/>
        <v>0</v>
      </c>
      <c r="BS86" s="81" t="str">
        <f>IF(Data_NaamPersoonVastOntslag063="","",Data_NaamPersoonVastOntslag063)</f>
        <v/>
      </c>
      <c r="BV86" s="83" t="str">
        <f>IF(Data_BeeindigingsdatumVastOntslag063="","",Data_BeeindigingsdatumVastOntslag063)</f>
        <v/>
      </c>
      <c r="BY86" s="82" t="str">
        <f>IF(Data_LoonkostenVastOntslag063="","",Data_LoonkostenVastOntslag063)</f>
        <v/>
      </c>
      <c r="CA86" s="76" t="str">
        <f>IF(Data_PersoonAanUitVastOntslag063=-1,"v","")</f>
        <v/>
      </c>
      <c r="CC86" s="76" t="s">
        <v>160</v>
      </c>
      <c r="CH86" s="41">
        <f t="shared" si="7"/>
        <v>0</v>
      </c>
      <c r="CI86" s="41">
        <f t="shared" si="2"/>
        <v>0</v>
      </c>
    </row>
    <row r="87" spans="8:87" s="41" customFormat="1" ht="12.75" x14ac:dyDescent="0.2">
      <c r="H87" s="81" t="str">
        <f>IF(Data_NaamPersoonNatVerloop064="","",Data_NaamPersoonNatVerloop064)</f>
        <v/>
      </c>
      <c r="K87" s="83" t="str">
        <f>IF(Data_BeeindigingsdatumNatVerloop064="","",Data_BeeindigingsdatumNatVerloop064)</f>
        <v/>
      </c>
      <c r="N87" s="82" t="str">
        <f>IF(Data_LoonkostenNatVerloop064="","",Data_LoonkostenNatVerloop064)</f>
        <v/>
      </c>
      <c r="P87" s="276" t="s">
        <v>160</v>
      </c>
      <c r="R87" s="76" t="s">
        <v>160</v>
      </c>
      <c r="W87" s="41">
        <f t="shared" si="3"/>
        <v>0</v>
      </c>
      <c r="X87" s="77" t="str">
        <f t="shared" si="0"/>
        <v/>
      </c>
      <c r="AG87" s="81" t="str">
        <f>IF(Data_NaamPersoonTijd064="","",Data_NaamPersoonTijd064)</f>
        <v/>
      </c>
      <c r="AJ87" s="83" t="str">
        <f>IF(Data_BeeindigingsdatumTijd064="","",Data_BeeindigingsdatumTijd064)</f>
        <v/>
      </c>
      <c r="AM87" s="82" t="str">
        <f>IF(Data_LoonkostenTijd064="","",Data_LoonkostenTijd064)</f>
        <v/>
      </c>
      <c r="AO87" s="276" t="str">
        <f>IF(Data_PersoonAanUitTijd064=-1,"v","")</f>
        <v/>
      </c>
      <c r="AQ87" s="76" t="s">
        <v>160</v>
      </c>
      <c r="AV87" s="41">
        <f t="shared" si="4"/>
        <v>0</v>
      </c>
      <c r="AW87" s="77">
        <f t="shared" si="5"/>
        <v>0</v>
      </c>
      <c r="BA87" s="81" t="str">
        <f>IF(Data_NaamPersoonVastVrij064="","",Data_NaamPersoonVastVrij064)</f>
        <v/>
      </c>
      <c r="BD87" s="83" t="str">
        <f>IF(Data_BeeindigingsdatumVastVrij064="","",Data_BeeindigingsdatumVastVrij064)</f>
        <v/>
      </c>
      <c r="BG87" s="82" t="str">
        <f>IF(Data_LoonkostenVastVrij064="","",Data_LoonkostenVastVrij064)</f>
        <v/>
      </c>
      <c r="BI87" s="76" t="str">
        <f>IF(Data_PersoonAanUitVastVrij064=-1,"v","")</f>
        <v/>
      </c>
      <c r="BK87" s="76" t="s">
        <v>160</v>
      </c>
      <c r="BP87" s="41">
        <f t="shared" si="6"/>
        <v>0</v>
      </c>
      <c r="BQ87" s="77">
        <f t="shared" si="1"/>
        <v>0</v>
      </c>
      <c r="BS87" s="81" t="str">
        <f>IF(Data_NaamPersoonVastOntslag064="","",Data_NaamPersoonVastOntslag064)</f>
        <v/>
      </c>
      <c r="BV87" s="83" t="str">
        <f>IF(Data_BeeindigingsdatumVastOntslag064="","",Data_BeeindigingsdatumVastOntslag064)</f>
        <v/>
      </c>
      <c r="BY87" s="82" t="str">
        <f>IF(Data_LoonkostenVastOntslag064="","",Data_LoonkostenVastOntslag064)</f>
        <v/>
      </c>
      <c r="CA87" s="76" t="str">
        <f>IF(Data_PersoonAanUitVastOntslag064=-1,"v","")</f>
        <v/>
      </c>
      <c r="CC87" s="76" t="s">
        <v>160</v>
      </c>
      <c r="CH87" s="41">
        <f t="shared" si="7"/>
        <v>0</v>
      </c>
      <c r="CI87" s="41">
        <f t="shared" si="2"/>
        <v>0</v>
      </c>
    </row>
    <row r="88" spans="8:87" s="41" customFormat="1" ht="12.75" x14ac:dyDescent="0.2">
      <c r="H88" s="81" t="str">
        <f>IF(Data_NaamPersoonNatVerloop065="","",Data_NaamPersoonNatVerloop065)</f>
        <v/>
      </c>
      <c r="K88" s="83" t="str">
        <f>IF(Data_BeeindigingsdatumNatVerloop065="","",Data_BeeindigingsdatumNatVerloop065)</f>
        <v/>
      </c>
      <c r="N88" s="82" t="str">
        <f>IF(Data_LoonkostenNatVerloop065="","",Data_LoonkostenNatVerloop065)</f>
        <v/>
      </c>
      <c r="P88" s="276" t="s">
        <v>160</v>
      </c>
      <c r="R88" s="76" t="s">
        <v>160</v>
      </c>
      <c r="W88" s="41">
        <f t="shared" ref="W88:W151" si="8">IF($AO88="v",M88,T88)</f>
        <v>0</v>
      </c>
      <c r="X88" s="77" t="str">
        <f t="shared" si="0"/>
        <v/>
      </c>
      <c r="AG88" s="81" t="str">
        <f>IF(Data_NaamPersoonTijd065="","",Data_NaamPersoonTijd065)</f>
        <v/>
      </c>
      <c r="AJ88" s="83" t="str">
        <f>IF(Data_BeeindigingsdatumTijd065="","",Data_BeeindigingsdatumTijd065)</f>
        <v/>
      </c>
      <c r="AM88" s="82" t="str">
        <f>IF(Data_LoonkostenTijd065="","",Data_LoonkostenTijd065)</f>
        <v/>
      </c>
      <c r="AO88" s="276" t="str">
        <f>IF(Data_PersoonAanUitTijd065=-1,"v","")</f>
        <v/>
      </c>
      <c r="AQ88" s="76" t="s">
        <v>160</v>
      </c>
      <c r="AV88" s="41">
        <f t="shared" ref="AV88:AV151" si="9">IF($AO88="v",AL88,AS88)</f>
        <v>0</v>
      </c>
      <c r="AW88" s="77">
        <f t="shared" ref="AW88:AW151" si="10">IF(AND($AO88="v",$AQ88="v"),AM88,IF(AND($AO88="v",$AQ88&lt;&gt;"v"),AT88,0))</f>
        <v>0</v>
      </c>
      <c r="BA88" s="81" t="str">
        <f>IF(Data_NaamPersoonVastVrij065="","",Data_NaamPersoonVastVrij065)</f>
        <v/>
      </c>
      <c r="BD88" s="83" t="str">
        <f>IF(Data_BeeindigingsdatumVastVrij065="","",Data_BeeindigingsdatumVastVrij065)</f>
        <v/>
      </c>
      <c r="BG88" s="82" t="str">
        <f>IF(Data_LoonkostenVastVrij065="","",Data_LoonkostenVastVrij065)</f>
        <v/>
      </c>
      <c r="BI88" s="76" t="str">
        <f>IF(Data_PersoonAanUitVastVrij065=-1,"v","")</f>
        <v/>
      </c>
      <c r="BK88" s="76" t="s">
        <v>160</v>
      </c>
      <c r="BP88" s="41">
        <f t="shared" ref="BP88:BP151" si="11">IF($BI88="v",BF88,BM88)</f>
        <v>0</v>
      </c>
      <c r="BQ88" s="77">
        <f t="shared" ref="BQ88:BQ151" si="12">IF(AND($BI88="v",$BK88="v"),BG88,IF(AND($BI88="v",$BK88&lt;&gt;"v"),BN88,0))</f>
        <v>0</v>
      </c>
      <c r="BS88" s="81" t="str">
        <f>IF(Data_NaamPersoonVastOntslag065="","",Data_NaamPersoonVastOntslag065)</f>
        <v/>
      </c>
      <c r="BV88" s="83" t="str">
        <f>IF(Data_BeeindigingsdatumVastOntslag065="","",Data_BeeindigingsdatumVastOntslag065)</f>
        <v/>
      </c>
      <c r="BY88" s="82" t="str">
        <f>IF(Data_LoonkostenVastOntslag065="","",Data_LoonkostenVastOntslag065)</f>
        <v/>
      </c>
      <c r="CA88" s="76" t="str">
        <f>IF(Data_PersoonAanUitVastOntslag065=-1,"v","")</f>
        <v/>
      </c>
      <c r="CC88" s="76" t="s">
        <v>160</v>
      </c>
      <c r="CH88" s="41">
        <f t="shared" si="7"/>
        <v>0</v>
      </c>
      <c r="CI88" s="41">
        <f t="shared" ref="CI88:CI151" si="13">IF(AND($CA88="v",$CC88="v"),BY88,IF(AND($CA88="v",$CC88&lt;&gt;"v"),CF87,0))</f>
        <v>0</v>
      </c>
    </row>
    <row r="89" spans="8:87" s="41" customFormat="1" ht="12.75" x14ac:dyDescent="0.2">
      <c r="H89" s="81" t="str">
        <f>IF(Data_NaamPersoonNatVerloop066="","",Data_NaamPersoonNatVerloop066)</f>
        <v/>
      </c>
      <c r="K89" s="83" t="str">
        <f>IF(Data_BeeindigingsdatumNatVerloop066="","",Data_BeeindigingsdatumNatVerloop066)</f>
        <v/>
      </c>
      <c r="N89" s="82" t="str">
        <f>IF(Data_LoonkostenNatVerloop066="","",Data_LoonkostenNatVerloop066)</f>
        <v/>
      </c>
      <c r="P89" s="276" t="s">
        <v>160</v>
      </c>
      <c r="R89" s="76" t="s">
        <v>160</v>
      </c>
      <c r="W89" s="41">
        <f t="shared" si="8"/>
        <v>0</v>
      </c>
      <c r="X89" s="77" t="str">
        <f t="shared" ref="X89:X152" si="14">IF(AND($P89="v",$R89="v"),N89,IF(AND($P89="v",$R89&lt;&gt;"v"),U89,0))</f>
        <v/>
      </c>
      <c r="AG89" s="81" t="str">
        <f>IF(Data_NaamPersoonTijd066="","",Data_NaamPersoonTijd066)</f>
        <v/>
      </c>
      <c r="AJ89" s="83" t="str">
        <f>IF(Data_BeeindigingsdatumTijd066="","",Data_BeeindigingsdatumTijd066)</f>
        <v/>
      </c>
      <c r="AM89" s="82" t="str">
        <f>IF(Data_LoonkostenTijd066="","",Data_LoonkostenTijd066)</f>
        <v/>
      </c>
      <c r="AO89" s="276" t="str">
        <f>IF(Data_PersoonAanUitTijd066=-1,"v","")</f>
        <v/>
      </c>
      <c r="AQ89" s="76" t="s">
        <v>160</v>
      </c>
      <c r="AV89" s="41">
        <f t="shared" si="9"/>
        <v>0</v>
      </c>
      <c r="AW89" s="77">
        <f t="shared" si="10"/>
        <v>0</v>
      </c>
      <c r="BA89" s="81" t="str">
        <f>IF(Data_NaamPersoonVastVrij066="","",Data_NaamPersoonVastVrij066)</f>
        <v/>
      </c>
      <c r="BD89" s="83" t="str">
        <f>IF(Data_BeeindigingsdatumVastVrij066="","",Data_BeeindigingsdatumVastVrij066)</f>
        <v/>
      </c>
      <c r="BG89" s="82" t="str">
        <f>IF(Data_LoonkostenVastVrij066="","",Data_LoonkostenVastVrij066)</f>
        <v/>
      </c>
      <c r="BI89" s="76" t="str">
        <f>IF(Data_PersoonAanUitVastVrij066=-1,"v","")</f>
        <v/>
      </c>
      <c r="BK89" s="76" t="s">
        <v>160</v>
      </c>
      <c r="BP89" s="41">
        <f t="shared" si="11"/>
        <v>0</v>
      </c>
      <c r="BQ89" s="77">
        <f t="shared" si="12"/>
        <v>0</v>
      </c>
      <c r="BS89" s="81" t="str">
        <f>IF(Data_NaamPersoonVastOntslag066="","",Data_NaamPersoonVastOntslag066)</f>
        <v/>
      </c>
      <c r="BV89" s="83" t="str">
        <f>IF(Data_BeeindigingsdatumVastOntslag066="","",Data_BeeindigingsdatumVastOntslag066)</f>
        <v/>
      </c>
      <c r="BY89" s="82" t="str">
        <f>IF(Data_LoonkostenVastOntslag066="","",Data_LoonkostenVastOntslag066)</f>
        <v/>
      </c>
      <c r="CA89" s="76" t="str">
        <f>IF(Data_PersoonAanUitVastOntslag066=-1,"v","")</f>
        <v/>
      </c>
      <c r="CC89" s="76" t="s">
        <v>160</v>
      </c>
      <c r="CH89" s="41">
        <f t="shared" ref="CH89:CH152" si="15">IF($CA89="v",BX89,CE89)</f>
        <v>0</v>
      </c>
      <c r="CI89" s="41">
        <f t="shared" si="13"/>
        <v>0</v>
      </c>
    </row>
    <row r="90" spans="8:87" s="41" customFormat="1" ht="12.75" x14ac:dyDescent="0.2">
      <c r="H90" s="81" t="str">
        <f>IF(Data_NaamPersoonNatVerloop067="","",Data_NaamPersoonNatVerloop067)</f>
        <v/>
      </c>
      <c r="K90" s="83" t="str">
        <f>IF(Data_BeeindigingsdatumNatVerloop067="","",Data_BeeindigingsdatumNatVerloop067)</f>
        <v/>
      </c>
      <c r="N90" s="82" t="str">
        <f>IF(Data_LoonkostenNatVerloop067="","",Data_LoonkostenNatVerloop067)</f>
        <v/>
      </c>
      <c r="P90" s="276" t="s">
        <v>160</v>
      </c>
      <c r="R90" s="76" t="s">
        <v>160</v>
      </c>
      <c r="W90" s="41">
        <f t="shared" si="8"/>
        <v>0</v>
      </c>
      <c r="X90" s="77" t="str">
        <f t="shared" si="14"/>
        <v/>
      </c>
      <c r="AG90" s="81" t="str">
        <f>IF(Data_NaamPersoonTijd067="","",Data_NaamPersoonTijd067)</f>
        <v/>
      </c>
      <c r="AJ90" s="83" t="str">
        <f>IF(Data_BeeindigingsdatumTijd067="","",Data_BeeindigingsdatumTijd067)</f>
        <v/>
      </c>
      <c r="AM90" s="82" t="str">
        <f>IF(Data_LoonkostenTijd067="","",Data_LoonkostenTijd067)</f>
        <v/>
      </c>
      <c r="AO90" s="276" t="str">
        <f>IF(Data_PersoonAanUitTijd067=-1,"v","")</f>
        <v/>
      </c>
      <c r="AQ90" s="76" t="s">
        <v>160</v>
      </c>
      <c r="AV90" s="41">
        <f t="shared" si="9"/>
        <v>0</v>
      </c>
      <c r="AW90" s="77">
        <f t="shared" si="10"/>
        <v>0</v>
      </c>
      <c r="BA90" s="81" t="str">
        <f>IF(Data_NaamPersoonVastVrij067="","",Data_NaamPersoonVastVrij067)</f>
        <v/>
      </c>
      <c r="BD90" s="83" t="str">
        <f>IF(Data_BeeindigingsdatumVastVrij067="","",Data_BeeindigingsdatumVastVrij067)</f>
        <v/>
      </c>
      <c r="BG90" s="82" t="str">
        <f>IF(Data_LoonkostenVastVrij067="","",Data_LoonkostenVastVrij067)</f>
        <v/>
      </c>
      <c r="BI90" s="76" t="str">
        <f>IF(Data_PersoonAanUitVastVrij067=-1,"v","")</f>
        <v/>
      </c>
      <c r="BK90" s="76" t="s">
        <v>160</v>
      </c>
      <c r="BP90" s="41">
        <f t="shared" si="11"/>
        <v>0</v>
      </c>
      <c r="BQ90" s="77">
        <f t="shared" si="12"/>
        <v>0</v>
      </c>
      <c r="BS90" s="81" t="str">
        <f>IF(Data_NaamPersoonVastOntslag067="","",Data_NaamPersoonVastOntslag067)</f>
        <v/>
      </c>
      <c r="BV90" s="83" t="str">
        <f>IF(Data_BeeindigingsdatumVastOntslag067="","",Data_BeeindigingsdatumVastOntslag067)</f>
        <v/>
      </c>
      <c r="BY90" s="82" t="str">
        <f>IF(Data_LoonkostenVastOntslag067="","",Data_LoonkostenVastOntslag067)</f>
        <v/>
      </c>
      <c r="CA90" s="76" t="str">
        <f>IF(Data_PersoonAanUitVastOntslag067=-1,"v","")</f>
        <v/>
      </c>
      <c r="CC90" s="76" t="s">
        <v>160</v>
      </c>
      <c r="CH90" s="41">
        <f t="shared" si="15"/>
        <v>0</v>
      </c>
      <c r="CI90" s="41">
        <f t="shared" si="13"/>
        <v>0</v>
      </c>
    </row>
    <row r="91" spans="8:87" s="41" customFormat="1" ht="12.75" x14ac:dyDescent="0.2">
      <c r="H91" s="81" t="str">
        <f>IF(Data_NaamPersoonNatVerloop068="","",Data_NaamPersoonNatVerloop068)</f>
        <v/>
      </c>
      <c r="K91" s="83" t="str">
        <f>IF(Data_BeeindigingsdatumNatVerloop068="","",Data_BeeindigingsdatumNatVerloop068)</f>
        <v/>
      </c>
      <c r="N91" s="82" t="str">
        <f>IF(Data_LoonkostenNatVerloop068="","",Data_LoonkostenNatVerloop068)</f>
        <v/>
      </c>
      <c r="P91" s="276" t="s">
        <v>160</v>
      </c>
      <c r="R91" s="76" t="s">
        <v>160</v>
      </c>
      <c r="W91" s="41">
        <f t="shared" si="8"/>
        <v>0</v>
      </c>
      <c r="X91" s="77" t="str">
        <f t="shared" si="14"/>
        <v/>
      </c>
      <c r="AG91" s="81" t="str">
        <f>IF(Data_NaamPersoonTijd068="","",Data_NaamPersoonTijd068)</f>
        <v/>
      </c>
      <c r="AJ91" s="83" t="str">
        <f>IF(Data_BeeindigingsdatumTijd068="","",Data_BeeindigingsdatumTijd068)</f>
        <v/>
      </c>
      <c r="AM91" s="82" t="str">
        <f>IF(Data_LoonkostenTijd068="","",Data_LoonkostenTijd068)</f>
        <v/>
      </c>
      <c r="AO91" s="276" t="str">
        <f>IF(Data_PersoonAanUitTijd068=-1,"v","")</f>
        <v/>
      </c>
      <c r="AQ91" s="76" t="s">
        <v>160</v>
      </c>
      <c r="AV91" s="41">
        <f t="shared" si="9"/>
        <v>0</v>
      </c>
      <c r="AW91" s="77">
        <f t="shared" si="10"/>
        <v>0</v>
      </c>
      <c r="BA91" s="81" t="str">
        <f>IF(Data_NaamPersoonVastVrij068="","",Data_NaamPersoonVastVrij068)</f>
        <v/>
      </c>
      <c r="BD91" s="83" t="str">
        <f>IF(Data_BeeindigingsdatumVastVrij068="","",Data_BeeindigingsdatumVastVrij068)</f>
        <v/>
      </c>
      <c r="BG91" s="82" t="str">
        <f>IF(Data_LoonkostenVastVrij068="","",Data_LoonkostenVastVrij068)</f>
        <v/>
      </c>
      <c r="BI91" s="76" t="str">
        <f>IF(Data_PersoonAanUitVastVrij068=-1,"v","")</f>
        <v/>
      </c>
      <c r="BK91" s="76" t="s">
        <v>160</v>
      </c>
      <c r="BP91" s="41">
        <f t="shared" si="11"/>
        <v>0</v>
      </c>
      <c r="BQ91" s="77">
        <f t="shared" si="12"/>
        <v>0</v>
      </c>
      <c r="BS91" s="81" t="str">
        <f>IF(Data_NaamPersoonVastOntslag068="","",Data_NaamPersoonVastOntslag068)</f>
        <v/>
      </c>
      <c r="BV91" s="83" t="str">
        <f>IF(Data_BeeindigingsdatumVastOntslag068="","",Data_BeeindigingsdatumVastOntslag068)</f>
        <v/>
      </c>
      <c r="BY91" s="82" t="str">
        <f>IF(Data_LoonkostenVastOntslag068="","",Data_LoonkostenVastOntslag068)</f>
        <v/>
      </c>
      <c r="CA91" s="76" t="str">
        <f>IF(Data_PersoonAanUitVastOntslag068=-1,"v","")</f>
        <v/>
      </c>
      <c r="CC91" s="76" t="s">
        <v>160</v>
      </c>
      <c r="CH91" s="41">
        <f t="shared" si="15"/>
        <v>0</v>
      </c>
      <c r="CI91" s="41">
        <f t="shared" si="13"/>
        <v>0</v>
      </c>
    </row>
    <row r="92" spans="8:87" s="41" customFormat="1" ht="12.75" x14ac:dyDescent="0.2">
      <c r="H92" s="81" t="str">
        <f>IF(Data_NaamPersoonNatVerloop069="","",Data_NaamPersoonNatVerloop069)</f>
        <v/>
      </c>
      <c r="K92" s="83" t="str">
        <f>IF(Data_BeeindigingsdatumNatVerloop069="","",Data_BeeindigingsdatumNatVerloop069)</f>
        <v/>
      </c>
      <c r="N92" s="82" t="str">
        <f>IF(Data_LoonkostenNatVerloop069="","",Data_LoonkostenNatVerloop069)</f>
        <v/>
      </c>
      <c r="P92" s="276" t="s">
        <v>160</v>
      </c>
      <c r="R92" s="76" t="s">
        <v>160</v>
      </c>
      <c r="W92" s="41">
        <f t="shared" si="8"/>
        <v>0</v>
      </c>
      <c r="X92" s="77" t="str">
        <f t="shared" si="14"/>
        <v/>
      </c>
      <c r="AG92" s="81" t="str">
        <f>IF(Data_NaamPersoonTijd069="","",Data_NaamPersoonTijd069)</f>
        <v/>
      </c>
      <c r="AJ92" s="83" t="str">
        <f>IF(Data_BeeindigingsdatumTijd069="","",Data_BeeindigingsdatumTijd069)</f>
        <v/>
      </c>
      <c r="AM92" s="82" t="str">
        <f>IF(Data_LoonkostenTijd069="","",Data_LoonkostenTijd069)</f>
        <v/>
      </c>
      <c r="AO92" s="276" t="str">
        <f>IF(Data_PersoonAanUitTijd069=-1,"v","")</f>
        <v/>
      </c>
      <c r="AQ92" s="76" t="s">
        <v>160</v>
      </c>
      <c r="AV92" s="41">
        <f t="shared" si="9"/>
        <v>0</v>
      </c>
      <c r="AW92" s="77">
        <f t="shared" si="10"/>
        <v>0</v>
      </c>
      <c r="BA92" s="81" t="str">
        <f>IF(Data_NaamPersoonVastVrij069="","",Data_NaamPersoonVastVrij069)</f>
        <v/>
      </c>
      <c r="BD92" s="83" t="str">
        <f>IF(Data_BeeindigingsdatumVastVrij069="","",Data_BeeindigingsdatumVastVrij069)</f>
        <v/>
      </c>
      <c r="BG92" s="82" t="str">
        <f>IF(Data_LoonkostenVastVrij069="","",Data_LoonkostenVastVrij069)</f>
        <v/>
      </c>
      <c r="BI92" s="76" t="str">
        <f>IF(Data_PersoonAanUitVastVrij069=-1,"v","")</f>
        <v/>
      </c>
      <c r="BK92" s="76" t="s">
        <v>160</v>
      </c>
      <c r="BP92" s="41">
        <f t="shared" si="11"/>
        <v>0</v>
      </c>
      <c r="BQ92" s="77">
        <f t="shared" si="12"/>
        <v>0</v>
      </c>
      <c r="BS92" s="81" t="str">
        <f>IF(Data_NaamPersoonVastOntslag069="","",Data_NaamPersoonVastOntslag069)</f>
        <v/>
      </c>
      <c r="BV92" s="83" t="str">
        <f>IF(Data_BeeindigingsdatumVastOntslag069="","",Data_BeeindigingsdatumVastOntslag069)</f>
        <v/>
      </c>
      <c r="BY92" s="82" t="str">
        <f>IF(Data_LoonkostenVastOntslag069="","",Data_LoonkostenVastOntslag069)</f>
        <v/>
      </c>
      <c r="CA92" s="76" t="str">
        <f>IF(Data_PersoonAanUitVastOntslag069=-1,"v","")</f>
        <v/>
      </c>
      <c r="CC92" s="76" t="s">
        <v>160</v>
      </c>
      <c r="CH92" s="41">
        <f t="shared" si="15"/>
        <v>0</v>
      </c>
      <c r="CI92" s="41">
        <f t="shared" si="13"/>
        <v>0</v>
      </c>
    </row>
    <row r="93" spans="8:87" s="41" customFormat="1" ht="12.75" x14ac:dyDescent="0.2">
      <c r="H93" s="81" t="str">
        <f>IF(Data_NaamPersoonNatVerloop070="","",Data_NaamPersoonNatVerloop070)</f>
        <v/>
      </c>
      <c r="K93" s="83" t="str">
        <f>IF(Data_BeeindigingsdatumNatVerloop070="","",Data_BeeindigingsdatumNatVerloop070)</f>
        <v/>
      </c>
      <c r="N93" s="82" t="str">
        <f>IF(Data_LoonkostenNatVerloop070="","",Data_LoonkostenNatVerloop070)</f>
        <v/>
      </c>
      <c r="P93" s="276" t="s">
        <v>160</v>
      </c>
      <c r="R93" s="76" t="s">
        <v>160</v>
      </c>
      <c r="W93" s="41">
        <f t="shared" si="8"/>
        <v>0</v>
      </c>
      <c r="X93" s="77" t="str">
        <f t="shared" si="14"/>
        <v/>
      </c>
      <c r="AG93" s="81" t="str">
        <f>IF(Data_NaamPersoonTijd070="","",Data_NaamPersoonTijd070)</f>
        <v/>
      </c>
      <c r="AJ93" s="83" t="str">
        <f>IF(Data_BeeindigingsdatumTijd070="","",Data_BeeindigingsdatumTijd070)</f>
        <v/>
      </c>
      <c r="AM93" s="82" t="str">
        <f>IF(Data_LoonkostenTijd070="","",Data_LoonkostenTijd070)</f>
        <v/>
      </c>
      <c r="AO93" s="276" t="str">
        <f>IF(Data_PersoonAanUitTijd070=-1,"v","")</f>
        <v/>
      </c>
      <c r="AQ93" s="76" t="s">
        <v>160</v>
      </c>
      <c r="AV93" s="41">
        <f t="shared" si="9"/>
        <v>0</v>
      </c>
      <c r="AW93" s="77">
        <f t="shared" si="10"/>
        <v>0</v>
      </c>
      <c r="BA93" s="81" t="str">
        <f>IF(Data_NaamPersoonVastVrij070="","",Data_NaamPersoonVastVrij070)</f>
        <v/>
      </c>
      <c r="BD93" s="83" t="str">
        <f>IF(Data_BeeindigingsdatumVastVrij070="","",Data_BeeindigingsdatumVastVrij070)</f>
        <v/>
      </c>
      <c r="BG93" s="82" t="str">
        <f>IF(Data_LoonkostenVastVrij070="","",Data_LoonkostenVastVrij070)</f>
        <v/>
      </c>
      <c r="BI93" s="76" t="str">
        <f>IF(Data_PersoonAanUitVastVrij070=-1,"v","")</f>
        <v/>
      </c>
      <c r="BK93" s="76" t="s">
        <v>160</v>
      </c>
      <c r="BP93" s="41">
        <f t="shared" si="11"/>
        <v>0</v>
      </c>
      <c r="BQ93" s="77">
        <f t="shared" si="12"/>
        <v>0</v>
      </c>
      <c r="BS93" s="81" t="str">
        <f>IF(Data_NaamPersoonVastOntslag070="","",Data_NaamPersoonVastOntslag070)</f>
        <v/>
      </c>
      <c r="BV93" s="83" t="str">
        <f>IF(Data_BeeindigingsdatumVastOntslag070="","",Data_BeeindigingsdatumVastOntslag070)</f>
        <v/>
      </c>
      <c r="BY93" s="82" t="str">
        <f>IF(Data_LoonkostenVastOntslag070="","",Data_LoonkostenVastOntslag070)</f>
        <v/>
      </c>
      <c r="CA93" s="76" t="str">
        <f>IF(Data_PersoonAanUitVastOntslag070=-1,"v","")</f>
        <v/>
      </c>
      <c r="CC93" s="76" t="s">
        <v>160</v>
      </c>
      <c r="CH93" s="41">
        <f t="shared" si="15"/>
        <v>0</v>
      </c>
      <c r="CI93" s="41">
        <f t="shared" si="13"/>
        <v>0</v>
      </c>
    </row>
    <row r="94" spans="8:87" s="41" customFormat="1" ht="12.75" x14ac:dyDescent="0.2">
      <c r="H94" s="81" t="str">
        <f>IF(Data_NaamPersoonNatVerloop071="","",Data_NaamPersoonNatVerloop071)</f>
        <v/>
      </c>
      <c r="K94" s="83" t="str">
        <f>IF(Data_BeeindigingsdatumNatVerloop071="","",Data_BeeindigingsdatumNatVerloop071)</f>
        <v/>
      </c>
      <c r="N94" s="82" t="str">
        <f>IF(Data_LoonkostenNatVerloop071="","",Data_LoonkostenNatVerloop071)</f>
        <v/>
      </c>
      <c r="P94" s="276" t="s">
        <v>160</v>
      </c>
      <c r="R94" s="76" t="s">
        <v>160</v>
      </c>
      <c r="W94" s="41">
        <f t="shared" si="8"/>
        <v>0</v>
      </c>
      <c r="X94" s="77" t="str">
        <f t="shared" si="14"/>
        <v/>
      </c>
      <c r="AG94" s="81" t="str">
        <f>IF(Data_NaamPersoonTijd071="","",Data_NaamPersoonTijd071)</f>
        <v/>
      </c>
      <c r="AJ94" s="83" t="str">
        <f>IF(Data_BeeindigingsdatumTijd071="","",Data_BeeindigingsdatumTijd071)</f>
        <v/>
      </c>
      <c r="AM94" s="82" t="str">
        <f>IF(Data_LoonkostenTijd071="","",Data_LoonkostenTijd071)</f>
        <v/>
      </c>
      <c r="AO94" s="276" t="str">
        <f>IF(Data_PersoonAanUitTijd071=-1,"v","")</f>
        <v/>
      </c>
      <c r="AQ94" s="76" t="s">
        <v>160</v>
      </c>
      <c r="AV94" s="41">
        <f t="shared" si="9"/>
        <v>0</v>
      </c>
      <c r="AW94" s="77">
        <f t="shared" si="10"/>
        <v>0</v>
      </c>
      <c r="BA94" s="81" t="str">
        <f>IF(Data_NaamPersoonVastVrij071="","",Data_NaamPersoonVastVrij071)</f>
        <v/>
      </c>
      <c r="BD94" s="83" t="str">
        <f>IF(Data_BeeindigingsdatumVastVrij071="","",Data_BeeindigingsdatumVastVrij071)</f>
        <v/>
      </c>
      <c r="BG94" s="82" t="str">
        <f>IF(Data_LoonkostenVastVrij071="","",Data_LoonkostenVastVrij071)</f>
        <v/>
      </c>
      <c r="BI94" s="76" t="str">
        <f>IF(Data_PersoonAanUitVastVrij071=-1,"v","")</f>
        <v/>
      </c>
      <c r="BK94" s="76" t="s">
        <v>160</v>
      </c>
      <c r="BP94" s="41">
        <f t="shared" si="11"/>
        <v>0</v>
      </c>
      <c r="BQ94" s="77">
        <f t="shared" si="12"/>
        <v>0</v>
      </c>
      <c r="BS94" s="81" t="str">
        <f>IF(Data_NaamPersoonVastOntslag071="","",Data_NaamPersoonVastOntslag071)</f>
        <v/>
      </c>
      <c r="BV94" s="83" t="str">
        <f>IF(Data_BeeindigingsdatumVastOntslag071="","",Data_BeeindigingsdatumVastOntslag071)</f>
        <v/>
      </c>
      <c r="BY94" s="82" t="str">
        <f>IF(Data_LoonkostenVastOntslag071="","",Data_LoonkostenVastOntslag071)</f>
        <v/>
      </c>
      <c r="CA94" s="76" t="str">
        <f>IF(Data_PersoonAanUitVastOntslag071=-1,"v","")</f>
        <v/>
      </c>
      <c r="CC94" s="76" t="s">
        <v>160</v>
      </c>
      <c r="CH94" s="41">
        <f t="shared" si="15"/>
        <v>0</v>
      </c>
      <c r="CI94" s="41">
        <f t="shared" si="13"/>
        <v>0</v>
      </c>
    </row>
    <row r="95" spans="8:87" s="41" customFormat="1" ht="12.75" x14ac:dyDescent="0.2">
      <c r="H95" s="81" t="str">
        <f>IF(Data_NaamPersoonNatVerloop072="","",Data_NaamPersoonNatVerloop072)</f>
        <v/>
      </c>
      <c r="K95" s="83" t="str">
        <f>IF(Data_BeeindigingsdatumNatVerloop072="","",Data_BeeindigingsdatumNatVerloop072)</f>
        <v/>
      </c>
      <c r="N95" s="82" t="str">
        <f>IF(Data_LoonkostenNatVerloop072="","",Data_LoonkostenNatVerloop072)</f>
        <v/>
      </c>
      <c r="P95" s="276" t="s">
        <v>160</v>
      </c>
      <c r="R95" s="76" t="s">
        <v>160</v>
      </c>
      <c r="W95" s="41">
        <f t="shared" si="8"/>
        <v>0</v>
      </c>
      <c r="X95" s="77" t="str">
        <f t="shared" si="14"/>
        <v/>
      </c>
      <c r="AG95" s="81" t="str">
        <f>IF(Data_NaamPersoonTijd072="","",Data_NaamPersoonTijd072)</f>
        <v/>
      </c>
      <c r="AJ95" s="83" t="str">
        <f>IF(Data_BeeindigingsdatumTijd072="","",Data_BeeindigingsdatumTijd072)</f>
        <v/>
      </c>
      <c r="AM95" s="82" t="str">
        <f>IF(Data_LoonkostenTijd072="","",Data_LoonkostenTijd072)</f>
        <v/>
      </c>
      <c r="AO95" s="276" t="str">
        <f>IF(Data_PersoonAanUitTijd072=-1,"v","")</f>
        <v/>
      </c>
      <c r="AQ95" s="76" t="s">
        <v>160</v>
      </c>
      <c r="AV95" s="41">
        <f t="shared" si="9"/>
        <v>0</v>
      </c>
      <c r="AW95" s="77">
        <f t="shared" si="10"/>
        <v>0</v>
      </c>
      <c r="BA95" s="81" t="str">
        <f>IF(Data_NaamPersoonVastVrij072="","",Data_NaamPersoonVastVrij072)</f>
        <v/>
      </c>
      <c r="BD95" s="83" t="str">
        <f>IF(Data_BeeindigingsdatumVastVrij072="","",Data_BeeindigingsdatumVastVrij072)</f>
        <v/>
      </c>
      <c r="BG95" s="82" t="str">
        <f>IF(Data_LoonkostenVastVrij072="","",Data_LoonkostenVastVrij072)</f>
        <v/>
      </c>
      <c r="BI95" s="76" t="str">
        <f>IF(Data_PersoonAanUitVastVrij072=-1,"v","")</f>
        <v/>
      </c>
      <c r="BK95" s="76" t="s">
        <v>160</v>
      </c>
      <c r="BP95" s="41">
        <f t="shared" si="11"/>
        <v>0</v>
      </c>
      <c r="BQ95" s="77">
        <f t="shared" si="12"/>
        <v>0</v>
      </c>
      <c r="BS95" s="81" t="str">
        <f>IF(Data_NaamPersoonVastOntslag072="","",Data_NaamPersoonVastOntslag072)</f>
        <v/>
      </c>
      <c r="BV95" s="83" t="str">
        <f>IF(Data_BeeindigingsdatumVastOntslag072="","",Data_BeeindigingsdatumVastOntslag072)</f>
        <v/>
      </c>
      <c r="BY95" s="82" t="str">
        <f>IF(Data_LoonkostenVastOntslag072="","",Data_LoonkostenVastOntslag072)</f>
        <v/>
      </c>
      <c r="CA95" s="76" t="str">
        <f>IF(Data_PersoonAanUitVastOntslag072=-1,"v","")</f>
        <v/>
      </c>
      <c r="CC95" s="76" t="s">
        <v>160</v>
      </c>
      <c r="CH95" s="41">
        <f t="shared" si="15"/>
        <v>0</v>
      </c>
      <c r="CI95" s="41">
        <f t="shared" si="13"/>
        <v>0</v>
      </c>
    </row>
    <row r="96" spans="8:87" s="41" customFormat="1" ht="12.75" x14ac:dyDescent="0.2">
      <c r="H96" s="81" t="str">
        <f>IF(Data_NaamPersoonNatVerloop073="","",Data_NaamPersoonNatVerloop073)</f>
        <v/>
      </c>
      <c r="K96" s="83" t="str">
        <f>IF(Data_BeeindigingsdatumNatVerloop073="","",Data_BeeindigingsdatumNatVerloop073)</f>
        <v/>
      </c>
      <c r="N96" s="82" t="str">
        <f>IF(Data_LoonkostenNatVerloop073="","",Data_LoonkostenNatVerloop073)</f>
        <v/>
      </c>
      <c r="P96" s="276" t="s">
        <v>160</v>
      </c>
      <c r="R96" s="76" t="s">
        <v>160</v>
      </c>
      <c r="W96" s="41">
        <f t="shared" si="8"/>
        <v>0</v>
      </c>
      <c r="X96" s="77" t="str">
        <f t="shared" si="14"/>
        <v/>
      </c>
      <c r="AG96" s="81" t="str">
        <f>IF(Data_NaamPersoonTijd073="","",Data_NaamPersoonTijd073)</f>
        <v/>
      </c>
      <c r="AJ96" s="83" t="str">
        <f>IF(Data_BeeindigingsdatumTijd073="","",Data_BeeindigingsdatumTijd073)</f>
        <v/>
      </c>
      <c r="AM96" s="82" t="str">
        <f>IF(Data_LoonkostenTijd073="","",Data_LoonkostenTijd073)</f>
        <v/>
      </c>
      <c r="AO96" s="276" t="str">
        <f>IF(Data_PersoonAanUitTijd073=-1,"v","")</f>
        <v/>
      </c>
      <c r="AQ96" s="76" t="s">
        <v>160</v>
      </c>
      <c r="AV96" s="41">
        <f t="shared" si="9"/>
        <v>0</v>
      </c>
      <c r="AW96" s="77">
        <f t="shared" si="10"/>
        <v>0</v>
      </c>
      <c r="BA96" s="81" t="str">
        <f>IF(Data_NaamPersoonVastVrij073="","",Data_NaamPersoonVastVrij073)</f>
        <v/>
      </c>
      <c r="BD96" s="83" t="str">
        <f>IF(Data_BeeindigingsdatumVastVrij073="","",Data_BeeindigingsdatumVastVrij073)</f>
        <v/>
      </c>
      <c r="BG96" s="82" t="str">
        <f>IF(Data_LoonkostenVastVrij073="","",Data_LoonkostenVastVrij073)</f>
        <v/>
      </c>
      <c r="BI96" s="76" t="str">
        <f>IF(Data_PersoonAanUitVastVrij073=-1,"v","")</f>
        <v/>
      </c>
      <c r="BK96" s="76" t="s">
        <v>160</v>
      </c>
      <c r="BP96" s="41">
        <f t="shared" si="11"/>
        <v>0</v>
      </c>
      <c r="BQ96" s="77">
        <f t="shared" si="12"/>
        <v>0</v>
      </c>
      <c r="BS96" s="81" t="str">
        <f>IF(Data_NaamPersoonVastOntslag073="","",Data_NaamPersoonVastOntslag073)</f>
        <v/>
      </c>
      <c r="BV96" s="83" t="str">
        <f>IF(Data_BeeindigingsdatumVastOntslag073="","",Data_BeeindigingsdatumVastOntslag073)</f>
        <v/>
      </c>
      <c r="BY96" s="82" t="str">
        <f>IF(Data_LoonkostenVastOntslag073="","",Data_LoonkostenVastOntslag073)</f>
        <v/>
      </c>
      <c r="CA96" s="76" t="str">
        <f>IF(Data_PersoonAanUitVastOntslag073=-1,"v","")</f>
        <v/>
      </c>
      <c r="CC96" s="76" t="s">
        <v>160</v>
      </c>
      <c r="CH96" s="41">
        <f t="shared" si="15"/>
        <v>0</v>
      </c>
      <c r="CI96" s="41">
        <f t="shared" si="13"/>
        <v>0</v>
      </c>
    </row>
    <row r="97" spans="8:87" s="41" customFormat="1" ht="12.75" x14ac:dyDescent="0.2">
      <c r="H97" s="81" t="str">
        <f>IF(Data_NaamPersoonNatVerloop074="","",Data_NaamPersoonNatVerloop074)</f>
        <v/>
      </c>
      <c r="K97" s="83" t="str">
        <f>IF(Data_BeeindigingsdatumNatVerloop074="","",Data_BeeindigingsdatumNatVerloop074)</f>
        <v/>
      </c>
      <c r="N97" s="82" t="str">
        <f>IF(Data_LoonkostenNatVerloop074="","",Data_LoonkostenNatVerloop074)</f>
        <v/>
      </c>
      <c r="P97" s="276" t="s">
        <v>160</v>
      </c>
      <c r="R97" s="76" t="s">
        <v>160</v>
      </c>
      <c r="W97" s="41">
        <f t="shared" si="8"/>
        <v>0</v>
      </c>
      <c r="X97" s="77" t="str">
        <f t="shared" si="14"/>
        <v/>
      </c>
      <c r="AG97" s="81" t="str">
        <f>IF(Data_NaamPersoonTijd074="","",Data_NaamPersoonTijd074)</f>
        <v/>
      </c>
      <c r="AJ97" s="83" t="str">
        <f>IF(Data_BeeindigingsdatumTijd074="","",Data_BeeindigingsdatumTijd074)</f>
        <v/>
      </c>
      <c r="AM97" s="82" t="str">
        <f>IF(Data_LoonkostenTijd074="","",Data_LoonkostenTijd074)</f>
        <v/>
      </c>
      <c r="AO97" s="276" t="str">
        <f>IF(Data_PersoonAanUitTijd074=-1,"v","")</f>
        <v/>
      </c>
      <c r="AQ97" s="76" t="s">
        <v>160</v>
      </c>
      <c r="AV97" s="41">
        <f t="shared" si="9"/>
        <v>0</v>
      </c>
      <c r="AW97" s="77">
        <f t="shared" si="10"/>
        <v>0</v>
      </c>
      <c r="BA97" s="81" t="str">
        <f>IF(Data_NaamPersoonVastVrij074="","",Data_NaamPersoonVastVrij074)</f>
        <v/>
      </c>
      <c r="BD97" s="83" t="str">
        <f>IF(Data_BeeindigingsdatumVastVrij074="","",Data_BeeindigingsdatumVastVrij074)</f>
        <v/>
      </c>
      <c r="BG97" s="82" t="str">
        <f>IF(Data_LoonkostenVastVrij074="","",Data_LoonkostenVastVrij074)</f>
        <v/>
      </c>
      <c r="BI97" s="76" t="str">
        <f>IF(Data_PersoonAanUitVastVrij074=-1,"v","")</f>
        <v/>
      </c>
      <c r="BK97" s="76" t="s">
        <v>160</v>
      </c>
      <c r="BP97" s="41">
        <f t="shared" si="11"/>
        <v>0</v>
      </c>
      <c r="BQ97" s="77">
        <f t="shared" si="12"/>
        <v>0</v>
      </c>
      <c r="BS97" s="81" t="str">
        <f>IF(Data_NaamPersoonVastOntslag074="","",Data_NaamPersoonVastOntslag074)</f>
        <v/>
      </c>
      <c r="BV97" s="83" t="str">
        <f>IF(Data_BeeindigingsdatumVastOntslag074="","",Data_BeeindigingsdatumVastOntslag074)</f>
        <v/>
      </c>
      <c r="BY97" s="82" t="str">
        <f>IF(Data_LoonkostenVastOntslag074="","",Data_LoonkostenVastOntslag074)</f>
        <v/>
      </c>
      <c r="CA97" s="76" t="str">
        <f>IF(Data_PersoonAanUitVastOntslag074=-1,"v","")</f>
        <v/>
      </c>
      <c r="CC97" s="76" t="s">
        <v>160</v>
      </c>
      <c r="CH97" s="41">
        <f t="shared" si="15"/>
        <v>0</v>
      </c>
      <c r="CI97" s="41">
        <f t="shared" si="13"/>
        <v>0</v>
      </c>
    </row>
    <row r="98" spans="8:87" s="41" customFormat="1" ht="12.75" x14ac:dyDescent="0.2">
      <c r="H98" s="81" t="str">
        <f>IF(Data_NaamPersoonNatVerloop075="","",Data_NaamPersoonNatVerloop075)</f>
        <v/>
      </c>
      <c r="K98" s="83" t="str">
        <f>IF(Data_BeeindigingsdatumNatVerloop075="","",Data_BeeindigingsdatumNatVerloop075)</f>
        <v/>
      </c>
      <c r="N98" s="82" t="str">
        <f>IF(Data_LoonkostenNatVerloop075="","",Data_LoonkostenNatVerloop075)</f>
        <v/>
      </c>
      <c r="P98" s="276" t="s">
        <v>160</v>
      </c>
      <c r="R98" s="76" t="s">
        <v>160</v>
      </c>
      <c r="W98" s="41">
        <f t="shared" si="8"/>
        <v>0</v>
      </c>
      <c r="X98" s="77" t="str">
        <f t="shared" si="14"/>
        <v/>
      </c>
      <c r="AG98" s="81" t="str">
        <f>IF(Data_NaamPersoonTijd075="","",Data_NaamPersoonTijd075)</f>
        <v/>
      </c>
      <c r="AJ98" s="83" t="str">
        <f>IF(Data_BeeindigingsdatumTijd075="","",Data_BeeindigingsdatumTijd075)</f>
        <v/>
      </c>
      <c r="AM98" s="82" t="str">
        <f>IF(Data_LoonkostenTijd075="","",Data_LoonkostenTijd075)</f>
        <v/>
      </c>
      <c r="AO98" s="276" t="str">
        <f>IF(Data_PersoonAanUitTijd075=-1,"v","")</f>
        <v/>
      </c>
      <c r="AQ98" s="76" t="s">
        <v>160</v>
      </c>
      <c r="AV98" s="41">
        <f t="shared" si="9"/>
        <v>0</v>
      </c>
      <c r="AW98" s="77">
        <f t="shared" si="10"/>
        <v>0</v>
      </c>
      <c r="BA98" s="81" t="str">
        <f>IF(Data_NaamPersoonVastVrij075="","",Data_NaamPersoonVastVrij075)</f>
        <v/>
      </c>
      <c r="BD98" s="83" t="str">
        <f>IF(Data_BeeindigingsdatumVastVrij075="","",Data_BeeindigingsdatumVastVrij075)</f>
        <v/>
      </c>
      <c r="BG98" s="82" t="str">
        <f>IF(Data_LoonkostenVastVrij075="","",Data_LoonkostenVastVrij075)</f>
        <v/>
      </c>
      <c r="BI98" s="76" t="str">
        <f>IF(Data_PersoonAanUitVastVrij075=-1,"v","")</f>
        <v/>
      </c>
      <c r="BK98" s="76" t="s">
        <v>160</v>
      </c>
      <c r="BP98" s="41">
        <f t="shared" si="11"/>
        <v>0</v>
      </c>
      <c r="BQ98" s="77">
        <f t="shared" si="12"/>
        <v>0</v>
      </c>
      <c r="BS98" s="81" t="str">
        <f>IF(Data_NaamPersoonVastOntslag075="","",Data_NaamPersoonVastOntslag075)</f>
        <v/>
      </c>
      <c r="BV98" s="83" t="str">
        <f>IF(Data_BeeindigingsdatumVastOntslag075="","",Data_BeeindigingsdatumVastOntslag075)</f>
        <v/>
      </c>
      <c r="BY98" s="82" t="str">
        <f>IF(Data_LoonkostenVastOntslag075="","",Data_LoonkostenVastOntslag075)</f>
        <v/>
      </c>
      <c r="CA98" s="76" t="str">
        <f>IF(Data_PersoonAanUitVastOntslag075=-1,"v","")</f>
        <v/>
      </c>
      <c r="CC98" s="76" t="s">
        <v>160</v>
      </c>
      <c r="CH98" s="41">
        <f t="shared" si="15"/>
        <v>0</v>
      </c>
      <c r="CI98" s="41">
        <f t="shared" si="13"/>
        <v>0</v>
      </c>
    </row>
    <row r="99" spans="8:87" s="41" customFormat="1" ht="12.75" x14ac:dyDescent="0.2">
      <c r="H99" s="81" t="str">
        <f>IF(Data_NaamPersoonNatVerloop076="","",Data_NaamPersoonNatVerloop076)</f>
        <v/>
      </c>
      <c r="K99" s="83" t="str">
        <f>IF(Data_BeeindigingsdatumNatVerloop076="","",Data_BeeindigingsdatumNatVerloop076)</f>
        <v/>
      </c>
      <c r="N99" s="82" t="str">
        <f>IF(Data_LoonkostenNatVerloop076="","",Data_LoonkostenNatVerloop076)</f>
        <v/>
      </c>
      <c r="P99" s="276" t="s">
        <v>160</v>
      </c>
      <c r="R99" s="76" t="s">
        <v>160</v>
      </c>
      <c r="W99" s="41">
        <f t="shared" si="8"/>
        <v>0</v>
      </c>
      <c r="X99" s="77" t="str">
        <f t="shared" si="14"/>
        <v/>
      </c>
      <c r="AG99" s="81" t="str">
        <f>IF(Data_NaamPersoonTijd076="","",Data_NaamPersoonTijd076)</f>
        <v/>
      </c>
      <c r="AJ99" s="83" t="str">
        <f>IF(Data_BeeindigingsdatumTijd076="","",Data_BeeindigingsdatumTijd076)</f>
        <v/>
      </c>
      <c r="AM99" s="82" t="str">
        <f>IF(Data_LoonkostenTijd076="","",Data_LoonkostenTijd076)</f>
        <v/>
      </c>
      <c r="AO99" s="276" t="str">
        <f>IF(Data_PersoonAanUitTijd076=-1,"v","")</f>
        <v/>
      </c>
      <c r="AQ99" s="76" t="s">
        <v>160</v>
      </c>
      <c r="AV99" s="41">
        <f t="shared" si="9"/>
        <v>0</v>
      </c>
      <c r="AW99" s="77">
        <f t="shared" si="10"/>
        <v>0</v>
      </c>
      <c r="BA99" s="81" t="str">
        <f>IF(Data_NaamPersoonVastVrij076="","",Data_NaamPersoonVastVrij076)</f>
        <v/>
      </c>
      <c r="BD99" s="83" t="str">
        <f>IF(Data_BeeindigingsdatumVastVrij076="","",Data_BeeindigingsdatumVastVrij076)</f>
        <v/>
      </c>
      <c r="BG99" s="82" t="str">
        <f>IF(Data_LoonkostenVastVrij076="","",Data_LoonkostenVastVrij076)</f>
        <v/>
      </c>
      <c r="BI99" s="76" t="str">
        <f>IF(Data_PersoonAanUitVastVrij076=-1,"v","")</f>
        <v/>
      </c>
      <c r="BK99" s="76" t="s">
        <v>160</v>
      </c>
      <c r="BP99" s="41">
        <f t="shared" si="11"/>
        <v>0</v>
      </c>
      <c r="BQ99" s="77">
        <f t="shared" si="12"/>
        <v>0</v>
      </c>
      <c r="BS99" s="81" t="str">
        <f>IF(Data_NaamPersoonVastOntslag076="","",Data_NaamPersoonVastOntslag076)</f>
        <v/>
      </c>
      <c r="BV99" s="83" t="str">
        <f>IF(Data_BeeindigingsdatumVastOntslag076="","",Data_BeeindigingsdatumVastOntslag076)</f>
        <v/>
      </c>
      <c r="BY99" s="82" t="str">
        <f>IF(Data_LoonkostenVastOntslag076="","",Data_LoonkostenVastOntslag076)</f>
        <v/>
      </c>
      <c r="CA99" s="76" t="str">
        <f>IF(Data_PersoonAanUitVastOntslag076=-1,"v","")</f>
        <v/>
      </c>
      <c r="CC99" s="76" t="s">
        <v>160</v>
      </c>
      <c r="CH99" s="41">
        <f t="shared" si="15"/>
        <v>0</v>
      </c>
      <c r="CI99" s="41">
        <f t="shared" si="13"/>
        <v>0</v>
      </c>
    </row>
    <row r="100" spans="8:87" s="41" customFormat="1" ht="12.75" x14ac:dyDescent="0.2">
      <c r="H100" s="81" t="str">
        <f>IF(Data_NaamPersoonNatVerloop077="","",Data_NaamPersoonNatVerloop077)</f>
        <v/>
      </c>
      <c r="K100" s="83" t="str">
        <f>IF(Data_BeeindigingsdatumNatVerloop077="","",Data_BeeindigingsdatumNatVerloop077)</f>
        <v/>
      </c>
      <c r="N100" s="82" t="str">
        <f>IF(Data_LoonkostenNatVerloop077="","",Data_LoonkostenNatVerloop077)</f>
        <v/>
      </c>
      <c r="P100" s="276" t="s">
        <v>160</v>
      </c>
      <c r="R100" s="76" t="s">
        <v>160</v>
      </c>
      <c r="W100" s="41">
        <f t="shared" si="8"/>
        <v>0</v>
      </c>
      <c r="X100" s="77" t="str">
        <f t="shared" si="14"/>
        <v/>
      </c>
      <c r="AG100" s="81" t="str">
        <f>IF(Data_NaamPersoonTijd077="","",Data_NaamPersoonTijd077)</f>
        <v/>
      </c>
      <c r="AJ100" s="83" t="str">
        <f>IF(Data_BeeindigingsdatumTijd077="","",Data_BeeindigingsdatumTijd077)</f>
        <v/>
      </c>
      <c r="AM100" s="82" t="str">
        <f>IF(Data_LoonkostenTijd077="","",Data_LoonkostenTijd077)</f>
        <v/>
      </c>
      <c r="AO100" s="276" t="str">
        <f>IF(Data_PersoonAanUitTijd077=-1,"v","")</f>
        <v/>
      </c>
      <c r="AQ100" s="76" t="s">
        <v>160</v>
      </c>
      <c r="AV100" s="41">
        <f t="shared" si="9"/>
        <v>0</v>
      </c>
      <c r="AW100" s="77">
        <f t="shared" si="10"/>
        <v>0</v>
      </c>
      <c r="BA100" s="81" t="str">
        <f>IF(Data_NaamPersoonVastVrij077="","",Data_NaamPersoonVastVrij077)</f>
        <v/>
      </c>
      <c r="BD100" s="83" t="str">
        <f>IF(Data_BeeindigingsdatumVastVrij077="","",Data_BeeindigingsdatumVastVrij077)</f>
        <v/>
      </c>
      <c r="BG100" s="82" t="str">
        <f>IF(Data_LoonkostenVastVrij077="","",Data_LoonkostenVastVrij077)</f>
        <v/>
      </c>
      <c r="BI100" s="76" t="str">
        <f>IF(Data_PersoonAanUitVastVrij077=-1,"v","")</f>
        <v/>
      </c>
      <c r="BK100" s="76" t="s">
        <v>160</v>
      </c>
      <c r="BP100" s="41">
        <f t="shared" si="11"/>
        <v>0</v>
      </c>
      <c r="BQ100" s="77">
        <f t="shared" si="12"/>
        <v>0</v>
      </c>
      <c r="BS100" s="81" t="str">
        <f>IF(Data_NaamPersoonVastOntslag077="","",Data_NaamPersoonVastOntslag077)</f>
        <v/>
      </c>
      <c r="BV100" s="83" t="str">
        <f>IF(Data_BeeindigingsdatumVastOntslag077="","",Data_BeeindigingsdatumVastOntslag077)</f>
        <v/>
      </c>
      <c r="BY100" s="82" t="str">
        <f>IF(Data_LoonkostenVastOntslag077="","",Data_LoonkostenVastOntslag077)</f>
        <v/>
      </c>
      <c r="CA100" s="76" t="str">
        <f>IF(Data_PersoonAanUitVastOntslag077=-1,"v","")</f>
        <v/>
      </c>
      <c r="CC100" s="76" t="s">
        <v>160</v>
      </c>
      <c r="CH100" s="41">
        <f t="shared" si="15"/>
        <v>0</v>
      </c>
      <c r="CI100" s="41">
        <f t="shared" si="13"/>
        <v>0</v>
      </c>
    </row>
    <row r="101" spans="8:87" s="41" customFormat="1" ht="12.75" x14ac:dyDescent="0.2">
      <c r="H101" s="81" t="str">
        <f>IF(Data_NaamPersoonNatVerloop078="","",Data_NaamPersoonNatVerloop078)</f>
        <v/>
      </c>
      <c r="K101" s="83" t="str">
        <f>IF(Data_BeeindigingsdatumNatVerloop078="","",Data_BeeindigingsdatumNatVerloop078)</f>
        <v/>
      </c>
      <c r="N101" s="82" t="str">
        <f>IF(Data_LoonkostenNatVerloop078="","",Data_LoonkostenNatVerloop078)</f>
        <v/>
      </c>
      <c r="P101" s="276" t="s">
        <v>160</v>
      </c>
      <c r="R101" s="76" t="s">
        <v>160</v>
      </c>
      <c r="W101" s="41">
        <f t="shared" si="8"/>
        <v>0</v>
      </c>
      <c r="X101" s="77" t="str">
        <f t="shared" si="14"/>
        <v/>
      </c>
      <c r="AG101" s="81" t="str">
        <f>IF(Data_NaamPersoonTijd078="","",Data_NaamPersoonTijd078)</f>
        <v/>
      </c>
      <c r="AJ101" s="83" t="str">
        <f>IF(Data_BeeindigingsdatumTijd078="","",Data_BeeindigingsdatumTijd078)</f>
        <v/>
      </c>
      <c r="AM101" s="82" t="str">
        <f>IF(Data_LoonkostenTijd078="","",Data_LoonkostenTijd078)</f>
        <v/>
      </c>
      <c r="AO101" s="276" t="str">
        <f>IF(Data_PersoonAanUitTijd078=-1,"v","")</f>
        <v/>
      </c>
      <c r="AQ101" s="76" t="s">
        <v>160</v>
      </c>
      <c r="AV101" s="41">
        <f t="shared" si="9"/>
        <v>0</v>
      </c>
      <c r="AW101" s="77">
        <f t="shared" si="10"/>
        <v>0</v>
      </c>
      <c r="BA101" s="81" t="str">
        <f>IF(Data_NaamPersoonVastVrij078="","",Data_NaamPersoonVastVrij078)</f>
        <v/>
      </c>
      <c r="BD101" s="83" t="str">
        <f>IF(Data_BeeindigingsdatumVastVrij078="","",Data_BeeindigingsdatumVastVrij078)</f>
        <v/>
      </c>
      <c r="BG101" s="82" t="str">
        <f>IF(Data_LoonkostenVastVrij078="","",Data_LoonkostenVastVrij078)</f>
        <v/>
      </c>
      <c r="BI101" s="76" t="str">
        <f>IF(Data_PersoonAanUitVastVrij078=-1,"v","")</f>
        <v/>
      </c>
      <c r="BK101" s="76" t="s">
        <v>160</v>
      </c>
      <c r="BP101" s="41">
        <f t="shared" si="11"/>
        <v>0</v>
      </c>
      <c r="BQ101" s="77">
        <f t="shared" si="12"/>
        <v>0</v>
      </c>
      <c r="BS101" s="81" t="str">
        <f>IF(Data_NaamPersoonVastOntslag078="","",Data_NaamPersoonVastOntslag078)</f>
        <v/>
      </c>
      <c r="BV101" s="83" t="str">
        <f>IF(Data_BeeindigingsdatumVastOntslag078="","",Data_BeeindigingsdatumVastOntslag078)</f>
        <v/>
      </c>
      <c r="BY101" s="82" t="str">
        <f>IF(Data_LoonkostenVastOntslag078="","",Data_LoonkostenVastOntslag078)</f>
        <v/>
      </c>
      <c r="CA101" s="76" t="str">
        <f>IF(Data_PersoonAanUitVastOntslag078=-1,"v","")</f>
        <v/>
      </c>
      <c r="CC101" s="76" t="s">
        <v>160</v>
      </c>
      <c r="CH101" s="41">
        <f t="shared" si="15"/>
        <v>0</v>
      </c>
      <c r="CI101" s="41">
        <f t="shared" si="13"/>
        <v>0</v>
      </c>
    </row>
    <row r="102" spans="8:87" x14ac:dyDescent="0.25">
      <c r="H102" s="81" t="str">
        <f>IF(Data_NaamPersoonNatVerloop079="","",Data_NaamPersoonNatVerloop079)</f>
        <v/>
      </c>
      <c r="I102" s="41"/>
      <c r="J102" s="41"/>
      <c r="K102" s="83" t="str">
        <f>IF(Data_BeeindigingsdatumNatVerloop079="","",Data_BeeindigingsdatumNatVerloop079)</f>
        <v/>
      </c>
      <c r="L102" s="41"/>
      <c r="M102" s="41"/>
      <c r="N102" s="82" t="str">
        <f>IF(Data_LoonkostenNatVerloop079="","",Data_LoonkostenNatVerloop079)</f>
        <v/>
      </c>
      <c r="O102" s="41"/>
      <c r="P102" s="276" t="s">
        <v>160</v>
      </c>
      <c r="Q102" s="41"/>
      <c r="R102" s="76" t="s">
        <v>160</v>
      </c>
      <c r="S102" s="41"/>
      <c r="T102" s="41"/>
      <c r="U102" s="41"/>
      <c r="V102" s="41"/>
      <c r="W102" s="41">
        <f t="shared" si="8"/>
        <v>0</v>
      </c>
      <c r="X102" s="77" t="str">
        <f t="shared" si="14"/>
        <v/>
      </c>
      <c r="AG102" s="81" t="str">
        <f>IF(Data_NaamPersoonTijd079="","",Data_NaamPersoonTijd079)</f>
        <v/>
      </c>
      <c r="AH102" s="41"/>
      <c r="AI102" s="41"/>
      <c r="AJ102" s="83" t="str">
        <f>IF(Data_BeeindigingsdatumTijd079="","",Data_BeeindigingsdatumTijd079)</f>
        <v/>
      </c>
      <c r="AK102" s="41"/>
      <c r="AL102" s="41"/>
      <c r="AM102" s="82" t="str">
        <f>IF(Data_LoonkostenTijd079="","",Data_LoonkostenTijd079)</f>
        <v/>
      </c>
      <c r="AN102" s="41"/>
      <c r="AO102" s="276" t="str">
        <f>IF(Data_PersoonAanUitTijd079=-1,"v","")</f>
        <v/>
      </c>
      <c r="AP102" s="41"/>
      <c r="AQ102" s="76" t="s">
        <v>160</v>
      </c>
      <c r="AR102" s="41"/>
      <c r="AS102" s="41"/>
      <c r="AT102" s="41"/>
      <c r="AU102" s="41"/>
      <c r="AV102" s="41">
        <f t="shared" si="9"/>
        <v>0</v>
      </c>
      <c r="AW102" s="77">
        <f t="shared" si="10"/>
        <v>0</v>
      </c>
      <c r="AX102" s="41"/>
      <c r="AY102" s="41"/>
      <c r="AZ102" s="41"/>
      <c r="BA102" s="81" t="str">
        <f>IF(Data_NaamPersoonVastVrij079="","",Data_NaamPersoonVastVrij079)</f>
        <v/>
      </c>
      <c r="BB102" s="41"/>
      <c r="BC102" s="41"/>
      <c r="BD102" s="83" t="str">
        <f>IF(Data_BeeindigingsdatumVastVrij079="","",Data_BeeindigingsdatumVastVrij079)</f>
        <v/>
      </c>
      <c r="BE102" s="41"/>
      <c r="BF102" s="41"/>
      <c r="BG102" s="82" t="str">
        <f>IF(Data_LoonkostenVastVrij079="","",Data_LoonkostenVastVrij079)</f>
        <v/>
      </c>
      <c r="BH102" s="41"/>
      <c r="BI102" s="76" t="str">
        <f>IF(Data_PersoonAanUitVastVrij079=-1,"v","")</f>
        <v/>
      </c>
      <c r="BJ102" s="41"/>
      <c r="BK102" s="76" t="s">
        <v>160</v>
      </c>
      <c r="BL102" s="41"/>
      <c r="BM102" s="41"/>
      <c r="BN102" s="41"/>
      <c r="BO102" s="41"/>
      <c r="BP102" s="41">
        <f t="shared" si="11"/>
        <v>0</v>
      </c>
      <c r="BQ102" s="77">
        <f t="shared" si="12"/>
        <v>0</v>
      </c>
      <c r="BS102" s="81" t="str">
        <f>IF(Data_NaamPersoonVastOntslag079="","",Data_NaamPersoonVastOntslag079)</f>
        <v/>
      </c>
      <c r="BV102" s="83" t="str">
        <f>IF(Data_BeeindigingsdatumVastOntslag079="","",Data_BeeindigingsdatumVastOntslag079)</f>
        <v/>
      </c>
      <c r="BY102" s="82" t="str">
        <f>IF(Data_LoonkostenVastOntslag079="","",Data_LoonkostenVastOntslag079)</f>
        <v/>
      </c>
      <c r="CA102" s="76" t="str">
        <f>IF(Data_PersoonAanUitVastOntslag079=-1,"v","")</f>
        <v/>
      </c>
      <c r="CB102" s="41"/>
      <c r="CC102" s="76" t="s">
        <v>160</v>
      </c>
      <c r="CD102" s="41"/>
      <c r="CE102" s="41"/>
      <c r="CF102" s="41"/>
      <c r="CG102" s="41"/>
      <c r="CH102" s="41">
        <f t="shared" si="15"/>
        <v>0</v>
      </c>
      <c r="CI102" s="41">
        <f t="shared" si="13"/>
        <v>0</v>
      </c>
    </row>
    <row r="103" spans="8:87" x14ac:dyDescent="0.25">
      <c r="H103" s="81" t="str">
        <f>IF(Data_NaamPersoonNatVerloop080="","",Data_NaamPersoonNatVerloop080)</f>
        <v/>
      </c>
      <c r="I103" s="41"/>
      <c r="J103" s="41"/>
      <c r="K103" s="83" t="str">
        <f>IF(Data_BeeindigingsdatumNatVerloop080="","",Data_BeeindigingsdatumNatVerloop080)</f>
        <v/>
      </c>
      <c r="L103" s="41"/>
      <c r="M103" s="41"/>
      <c r="N103" s="82" t="str">
        <f>IF(Data_LoonkostenNatVerloop080="","",Data_LoonkostenNatVerloop080)</f>
        <v/>
      </c>
      <c r="O103" s="41"/>
      <c r="P103" s="276" t="s">
        <v>160</v>
      </c>
      <c r="Q103" s="41"/>
      <c r="R103" s="76" t="s">
        <v>160</v>
      </c>
      <c r="S103" s="41"/>
      <c r="T103" s="41"/>
      <c r="U103" s="41"/>
      <c r="V103" s="41"/>
      <c r="W103" s="41">
        <f t="shared" si="8"/>
        <v>0</v>
      </c>
      <c r="X103" s="77" t="str">
        <f t="shared" si="14"/>
        <v/>
      </c>
      <c r="AG103" s="81" t="str">
        <f>IF(Data_NaamPersoonTijd080="","",Data_NaamPersoonTijd080)</f>
        <v/>
      </c>
      <c r="AH103" s="41"/>
      <c r="AI103" s="41"/>
      <c r="AJ103" s="83" t="str">
        <f>IF(Data_BeeindigingsdatumTijd080="","",Data_BeeindigingsdatumTijd080)</f>
        <v/>
      </c>
      <c r="AK103" s="41"/>
      <c r="AL103" s="41"/>
      <c r="AM103" s="82" t="str">
        <f>IF(Data_LoonkostenTijd080="","",Data_LoonkostenTijd080)</f>
        <v/>
      </c>
      <c r="AN103" s="41"/>
      <c r="AO103" s="276" t="str">
        <f>IF(Data_PersoonAanUitTijd080=-1,"v","")</f>
        <v/>
      </c>
      <c r="AP103" s="41"/>
      <c r="AQ103" s="76" t="s">
        <v>160</v>
      </c>
      <c r="AR103" s="41"/>
      <c r="AS103" s="41"/>
      <c r="AT103" s="41"/>
      <c r="AU103" s="41"/>
      <c r="AV103" s="41">
        <f t="shared" si="9"/>
        <v>0</v>
      </c>
      <c r="AW103" s="77">
        <f t="shared" si="10"/>
        <v>0</v>
      </c>
      <c r="AX103" s="41"/>
      <c r="AY103" s="41"/>
      <c r="AZ103" s="41"/>
      <c r="BA103" s="81" t="str">
        <f>IF(Data_NaamPersoonVastVrij080="","",Data_NaamPersoonVastVrij080)</f>
        <v/>
      </c>
      <c r="BB103" s="41"/>
      <c r="BC103" s="41"/>
      <c r="BD103" s="83" t="str">
        <f>IF(Data_BeeindigingsdatumVastVrij080="","",Data_BeeindigingsdatumVastVrij080)</f>
        <v/>
      </c>
      <c r="BE103" s="41"/>
      <c r="BF103" s="41"/>
      <c r="BG103" s="82" t="str">
        <f>IF(Data_LoonkostenVastVrij080="","",Data_LoonkostenVastVrij080)</f>
        <v/>
      </c>
      <c r="BH103" s="41"/>
      <c r="BI103" s="76" t="str">
        <f>IF(Data_PersoonAanUitVastVrij080=-1,"v","")</f>
        <v/>
      </c>
      <c r="BJ103" s="41"/>
      <c r="BK103" s="76" t="s">
        <v>160</v>
      </c>
      <c r="BL103" s="41"/>
      <c r="BM103" s="41"/>
      <c r="BN103" s="41"/>
      <c r="BO103" s="41"/>
      <c r="BP103" s="41">
        <f t="shared" si="11"/>
        <v>0</v>
      </c>
      <c r="BQ103" s="77">
        <f t="shared" si="12"/>
        <v>0</v>
      </c>
      <c r="BS103" s="81" t="str">
        <f>IF(Data_NaamPersoonVastOntslag080="","",Data_NaamPersoonVastOntslag080)</f>
        <v/>
      </c>
      <c r="BV103" s="83" t="str">
        <f>IF(Data_BeeindigingsdatumVastOntslag080="","",Data_BeeindigingsdatumVastOntslag080)</f>
        <v/>
      </c>
      <c r="BY103" s="82" t="str">
        <f>IF(Data_LoonkostenVastOntslag080="","",Data_LoonkostenVastOntslag080)</f>
        <v/>
      </c>
      <c r="CA103" s="76" t="str">
        <f>IF(Data_PersoonAanUitVastOntslag080=-1,"v","")</f>
        <v/>
      </c>
      <c r="CB103" s="41"/>
      <c r="CC103" s="76" t="s">
        <v>160</v>
      </c>
      <c r="CD103" s="41"/>
      <c r="CE103" s="41"/>
      <c r="CF103" s="41"/>
      <c r="CG103" s="41"/>
      <c r="CH103" s="41">
        <f t="shared" si="15"/>
        <v>0</v>
      </c>
      <c r="CI103" s="41">
        <f t="shared" si="13"/>
        <v>0</v>
      </c>
    </row>
    <row r="104" spans="8:87" x14ac:dyDescent="0.25">
      <c r="H104" s="81" t="str">
        <f>IF(Data_NaamPersoonNatVerloop081="","",Data_NaamPersoonNatVerloop081)</f>
        <v/>
      </c>
      <c r="I104" s="41"/>
      <c r="J104" s="41"/>
      <c r="K104" s="83" t="str">
        <f>IF(Data_BeeindigingsdatumNatVerloop081="","",Data_BeeindigingsdatumNatVerloop081)</f>
        <v/>
      </c>
      <c r="L104" s="41"/>
      <c r="M104" s="41"/>
      <c r="N104" s="82" t="str">
        <f>IF(Data_LoonkostenNatVerloop081="","",Data_LoonkostenNatVerloop081)</f>
        <v/>
      </c>
      <c r="O104" s="41"/>
      <c r="P104" s="276" t="s">
        <v>160</v>
      </c>
      <c r="Q104" s="41"/>
      <c r="R104" s="76" t="s">
        <v>160</v>
      </c>
      <c r="S104" s="41"/>
      <c r="T104" s="41"/>
      <c r="U104" s="41"/>
      <c r="V104" s="41"/>
      <c r="W104" s="41">
        <f t="shared" si="8"/>
        <v>0</v>
      </c>
      <c r="X104" s="77" t="str">
        <f t="shared" si="14"/>
        <v/>
      </c>
      <c r="AG104" s="81" t="str">
        <f>IF(Data_NaamPersoonTijd081="","",Data_NaamPersoonTijd081)</f>
        <v/>
      </c>
      <c r="AH104" s="41"/>
      <c r="AI104" s="41"/>
      <c r="AJ104" s="83" t="str">
        <f>IF(Data_BeeindigingsdatumTijd081="","",Data_BeeindigingsdatumTijd081)</f>
        <v/>
      </c>
      <c r="AK104" s="41"/>
      <c r="AL104" s="41"/>
      <c r="AM104" s="82" t="str">
        <f>IF(Data_LoonkostenTijd081="","",Data_LoonkostenTijd081)</f>
        <v/>
      </c>
      <c r="AN104" s="41"/>
      <c r="AO104" s="276" t="str">
        <f>IF(Data_PersoonAanUitTijd081=-1,"v","")</f>
        <v/>
      </c>
      <c r="AP104" s="41"/>
      <c r="AQ104" s="76" t="s">
        <v>160</v>
      </c>
      <c r="AR104" s="41"/>
      <c r="AS104" s="41"/>
      <c r="AT104" s="41"/>
      <c r="AU104" s="41"/>
      <c r="AV104" s="41">
        <f t="shared" si="9"/>
        <v>0</v>
      </c>
      <c r="AW104" s="77">
        <f t="shared" si="10"/>
        <v>0</v>
      </c>
      <c r="AX104" s="41"/>
      <c r="AY104" s="41"/>
      <c r="AZ104" s="41"/>
      <c r="BA104" s="81" t="str">
        <f>IF(Data_NaamPersoonVastVrij081="","",Data_NaamPersoonVastVrij081)</f>
        <v/>
      </c>
      <c r="BB104" s="41"/>
      <c r="BC104" s="41"/>
      <c r="BD104" s="83" t="str">
        <f>IF(Data_BeeindigingsdatumVastVrij081="","",Data_BeeindigingsdatumVastVrij081)</f>
        <v/>
      </c>
      <c r="BE104" s="41"/>
      <c r="BF104" s="41"/>
      <c r="BG104" s="82" t="str">
        <f>IF(Data_LoonkostenVastVrij081="","",Data_LoonkostenVastVrij081)</f>
        <v/>
      </c>
      <c r="BH104" s="41"/>
      <c r="BI104" s="76" t="str">
        <f>IF(Data_PersoonAanUitVastVrij081=-1,"v","")</f>
        <v/>
      </c>
      <c r="BJ104" s="41"/>
      <c r="BK104" s="76" t="s">
        <v>160</v>
      </c>
      <c r="BL104" s="41"/>
      <c r="BM104" s="41"/>
      <c r="BN104" s="41"/>
      <c r="BO104" s="41"/>
      <c r="BP104" s="41">
        <f t="shared" si="11"/>
        <v>0</v>
      </c>
      <c r="BQ104" s="77">
        <f t="shared" si="12"/>
        <v>0</v>
      </c>
      <c r="BS104" s="81" t="str">
        <f>IF(Data_NaamPersoonVastOntslag081="","",Data_NaamPersoonVastOntslag081)</f>
        <v/>
      </c>
      <c r="BV104" s="83" t="str">
        <f>IF(Data_BeeindigingsdatumVastOntslag081="","",Data_BeeindigingsdatumVastOntslag081)</f>
        <v/>
      </c>
      <c r="BY104" s="82" t="str">
        <f>IF(Data_LoonkostenVastOntslag081="","",Data_LoonkostenVastOntslag081)</f>
        <v/>
      </c>
      <c r="CA104" s="76" t="str">
        <f>IF(Data_PersoonAanUitVastOntslag081=-1,"v","")</f>
        <v/>
      </c>
      <c r="CB104" s="41"/>
      <c r="CC104" s="76" t="s">
        <v>160</v>
      </c>
      <c r="CD104" s="41"/>
      <c r="CE104" s="41"/>
      <c r="CF104" s="41"/>
      <c r="CG104" s="41"/>
      <c r="CH104" s="41">
        <f t="shared" si="15"/>
        <v>0</v>
      </c>
      <c r="CI104" s="41">
        <f t="shared" si="13"/>
        <v>0</v>
      </c>
    </row>
    <row r="105" spans="8:87" x14ac:dyDescent="0.25">
      <c r="H105" s="81" t="str">
        <f>IF(Data_NaamPersoonNatVerloop082="","",Data_NaamPersoonNatVerloop082)</f>
        <v/>
      </c>
      <c r="I105" s="41"/>
      <c r="J105" s="41"/>
      <c r="K105" s="83" t="str">
        <f>IF(Data_BeeindigingsdatumNatVerloop082="","",Data_BeeindigingsdatumNatVerloop082)</f>
        <v/>
      </c>
      <c r="L105" s="41"/>
      <c r="M105" s="41"/>
      <c r="N105" s="82" t="str">
        <f>IF(Data_LoonkostenNatVerloop082="","",Data_LoonkostenNatVerloop082)</f>
        <v/>
      </c>
      <c r="O105" s="41"/>
      <c r="P105" s="276" t="s">
        <v>160</v>
      </c>
      <c r="Q105" s="41"/>
      <c r="R105" s="76" t="s">
        <v>160</v>
      </c>
      <c r="S105" s="41"/>
      <c r="T105" s="41"/>
      <c r="U105" s="41"/>
      <c r="V105" s="41"/>
      <c r="W105" s="41">
        <f t="shared" si="8"/>
        <v>0</v>
      </c>
      <c r="X105" s="77" t="str">
        <f t="shared" si="14"/>
        <v/>
      </c>
      <c r="AG105" s="81" t="str">
        <f>IF(Data_NaamPersoonTijd082="","",Data_NaamPersoonTijd082)</f>
        <v/>
      </c>
      <c r="AH105" s="41"/>
      <c r="AI105" s="41"/>
      <c r="AJ105" s="83" t="str">
        <f>IF(Data_BeeindigingsdatumTijd082="","",Data_BeeindigingsdatumTijd082)</f>
        <v/>
      </c>
      <c r="AK105" s="41"/>
      <c r="AL105" s="41"/>
      <c r="AM105" s="82" t="str">
        <f>IF(Data_LoonkostenTijd082="","",Data_LoonkostenTijd082)</f>
        <v/>
      </c>
      <c r="AN105" s="41"/>
      <c r="AO105" s="276" t="str">
        <f>IF(Data_PersoonAanUitTijd082=-1,"v","")</f>
        <v/>
      </c>
      <c r="AP105" s="41"/>
      <c r="AQ105" s="76" t="s">
        <v>160</v>
      </c>
      <c r="AR105" s="41"/>
      <c r="AS105" s="41"/>
      <c r="AT105" s="41"/>
      <c r="AU105" s="41"/>
      <c r="AV105" s="41">
        <f t="shared" si="9"/>
        <v>0</v>
      </c>
      <c r="AW105" s="77">
        <f t="shared" si="10"/>
        <v>0</v>
      </c>
      <c r="AX105" s="41"/>
      <c r="AY105" s="41"/>
      <c r="AZ105" s="41"/>
      <c r="BA105" s="81" t="str">
        <f>IF(Data_NaamPersoonVastVrij082="","",Data_NaamPersoonVastVrij082)</f>
        <v/>
      </c>
      <c r="BB105" s="41"/>
      <c r="BC105" s="41"/>
      <c r="BD105" s="83" t="str">
        <f>IF(Data_BeeindigingsdatumVastVrij082="","",Data_BeeindigingsdatumVastVrij082)</f>
        <v/>
      </c>
      <c r="BE105" s="41"/>
      <c r="BF105" s="41"/>
      <c r="BG105" s="82" t="str">
        <f>IF(Data_LoonkostenVastVrij082="","",Data_LoonkostenVastVrij082)</f>
        <v/>
      </c>
      <c r="BH105" s="41"/>
      <c r="BI105" s="76" t="str">
        <f>IF(Data_PersoonAanUitVastVrij082=-1,"v","")</f>
        <v/>
      </c>
      <c r="BJ105" s="41"/>
      <c r="BK105" s="76" t="s">
        <v>160</v>
      </c>
      <c r="BL105" s="41"/>
      <c r="BM105" s="41"/>
      <c r="BN105" s="41"/>
      <c r="BO105" s="41"/>
      <c r="BP105" s="41">
        <f t="shared" si="11"/>
        <v>0</v>
      </c>
      <c r="BQ105" s="77">
        <f t="shared" si="12"/>
        <v>0</v>
      </c>
      <c r="BS105" s="81" t="str">
        <f>IF(Data_NaamPersoonVastOntslag082="","",Data_NaamPersoonVastOntslag082)</f>
        <v/>
      </c>
      <c r="BV105" s="83" t="str">
        <f>IF(Data_BeeindigingsdatumVastOntslag082="","",Data_BeeindigingsdatumVastOntslag082)</f>
        <v/>
      </c>
      <c r="BY105" s="82" t="str">
        <f>IF(Data_LoonkostenVastOntslag082="","",Data_LoonkostenVastOntslag082)</f>
        <v/>
      </c>
      <c r="CA105" s="76" t="str">
        <f>IF(Data_PersoonAanUitVastOntslag082=-1,"v","")</f>
        <v/>
      </c>
      <c r="CB105" s="41"/>
      <c r="CC105" s="76" t="s">
        <v>160</v>
      </c>
      <c r="CD105" s="41"/>
      <c r="CE105" s="41"/>
      <c r="CF105" s="41"/>
      <c r="CG105" s="41"/>
      <c r="CH105" s="41">
        <f t="shared" si="15"/>
        <v>0</v>
      </c>
      <c r="CI105" s="41">
        <f t="shared" si="13"/>
        <v>0</v>
      </c>
    </row>
    <row r="106" spans="8:87" x14ac:dyDescent="0.25">
      <c r="H106" s="81" t="str">
        <f>IF(Data_NaamPersoonNatVerloop083="","",Data_NaamPersoonNatVerloop083)</f>
        <v/>
      </c>
      <c r="I106" s="41"/>
      <c r="J106" s="41"/>
      <c r="K106" s="83" t="str">
        <f>IF(Data_BeeindigingsdatumNatVerloop083="","",Data_BeeindigingsdatumNatVerloop083)</f>
        <v/>
      </c>
      <c r="L106" s="41"/>
      <c r="M106" s="41"/>
      <c r="N106" s="82" t="str">
        <f>IF(Data_LoonkostenNatVerloop083="","",Data_LoonkostenNatVerloop083)</f>
        <v/>
      </c>
      <c r="O106" s="41"/>
      <c r="P106" s="276" t="s">
        <v>160</v>
      </c>
      <c r="Q106" s="41"/>
      <c r="R106" s="76" t="s">
        <v>160</v>
      </c>
      <c r="S106" s="41"/>
      <c r="T106" s="41"/>
      <c r="U106" s="41"/>
      <c r="V106" s="41"/>
      <c r="W106" s="41">
        <f t="shared" si="8"/>
        <v>0</v>
      </c>
      <c r="X106" s="77" t="str">
        <f t="shared" si="14"/>
        <v/>
      </c>
      <c r="AG106" s="81" t="str">
        <f>IF(Data_NaamPersoonTijd083="","",Data_NaamPersoonTijd083)</f>
        <v/>
      </c>
      <c r="AH106" s="41"/>
      <c r="AI106" s="41"/>
      <c r="AJ106" s="83" t="str">
        <f>IF(Data_BeeindigingsdatumTijd083="","",Data_BeeindigingsdatumTijd083)</f>
        <v/>
      </c>
      <c r="AK106" s="41"/>
      <c r="AL106" s="41"/>
      <c r="AM106" s="82" t="str">
        <f>IF(Data_LoonkostenTijd083="","",Data_LoonkostenTijd083)</f>
        <v/>
      </c>
      <c r="AN106" s="41"/>
      <c r="AO106" s="276" t="str">
        <f>IF(Data_PersoonAanUitTijd083=-1,"v","")</f>
        <v/>
      </c>
      <c r="AP106" s="41"/>
      <c r="AQ106" s="76" t="s">
        <v>160</v>
      </c>
      <c r="AR106" s="41"/>
      <c r="AS106" s="41"/>
      <c r="AT106" s="41"/>
      <c r="AU106" s="41"/>
      <c r="AV106" s="41">
        <f t="shared" si="9"/>
        <v>0</v>
      </c>
      <c r="AW106" s="77">
        <f t="shared" si="10"/>
        <v>0</v>
      </c>
      <c r="AX106" s="41"/>
      <c r="AY106" s="41"/>
      <c r="AZ106" s="41"/>
      <c r="BA106" s="81" t="str">
        <f>IF(Data_NaamPersoonVastVrij083="","",Data_NaamPersoonVastVrij083)</f>
        <v/>
      </c>
      <c r="BB106" s="41"/>
      <c r="BC106" s="41"/>
      <c r="BD106" s="83" t="str">
        <f>IF(Data_BeeindigingsdatumVastVrij083="","",Data_BeeindigingsdatumVastVrij083)</f>
        <v/>
      </c>
      <c r="BE106" s="41"/>
      <c r="BF106" s="41"/>
      <c r="BG106" s="82" t="str">
        <f>IF(Data_LoonkostenVastVrij083="","",Data_LoonkostenVastVrij083)</f>
        <v/>
      </c>
      <c r="BH106" s="41"/>
      <c r="BI106" s="76" t="str">
        <f>IF(Data_PersoonAanUitVastVrij083=-1,"v","")</f>
        <v/>
      </c>
      <c r="BJ106" s="41"/>
      <c r="BK106" s="76" t="s">
        <v>160</v>
      </c>
      <c r="BL106" s="41"/>
      <c r="BM106" s="41"/>
      <c r="BN106" s="41"/>
      <c r="BO106" s="41"/>
      <c r="BP106" s="41">
        <f t="shared" si="11"/>
        <v>0</v>
      </c>
      <c r="BQ106" s="77">
        <f t="shared" si="12"/>
        <v>0</v>
      </c>
      <c r="BS106" s="81" t="str">
        <f>IF(Data_NaamPersoonVastOntslag083="","",Data_NaamPersoonVastOntslag083)</f>
        <v/>
      </c>
      <c r="BV106" s="83" t="str">
        <f>IF(Data_BeeindigingsdatumVastOntslag083="","",Data_BeeindigingsdatumVastOntslag083)</f>
        <v/>
      </c>
      <c r="BY106" s="82" t="str">
        <f>IF(Data_LoonkostenVastOntslag083="","",Data_LoonkostenVastOntslag083)</f>
        <v/>
      </c>
      <c r="CA106" s="76" t="str">
        <f>IF(Data_PersoonAanUitVastOntslag083=-1,"v","")</f>
        <v/>
      </c>
      <c r="CB106" s="41"/>
      <c r="CC106" s="76" t="s">
        <v>160</v>
      </c>
      <c r="CD106" s="41"/>
      <c r="CE106" s="41"/>
      <c r="CF106" s="41"/>
      <c r="CG106" s="41"/>
      <c r="CH106" s="41">
        <f t="shared" si="15"/>
        <v>0</v>
      </c>
      <c r="CI106" s="41">
        <f t="shared" si="13"/>
        <v>0</v>
      </c>
    </row>
    <row r="107" spans="8:87" x14ac:dyDescent="0.25">
      <c r="H107" s="81" t="str">
        <f>IF(Data_NaamPersoonNatVerloop084="","",Data_NaamPersoonNatVerloop084)</f>
        <v/>
      </c>
      <c r="I107" s="41"/>
      <c r="J107" s="41"/>
      <c r="K107" s="83" t="str">
        <f>IF(Data_BeeindigingsdatumNatVerloop084="","",Data_BeeindigingsdatumNatVerloop084)</f>
        <v/>
      </c>
      <c r="L107" s="41"/>
      <c r="M107" s="41"/>
      <c r="N107" s="82" t="str">
        <f>IF(Data_LoonkostenNatVerloop084="","",Data_LoonkostenNatVerloop084)</f>
        <v/>
      </c>
      <c r="O107" s="41"/>
      <c r="P107" s="276" t="s">
        <v>160</v>
      </c>
      <c r="Q107" s="41"/>
      <c r="R107" s="76" t="s">
        <v>160</v>
      </c>
      <c r="S107" s="41"/>
      <c r="T107" s="41"/>
      <c r="U107" s="41"/>
      <c r="V107" s="41"/>
      <c r="W107" s="41">
        <f t="shared" si="8"/>
        <v>0</v>
      </c>
      <c r="X107" s="77" t="str">
        <f t="shared" si="14"/>
        <v/>
      </c>
      <c r="AG107" s="81" t="str">
        <f>IF(Data_NaamPersoonTijd084="","",Data_NaamPersoonTijd084)</f>
        <v/>
      </c>
      <c r="AH107" s="41"/>
      <c r="AI107" s="41"/>
      <c r="AJ107" s="83" t="str">
        <f>IF(Data_BeeindigingsdatumTijd084="","",Data_BeeindigingsdatumTijd084)</f>
        <v/>
      </c>
      <c r="AK107" s="41"/>
      <c r="AL107" s="41"/>
      <c r="AM107" s="82" t="str">
        <f>IF(Data_LoonkostenTijd084="","",Data_LoonkostenTijd084)</f>
        <v/>
      </c>
      <c r="AN107" s="41"/>
      <c r="AO107" s="276" t="str">
        <f>IF(Data_PersoonAanUitTijd084=-1,"v","")</f>
        <v/>
      </c>
      <c r="AP107" s="41"/>
      <c r="AQ107" s="76" t="s">
        <v>160</v>
      </c>
      <c r="AR107" s="41"/>
      <c r="AS107" s="41"/>
      <c r="AT107" s="41"/>
      <c r="AU107" s="41"/>
      <c r="AV107" s="41">
        <f t="shared" si="9"/>
        <v>0</v>
      </c>
      <c r="AW107" s="77">
        <f t="shared" si="10"/>
        <v>0</v>
      </c>
      <c r="AX107" s="41"/>
      <c r="AY107" s="41"/>
      <c r="AZ107" s="41"/>
      <c r="BA107" s="81" t="str">
        <f>IF(Data_NaamPersoonVastVrij084="","",Data_NaamPersoonVastVrij084)</f>
        <v/>
      </c>
      <c r="BB107" s="41"/>
      <c r="BC107" s="41"/>
      <c r="BD107" s="83" t="str">
        <f>IF(Data_BeeindigingsdatumVastVrij084="","",Data_BeeindigingsdatumVastVrij084)</f>
        <v/>
      </c>
      <c r="BE107" s="41"/>
      <c r="BF107" s="41"/>
      <c r="BG107" s="82" t="str">
        <f>IF(Data_LoonkostenVastVrij084="","",Data_LoonkostenVastVrij084)</f>
        <v/>
      </c>
      <c r="BH107" s="41"/>
      <c r="BI107" s="76" t="str">
        <f>IF(Data_PersoonAanUitVastVrij084=-1,"v","")</f>
        <v/>
      </c>
      <c r="BJ107" s="41"/>
      <c r="BK107" s="76" t="s">
        <v>160</v>
      </c>
      <c r="BL107" s="41"/>
      <c r="BM107" s="41"/>
      <c r="BN107" s="41"/>
      <c r="BO107" s="41"/>
      <c r="BP107" s="41">
        <f t="shared" si="11"/>
        <v>0</v>
      </c>
      <c r="BQ107" s="77">
        <f t="shared" si="12"/>
        <v>0</v>
      </c>
      <c r="BS107" s="81" t="str">
        <f>IF(Data_NaamPersoonVastOntslag084="","",Data_NaamPersoonVastOntslag084)</f>
        <v/>
      </c>
      <c r="BV107" s="83" t="str">
        <f>IF(Data_BeeindigingsdatumVastOntslag084="","",Data_BeeindigingsdatumVastOntslag084)</f>
        <v/>
      </c>
      <c r="BY107" s="82" t="str">
        <f>IF(Data_LoonkostenVastOntslag084="","",Data_LoonkostenVastOntslag084)</f>
        <v/>
      </c>
      <c r="CA107" s="76" t="str">
        <f>IF(Data_PersoonAanUitVastOntslag084=-1,"v","")</f>
        <v/>
      </c>
      <c r="CB107" s="41"/>
      <c r="CC107" s="76" t="s">
        <v>160</v>
      </c>
      <c r="CD107" s="41"/>
      <c r="CE107" s="41"/>
      <c r="CF107" s="41"/>
      <c r="CG107" s="41"/>
      <c r="CH107" s="41">
        <f t="shared" si="15"/>
        <v>0</v>
      </c>
      <c r="CI107" s="41">
        <f t="shared" si="13"/>
        <v>0</v>
      </c>
    </row>
    <row r="108" spans="8:87" x14ac:dyDescent="0.25">
      <c r="H108" s="81" t="str">
        <f>IF(Data_NaamPersoonNatVerloop085="","",Data_NaamPersoonNatVerloop085)</f>
        <v/>
      </c>
      <c r="I108" s="41"/>
      <c r="J108" s="41"/>
      <c r="K108" s="83" t="str">
        <f>IF(Data_BeeindigingsdatumNatVerloop085="","",Data_BeeindigingsdatumNatVerloop085)</f>
        <v/>
      </c>
      <c r="L108" s="41"/>
      <c r="M108" s="41"/>
      <c r="N108" s="82" t="str">
        <f>IF(Data_LoonkostenNatVerloop085="","",Data_LoonkostenNatVerloop085)</f>
        <v/>
      </c>
      <c r="O108" s="41"/>
      <c r="P108" s="276" t="s">
        <v>160</v>
      </c>
      <c r="Q108" s="41"/>
      <c r="R108" s="76" t="s">
        <v>160</v>
      </c>
      <c r="S108" s="41"/>
      <c r="T108" s="41"/>
      <c r="U108" s="41"/>
      <c r="V108" s="41"/>
      <c r="W108" s="41">
        <f t="shared" si="8"/>
        <v>0</v>
      </c>
      <c r="X108" s="77" t="str">
        <f t="shared" si="14"/>
        <v/>
      </c>
      <c r="AG108" s="81" t="str">
        <f>IF(Data_NaamPersoonTijd085="","",Data_NaamPersoonTijd085)</f>
        <v/>
      </c>
      <c r="AH108" s="41"/>
      <c r="AI108" s="41"/>
      <c r="AJ108" s="83" t="str">
        <f>IF(Data_BeeindigingsdatumTijd085="","",Data_BeeindigingsdatumTijd085)</f>
        <v/>
      </c>
      <c r="AK108" s="41"/>
      <c r="AL108" s="41"/>
      <c r="AM108" s="82" t="str">
        <f>IF(Data_LoonkostenTijd085="","",Data_LoonkostenTijd085)</f>
        <v/>
      </c>
      <c r="AN108" s="41"/>
      <c r="AO108" s="276" t="str">
        <f>IF(Data_PersoonAanUitTijd085=-1,"v","")</f>
        <v/>
      </c>
      <c r="AP108" s="41"/>
      <c r="AQ108" s="76" t="s">
        <v>160</v>
      </c>
      <c r="AR108" s="41"/>
      <c r="AS108" s="41"/>
      <c r="AT108" s="41"/>
      <c r="AU108" s="41"/>
      <c r="AV108" s="41">
        <f t="shared" si="9"/>
        <v>0</v>
      </c>
      <c r="AW108" s="77">
        <f t="shared" si="10"/>
        <v>0</v>
      </c>
      <c r="AX108" s="41"/>
      <c r="AY108" s="41"/>
      <c r="AZ108" s="41"/>
      <c r="BA108" s="81" t="str">
        <f>IF(Data_NaamPersoonVastVrij085="","",Data_NaamPersoonVastVrij085)</f>
        <v/>
      </c>
      <c r="BB108" s="41"/>
      <c r="BC108" s="41"/>
      <c r="BD108" s="83" t="str">
        <f>IF(Data_BeeindigingsdatumVastVrij085="","",Data_BeeindigingsdatumVastVrij085)</f>
        <v/>
      </c>
      <c r="BE108" s="41"/>
      <c r="BF108" s="41"/>
      <c r="BG108" s="82" t="str">
        <f>IF(Data_LoonkostenVastVrij085="","",Data_LoonkostenVastVrij085)</f>
        <v/>
      </c>
      <c r="BH108" s="41"/>
      <c r="BI108" s="76" t="str">
        <f>IF(Data_PersoonAanUitVastVrij085=-1,"v","")</f>
        <v/>
      </c>
      <c r="BJ108" s="41"/>
      <c r="BK108" s="76" t="s">
        <v>160</v>
      </c>
      <c r="BL108" s="41"/>
      <c r="BM108" s="41"/>
      <c r="BN108" s="41"/>
      <c r="BO108" s="41"/>
      <c r="BP108" s="41">
        <f t="shared" si="11"/>
        <v>0</v>
      </c>
      <c r="BQ108" s="77">
        <f t="shared" si="12"/>
        <v>0</v>
      </c>
      <c r="BS108" s="81" t="str">
        <f>IF(Data_NaamPersoonVastOntslag085="","",Data_NaamPersoonVastOntslag085)</f>
        <v/>
      </c>
      <c r="BV108" s="83" t="str">
        <f>IF(Data_BeeindigingsdatumVastOntslag085="","",Data_BeeindigingsdatumVastOntslag085)</f>
        <v/>
      </c>
      <c r="BY108" s="82" t="str">
        <f>IF(Data_LoonkostenVastOntslag085="","",Data_LoonkostenVastOntslag085)</f>
        <v/>
      </c>
      <c r="CA108" s="76" t="str">
        <f>IF(Data_PersoonAanUitVastOntslag085=-1,"v","")</f>
        <v/>
      </c>
      <c r="CB108" s="41"/>
      <c r="CC108" s="76" t="s">
        <v>160</v>
      </c>
      <c r="CD108" s="41"/>
      <c r="CE108" s="41"/>
      <c r="CF108" s="41"/>
      <c r="CG108" s="41"/>
      <c r="CH108" s="41">
        <f t="shared" si="15"/>
        <v>0</v>
      </c>
      <c r="CI108" s="41">
        <f t="shared" si="13"/>
        <v>0</v>
      </c>
    </row>
    <row r="109" spans="8:87" x14ac:dyDescent="0.25">
      <c r="H109" s="81" t="str">
        <f>IF(Data_NaamPersoonNatVerloop086="","",Data_NaamPersoonNatVerloop086)</f>
        <v/>
      </c>
      <c r="I109" s="41"/>
      <c r="J109" s="41"/>
      <c r="K109" s="83" t="str">
        <f>IF(Data_BeeindigingsdatumNatVerloop086="","",Data_BeeindigingsdatumNatVerloop086)</f>
        <v/>
      </c>
      <c r="L109" s="41"/>
      <c r="M109" s="41"/>
      <c r="N109" s="82" t="str">
        <f>IF(Data_LoonkostenNatVerloop086="","",Data_LoonkostenNatVerloop086)</f>
        <v/>
      </c>
      <c r="O109" s="41"/>
      <c r="P109" s="276" t="s">
        <v>160</v>
      </c>
      <c r="Q109" s="41"/>
      <c r="R109" s="76" t="s">
        <v>160</v>
      </c>
      <c r="S109" s="41"/>
      <c r="T109" s="41"/>
      <c r="U109" s="41"/>
      <c r="V109" s="41"/>
      <c r="W109" s="41">
        <f t="shared" si="8"/>
        <v>0</v>
      </c>
      <c r="X109" s="77" t="str">
        <f t="shared" si="14"/>
        <v/>
      </c>
      <c r="AG109" s="81" t="str">
        <f>IF(Data_NaamPersoonTijd086="","",Data_NaamPersoonTijd086)</f>
        <v/>
      </c>
      <c r="AH109" s="41"/>
      <c r="AI109" s="41"/>
      <c r="AJ109" s="83" t="str">
        <f>IF(Data_BeeindigingsdatumTijd086="","",Data_BeeindigingsdatumTijd086)</f>
        <v/>
      </c>
      <c r="AK109" s="41"/>
      <c r="AL109" s="41"/>
      <c r="AM109" s="82" t="str">
        <f>IF(Data_LoonkostenTijd086="","",Data_LoonkostenTijd086)</f>
        <v/>
      </c>
      <c r="AN109" s="41"/>
      <c r="AO109" s="276" t="str">
        <f>IF(Data_PersoonAanUitTijd086=-1,"v","")</f>
        <v/>
      </c>
      <c r="AP109" s="41"/>
      <c r="AQ109" s="76" t="s">
        <v>160</v>
      </c>
      <c r="AR109" s="41"/>
      <c r="AS109" s="41"/>
      <c r="AT109" s="41"/>
      <c r="AU109" s="41"/>
      <c r="AV109" s="41">
        <f t="shared" si="9"/>
        <v>0</v>
      </c>
      <c r="AW109" s="77">
        <f t="shared" si="10"/>
        <v>0</v>
      </c>
      <c r="AX109" s="41"/>
      <c r="AY109" s="41"/>
      <c r="AZ109" s="41"/>
      <c r="BA109" s="81" t="str">
        <f>IF(Data_NaamPersoonVastVrij086="","",Data_NaamPersoonVastVrij086)</f>
        <v/>
      </c>
      <c r="BB109" s="41"/>
      <c r="BC109" s="41"/>
      <c r="BD109" s="83" t="str">
        <f>IF(Data_BeeindigingsdatumVastVrij086="","",Data_BeeindigingsdatumVastVrij086)</f>
        <v/>
      </c>
      <c r="BE109" s="41"/>
      <c r="BF109" s="41"/>
      <c r="BG109" s="82" t="str">
        <f>IF(Data_LoonkostenVastVrij086="","",Data_LoonkostenVastVrij086)</f>
        <v/>
      </c>
      <c r="BH109" s="41"/>
      <c r="BI109" s="76" t="str">
        <f>IF(Data_PersoonAanUitVastVrij086=-1,"v","")</f>
        <v/>
      </c>
      <c r="BJ109" s="41"/>
      <c r="BK109" s="76" t="s">
        <v>160</v>
      </c>
      <c r="BL109" s="41"/>
      <c r="BM109" s="41"/>
      <c r="BN109" s="41"/>
      <c r="BO109" s="41"/>
      <c r="BP109" s="41">
        <f t="shared" si="11"/>
        <v>0</v>
      </c>
      <c r="BQ109" s="77">
        <f t="shared" si="12"/>
        <v>0</v>
      </c>
      <c r="BS109" s="81" t="str">
        <f>IF(Data_NaamPersoonVastOntslag086="","",Data_NaamPersoonVastOntslag086)</f>
        <v/>
      </c>
      <c r="BV109" s="83" t="str">
        <f>IF(Data_BeeindigingsdatumVastOntslag086="","",Data_BeeindigingsdatumVastOntslag086)</f>
        <v/>
      </c>
      <c r="BY109" s="82" t="str">
        <f>IF(Data_LoonkostenVastOntslag086="","",Data_LoonkostenVastOntslag086)</f>
        <v/>
      </c>
      <c r="CA109" s="76" t="str">
        <f>IF(Data_PersoonAanUitVastOntslag086=-1,"v","")</f>
        <v/>
      </c>
      <c r="CB109" s="41"/>
      <c r="CC109" s="76" t="s">
        <v>160</v>
      </c>
      <c r="CD109" s="41"/>
      <c r="CE109" s="41"/>
      <c r="CF109" s="41"/>
      <c r="CG109" s="41"/>
      <c r="CH109" s="41">
        <f t="shared" si="15"/>
        <v>0</v>
      </c>
      <c r="CI109" s="41">
        <f t="shared" si="13"/>
        <v>0</v>
      </c>
    </row>
    <row r="110" spans="8:87" x14ac:dyDescent="0.25">
      <c r="H110" s="81" t="str">
        <f>IF(Data_NaamPersoonNatVerloop087="","",Data_NaamPersoonNatVerloop087)</f>
        <v/>
      </c>
      <c r="I110" s="41"/>
      <c r="J110" s="41"/>
      <c r="K110" s="83" t="str">
        <f>IF(Data_BeeindigingsdatumNatVerloop087="","",Data_BeeindigingsdatumNatVerloop087)</f>
        <v/>
      </c>
      <c r="L110" s="41"/>
      <c r="M110" s="41"/>
      <c r="N110" s="82" t="str">
        <f>IF(Data_LoonkostenNatVerloop087="","",Data_LoonkostenNatVerloop087)</f>
        <v/>
      </c>
      <c r="O110" s="41"/>
      <c r="P110" s="276" t="s">
        <v>160</v>
      </c>
      <c r="Q110" s="41"/>
      <c r="R110" s="76" t="s">
        <v>160</v>
      </c>
      <c r="S110" s="41"/>
      <c r="T110" s="41"/>
      <c r="U110" s="41"/>
      <c r="V110" s="41"/>
      <c r="W110" s="41">
        <f t="shared" si="8"/>
        <v>0</v>
      </c>
      <c r="X110" s="77" t="str">
        <f t="shared" si="14"/>
        <v/>
      </c>
      <c r="AG110" s="81" t="str">
        <f>IF(Data_NaamPersoonTijd087="","",Data_NaamPersoonTijd087)</f>
        <v/>
      </c>
      <c r="AH110" s="41"/>
      <c r="AI110" s="41"/>
      <c r="AJ110" s="83" t="str">
        <f>IF(Data_BeeindigingsdatumTijd087="","",Data_BeeindigingsdatumTijd087)</f>
        <v/>
      </c>
      <c r="AK110" s="41"/>
      <c r="AL110" s="41"/>
      <c r="AM110" s="82" t="str">
        <f>IF(Data_LoonkostenTijd087="","",Data_LoonkostenTijd087)</f>
        <v/>
      </c>
      <c r="AN110" s="41"/>
      <c r="AO110" s="276" t="str">
        <f>IF(Data_PersoonAanUitTijd087=-1,"v","")</f>
        <v/>
      </c>
      <c r="AP110" s="41"/>
      <c r="AQ110" s="76" t="s">
        <v>160</v>
      </c>
      <c r="AR110" s="41"/>
      <c r="AS110" s="41"/>
      <c r="AT110" s="41"/>
      <c r="AU110" s="41"/>
      <c r="AV110" s="41">
        <f t="shared" si="9"/>
        <v>0</v>
      </c>
      <c r="AW110" s="77">
        <f t="shared" si="10"/>
        <v>0</v>
      </c>
      <c r="AX110" s="41"/>
      <c r="AY110" s="41"/>
      <c r="AZ110" s="41"/>
      <c r="BA110" s="81" t="str">
        <f>IF(Data_NaamPersoonVastVrij087="","",Data_NaamPersoonVastVrij087)</f>
        <v/>
      </c>
      <c r="BB110" s="41"/>
      <c r="BC110" s="41"/>
      <c r="BD110" s="83" t="str">
        <f>IF(Data_BeeindigingsdatumVastVrij087="","",Data_BeeindigingsdatumVastVrij087)</f>
        <v/>
      </c>
      <c r="BE110" s="41"/>
      <c r="BF110" s="41"/>
      <c r="BG110" s="82" t="str">
        <f>IF(Data_LoonkostenVastVrij087="","",Data_LoonkostenVastVrij087)</f>
        <v/>
      </c>
      <c r="BH110" s="41"/>
      <c r="BI110" s="76" t="str">
        <f>IF(Data_PersoonAanUitVastVrij087=-1,"v","")</f>
        <v/>
      </c>
      <c r="BJ110" s="41"/>
      <c r="BK110" s="76" t="s">
        <v>160</v>
      </c>
      <c r="BL110" s="41"/>
      <c r="BM110" s="41"/>
      <c r="BN110" s="41"/>
      <c r="BO110" s="41"/>
      <c r="BP110" s="41">
        <f t="shared" si="11"/>
        <v>0</v>
      </c>
      <c r="BQ110" s="77">
        <f t="shared" si="12"/>
        <v>0</v>
      </c>
      <c r="BS110" s="81" t="str">
        <f>IF(Data_NaamPersoonVastOntslag087="","",Data_NaamPersoonVastOntslag087)</f>
        <v/>
      </c>
      <c r="BV110" s="83" t="str">
        <f>IF(Data_BeeindigingsdatumVastOntslag087="","",Data_BeeindigingsdatumVastOntslag087)</f>
        <v/>
      </c>
      <c r="BY110" s="82" t="str">
        <f>IF(Data_LoonkostenVastOntslag087="","",Data_LoonkostenVastOntslag087)</f>
        <v/>
      </c>
      <c r="CA110" s="76" t="str">
        <f>IF(Data_PersoonAanUitVastOntslag087=-1,"v","")</f>
        <v/>
      </c>
      <c r="CB110" s="41"/>
      <c r="CC110" s="76" t="s">
        <v>160</v>
      </c>
      <c r="CD110" s="41"/>
      <c r="CE110" s="41"/>
      <c r="CF110" s="41"/>
      <c r="CG110" s="41"/>
      <c r="CH110" s="41">
        <f t="shared" si="15"/>
        <v>0</v>
      </c>
      <c r="CI110" s="41">
        <f t="shared" si="13"/>
        <v>0</v>
      </c>
    </row>
    <row r="111" spans="8:87" x14ac:dyDescent="0.25">
      <c r="H111" s="81" t="str">
        <f>IF(Data_NaamPersoonNatVerloop088="","",Data_NaamPersoonNatVerloop088)</f>
        <v/>
      </c>
      <c r="I111" s="41"/>
      <c r="J111" s="41"/>
      <c r="K111" s="83" t="str">
        <f>IF(Data_BeeindigingsdatumNatVerloop088="","",Data_BeeindigingsdatumNatVerloop088)</f>
        <v/>
      </c>
      <c r="L111" s="41"/>
      <c r="M111" s="41"/>
      <c r="N111" s="82" t="str">
        <f>IF(Data_LoonkostenNatVerloop088="","",Data_LoonkostenNatVerloop088)</f>
        <v/>
      </c>
      <c r="O111" s="41"/>
      <c r="P111" s="276" t="s">
        <v>160</v>
      </c>
      <c r="Q111" s="41"/>
      <c r="R111" s="76" t="s">
        <v>160</v>
      </c>
      <c r="S111" s="41"/>
      <c r="T111" s="41"/>
      <c r="U111" s="41"/>
      <c r="V111" s="41"/>
      <c r="W111" s="41">
        <f t="shared" si="8"/>
        <v>0</v>
      </c>
      <c r="X111" s="77" t="str">
        <f t="shared" si="14"/>
        <v/>
      </c>
      <c r="AG111" s="81" t="str">
        <f>IF(Data_NaamPersoonTijd088="","",Data_NaamPersoonTijd088)</f>
        <v/>
      </c>
      <c r="AH111" s="41"/>
      <c r="AI111" s="41"/>
      <c r="AJ111" s="83" t="str">
        <f>IF(Data_BeeindigingsdatumTijd088="","",Data_BeeindigingsdatumTijd088)</f>
        <v/>
      </c>
      <c r="AK111" s="41"/>
      <c r="AL111" s="41"/>
      <c r="AM111" s="82" t="str">
        <f>IF(Data_LoonkostenTijd088="","",Data_LoonkostenTijd088)</f>
        <v/>
      </c>
      <c r="AN111" s="41"/>
      <c r="AO111" s="276" t="str">
        <f>IF(Data_PersoonAanUitTijd088=-1,"v","")</f>
        <v/>
      </c>
      <c r="AP111" s="41"/>
      <c r="AQ111" s="76" t="s">
        <v>160</v>
      </c>
      <c r="AR111" s="41"/>
      <c r="AS111" s="41"/>
      <c r="AT111" s="41"/>
      <c r="AU111" s="41"/>
      <c r="AV111" s="41">
        <f t="shared" si="9"/>
        <v>0</v>
      </c>
      <c r="AW111" s="77">
        <f t="shared" si="10"/>
        <v>0</v>
      </c>
      <c r="AX111" s="41"/>
      <c r="AY111" s="41"/>
      <c r="AZ111" s="41"/>
      <c r="BA111" s="81" t="str">
        <f>IF(Data_NaamPersoonVastVrij088="","",Data_NaamPersoonVastVrij088)</f>
        <v/>
      </c>
      <c r="BB111" s="41"/>
      <c r="BC111" s="41"/>
      <c r="BD111" s="83" t="str">
        <f>IF(Data_BeeindigingsdatumVastVrij088="","",Data_BeeindigingsdatumVastVrij088)</f>
        <v/>
      </c>
      <c r="BE111" s="41"/>
      <c r="BF111" s="41"/>
      <c r="BG111" s="82" t="str">
        <f>IF(Data_LoonkostenVastVrij088="","",Data_LoonkostenVastVrij088)</f>
        <v/>
      </c>
      <c r="BH111" s="41"/>
      <c r="BI111" s="76" t="str">
        <f>IF(Data_PersoonAanUitVastVrij088=-1,"v","")</f>
        <v/>
      </c>
      <c r="BJ111" s="41"/>
      <c r="BK111" s="76" t="s">
        <v>160</v>
      </c>
      <c r="BL111" s="41"/>
      <c r="BM111" s="41"/>
      <c r="BN111" s="41"/>
      <c r="BO111" s="41"/>
      <c r="BP111" s="41">
        <f t="shared" si="11"/>
        <v>0</v>
      </c>
      <c r="BQ111" s="77">
        <f t="shared" si="12"/>
        <v>0</v>
      </c>
      <c r="BS111" s="81" t="str">
        <f>IF(Data_NaamPersoonVastOntslag088="","",Data_NaamPersoonVastOntslag088)</f>
        <v/>
      </c>
      <c r="BV111" s="83" t="str">
        <f>IF(Data_BeeindigingsdatumVastOntslag088="","",Data_BeeindigingsdatumVastOntslag088)</f>
        <v/>
      </c>
      <c r="BY111" s="82" t="str">
        <f>IF(Data_LoonkostenVastOntslag088="","",Data_LoonkostenVastOntslag088)</f>
        <v/>
      </c>
      <c r="CA111" s="76" t="str">
        <f>IF(Data_PersoonAanUitVastOntslag088=-1,"v","")</f>
        <v/>
      </c>
      <c r="CB111" s="41"/>
      <c r="CC111" s="76" t="s">
        <v>160</v>
      </c>
      <c r="CD111" s="41"/>
      <c r="CE111" s="41"/>
      <c r="CF111" s="41"/>
      <c r="CG111" s="41"/>
      <c r="CH111" s="41">
        <f t="shared" si="15"/>
        <v>0</v>
      </c>
      <c r="CI111" s="41">
        <f t="shared" si="13"/>
        <v>0</v>
      </c>
    </row>
    <row r="112" spans="8:87" x14ac:dyDescent="0.25">
      <c r="H112" s="81" t="str">
        <f>IF(Data_NaamPersoonNatVerloop089="","",Data_NaamPersoonNatVerloop089)</f>
        <v/>
      </c>
      <c r="I112" s="41"/>
      <c r="J112" s="41"/>
      <c r="K112" s="83" t="str">
        <f>IF(Data_BeeindigingsdatumNatVerloop089="","",Data_BeeindigingsdatumNatVerloop089)</f>
        <v/>
      </c>
      <c r="L112" s="41"/>
      <c r="M112" s="41"/>
      <c r="N112" s="82" t="str">
        <f>IF(Data_LoonkostenNatVerloop089="","",Data_LoonkostenNatVerloop089)</f>
        <v/>
      </c>
      <c r="O112" s="41"/>
      <c r="P112" s="276" t="s">
        <v>160</v>
      </c>
      <c r="Q112" s="41"/>
      <c r="R112" s="76" t="s">
        <v>160</v>
      </c>
      <c r="S112" s="41"/>
      <c r="T112" s="41"/>
      <c r="U112" s="41"/>
      <c r="V112" s="41"/>
      <c r="W112" s="41">
        <f t="shared" si="8"/>
        <v>0</v>
      </c>
      <c r="X112" s="77" t="str">
        <f t="shared" si="14"/>
        <v/>
      </c>
      <c r="AG112" s="81" t="str">
        <f>IF(Data_NaamPersoonTijd089="","",Data_NaamPersoonTijd089)</f>
        <v/>
      </c>
      <c r="AH112" s="41"/>
      <c r="AI112" s="41"/>
      <c r="AJ112" s="83" t="str">
        <f>IF(Data_BeeindigingsdatumTijd089="","",Data_BeeindigingsdatumTijd089)</f>
        <v/>
      </c>
      <c r="AK112" s="41"/>
      <c r="AL112" s="41"/>
      <c r="AM112" s="82" t="str">
        <f>IF(Data_LoonkostenTijd089="","",Data_LoonkostenTijd089)</f>
        <v/>
      </c>
      <c r="AN112" s="41"/>
      <c r="AO112" s="276" t="str">
        <f>IF(Data_PersoonAanUitTijd089=-1,"v","")</f>
        <v/>
      </c>
      <c r="AP112" s="41"/>
      <c r="AQ112" s="76" t="s">
        <v>160</v>
      </c>
      <c r="AR112" s="41"/>
      <c r="AS112" s="41"/>
      <c r="AT112" s="41"/>
      <c r="AU112" s="41"/>
      <c r="AV112" s="41">
        <f t="shared" si="9"/>
        <v>0</v>
      </c>
      <c r="AW112" s="77">
        <f t="shared" si="10"/>
        <v>0</v>
      </c>
      <c r="AX112" s="41"/>
      <c r="AY112" s="41"/>
      <c r="AZ112" s="41"/>
      <c r="BA112" s="81" t="str">
        <f>IF(Data_NaamPersoonVastVrij089="","",Data_NaamPersoonVastVrij089)</f>
        <v/>
      </c>
      <c r="BB112" s="41"/>
      <c r="BC112" s="41"/>
      <c r="BD112" s="83" t="str">
        <f>IF(Data_BeeindigingsdatumVastVrij089="","",Data_BeeindigingsdatumVastVrij089)</f>
        <v/>
      </c>
      <c r="BE112" s="41"/>
      <c r="BF112" s="41"/>
      <c r="BG112" s="82" t="str">
        <f>IF(Data_LoonkostenVastVrij089="","",Data_LoonkostenVastVrij089)</f>
        <v/>
      </c>
      <c r="BH112" s="41"/>
      <c r="BI112" s="76" t="str">
        <f>IF(Data_PersoonAanUitVastVrij089=-1,"v","")</f>
        <v/>
      </c>
      <c r="BJ112" s="41"/>
      <c r="BK112" s="76" t="s">
        <v>160</v>
      </c>
      <c r="BL112" s="41"/>
      <c r="BM112" s="41"/>
      <c r="BN112" s="41"/>
      <c r="BO112" s="41"/>
      <c r="BP112" s="41">
        <f t="shared" si="11"/>
        <v>0</v>
      </c>
      <c r="BQ112" s="77">
        <f t="shared" si="12"/>
        <v>0</v>
      </c>
      <c r="BS112" s="81" t="str">
        <f>IF(Data_NaamPersoonVastOntslag089="","",Data_NaamPersoonVastOntslag089)</f>
        <v/>
      </c>
      <c r="BV112" s="83" t="str">
        <f>IF(Data_BeeindigingsdatumVastOntslag089="","",Data_BeeindigingsdatumVastOntslag089)</f>
        <v/>
      </c>
      <c r="BY112" s="82" t="str">
        <f>IF(Data_LoonkostenVastOntslag089="","",Data_LoonkostenVastOntslag089)</f>
        <v/>
      </c>
      <c r="CA112" s="76" t="str">
        <f>IF(Data_PersoonAanUitVastOntslag089=-1,"v","")</f>
        <v/>
      </c>
      <c r="CB112" s="41"/>
      <c r="CC112" s="76" t="s">
        <v>160</v>
      </c>
      <c r="CD112" s="41"/>
      <c r="CE112" s="41"/>
      <c r="CF112" s="41"/>
      <c r="CG112" s="41"/>
      <c r="CH112" s="41">
        <f t="shared" si="15"/>
        <v>0</v>
      </c>
      <c r="CI112" s="41">
        <f t="shared" si="13"/>
        <v>0</v>
      </c>
    </row>
    <row r="113" spans="8:87" x14ac:dyDescent="0.25">
      <c r="H113" s="81" t="str">
        <f>IF(Data_NaamPersoonNatVerloop090="","",Data_NaamPersoonNatVerloop090)</f>
        <v/>
      </c>
      <c r="I113" s="41"/>
      <c r="J113" s="41"/>
      <c r="K113" s="83" t="str">
        <f>IF(Data_BeeindigingsdatumNatVerloop090="","",Data_BeeindigingsdatumNatVerloop090)</f>
        <v/>
      </c>
      <c r="L113" s="41"/>
      <c r="M113" s="41"/>
      <c r="N113" s="82" t="str">
        <f>IF(Data_LoonkostenNatVerloop090="","",Data_LoonkostenNatVerloop090)</f>
        <v/>
      </c>
      <c r="O113" s="41"/>
      <c r="P113" s="276" t="s">
        <v>160</v>
      </c>
      <c r="Q113" s="41"/>
      <c r="R113" s="76" t="s">
        <v>160</v>
      </c>
      <c r="S113" s="41"/>
      <c r="T113" s="41"/>
      <c r="U113" s="41"/>
      <c r="V113" s="41"/>
      <c r="W113" s="41">
        <f t="shared" si="8"/>
        <v>0</v>
      </c>
      <c r="X113" s="77" t="str">
        <f t="shared" si="14"/>
        <v/>
      </c>
      <c r="AG113" s="81" t="str">
        <f>IF(Data_NaamPersoonTijd090="","",Data_NaamPersoonTijd090)</f>
        <v/>
      </c>
      <c r="AH113" s="41"/>
      <c r="AI113" s="41"/>
      <c r="AJ113" s="83" t="str">
        <f>IF(Data_BeeindigingsdatumTijd090="","",Data_BeeindigingsdatumTijd090)</f>
        <v/>
      </c>
      <c r="AK113" s="41"/>
      <c r="AL113" s="41"/>
      <c r="AM113" s="82" t="str">
        <f>IF(Data_LoonkostenTijd090="","",Data_LoonkostenTijd090)</f>
        <v/>
      </c>
      <c r="AN113" s="41"/>
      <c r="AO113" s="276" t="str">
        <f>IF(Data_PersoonAanUitTijd090=-1,"v","")</f>
        <v/>
      </c>
      <c r="AP113" s="41"/>
      <c r="AQ113" s="76" t="s">
        <v>160</v>
      </c>
      <c r="AR113" s="41"/>
      <c r="AS113" s="41"/>
      <c r="AT113" s="41"/>
      <c r="AU113" s="41"/>
      <c r="AV113" s="41">
        <f t="shared" si="9"/>
        <v>0</v>
      </c>
      <c r="AW113" s="77">
        <f t="shared" si="10"/>
        <v>0</v>
      </c>
      <c r="AX113" s="41"/>
      <c r="AY113" s="41"/>
      <c r="AZ113" s="41"/>
      <c r="BA113" s="81" t="str">
        <f>IF(Data_NaamPersoonVastVrij090="","",Data_NaamPersoonVastVrij090)</f>
        <v/>
      </c>
      <c r="BB113" s="41"/>
      <c r="BC113" s="41"/>
      <c r="BD113" s="83" t="str">
        <f>IF(Data_BeeindigingsdatumVastVrij090="","",Data_BeeindigingsdatumVastVrij090)</f>
        <v/>
      </c>
      <c r="BE113" s="41"/>
      <c r="BF113" s="41"/>
      <c r="BG113" s="82" t="str">
        <f>IF(Data_LoonkostenVastVrij090="","",Data_LoonkostenVastVrij090)</f>
        <v/>
      </c>
      <c r="BH113" s="41"/>
      <c r="BI113" s="76" t="str">
        <f>IF(Data_PersoonAanUitVastVrij090=-1,"v","")</f>
        <v/>
      </c>
      <c r="BJ113" s="41"/>
      <c r="BK113" s="76" t="s">
        <v>160</v>
      </c>
      <c r="BL113" s="41"/>
      <c r="BM113" s="41"/>
      <c r="BN113" s="41"/>
      <c r="BO113" s="41"/>
      <c r="BP113" s="41">
        <f t="shared" si="11"/>
        <v>0</v>
      </c>
      <c r="BQ113" s="77">
        <f t="shared" si="12"/>
        <v>0</v>
      </c>
      <c r="BS113" s="81" t="str">
        <f>IF(Data_NaamPersoonVastOntslag090="","",Data_NaamPersoonVastOntslag090)</f>
        <v/>
      </c>
      <c r="BV113" s="83" t="str">
        <f>IF(Data_BeeindigingsdatumVastOntslag090="","",Data_BeeindigingsdatumVastOntslag090)</f>
        <v/>
      </c>
      <c r="BY113" s="82" t="str">
        <f>IF(Data_LoonkostenVastOntslag090="","",Data_LoonkostenVastOntslag090)</f>
        <v/>
      </c>
      <c r="CA113" s="76" t="str">
        <f>IF(Data_PersoonAanUitVastOntslag090=-1,"v","")</f>
        <v/>
      </c>
      <c r="CB113" s="41"/>
      <c r="CC113" s="76" t="s">
        <v>160</v>
      </c>
      <c r="CD113" s="41"/>
      <c r="CE113" s="41"/>
      <c r="CF113" s="41"/>
      <c r="CG113" s="41"/>
      <c r="CH113" s="41">
        <f t="shared" si="15"/>
        <v>0</v>
      </c>
      <c r="CI113" s="41">
        <f t="shared" si="13"/>
        <v>0</v>
      </c>
    </row>
    <row r="114" spans="8:87" x14ac:dyDescent="0.25">
      <c r="H114" s="81" t="str">
        <f>IF(Data_NaamPersoonNatVerloop091="","",Data_NaamPersoonNatVerloop091)</f>
        <v/>
      </c>
      <c r="I114" s="41"/>
      <c r="J114" s="41"/>
      <c r="K114" s="83" t="str">
        <f>IF(Data_BeeindigingsdatumNatVerloop091="","",Data_BeeindigingsdatumNatVerloop091)</f>
        <v/>
      </c>
      <c r="L114" s="41"/>
      <c r="M114" s="41"/>
      <c r="N114" s="82" t="str">
        <f>IF(Data_LoonkostenNatVerloop091="","",Data_LoonkostenNatVerloop091)</f>
        <v/>
      </c>
      <c r="O114" s="41"/>
      <c r="P114" s="276" t="s">
        <v>160</v>
      </c>
      <c r="Q114" s="41"/>
      <c r="R114" s="76" t="s">
        <v>160</v>
      </c>
      <c r="S114" s="41"/>
      <c r="T114" s="41"/>
      <c r="U114" s="41"/>
      <c r="V114" s="41"/>
      <c r="W114" s="41">
        <f t="shared" si="8"/>
        <v>0</v>
      </c>
      <c r="X114" s="77" t="str">
        <f t="shared" si="14"/>
        <v/>
      </c>
      <c r="AG114" s="81" t="str">
        <f>IF(Data_NaamPersoonTijd091="","",Data_NaamPersoonTijd091)</f>
        <v/>
      </c>
      <c r="AH114" s="41"/>
      <c r="AI114" s="41"/>
      <c r="AJ114" s="83" t="str">
        <f>IF(Data_BeeindigingsdatumTijd091="","",Data_BeeindigingsdatumTijd091)</f>
        <v/>
      </c>
      <c r="AK114" s="41"/>
      <c r="AL114" s="41"/>
      <c r="AM114" s="82" t="str">
        <f>IF(Data_LoonkostenTijd091="","",Data_LoonkostenTijd091)</f>
        <v/>
      </c>
      <c r="AN114" s="41"/>
      <c r="AO114" s="276" t="str">
        <f>IF(Data_PersoonAanUitTijd091=-1,"v","")</f>
        <v/>
      </c>
      <c r="AP114" s="41"/>
      <c r="AQ114" s="76" t="s">
        <v>160</v>
      </c>
      <c r="AR114" s="41"/>
      <c r="AS114" s="41"/>
      <c r="AT114" s="41"/>
      <c r="AU114" s="41"/>
      <c r="AV114" s="41">
        <f t="shared" si="9"/>
        <v>0</v>
      </c>
      <c r="AW114" s="77">
        <f t="shared" si="10"/>
        <v>0</v>
      </c>
      <c r="AX114" s="41"/>
      <c r="AY114" s="41"/>
      <c r="AZ114" s="41"/>
      <c r="BA114" s="81" t="str">
        <f>IF(Data_NaamPersoonVastVrij091="","",Data_NaamPersoonVastVrij091)</f>
        <v/>
      </c>
      <c r="BB114" s="41"/>
      <c r="BC114" s="41"/>
      <c r="BD114" s="83" t="str">
        <f>IF(Data_BeeindigingsdatumVastVrij091="","",Data_BeeindigingsdatumVastVrij091)</f>
        <v/>
      </c>
      <c r="BE114" s="41"/>
      <c r="BF114" s="41"/>
      <c r="BG114" s="82" t="str">
        <f>IF(Data_LoonkostenVastVrij091="","",Data_LoonkostenVastVrij091)</f>
        <v/>
      </c>
      <c r="BH114" s="41"/>
      <c r="BI114" s="76" t="str">
        <f>IF(Data_PersoonAanUitVastVrij091=-1,"v","")</f>
        <v/>
      </c>
      <c r="BJ114" s="41"/>
      <c r="BK114" s="76" t="s">
        <v>160</v>
      </c>
      <c r="BL114" s="41"/>
      <c r="BM114" s="41"/>
      <c r="BN114" s="41"/>
      <c r="BO114" s="41"/>
      <c r="BP114" s="41">
        <f t="shared" si="11"/>
        <v>0</v>
      </c>
      <c r="BQ114" s="77">
        <f t="shared" si="12"/>
        <v>0</v>
      </c>
      <c r="BS114" s="81" t="str">
        <f>IF(Data_NaamPersoonVastOntslag091="","",Data_NaamPersoonVastOntslag091)</f>
        <v/>
      </c>
      <c r="BV114" s="83" t="str">
        <f>IF(Data_BeeindigingsdatumVastOntslag091="","",Data_BeeindigingsdatumVastOntslag091)</f>
        <v/>
      </c>
      <c r="BY114" s="82" t="str">
        <f>IF(Data_LoonkostenVastOntslag091="","",Data_LoonkostenVastOntslag091)</f>
        <v/>
      </c>
      <c r="CA114" s="76" t="str">
        <f>IF(Data_PersoonAanUitVastOntslag091=-1,"v","")</f>
        <v/>
      </c>
      <c r="CB114" s="41"/>
      <c r="CC114" s="76" t="s">
        <v>160</v>
      </c>
      <c r="CD114" s="41"/>
      <c r="CE114" s="41"/>
      <c r="CF114" s="41"/>
      <c r="CG114" s="41"/>
      <c r="CH114" s="41">
        <f t="shared" si="15"/>
        <v>0</v>
      </c>
      <c r="CI114" s="41">
        <f t="shared" si="13"/>
        <v>0</v>
      </c>
    </row>
    <row r="115" spans="8:87" x14ac:dyDescent="0.25">
      <c r="H115" s="81" t="str">
        <f>IF(Data_NaamPersoonNatVerloop092="","",Data_NaamPersoonNatVerloop092)</f>
        <v/>
      </c>
      <c r="I115" s="41"/>
      <c r="J115" s="41"/>
      <c r="K115" s="83" t="str">
        <f>IF(Data_BeeindigingsdatumNatVerloop092="","",Data_BeeindigingsdatumNatVerloop092)</f>
        <v/>
      </c>
      <c r="L115" s="41"/>
      <c r="M115" s="41"/>
      <c r="N115" s="82" t="str">
        <f>IF(Data_LoonkostenNatVerloop092="","",Data_LoonkostenNatVerloop092)</f>
        <v/>
      </c>
      <c r="O115" s="41"/>
      <c r="P115" s="276" t="s">
        <v>160</v>
      </c>
      <c r="Q115" s="41"/>
      <c r="R115" s="76" t="s">
        <v>160</v>
      </c>
      <c r="S115" s="41"/>
      <c r="T115" s="41"/>
      <c r="U115" s="41"/>
      <c r="V115" s="41"/>
      <c r="W115" s="41">
        <f t="shared" si="8"/>
        <v>0</v>
      </c>
      <c r="X115" s="77" t="str">
        <f t="shared" si="14"/>
        <v/>
      </c>
      <c r="AG115" s="81" t="str">
        <f>IF(Data_NaamPersoonTijd092="","",Data_NaamPersoonTijd092)</f>
        <v/>
      </c>
      <c r="AH115" s="41"/>
      <c r="AI115" s="41"/>
      <c r="AJ115" s="83" t="str">
        <f>IF(Data_BeeindigingsdatumTijd092="","",Data_BeeindigingsdatumTijd092)</f>
        <v/>
      </c>
      <c r="AK115" s="41"/>
      <c r="AL115" s="41"/>
      <c r="AM115" s="82" t="str">
        <f>IF(Data_LoonkostenTijd092="","",Data_LoonkostenTijd092)</f>
        <v/>
      </c>
      <c r="AN115" s="41"/>
      <c r="AO115" s="276" t="str">
        <f>IF(Data_PersoonAanUitTijd092=-1,"v","")</f>
        <v/>
      </c>
      <c r="AP115" s="41"/>
      <c r="AQ115" s="76" t="s">
        <v>160</v>
      </c>
      <c r="AR115" s="41"/>
      <c r="AS115" s="41"/>
      <c r="AT115" s="41"/>
      <c r="AU115" s="41"/>
      <c r="AV115" s="41">
        <f t="shared" si="9"/>
        <v>0</v>
      </c>
      <c r="AW115" s="77">
        <f t="shared" si="10"/>
        <v>0</v>
      </c>
      <c r="AX115" s="41"/>
      <c r="AY115" s="41"/>
      <c r="AZ115" s="41"/>
      <c r="BA115" s="81" t="str">
        <f>IF(Data_NaamPersoonVastVrij092="","",Data_NaamPersoonVastVrij092)</f>
        <v/>
      </c>
      <c r="BB115" s="41"/>
      <c r="BC115" s="41"/>
      <c r="BD115" s="83" t="str">
        <f>IF(Data_BeeindigingsdatumVastVrij092="","",Data_BeeindigingsdatumVastVrij092)</f>
        <v/>
      </c>
      <c r="BE115" s="41"/>
      <c r="BF115" s="41"/>
      <c r="BG115" s="82" t="str">
        <f>IF(Data_LoonkostenVastVrij092="","",Data_LoonkostenVastVrij092)</f>
        <v/>
      </c>
      <c r="BH115" s="41"/>
      <c r="BI115" s="76" t="str">
        <f>IF(Data_PersoonAanUitVastVrij092=-1,"v","")</f>
        <v/>
      </c>
      <c r="BJ115" s="41"/>
      <c r="BK115" s="76" t="s">
        <v>160</v>
      </c>
      <c r="BL115" s="41"/>
      <c r="BM115" s="41"/>
      <c r="BN115" s="41"/>
      <c r="BO115" s="41"/>
      <c r="BP115" s="41">
        <f t="shared" si="11"/>
        <v>0</v>
      </c>
      <c r="BQ115" s="77">
        <f t="shared" si="12"/>
        <v>0</v>
      </c>
      <c r="BS115" s="81" t="str">
        <f>IF(Data_NaamPersoonVastOntslag092="","",Data_NaamPersoonVastOntslag092)</f>
        <v/>
      </c>
      <c r="BV115" s="83" t="str">
        <f>IF(Data_BeeindigingsdatumVastOntslag092="","",Data_BeeindigingsdatumVastOntslag092)</f>
        <v/>
      </c>
      <c r="BY115" s="82" t="str">
        <f>IF(Data_LoonkostenVastOntslag092="","",Data_LoonkostenVastOntslag092)</f>
        <v/>
      </c>
      <c r="CA115" s="76" t="str">
        <f>IF(Data_PersoonAanUitVastOntslag092=-1,"v","")</f>
        <v/>
      </c>
      <c r="CB115" s="41"/>
      <c r="CC115" s="76" t="s">
        <v>160</v>
      </c>
      <c r="CD115" s="41"/>
      <c r="CE115" s="41"/>
      <c r="CF115" s="41"/>
      <c r="CG115" s="41"/>
      <c r="CH115" s="41">
        <f t="shared" si="15"/>
        <v>0</v>
      </c>
      <c r="CI115" s="41">
        <f t="shared" si="13"/>
        <v>0</v>
      </c>
    </row>
    <row r="116" spans="8:87" x14ac:dyDescent="0.25">
      <c r="H116" s="81" t="str">
        <f>IF(Data_NaamPersoonNatVerloop093="","",Data_NaamPersoonNatVerloop093)</f>
        <v/>
      </c>
      <c r="I116" s="41"/>
      <c r="J116" s="41"/>
      <c r="K116" s="83" t="str">
        <f>IF(Data_BeeindigingsdatumNatVerloop093="","",Data_BeeindigingsdatumNatVerloop093)</f>
        <v/>
      </c>
      <c r="L116" s="41"/>
      <c r="M116" s="41"/>
      <c r="N116" s="82" t="str">
        <f>IF(Data_LoonkostenNatVerloop093="","",Data_LoonkostenNatVerloop093)</f>
        <v/>
      </c>
      <c r="O116" s="41"/>
      <c r="P116" s="276" t="s">
        <v>160</v>
      </c>
      <c r="Q116" s="41"/>
      <c r="R116" s="76" t="s">
        <v>160</v>
      </c>
      <c r="S116" s="41"/>
      <c r="T116" s="41"/>
      <c r="U116" s="41"/>
      <c r="V116" s="41"/>
      <c r="W116" s="41">
        <f t="shared" si="8"/>
        <v>0</v>
      </c>
      <c r="X116" s="77" t="str">
        <f t="shared" si="14"/>
        <v/>
      </c>
      <c r="AG116" s="81" t="str">
        <f>IF(Data_NaamPersoonTijd093="","",Data_NaamPersoonTijd093)</f>
        <v/>
      </c>
      <c r="AH116" s="41"/>
      <c r="AI116" s="41"/>
      <c r="AJ116" s="83" t="str">
        <f>IF(Data_BeeindigingsdatumTijd093="","",Data_BeeindigingsdatumTijd093)</f>
        <v/>
      </c>
      <c r="AK116" s="41"/>
      <c r="AL116" s="41"/>
      <c r="AM116" s="82" t="str">
        <f>IF(Data_LoonkostenTijd093="","",Data_LoonkostenTijd093)</f>
        <v/>
      </c>
      <c r="AN116" s="41"/>
      <c r="AO116" s="276" t="str">
        <f>IF(Data_PersoonAanUitTijd093=-1,"v","")</f>
        <v/>
      </c>
      <c r="AP116" s="41"/>
      <c r="AQ116" s="76" t="s">
        <v>160</v>
      </c>
      <c r="AR116" s="41"/>
      <c r="AS116" s="41"/>
      <c r="AT116" s="41"/>
      <c r="AU116" s="41"/>
      <c r="AV116" s="41">
        <f t="shared" si="9"/>
        <v>0</v>
      </c>
      <c r="AW116" s="77">
        <f t="shared" si="10"/>
        <v>0</v>
      </c>
      <c r="AX116" s="41"/>
      <c r="AY116" s="41"/>
      <c r="AZ116" s="41"/>
      <c r="BA116" s="81" t="str">
        <f>IF(Data_NaamPersoonVastVrij093="","",Data_NaamPersoonVastVrij093)</f>
        <v/>
      </c>
      <c r="BB116" s="41"/>
      <c r="BC116" s="41"/>
      <c r="BD116" s="83" t="str">
        <f>IF(Data_BeeindigingsdatumVastVrij093="","",Data_BeeindigingsdatumVastVrij093)</f>
        <v/>
      </c>
      <c r="BE116" s="41"/>
      <c r="BF116" s="41"/>
      <c r="BG116" s="82" t="str">
        <f>IF(Data_LoonkostenVastVrij093="","",Data_LoonkostenVastVrij093)</f>
        <v/>
      </c>
      <c r="BH116" s="41"/>
      <c r="BI116" s="76" t="str">
        <f>IF(Data_PersoonAanUitVastVrij093=-1,"v","")</f>
        <v/>
      </c>
      <c r="BJ116" s="41"/>
      <c r="BK116" s="76" t="s">
        <v>160</v>
      </c>
      <c r="BL116" s="41"/>
      <c r="BM116" s="41"/>
      <c r="BN116" s="41"/>
      <c r="BO116" s="41"/>
      <c r="BP116" s="41">
        <f t="shared" si="11"/>
        <v>0</v>
      </c>
      <c r="BQ116" s="77">
        <f t="shared" si="12"/>
        <v>0</v>
      </c>
      <c r="BS116" s="81" t="str">
        <f>IF(Data_NaamPersoonVastOntslag093="","",Data_NaamPersoonVastOntslag093)</f>
        <v/>
      </c>
      <c r="BV116" s="83" t="str">
        <f>IF(Data_BeeindigingsdatumVastOntslag093="","",Data_BeeindigingsdatumVastOntslag093)</f>
        <v/>
      </c>
      <c r="BY116" s="82" t="str">
        <f>IF(Data_LoonkostenVastOntslag093="","",Data_LoonkostenVastOntslag093)</f>
        <v/>
      </c>
      <c r="CA116" s="76" t="str">
        <f>IF(Data_PersoonAanUitVastOntslag093=-1,"v","")</f>
        <v/>
      </c>
      <c r="CB116" s="41"/>
      <c r="CC116" s="76" t="s">
        <v>160</v>
      </c>
      <c r="CD116" s="41"/>
      <c r="CE116" s="41"/>
      <c r="CF116" s="41"/>
      <c r="CG116" s="41"/>
      <c r="CH116" s="41">
        <f t="shared" si="15"/>
        <v>0</v>
      </c>
      <c r="CI116" s="41">
        <f t="shared" si="13"/>
        <v>0</v>
      </c>
    </row>
    <row r="117" spans="8:87" x14ac:dyDescent="0.25">
      <c r="H117" s="81" t="str">
        <f>IF(Data_NaamPersoonNatVerloop094="","",Data_NaamPersoonNatVerloop094)</f>
        <v/>
      </c>
      <c r="I117" s="41"/>
      <c r="J117" s="41"/>
      <c r="K117" s="83" t="str">
        <f>IF(Data_BeeindigingsdatumNatVerloop094="","",Data_BeeindigingsdatumNatVerloop094)</f>
        <v/>
      </c>
      <c r="L117" s="41"/>
      <c r="M117" s="41"/>
      <c r="N117" s="82" t="str">
        <f>IF(Data_LoonkostenNatVerloop094="","",Data_LoonkostenNatVerloop094)</f>
        <v/>
      </c>
      <c r="O117" s="41"/>
      <c r="P117" s="276" t="s">
        <v>160</v>
      </c>
      <c r="Q117" s="41"/>
      <c r="R117" s="76" t="s">
        <v>160</v>
      </c>
      <c r="S117" s="41"/>
      <c r="T117" s="41"/>
      <c r="U117" s="41"/>
      <c r="V117" s="41"/>
      <c r="W117" s="41">
        <f t="shared" si="8"/>
        <v>0</v>
      </c>
      <c r="X117" s="77" t="str">
        <f t="shared" si="14"/>
        <v/>
      </c>
      <c r="AG117" s="81" t="str">
        <f>IF(Data_NaamPersoonTijd094="","",Data_NaamPersoonTijd094)</f>
        <v/>
      </c>
      <c r="AH117" s="41"/>
      <c r="AI117" s="41"/>
      <c r="AJ117" s="83" t="str">
        <f>IF(Data_BeeindigingsdatumTijd094="","",Data_BeeindigingsdatumTijd094)</f>
        <v/>
      </c>
      <c r="AK117" s="41"/>
      <c r="AL117" s="41"/>
      <c r="AM117" s="82" t="str">
        <f>IF(Data_LoonkostenTijd094="","",Data_LoonkostenTijd094)</f>
        <v/>
      </c>
      <c r="AN117" s="41"/>
      <c r="AO117" s="276" t="str">
        <f>IF(Data_PersoonAanUitTijd094=-1,"v","")</f>
        <v/>
      </c>
      <c r="AP117" s="41"/>
      <c r="AQ117" s="76" t="s">
        <v>160</v>
      </c>
      <c r="AR117" s="41"/>
      <c r="AS117" s="41"/>
      <c r="AT117" s="41"/>
      <c r="AU117" s="41"/>
      <c r="AV117" s="41">
        <f t="shared" si="9"/>
        <v>0</v>
      </c>
      <c r="AW117" s="77">
        <f t="shared" si="10"/>
        <v>0</v>
      </c>
      <c r="AX117" s="41"/>
      <c r="AY117" s="41"/>
      <c r="AZ117" s="41"/>
      <c r="BA117" s="81" t="str">
        <f>IF(Data_NaamPersoonVastVrij094="","",Data_NaamPersoonVastVrij094)</f>
        <v/>
      </c>
      <c r="BB117" s="41"/>
      <c r="BC117" s="41"/>
      <c r="BD117" s="83" t="str">
        <f>IF(Data_BeeindigingsdatumVastVrij094="","",Data_BeeindigingsdatumVastVrij094)</f>
        <v/>
      </c>
      <c r="BE117" s="41"/>
      <c r="BF117" s="41"/>
      <c r="BG117" s="82" t="str">
        <f>IF(Data_LoonkostenVastVrij094="","",Data_LoonkostenVastVrij094)</f>
        <v/>
      </c>
      <c r="BH117" s="41"/>
      <c r="BI117" s="76" t="str">
        <f>IF(Data_PersoonAanUitVastVrij094=-1,"v","")</f>
        <v/>
      </c>
      <c r="BJ117" s="41"/>
      <c r="BK117" s="76" t="s">
        <v>160</v>
      </c>
      <c r="BL117" s="41"/>
      <c r="BM117" s="41"/>
      <c r="BN117" s="41"/>
      <c r="BO117" s="41"/>
      <c r="BP117" s="41">
        <f t="shared" si="11"/>
        <v>0</v>
      </c>
      <c r="BQ117" s="77">
        <f t="shared" si="12"/>
        <v>0</v>
      </c>
      <c r="BS117" s="81" t="str">
        <f>IF(Data_NaamPersoonVastOntslag094="","",Data_NaamPersoonVastOntslag094)</f>
        <v/>
      </c>
      <c r="BV117" s="83" t="str">
        <f>IF(Data_BeeindigingsdatumVastOntslag094="","",Data_BeeindigingsdatumVastOntslag094)</f>
        <v/>
      </c>
      <c r="BY117" s="82" t="str">
        <f>IF(Data_LoonkostenVastOntslag094="","",Data_LoonkostenVastOntslag094)</f>
        <v/>
      </c>
      <c r="CA117" s="76" t="str">
        <f>IF(Data_PersoonAanUitVastOntslag094=-1,"v","")</f>
        <v/>
      </c>
      <c r="CB117" s="41"/>
      <c r="CC117" s="76" t="s">
        <v>160</v>
      </c>
      <c r="CD117" s="41"/>
      <c r="CE117" s="41"/>
      <c r="CF117" s="41"/>
      <c r="CG117" s="41"/>
      <c r="CH117" s="41">
        <f t="shared" si="15"/>
        <v>0</v>
      </c>
      <c r="CI117" s="41">
        <f t="shared" si="13"/>
        <v>0</v>
      </c>
    </row>
    <row r="118" spans="8:87" x14ac:dyDescent="0.25">
      <c r="H118" s="81" t="str">
        <f>IF(Data_NaamPersoonNatVerloop095="","",Data_NaamPersoonNatVerloop095)</f>
        <v/>
      </c>
      <c r="I118" s="41"/>
      <c r="J118" s="41"/>
      <c r="K118" s="83" t="str">
        <f>IF(Data_BeeindigingsdatumNatVerloop095="","",Data_BeeindigingsdatumNatVerloop095)</f>
        <v/>
      </c>
      <c r="L118" s="41"/>
      <c r="M118" s="41"/>
      <c r="N118" s="82" t="str">
        <f>IF(Data_LoonkostenNatVerloop095="","",Data_LoonkostenNatVerloop095)</f>
        <v/>
      </c>
      <c r="O118" s="41"/>
      <c r="P118" s="276" t="s">
        <v>160</v>
      </c>
      <c r="Q118" s="41"/>
      <c r="R118" s="76" t="s">
        <v>160</v>
      </c>
      <c r="S118" s="41"/>
      <c r="T118" s="41"/>
      <c r="U118" s="41"/>
      <c r="V118" s="41"/>
      <c r="W118" s="41">
        <f t="shared" si="8"/>
        <v>0</v>
      </c>
      <c r="X118" s="77" t="str">
        <f t="shared" si="14"/>
        <v/>
      </c>
      <c r="AG118" s="81" t="str">
        <f>IF(Data_NaamPersoonTijd095="","",Data_NaamPersoonTijd095)</f>
        <v/>
      </c>
      <c r="AH118" s="41"/>
      <c r="AI118" s="41"/>
      <c r="AJ118" s="83" t="str">
        <f>IF(Data_BeeindigingsdatumTijd095="","",Data_BeeindigingsdatumTijd095)</f>
        <v/>
      </c>
      <c r="AK118" s="41"/>
      <c r="AL118" s="41"/>
      <c r="AM118" s="82" t="str">
        <f>IF(Data_LoonkostenTijd095="","",Data_LoonkostenTijd095)</f>
        <v/>
      </c>
      <c r="AN118" s="41"/>
      <c r="AO118" s="276" t="str">
        <f>IF(Data_PersoonAanUitTijd095=-1,"v","")</f>
        <v/>
      </c>
      <c r="AP118" s="41"/>
      <c r="AQ118" s="76" t="s">
        <v>160</v>
      </c>
      <c r="AR118" s="41"/>
      <c r="AS118" s="41"/>
      <c r="AT118" s="41"/>
      <c r="AU118" s="41"/>
      <c r="AV118" s="41">
        <f t="shared" si="9"/>
        <v>0</v>
      </c>
      <c r="AW118" s="77">
        <f t="shared" si="10"/>
        <v>0</v>
      </c>
      <c r="AX118" s="41"/>
      <c r="AY118" s="41"/>
      <c r="AZ118" s="41"/>
      <c r="BA118" s="81" t="str">
        <f>IF(Data_NaamPersoonVastVrij095="","",Data_NaamPersoonVastVrij095)</f>
        <v/>
      </c>
      <c r="BB118" s="41"/>
      <c r="BC118" s="41"/>
      <c r="BD118" s="83" t="str">
        <f>IF(Data_BeeindigingsdatumVastVrij095="","",Data_BeeindigingsdatumVastVrij095)</f>
        <v/>
      </c>
      <c r="BE118" s="41"/>
      <c r="BF118" s="41"/>
      <c r="BG118" s="82" t="str">
        <f>IF(Data_LoonkostenVastVrij095="","",Data_LoonkostenVastVrij095)</f>
        <v/>
      </c>
      <c r="BH118" s="41"/>
      <c r="BI118" s="76" t="str">
        <f>IF(Data_PersoonAanUitVastVrij095=-1,"v","")</f>
        <v/>
      </c>
      <c r="BJ118" s="41"/>
      <c r="BK118" s="76" t="s">
        <v>160</v>
      </c>
      <c r="BL118" s="41"/>
      <c r="BM118" s="41"/>
      <c r="BN118" s="41"/>
      <c r="BO118" s="41"/>
      <c r="BP118" s="41">
        <f t="shared" si="11"/>
        <v>0</v>
      </c>
      <c r="BQ118" s="77">
        <f t="shared" si="12"/>
        <v>0</v>
      </c>
      <c r="BS118" s="81" t="str">
        <f>IF(Data_NaamPersoonVastOntslag095="","",Data_NaamPersoonVastOntslag095)</f>
        <v/>
      </c>
      <c r="BV118" s="83" t="str">
        <f>IF(Data_BeeindigingsdatumVastOntslag095="","",Data_BeeindigingsdatumVastOntslag095)</f>
        <v/>
      </c>
      <c r="BY118" s="82" t="str">
        <f>IF(Data_LoonkostenVastOntslag095="","",Data_LoonkostenVastOntslag095)</f>
        <v/>
      </c>
      <c r="CA118" s="76" t="str">
        <f>IF(Data_PersoonAanUitVastOntslag095=-1,"v","")</f>
        <v/>
      </c>
      <c r="CB118" s="41"/>
      <c r="CC118" s="76" t="s">
        <v>160</v>
      </c>
      <c r="CD118" s="41"/>
      <c r="CE118" s="41"/>
      <c r="CF118" s="41"/>
      <c r="CG118" s="41"/>
      <c r="CH118" s="41">
        <f t="shared" si="15"/>
        <v>0</v>
      </c>
      <c r="CI118" s="41">
        <f t="shared" si="13"/>
        <v>0</v>
      </c>
    </row>
    <row r="119" spans="8:87" x14ac:dyDescent="0.25">
      <c r="H119" s="81" t="str">
        <f>IF(Data_NaamPersoonNatVerloop096="","",Data_NaamPersoonNatVerloop096)</f>
        <v/>
      </c>
      <c r="I119" s="41"/>
      <c r="J119" s="41"/>
      <c r="K119" s="83" t="str">
        <f>IF(Data_BeeindigingsdatumNatVerloop096="","",Data_BeeindigingsdatumNatVerloop096)</f>
        <v/>
      </c>
      <c r="L119" s="41"/>
      <c r="M119" s="41"/>
      <c r="N119" s="82" t="str">
        <f>IF(Data_LoonkostenNatVerloop096="","",Data_LoonkostenNatVerloop096)</f>
        <v/>
      </c>
      <c r="O119" s="41"/>
      <c r="P119" s="276" t="s">
        <v>160</v>
      </c>
      <c r="Q119" s="41"/>
      <c r="R119" s="76" t="s">
        <v>160</v>
      </c>
      <c r="S119" s="41"/>
      <c r="T119" s="41"/>
      <c r="U119" s="41"/>
      <c r="V119" s="41"/>
      <c r="W119" s="41">
        <f t="shared" si="8"/>
        <v>0</v>
      </c>
      <c r="X119" s="77" t="str">
        <f t="shared" si="14"/>
        <v/>
      </c>
      <c r="AG119" s="81" t="str">
        <f>IF(Data_NaamPersoonTijd096="","",Data_NaamPersoonTijd096)</f>
        <v/>
      </c>
      <c r="AH119" s="41"/>
      <c r="AI119" s="41"/>
      <c r="AJ119" s="83" t="str">
        <f>IF(Data_BeeindigingsdatumTijd096="","",Data_BeeindigingsdatumTijd096)</f>
        <v/>
      </c>
      <c r="AK119" s="41"/>
      <c r="AL119" s="41"/>
      <c r="AM119" s="82" t="str">
        <f>IF(Data_LoonkostenTijd096="","",Data_LoonkostenTijd096)</f>
        <v/>
      </c>
      <c r="AN119" s="41"/>
      <c r="AO119" s="276" t="str">
        <f>IF(Data_PersoonAanUitTijd096=-1,"v","")</f>
        <v/>
      </c>
      <c r="AP119" s="41"/>
      <c r="AQ119" s="76" t="s">
        <v>160</v>
      </c>
      <c r="AR119" s="41"/>
      <c r="AS119" s="41"/>
      <c r="AT119" s="41"/>
      <c r="AU119" s="41"/>
      <c r="AV119" s="41">
        <f t="shared" si="9"/>
        <v>0</v>
      </c>
      <c r="AW119" s="77">
        <f t="shared" si="10"/>
        <v>0</v>
      </c>
      <c r="AX119" s="41"/>
      <c r="AY119" s="41"/>
      <c r="AZ119" s="41"/>
      <c r="BA119" s="81" t="str">
        <f>IF(Data_NaamPersoonVastVrij096="","",Data_NaamPersoonVastVrij096)</f>
        <v/>
      </c>
      <c r="BB119" s="41"/>
      <c r="BC119" s="41"/>
      <c r="BD119" s="83" t="str">
        <f>IF(Data_BeeindigingsdatumVastVrij096="","",Data_BeeindigingsdatumVastVrij096)</f>
        <v/>
      </c>
      <c r="BE119" s="41"/>
      <c r="BF119" s="41"/>
      <c r="BG119" s="82" t="str">
        <f>IF(Data_LoonkostenVastVrij096="","",Data_LoonkostenVastVrij096)</f>
        <v/>
      </c>
      <c r="BH119" s="41"/>
      <c r="BI119" s="76" t="str">
        <f>IF(Data_PersoonAanUitVastVrij096=-1,"v","")</f>
        <v/>
      </c>
      <c r="BJ119" s="41"/>
      <c r="BK119" s="76" t="s">
        <v>160</v>
      </c>
      <c r="BL119" s="41"/>
      <c r="BM119" s="41"/>
      <c r="BN119" s="41"/>
      <c r="BO119" s="41"/>
      <c r="BP119" s="41">
        <f t="shared" si="11"/>
        <v>0</v>
      </c>
      <c r="BQ119" s="77">
        <f t="shared" si="12"/>
        <v>0</v>
      </c>
      <c r="BS119" s="81" t="str">
        <f>IF(Data_NaamPersoonVastOntslag096="","",Data_NaamPersoonVastOntslag096)</f>
        <v/>
      </c>
      <c r="BV119" s="83" t="str">
        <f>IF(Data_BeeindigingsdatumVastOntslag096="","",Data_BeeindigingsdatumVastOntslag096)</f>
        <v/>
      </c>
      <c r="BY119" s="82" t="str">
        <f>IF(Data_LoonkostenVastOntslag096="","",Data_LoonkostenVastOntslag096)</f>
        <v/>
      </c>
      <c r="CA119" s="76" t="str">
        <f>IF(Data_PersoonAanUitVastOntslag096=-1,"v","")</f>
        <v/>
      </c>
      <c r="CB119" s="41"/>
      <c r="CC119" s="76" t="s">
        <v>160</v>
      </c>
      <c r="CD119" s="41"/>
      <c r="CE119" s="41"/>
      <c r="CF119" s="41"/>
      <c r="CG119" s="41"/>
      <c r="CH119" s="41">
        <f t="shared" si="15"/>
        <v>0</v>
      </c>
      <c r="CI119" s="41">
        <f t="shared" si="13"/>
        <v>0</v>
      </c>
    </row>
    <row r="120" spans="8:87" x14ac:dyDescent="0.25">
      <c r="H120" s="81" t="str">
        <f>IF(Data_NaamPersoonNatVerloop097="","",Data_NaamPersoonNatVerloop097)</f>
        <v/>
      </c>
      <c r="I120" s="41"/>
      <c r="J120" s="41"/>
      <c r="K120" s="83" t="str">
        <f>IF(Data_BeeindigingsdatumNatVerloop097="","",Data_BeeindigingsdatumNatVerloop097)</f>
        <v/>
      </c>
      <c r="L120" s="41"/>
      <c r="M120" s="41"/>
      <c r="N120" s="82" t="str">
        <f>IF(Data_LoonkostenNatVerloop097="","",Data_LoonkostenNatVerloop097)</f>
        <v/>
      </c>
      <c r="O120" s="41"/>
      <c r="P120" s="276" t="s">
        <v>160</v>
      </c>
      <c r="Q120" s="41"/>
      <c r="R120" s="76" t="s">
        <v>160</v>
      </c>
      <c r="S120" s="41"/>
      <c r="T120" s="41"/>
      <c r="U120" s="41"/>
      <c r="V120" s="41"/>
      <c r="W120" s="41">
        <f t="shared" si="8"/>
        <v>0</v>
      </c>
      <c r="X120" s="77" t="str">
        <f t="shared" si="14"/>
        <v/>
      </c>
      <c r="AG120" s="81" t="str">
        <f>IF(Data_NaamPersoonTijd097="","",Data_NaamPersoonTijd097)</f>
        <v/>
      </c>
      <c r="AH120" s="41"/>
      <c r="AI120" s="41"/>
      <c r="AJ120" s="83" t="str">
        <f>IF(Data_BeeindigingsdatumTijd097="","",Data_BeeindigingsdatumTijd097)</f>
        <v/>
      </c>
      <c r="AK120" s="41"/>
      <c r="AL120" s="41"/>
      <c r="AM120" s="82" t="str">
        <f>IF(Data_LoonkostenTijd097="","",Data_LoonkostenTijd097)</f>
        <v/>
      </c>
      <c r="AN120" s="41"/>
      <c r="AO120" s="276" t="str">
        <f>IF(Data_PersoonAanUitTijd097=-1,"v","")</f>
        <v/>
      </c>
      <c r="AP120" s="41"/>
      <c r="AQ120" s="76" t="s">
        <v>160</v>
      </c>
      <c r="AR120" s="41"/>
      <c r="AS120" s="41"/>
      <c r="AT120" s="41"/>
      <c r="AU120" s="41"/>
      <c r="AV120" s="41">
        <f t="shared" si="9"/>
        <v>0</v>
      </c>
      <c r="AW120" s="77">
        <f t="shared" si="10"/>
        <v>0</v>
      </c>
      <c r="AX120" s="41"/>
      <c r="AY120" s="41"/>
      <c r="AZ120" s="41"/>
      <c r="BA120" s="81" t="str">
        <f>IF(Data_NaamPersoonVastVrij097="","",Data_NaamPersoonVastVrij097)</f>
        <v/>
      </c>
      <c r="BB120" s="41"/>
      <c r="BC120" s="41"/>
      <c r="BD120" s="83" t="str">
        <f>IF(Data_BeeindigingsdatumVastVrij097="","",Data_BeeindigingsdatumVastVrij097)</f>
        <v/>
      </c>
      <c r="BE120" s="41"/>
      <c r="BF120" s="41"/>
      <c r="BG120" s="82" t="str">
        <f>IF(Data_LoonkostenVastVrij097="","",Data_LoonkostenVastVrij097)</f>
        <v/>
      </c>
      <c r="BH120" s="41"/>
      <c r="BI120" s="76" t="str">
        <f>IF(Data_PersoonAanUitVastVrij097=-1,"v","")</f>
        <v/>
      </c>
      <c r="BJ120" s="41"/>
      <c r="BK120" s="76" t="s">
        <v>160</v>
      </c>
      <c r="BL120" s="41"/>
      <c r="BM120" s="41"/>
      <c r="BN120" s="41"/>
      <c r="BO120" s="41"/>
      <c r="BP120" s="41">
        <f t="shared" si="11"/>
        <v>0</v>
      </c>
      <c r="BQ120" s="77">
        <f t="shared" si="12"/>
        <v>0</v>
      </c>
      <c r="BS120" s="81" t="str">
        <f>IF(Data_NaamPersoonVastOntslag097="","",Data_NaamPersoonVastOntslag097)</f>
        <v/>
      </c>
      <c r="BV120" s="83" t="str">
        <f>IF(Data_BeeindigingsdatumVastOntslag097="","",Data_BeeindigingsdatumVastOntslag097)</f>
        <v/>
      </c>
      <c r="BY120" s="82" t="str">
        <f>IF(Data_LoonkostenVastOntslag097="","",Data_LoonkostenVastOntslag097)</f>
        <v/>
      </c>
      <c r="CA120" s="76" t="str">
        <f>IF(Data_PersoonAanUitVastOntslag097=-1,"v","")</f>
        <v/>
      </c>
      <c r="CB120" s="41"/>
      <c r="CC120" s="76" t="s">
        <v>160</v>
      </c>
      <c r="CD120" s="41"/>
      <c r="CE120" s="41"/>
      <c r="CF120" s="41"/>
      <c r="CG120" s="41"/>
      <c r="CH120" s="41">
        <f t="shared" si="15"/>
        <v>0</v>
      </c>
      <c r="CI120" s="41">
        <f t="shared" si="13"/>
        <v>0</v>
      </c>
    </row>
    <row r="121" spans="8:87" x14ac:dyDescent="0.25">
      <c r="H121" s="81" t="str">
        <f>IF(Data_NaamPersoonNatVerloop098="","",Data_NaamPersoonNatVerloop098)</f>
        <v/>
      </c>
      <c r="I121" s="41"/>
      <c r="J121" s="41"/>
      <c r="K121" s="83" t="str">
        <f>IF(Data_BeeindigingsdatumNatVerloop098="","",Data_BeeindigingsdatumNatVerloop098)</f>
        <v/>
      </c>
      <c r="L121" s="41"/>
      <c r="M121" s="41"/>
      <c r="N121" s="82" t="str">
        <f>IF(Data_LoonkostenNatVerloop098="","",Data_LoonkostenNatVerloop098)</f>
        <v/>
      </c>
      <c r="O121" s="41"/>
      <c r="P121" s="276" t="s">
        <v>160</v>
      </c>
      <c r="Q121" s="41"/>
      <c r="R121" s="76" t="s">
        <v>160</v>
      </c>
      <c r="S121" s="41"/>
      <c r="T121" s="41"/>
      <c r="U121" s="41"/>
      <c r="V121" s="41"/>
      <c r="W121" s="41">
        <f t="shared" si="8"/>
        <v>0</v>
      </c>
      <c r="X121" s="77" t="str">
        <f t="shared" si="14"/>
        <v/>
      </c>
      <c r="AG121" s="81" t="str">
        <f>IF(Data_NaamPersoonTijd098="","",Data_NaamPersoonTijd098)</f>
        <v/>
      </c>
      <c r="AH121" s="41"/>
      <c r="AI121" s="41"/>
      <c r="AJ121" s="83" t="str">
        <f>IF(Data_BeeindigingsdatumTijd098="","",Data_BeeindigingsdatumTijd098)</f>
        <v/>
      </c>
      <c r="AK121" s="41"/>
      <c r="AL121" s="41"/>
      <c r="AM121" s="82" t="str">
        <f>IF(Data_LoonkostenTijd098="","",Data_LoonkostenTijd098)</f>
        <v/>
      </c>
      <c r="AN121" s="41"/>
      <c r="AO121" s="276" t="str">
        <f>IF(Data_PersoonAanUitTijd098=-1,"v","")</f>
        <v/>
      </c>
      <c r="AP121" s="41"/>
      <c r="AQ121" s="76" t="s">
        <v>160</v>
      </c>
      <c r="AR121" s="41"/>
      <c r="AS121" s="41"/>
      <c r="AT121" s="41"/>
      <c r="AU121" s="41"/>
      <c r="AV121" s="41">
        <f t="shared" si="9"/>
        <v>0</v>
      </c>
      <c r="AW121" s="77">
        <f t="shared" si="10"/>
        <v>0</v>
      </c>
      <c r="AX121" s="41"/>
      <c r="AY121" s="41"/>
      <c r="AZ121" s="41"/>
      <c r="BA121" s="81" t="str">
        <f>IF(Data_NaamPersoonVastVrij098="","",Data_NaamPersoonVastVrij098)</f>
        <v/>
      </c>
      <c r="BB121" s="41"/>
      <c r="BC121" s="41"/>
      <c r="BD121" s="83" t="str">
        <f>IF(Data_BeeindigingsdatumVastVrij098="","",Data_BeeindigingsdatumVastVrij098)</f>
        <v/>
      </c>
      <c r="BE121" s="41"/>
      <c r="BF121" s="41"/>
      <c r="BG121" s="82" t="str">
        <f>IF(Data_LoonkostenVastVrij098="","",Data_LoonkostenVastVrij098)</f>
        <v/>
      </c>
      <c r="BH121" s="41"/>
      <c r="BI121" s="76" t="str">
        <f>IF(Data_PersoonAanUitVastVrij098=-1,"v","")</f>
        <v/>
      </c>
      <c r="BJ121" s="41"/>
      <c r="BK121" s="76" t="s">
        <v>160</v>
      </c>
      <c r="BL121" s="41"/>
      <c r="BM121" s="41"/>
      <c r="BN121" s="41"/>
      <c r="BO121" s="41"/>
      <c r="BP121" s="41">
        <f t="shared" si="11"/>
        <v>0</v>
      </c>
      <c r="BQ121" s="77">
        <f t="shared" si="12"/>
        <v>0</v>
      </c>
      <c r="BS121" s="81" t="str">
        <f>IF(Data_NaamPersoonVastOntslag098="","",Data_NaamPersoonVastOntslag098)</f>
        <v/>
      </c>
      <c r="BV121" s="83" t="str">
        <f>IF(Data_BeeindigingsdatumVastOntslag098="","",Data_BeeindigingsdatumVastOntslag098)</f>
        <v/>
      </c>
      <c r="BY121" s="82" t="str">
        <f>IF(Data_LoonkostenVastOntslag098="","",Data_LoonkostenVastOntslag098)</f>
        <v/>
      </c>
      <c r="CA121" s="76" t="str">
        <f>IF(Data_PersoonAanUitVastOntslag098=-1,"v","")</f>
        <v/>
      </c>
      <c r="CB121" s="41"/>
      <c r="CC121" s="76" t="s">
        <v>160</v>
      </c>
      <c r="CD121" s="41"/>
      <c r="CE121" s="41"/>
      <c r="CF121" s="41"/>
      <c r="CG121" s="41"/>
      <c r="CH121" s="41">
        <f t="shared" si="15"/>
        <v>0</v>
      </c>
      <c r="CI121" s="41">
        <f t="shared" si="13"/>
        <v>0</v>
      </c>
    </row>
    <row r="122" spans="8:87" x14ac:dyDescent="0.25">
      <c r="H122" s="81" t="str">
        <f>IF(Data_NaamPersoonNatVerloop099="","",Data_NaamPersoonNatVerloop099)</f>
        <v/>
      </c>
      <c r="I122" s="41"/>
      <c r="J122" s="41"/>
      <c r="K122" s="83" t="str">
        <f>IF(Data_BeeindigingsdatumNatVerloop099="","",Data_BeeindigingsdatumNatVerloop099)</f>
        <v/>
      </c>
      <c r="L122" s="41"/>
      <c r="M122" s="41"/>
      <c r="N122" s="82" t="str">
        <f>IF(Data_LoonkostenNatVerloop099="","",Data_LoonkostenNatVerloop099)</f>
        <v/>
      </c>
      <c r="O122" s="41"/>
      <c r="P122" s="276" t="s">
        <v>160</v>
      </c>
      <c r="Q122" s="41"/>
      <c r="R122" s="76" t="s">
        <v>160</v>
      </c>
      <c r="S122" s="41"/>
      <c r="T122" s="41"/>
      <c r="U122" s="41"/>
      <c r="V122" s="41"/>
      <c r="W122" s="41">
        <f t="shared" si="8"/>
        <v>0</v>
      </c>
      <c r="X122" s="77" t="str">
        <f t="shared" si="14"/>
        <v/>
      </c>
      <c r="AG122" s="81" t="str">
        <f>IF(Data_NaamPersoonTijd099="","",Data_NaamPersoonTijd099)</f>
        <v/>
      </c>
      <c r="AH122" s="41"/>
      <c r="AI122" s="41"/>
      <c r="AJ122" s="83" t="str">
        <f>IF(Data_BeeindigingsdatumTijd099="","",Data_BeeindigingsdatumTijd099)</f>
        <v/>
      </c>
      <c r="AK122" s="41"/>
      <c r="AL122" s="41"/>
      <c r="AM122" s="82" t="str">
        <f>IF(Data_LoonkostenTijd099="","",Data_LoonkostenTijd099)</f>
        <v/>
      </c>
      <c r="AN122" s="41"/>
      <c r="AO122" s="276" t="str">
        <f>IF(Data_PersoonAanUitTijd099=-1,"v","")</f>
        <v/>
      </c>
      <c r="AP122" s="41"/>
      <c r="AQ122" s="76" t="s">
        <v>160</v>
      </c>
      <c r="AR122" s="41"/>
      <c r="AS122" s="41"/>
      <c r="AT122" s="41"/>
      <c r="AU122" s="41"/>
      <c r="AV122" s="41">
        <f t="shared" si="9"/>
        <v>0</v>
      </c>
      <c r="AW122" s="77">
        <f t="shared" si="10"/>
        <v>0</v>
      </c>
      <c r="AX122" s="41"/>
      <c r="AY122" s="41"/>
      <c r="AZ122" s="41"/>
      <c r="BA122" s="81" t="str">
        <f>IF(Data_NaamPersoonVastVrij099="","",Data_NaamPersoonVastVrij099)</f>
        <v/>
      </c>
      <c r="BB122" s="41"/>
      <c r="BC122" s="41"/>
      <c r="BD122" s="83" t="str">
        <f>IF(Data_BeeindigingsdatumVastVrij099="","",Data_BeeindigingsdatumVastVrij099)</f>
        <v/>
      </c>
      <c r="BE122" s="41"/>
      <c r="BF122" s="41"/>
      <c r="BG122" s="82" t="str">
        <f>IF(Data_LoonkostenVastVrij099="","",Data_LoonkostenVastVrij099)</f>
        <v/>
      </c>
      <c r="BH122" s="41"/>
      <c r="BI122" s="76" t="str">
        <f>IF(Data_PersoonAanUitVastVrij099=-1,"v","")</f>
        <v/>
      </c>
      <c r="BJ122" s="41"/>
      <c r="BK122" s="76" t="s">
        <v>160</v>
      </c>
      <c r="BL122" s="41"/>
      <c r="BM122" s="41"/>
      <c r="BN122" s="41"/>
      <c r="BO122" s="41"/>
      <c r="BP122" s="41">
        <f t="shared" si="11"/>
        <v>0</v>
      </c>
      <c r="BQ122" s="77">
        <f t="shared" si="12"/>
        <v>0</v>
      </c>
      <c r="BS122" s="81" t="str">
        <f>IF(Data_NaamPersoonVastOntslag099="","",Data_NaamPersoonVastOntslag099)</f>
        <v/>
      </c>
      <c r="BV122" s="83" t="str">
        <f>IF(Data_BeeindigingsdatumVastOntslag099="","",Data_BeeindigingsdatumVastOntslag099)</f>
        <v/>
      </c>
      <c r="BY122" s="82" t="str">
        <f>IF(Data_LoonkostenVastOntslag099="","",Data_LoonkostenVastOntslag099)</f>
        <v/>
      </c>
      <c r="CA122" s="76" t="str">
        <f>IF(Data_PersoonAanUitVastOntslag099=-1,"v","")</f>
        <v/>
      </c>
      <c r="CB122" s="41"/>
      <c r="CC122" s="76" t="s">
        <v>160</v>
      </c>
      <c r="CD122" s="41"/>
      <c r="CE122" s="41"/>
      <c r="CF122" s="41"/>
      <c r="CG122" s="41"/>
      <c r="CH122" s="41">
        <f t="shared" si="15"/>
        <v>0</v>
      </c>
      <c r="CI122" s="41">
        <f t="shared" si="13"/>
        <v>0</v>
      </c>
    </row>
    <row r="123" spans="8:87" x14ac:dyDescent="0.25">
      <c r="H123" s="81" t="str">
        <f>IF(Data_NaamPersoonNatVerloop100="","",Data_NaamPersoonNatVerloop100)</f>
        <v/>
      </c>
      <c r="I123" s="41"/>
      <c r="J123" s="41"/>
      <c r="K123" s="83" t="str">
        <f>IF(Data_BeeindigingsdatumNatVerloop100="","",Data_BeeindigingsdatumNatVerloop100)</f>
        <v/>
      </c>
      <c r="L123" s="41"/>
      <c r="M123" s="41"/>
      <c r="N123" s="82" t="str">
        <f>IF(Data_LoonkostenNatVerloop100="","",Data_LoonkostenNatVerloop100)</f>
        <v/>
      </c>
      <c r="O123" s="41"/>
      <c r="P123" s="276" t="s">
        <v>160</v>
      </c>
      <c r="Q123" s="41"/>
      <c r="R123" s="76" t="s">
        <v>160</v>
      </c>
      <c r="S123" s="41"/>
      <c r="T123" s="41"/>
      <c r="U123" s="41"/>
      <c r="V123" s="41"/>
      <c r="W123" s="41">
        <f t="shared" si="8"/>
        <v>0</v>
      </c>
      <c r="X123" s="77" t="str">
        <f t="shared" si="14"/>
        <v/>
      </c>
      <c r="AG123" s="81" t="str">
        <f>IF(Data_NaamPersoonTijd100="","",Data_NaamPersoonTijd100)</f>
        <v/>
      </c>
      <c r="AH123" s="41"/>
      <c r="AI123" s="41"/>
      <c r="AJ123" s="83" t="str">
        <f>IF(Data_BeeindigingsdatumTijd100="","",Data_BeeindigingsdatumTijd100)</f>
        <v/>
      </c>
      <c r="AK123" s="41"/>
      <c r="AL123" s="41"/>
      <c r="AM123" s="82" t="str">
        <f>IF(Data_LoonkostenTijd100="","",Data_LoonkostenTijd100)</f>
        <v/>
      </c>
      <c r="AN123" s="41"/>
      <c r="AO123" s="276" t="str">
        <f>IF(Data_PersoonAanUitTijd100=-1,"v","")</f>
        <v/>
      </c>
      <c r="AP123" s="41"/>
      <c r="AQ123" s="76" t="s">
        <v>160</v>
      </c>
      <c r="AR123" s="41"/>
      <c r="AS123" s="41"/>
      <c r="AT123" s="41"/>
      <c r="AU123" s="41"/>
      <c r="AV123" s="41">
        <f t="shared" si="9"/>
        <v>0</v>
      </c>
      <c r="AW123" s="77">
        <f t="shared" si="10"/>
        <v>0</v>
      </c>
      <c r="AX123" s="41"/>
      <c r="AY123" s="41"/>
      <c r="AZ123" s="41"/>
      <c r="BA123" s="81" t="str">
        <f>IF(Data_NaamPersoonVastVrij100="","",Data_NaamPersoonVastVrij100)</f>
        <v/>
      </c>
      <c r="BB123" s="41"/>
      <c r="BC123" s="41"/>
      <c r="BD123" s="83" t="str">
        <f>IF(Data_BeeindigingsdatumVastVrij100="","",Data_BeeindigingsdatumVastVrij100)</f>
        <v/>
      </c>
      <c r="BE123" s="41"/>
      <c r="BF123" s="41"/>
      <c r="BG123" s="82" t="str">
        <f>IF(Data_LoonkostenVastVrij100="","",Data_LoonkostenVastVrij100)</f>
        <v/>
      </c>
      <c r="BH123" s="41"/>
      <c r="BI123" s="76" t="str">
        <f>IF(Data_PersoonAanUitVastVrij100=-1,"v","")</f>
        <v/>
      </c>
      <c r="BJ123" s="41"/>
      <c r="BK123" s="76" t="s">
        <v>160</v>
      </c>
      <c r="BL123" s="41"/>
      <c r="BM123" s="41"/>
      <c r="BN123" s="41"/>
      <c r="BO123" s="41"/>
      <c r="BP123" s="41">
        <f t="shared" si="11"/>
        <v>0</v>
      </c>
      <c r="BQ123" s="77">
        <f t="shared" si="12"/>
        <v>0</v>
      </c>
      <c r="BS123" s="81" t="str">
        <f>IF(Data_NaamPersoonVastOntslag100="","",Data_NaamPersoonVastOntslag100)</f>
        <v/>
      </c>
      <c r="BV123" s="83" t="str">
        <f>IF(Data_BeeindigingsdatumVastOntslag100="","",Data_BeeindigingsdatumVastOntslag100)</f>
        <v/>
      </c>
      <c r="BY123" s="82" t="str">
        <f>IF(Data_LoonkostenVastOntslag100="","",Data_LoonkostenVastOntslag100)</f>
        <v/>
      </c>
      <c r="CA123" s="76" t="str">
        <f>IF(Data_PersoonAanUitVastOntslag100=-1,"v","")</f>
        <v/>
      </c>
      <c r="CB123" s="41"/>
      <c r="CC123" s="76" t="s">
        <v>160</v>
      </c>
      <c r="CD123" s="41"/>
      <c r="CE123" s="41"/>
      <c r="CF123" s="41"/>
      <c r="CG123" s="41"/>
      <c r="CH123" s="41">
        <f t="shared" si="15"/>
        <v>0</v>
      </c>
      <c r="CI123" s="41">
        <f t="shared" si="13"/>
        <v>0</v>
      </c>
    </row>
    <row r="124" spans="8:87" x14ac:dyDescent="0.25">
      <c r="H124" s="81" t="str">
        <f>IF(Data_NaamPersoonNatVerloop101="","",Data_NaamPersoonNatVerloop101)</f>
        <v/>
      </c>
      <c r="I124" s="41"/>
      <c r="J124" s="41"/>
      <c r="K124" s="83" t="str">
        <f>IF(Data_BeeindigingsdatumNatVerloop101="","",Data_BeeindigingsdatumNatVerloop101)</f>
        <v/>
      </c>
      <c r="L124" s="41"/>
      <c r="M124" s="41"/>
      <c r="N124" s="82" t="str">
        <f>IF(Data_LoonkostenNatVerloop101="","",Data_LoonkostenNatVerloop101)</f>
        <v/>
      </c>
      <c r="O124" s="41"/>
      <c r="P124" s="276" t="s">
        <v>160</v>
      </c>
      <c r="Q124" s="41"/>
      <c r="R124" s="76" t="s">
        <v>160</v>
      </c>
      <c r="S124" s="41"/>
      <c r="T124" s="41"/>
      <c r="U124" s="41"/>
      <c r="V124" s="41"/>
      <c r="W124" s="41">
        <f t="shared" si="8"/>
        <v>0</v>
      </c>
      <c r="X124" s="77" t="str">
        <f t="shared" si="14"/>
        <v/>
      </c>
      <c r="AG124" s="81" t="str">
        <f>IF(Data_NaamPersoonTijd101="","",Data_NaamPersoonTijd101)</f>
        <v/>
      </c>
      <c r="AH124" s="41"/>
      <c r="AI124" s="41"/>
      <c r="AJ124" s="83" t="str">
        <f>IF(Data_BeeindigingsdatumTijd101="","",Data_BeeindigingsdatumTijd101)</f>
        <v/>
      </c>
      <c r="AK124" s="41"/>
      <c r="AL124" s="41"/>
      <c r="AM124" s="82" t="str">
        <f>IF(Data_LoonkostenTijd101="","",Data_LoonkostenTijd101)</f>
        <v/>
      </c>
      <c r="AN124" s="41"/>
      <c r="AO124" s="276" t="str">
        <f>IF(Data_PersoonAanUitTijd101=-1,"v","")</f>
        <v/>
      </c>
      <c r="AP124" s="41"/>
      <c r="AQ124" s="76" t="s">
        <v>160</v>
      </c>
      <c r="AR124" s="41"/>
      <c r="AS124" s="41"/>
      <c r="AT124" s="41"/>
      <c r="AU124" s="41"/>
      <c r="AV124" s="41">
        <f t="shared" si="9"/>
        <v>0</v>
      </c>
      <c r="AW124" s="77">
        <f t="shared" si="10"/>
        <v>0</v>
      </c>
      <c r="AX124" s="41"/>
      <c r="AY124" s="41"/>
      <c r="AZ124" s="41"/>
      <c r="BA124" s="81" t="str">
        <f>IF(Data_NaamPersoonVastVrij101="","",Data_NaamPersoonVastVrij101)</f>
        <v/>
      </c>
      <c r="BB124" s="41"/>
      <c r="BC124" s="41"/>
      <c r="BD124" s="83" t="str">
        <f>IF(Data_BeeindigingsdatumVastVrij101="","",Data_BeeindigingsdatumVastVrij101)</f>
        <v/>
      </c>
      <c r="BE124" s="41"/>
      <c r="BF124" s="41"/>
      <c r="BG124" s="82" t="str">
        <f>IF(Data_LoonkostenVastVrij101="","",Data_LoonkostenVastVrij101)</f>
        <v/>
      </c>
      <c r="BH124" s="41"/>
      <c r="BI124" s="76" t="str">
        <f>IF(Data_PersoonAanUitVastVrij101=-1,"v","")</f>
        <v/>
      </c>
      <c r="BJ124" s="41"/>
      <c r="BK124" s="76" t="s">
        <v>160</v>
      </c>
      <c r="BL124" s="41"/>
      <c r="BM124" s="41"/>
      <c r="BN124" s="41"/>
      <c r="BO124" s="41"/>
      <c r="BP124" s="41">
        <f t="shared" si="11"/>
        <v>0</v>
      </c>
      <c r="BQ124" s="77">
        <f t="shared" si="12"/>
        <v>0</v>
      </c>
      <c r="BS124" s="81" t="str">
        <f>IF(Data_NaamPersoonVastOntslag101="","",Data_NaamPersoonVastOntslag101)</f>
        <v/>
      </c>
      <c r="BV124" s="83" t="str">
        <f>IF(Data_BeeindigingsdatumVastOntslag101="","",Data_BeeindigingsdatumVastOntslag101)</f>
        <v/>
      </c>
      <c r="BY124" s="82" t="str">
        <f>IF(Data_LoonkostenVastOntslag101="","",Data_LoonkostenVastOntslag101)</f>
        <v/>
      </c>
      <c r="CA124" s="76" t="str">
        <f>IF(Data_PersoonAanUitVastOntslag101=-1,"v","")</f>
        <v/>
      </c>
      <c r="CB124" s="41"/>
      <c r="CC124" s="76" t="s">
        <v>160</v>
      </c>
      <c r="CD124" s="41"/>
      <c r="CE124" s="41"/>
      <c r="CF124" s="41"/>
      <c r="CG124" s="41"/>
      <c r="CH124" s="41">
        <f t="shared" si="15"/>
        <v>0</v>
      </c>
      <c r="CI124" s="41">
        <f t="shared" si="13"/>
        <v>0</v>
      </c>
    </row>
    <row r="125" spans="8:87" x14ac:dyDescent="0.25">
      <c r="H125" s="81" t="str">
        <f>IF(Data_NaamPersoonNatVerloop102="","",Data_NaamPersoonNatVerloop102)</f>
        <v/>
      </c>
      <c r="I125" s="41"/>
      <c r="J125" s="41"/>
      <c r="K125" s="83" t="str">
        <f>IF(Data_BeeindigingsdatumNatVerloop102="","",Data_BeeindigingsdatumNatVerloop102)</f>
        <v/>
      </c>
      <c r="L125" s="41"/>
      <c r="M125" s="41"/>
      <c r="N125" s="82" t="str">
        <f>IF(Data_LoonkostenNatVerloop102="","",Data_LoonkostenNatVerloop102)</f>
        <v/>
      </c>
      <c r="O125" s="41"/>
      <c r="P125" s="276" t="s">
        <v>160</v>
      </c>
      <c r="Q125" s="41"/>
      <c r="R125" s="76" t="s">
        <v>160</v>
      </c>
      <c r="S125" s="41"/>
      <c r="T125" s="41"/>
      <c r="U125" s="41"/>
      <c r="V125" s="41"/>
      <c r="W125" s="41">
        <f t="shared" si="8"/>
        <v>0</v>
      </c>
      <c r="X125" s="77" t="str">
        <f t="shared" si="14"/>
        <v/>
      </c>
      <c r="AG125" s="81" t="str">
        <f>IF(Data_NaamPersoonTijd102="","",Data_NaamPersoonTijd102)</f>
        <v/>
      </c>
      <c r="AH125" s="41"/>
      <c r="AI125" s="41"/>
      <c r="AJ125" s="83" t="str">
        <f>IF(Data_BeeindigingsdatumTijd102="","",Data_BeeindigingsdatumTijd102)</f>
        <v/>
      </c>
      <c r="AK125" s="41"/>
      <c r="AL125" s="41"/>
      <c r="AM125" s="82" t="str">
        <f>IF(Data_LoonkostenTijd102="","",Data_LoonkostenTijd102)</f>
        <v/>
      </c>
      <c r="AN125" s="41"/>
      <c r="AO125" s="276" t="str">
        <f>IF(Data_PersoonAanUitTijd102=-1,"v","")</f>
        <v/>
      </c>
      <c r="AP125" s="41"/>
      <c r="AQ125" s="76" t="s">
        <v>160</v>
      </c>
      <c r="AR125" s="41"/>
      <c r="AS125" s="41"/>
      <c r="AT125" s="41"/>
      <c r="AU125" s="41"/>
      <c r="AV125" s="41">
        <f t="shared" si="9"/>
        <v>0</v>
      </c>
      <c r="AW125" s="77">
        <f t="shared" si="10"/>
        <v>0</v>
      </c>
      <c r="AX125" s="41"/>
      <c r="AY125" s="41"/>
      <c r="AZ125" s="41"/>
      <c r="BA125" s="81" t="str">
        <f>IF(Data_NaamPersoonVastVrij102="","",Data_NaamPersoonVastVrij102)</f>
        <v/>
      </c>
      <c r="BB125" s="41"/>
      <c r="BC125" s="41"/>
      <c r="BD125" s="83" t="str">
        <f>IF(Data_BeeindigingsdatumVastVrij102="","",Data_BeeindigingsdatumVastVrij102)</f>
        <v/>
      </c>
      <c r="BE125" s="41"/>
      <c r="BF125" s="41"/>
      <c r="BG125" s="82" t="str">
        <f>IF(Data_LoonkostenVastVrij102="","",Data_LoonkostenVastVrij102)</f>
        <v/>
      </c>
      <c r="BH125" s="41"/>
      <c r="BI125" s="76" t="str">
        <f>IF(Data_PersoonAanUitVastVrij102=-1,"v","")</f>
        <v/>
      </c>
      <c r="BJ125" s="41"/>
      <c r="BK125" s="76" t="s">
        <v>160</v>
      </c>
      <c r="BL125" s="41"/>
      <c r="BM125" s="41"/>
      <c r="BN125" s="41"/>
      <c r="BO125" s="41"/>
      <c r="BP125" s="41">
        <f t="shared" si="11"/>
        <v>0</v>
      </c>
      <c r="BQ125" s="77">
        <f t="shared" si="12"/>
        <v>0</v>
      </c>
      <c r="BS125" s="81" t="str">
        <f>IF(Data_NaamPersoonVastOntslag102="","",Data_NaamPersoonVastOntslag102)</f>
        <v/>
      </c>
      <c r="BV125" s="83" t="str">
        <f>IF(Data_BeeindigingsdatumVastOntslag102="","",Data_BeeindigingsdatumVastOntslag102)</f>
        <v/>
      </c>
      <c r="BY125" s="82" t="str">
        <f>IF(Data_LoonkostenVastOntslag102="","",Data_LoonkostenVastOntslag102)</f>
        <v/>
      </c>
      <c r="CA125" s="76" t="str">
        <f>IF(Data_PersoonAanUitVastOntslag102=-1,"v","")</f>
        <v/>
      </c>
      <c r="CB125" s="41"/>
      <c r="CC125" s="76" t="s">
        <v>160</v>
      </c>
      <c r="CD125" s="41"/>
      <c r="CE125" s="41"/>
      <c r="CF125" s="41"/>
      <c r="CG125" s="41"/>
      <c r="CH125" s="41">
        <f t="shared" si="15"/>
        <v>0</v>
      </c>
      <c r="CI125" s="41">
        <f t="shared" si="13"/>
        <v>0</v>
      </c>
    </row>
    <row r="126" spans="8:87" x14ac:dyDescent="0.25">
      <c r="H126" s="81" t="str">
        <f>IF(Data_NaamPersoonNatVerloop103="","",Data_NaamPersoonNatVerloop103)</f>
        <v/>
      </c>
      <c r="I126" s="41"/>
      <c r="J126" s="41"/>
      <c r="K126" s="83" t="str">
        <f>IF(Data_BeeindigingsdatumNatVerloop103="","",Data_BeeindigingsdatumNatVerloop103)</f>
        <v/>
      </c>
      <c r="L126" s="41"/>
      <c r="M126" s="41"/>
      <c r="N126" s="82" t="str">
        <f>IF(Data_LoonkostenNatVerloop103="","",Data_LoonkostenNatVerloop103)</f>
        <v/>
      </c>
      <c r="O126" s="41"/>
      <c r="P126" s="276" t="s">
        <v>160</v>
      </c>
      <c r="Q126" s="41"/>
      <c r="R126" s="76" t="s">
        <v>160</v>
      </c>
      <c r="S126" s="41"/>
      <c r="T126" s="41"/>
      <c r="U126" s="41"/>
      <c r="V126" s="41"/>
      <c r="W126" s="41">
        <f t="shared" si="8"/>
        <v>0</v>
      </c>
      <c r="X126" s="77" t="str">
        <f t="shared" si="14"/>
        <v/>
      </c>
      <c r="AG126" s="81" t="str">
        <f>IF(Data_NaamPersoonTijd103="","",Data_NaamPersoonTijd103)</f>
        <v/>
      </c>
      <c r="AH126" s="41"/>
      <c r="AI126" s="41"/>
      <c r="AJ126" s="83" t="str">
        <f>IF(Data_BeeindigingsdatumTijd103="","",Data_BeeindigingsdatumTijd103)</f>
        <v/>
      </c>
      <c r="AK126" s="41"/>
      <c r="AL126" s="41"/>
      <c r="AM126" s="82" t="str">
        <f>IF(Data_LoonkostenTijd103="","",Data_LoonkostenTijd103)</f>
        <v/>
      </c>
      <c r="AN126" s="41"/>
      <c r="AO126" s="276" t="str">
        <f>IF(Data_PersoonAanUitTijd103=-1,"v","")</f>
        <v/>
      </c>
      <c r="AP126" s="41"/>
      <c r="AQ126" s="76" t="s">
        <v>160</v>
      </c>
      <c r="AR126" s="41"/>
      <c r="AS126" s="41"/>
      <c r="AT126" s="41"/>
      <c r="AU126" s="41"/>
      <c r="AV126" s="41">
        <f t="shared" si="9"/>
        <v>0</v>
      </c>
      <c r="AW126" s="77">
        <f t="shared" si="10"/>
        <v>0</v>
      </c>
      <c r="AX126" s="41"/>
      <c r="AY126" s="41"/>
      <c r="AZ126" s="41"/>
      <c r="BA126" s="81" t="str">
        <f>IF(Data_NaamPersoonVastVrij103="","",Data_NaamPersoonVastVrij103)</f>
        <v/>
      </c>
      <c r="BB126" s="41"/>
      <c r="BC126" s="41"/>
      <c r="BD126" s="83" t="str">
        <f>IF(Data_BeeindigingsdatumVastVrij103="","",Data_BeeindigingsdatumVastVrij103)</f>
        <v/>
      </c>
      <c r="BE126" s="41"/>
      <c r="BF126" s="41"/>
      <c r="BG126" s="82" t="str">
        <f>IF(Data_LoonkostenVastVrij103="","",Data_LoonkostenVastVrij103)</f>
        <v/>
      </c>
      <c r="BH126" s="41"/>
      <c r="BI126" s="76" t="str">
        <f>IF(Data_PersoonAanUitVastVrij103=-1,"v","")</f>
        <v/>
      </c>
      <c r="BJ126" s="41"/>
      <c r="BK126" s="76" t="s">
        <v>160</v>
      </c>
      <c r="BL126" s="41"/>
      <c r="BM126" s="41"/>
      <c r="BN126" s="41"/>
      <c r="BO126" s="41"/>
      <c r="BP126" s="41">
        <f t="shared" si="11"/>
        <v>0</v>
      </c>
      <c r="BQ126" s="77">
        <f t="shared" si="12"/>
        <v>0</v>
      </c>
      <c r="BS126" s="81" t="str">
        <f>IF(Data_NaamPersoonVastOntslag103="","",Data_NaamPersoonVastOntslag103)</f>
        <v/>
      </c>
      <c r="BV126" s="83" t="str">
        <f>IF(Data_BeeindigingsdatumVastOntslag103="","",Data_BeeindigingsdatumVastOntslag103)</f>
        <v/>
      </c>
      <c r="BY126" s="82" t="str">
        <f>IF(Data_LoonkostenVastOntslag103="","",Data_LoonkostenVastOntslag103)</f>
        <v/>
      </c>
      <c r="CA126" s="76" t="str">
        <f>IF(Data_PersoonAanUitVastOntslag103=-1,"v","")</f>
        <v/>
      </c>
      <c r="CB126" s="41"/>
      <c r="CC126" s="76" t="s">
        <v>160</v>
      </c>
      <c r="CD126" s="41"/>
      <c r="CE126" s="41"/>
      <c r="CF126" s="41"/>
      <c r="CG126" s="41"/>
      <c r="CH126" s="41">
        <f t="shared" si="15"/>
        <v>0</v>
      </c>
      <c r="CI126" s="41">
        <f t="shared" si="13"/>
        <v>0</v>
      </c>
    </row>
    <row r="127" spans="8:87" x14ac:dyDescent="0.25">
      <c r="H127" s="81" t="str">
        <f>IF(Data_NaamPersoonNatVerloop104="","",Data_NaamPersoonNatVerloop104)</f>
        <v/>
      </c>
      <c r="I127" s="41"/>
      <c r="J127" s="41"/>
      <c r="K127" s="83" t="str">
        <f>IF(Data_BeeindigingsdatumNatVerloop104="","",Data_BeeindigingsdatumNatVerloop104)</f>
        <v/>
      </c>
      <c r="L127" s="41"/>
      <c r="M127" s="41"/>
      <c r="N127" s="82" t="str">
        <f>IF(Data_LoonkostenNatVerloop104="","",Data_LoonkostenNatVerloop104)</f>
        <v/>
      </c>
      <c r="O127" s="41"/>
      <c r="P127" s="276" t="s">
        <v>160</v>
      </c>
      <c r="Q127" s="41"/>
      <c r="R127" s="76" t="s">
        <v>160</v>
      </c>
      <c r="S127" s="41"/>
      <c r="T127" s="41"/>
      <c r="U127" s="41"/>
      <c r="V127" s="41"/>
      <c r="W127" s="41">
        <f t="shared" si="8"/>
        <v>0</v>
      </c>
      <c r="X127" s="77" t="str">
        <f t="shared" si="14"/>
        <v/>
      </c>
      <c r="AG127" s="81" t="str">
        <f>IF(Data_NaamPersoonTijd104="","",Data_NaamPersoonTijd104)</f>
        <v/>
      </c>
      <c r="AH127" s="41"/>
      <c r="AI127" s="41"/>
      <c r="AJ127" s="83" t="str">
        <f>IF(Data_BeeindigingsdatumTijd104="","",Data_BeeindigingsdatumTijd104)</f>
        <v/>
      </c>
      <c r="AK127" s="41"/>
      <c r="AL127" s="41"/>
      <c r="AM127" s="82" t="str">
        <f>IF(Data_LoonkostenTijd104="","",Data_LoonkostenTijd104)</f>
        <v/>
      </c>
      <c r="AN127" s="41"/>
      <c r="AO127" s="276" t="str">
        <f>IF(Data_PersoonAanUitTijd104=-1,"v","")</f>
        <v/>
      </c>
      <c r="AP127" s="41"/>
      <c r="AQ127" s="76" t="s">
        <v>160</v>
      </c>
      <c r="AR127" s="41"/>
      <c r="AS127" s="41"/>
      <c r="AT127" s="41"/>
      <c r="AU127" s="41"/>
      <c r="AV127" s="41">
        <f t="shared" si="9"/>
        <v>0</v>
      </c>
      <c r="AW127" s="77">
        <f t="shared" si="10"/>
        <v>0</v>
      </c>
      <c r="AX127" s="41"/>
      <c r="AY127" s="41"/>
      <c r="AZ127" s="41"/>
      <c r="BA127" s="81" t="str">
        <f>IF(Data_NaamPersoonVastVrij104="","",Data_NaamPersoonVastVrij104)</f>
        <v/>
      </c>
      <c r="BB127" s="41"/>
      <c r="BC127" s="41"/>
      <c r="BD127" s="83" t="str">
        <f>IF(Data_BeeindigingsdatumVastVrij104="","",Data_BeeindigingsdatumVastVrij104)</f>
        <v/>
      </c>
      <c r="BE127" s="41"/>
      <c r="BF127" s="41"/>
      <c r="BG127" s="82" t="str">
        <f>IF(Data_LoonkostenVastVrij104="","",Data_LoonkostenVastVrij104)</f>
        <v/>
      </c>
      <c r="BH127" s="41"/>
      <c r="BI127" s="76" t="str">
        <f>IF(Data_PersoonAanUitVastVrij104=-1,"v","")</f>
        <v/>
      </c>
      <c r="BJ127" s="41"/>
      <c r="BK127" s="76" t="s">
        <v>160</v>
      </c>
      <c r="BL127" s="41"/>
      <c r="BM127" s="41"/>
      <c r="BN127" s="41"/>
      <c r="BO127" s="41"/>
      <c r="BP127" s="41">
        <f t="shared" si="11"/>
        <v>0</v>
      </c>
      <c r="BQ127" s="77">
        <f t="shared" si="12"/>
        <v>0</v>
      </c>
      <c r="BS127" s="81" t="str">
        <f>IF(Data_NaamPersoonVastOntslag104="","",Data_NaamPersoonVastOntslag104)</f>
        <v/>
      </c>
      <c r="BV127" s="83" t="str">
        <f>IF(Data_BeeindigingsdatumVastOntslag104="","",Data_BeeindigingsdatumVastOntslag104)</f>
        <v/>
      </c>
      <c r="BY127" s="82" t="str">
        <f>IF(Data_LoonkostenVastOntslag104="","",Data_LoonkostenVastOntslag104)</f>
        <v/>
      </c>
      <c r="CA127" s="76" t="str">
        <f>IF(Data_PersoonAanUitVastOntslag104=-1,"v","")</f>
        <v/>
      </c>
      <c r="CB127" s="41"/>
      <c r="CC127" s="76" t="s">
        <v>160</v>
      </c>
      <c r="CD127" s="41"/>
      <c r="CE127" s="41"/>
      <c r="CF127" s="41"/>
      <c r="CG127" s="41"/>
      <c r="CH127" s="41">
        <f t="shared" si="15"/>
        <v>0</v>
      </c>
      <c r="CI127" s="41">
        <f t="shared" si="13"/>
        <v>0</v>
      </c>
    </row>
    <row r="128" spans="8:87" x14ac:dyDescent="0.25">
      <c r="H128" s="81" t="str">
        <f>IF(Data_NaamPersoonNatVerloop105="","",Data_NaamPersoonNatVerloop105)</f>
        <v/>
      </c>
      <c r="I128" s="41"/>
      <c r="J128" s="41"/>
      <c r="K128" s="83" t="str">
        <f>IF(Data_BeeindigingsdatumNatVerloop105="","",Data_BeeindigingsdatumNatVerloop105)</f>
        <v/>
      </c>
      <c r="L128" s="41"/>
      <c r="M128" s="41"/>
      <c r="N128" s="82" t="str">
        <f>IF(Data_LoonkostenNatVerloop105="","",Data_LoonkostenNatVerloop105)</f>
        <v/>
      </c>
      <c r="O128" s="41"/>
      <c r="P128" s="276" t="s">
        <v>160</v>
      </c>
      <c r="Q128" s="41"/>
      <c r="R128" s="76" t="s">
        <v>160</v>
      </c>
      <c r="S128" s="41"/>
      <c r="T128" s="41"/>
      <c r="U128" s="41"/>
      <c r="V128" s="41"/>
      <c r="W128" s="41">
        <f t="shared" si="8"/>
        <v>0</v>
      </c>
      <c r="X128" s="77" t="str">
        <f t="shared" si="14"/>
        <v/>
      </c>
      <c r="AG128" s="81" t="str">
        <f>IF(Data_NaamPersoonTijd105="","",Data_NaamPersoonTijd105)</f>
        <v/>
      </c>
      <c r="AH128" s="41"/>
      <c r="AI128" s="41"/>
      <c r="AJ128" s="83" t="str">
        <f>IF(Data_BeeindigingsdatumTijd105="","",Data_BeeindigingsdatumTijd105)</f>
        <v/>
      </c>
      <c r="AK128" s="41"/>
      <c r="AL128" s="41"/>
      <c r="AM128" s="82" t="str">
        <f>IF(Data_LoonkostenTijd105="","",Data_LoonkostenTijd105)</f>
        <v/>
      </c>
      <c r="AN128" s="41"/>
      <c r="AO128" s="276" t="str">
        <f>IF(Data_PersoonAanUitTijd105=-1,"v","")</f>
        <v/>
      </c>
      <c r="AP128" s="41"/>
      <c r="AQ128" s="76" t="s">
        <v>160</v>
      </c>
      <c r="AR128" s="41"/>
      <c r="AS128" s="41"/>
      <c r="AT128" s="41"/>
      <c r="AU128" s="41"/>
      <c r="AV128" s="41">
        <f t="shared" si="9"/>
        <v>0</v>
      </c>
      <c r="AW128" s="77">
        <f t="shared" si="10"/>
        <v>0</v>
      </c>
      <c r="AX128" s="41"/>
      <c r="AY128" s="41"/>
      <c r="AZ128" s="41"/>
      <c r="BA128" s="81" t="str">
        <f>IF(Data_NaamPersoonVastVrij105="","",Data_NaamPersoonVastVrij105)</f>
        <v/>
      </c>
      <c r="BB128" s="41"/>
      <c r="BC128" s="41"/>
      <c r="BD128" s="83" t="str">
        <f>IF(Data_BeeindigingsdatumVastVrij105="","",Data_BeeindigingsdatumVastVrij105)</f>
        <v/>
      </c>
      <c r="BE128" s="41"/>
      <c r="BF128" s="41"/>
      <c r="BG128" s="82" t="str">
        <f>IF(Data_LoonkostenVastVrij105="","",Data_LoonkostenVastVrij105)</f>
        <v/>
      </c>
      <c r="BH128" s="41"/>
      <c r="BI128" s="76" t="str">
        <f>IF(Data_PersoonAanUitVastVrij105=-1,"v","")</f>
        <v/>
      </c>
      <c r="BJ128" s="41"/>
      <c r="BK128" s="76" t="s">
        <v>160</v>
      </c>
      <c r="BL128" s="41"/>
      <c r="BM128" s="41"/>
      <c r="BN128" s="41"/>
      <c r="BO128" s="41"/>
      <c r="BP128" s="41">
        <f t="shared" si="11"/>
        <v>0</v>
      </c>
      <c r="BQ128" s="77">
        <f t="shared" si="12"/>
        <v>0</v>
      </c>
      <c r="BS128" s="81" t="str">
        <f>IF(Data_NaamPersoonVastOntslag105="","",Data_NaamPersoonVastOntslag105)</f>
        <v/>
      </c>
      <c r="BV128" s="83" t="str">
        <f>IF(Data_BeeindigingsdatumVastOntslag105="","",Data_BeeindigingsdatumVastOntslag105)</f>
        <v/>
      </c>
      <c r="BY128" s="82" t="str">
        <f>IF(Data_LoonkostenVastOntslag105="","",Data_LoonkostenVastOntslag105)</f>
        <v/>
      </c>
      <c r="CA128" s="76" t="str">
        <f>IF(Data_PersoonAanUitVastOntslag105=-1,"v","")</f>
        <v/>
      </c>
      <c r="CB128" s="41"/>
      <c r="CC128" s="76" t="s">
        <v>160</v>
      </c>
      <c r="CD128" s="41"/>
      <c r="CE128" s="41"/>
      <c r="CF128" s="41"/>
      <c r="CG128" s="41"/>
      <c r="CH128" s="41">
        <f t="shared" si="15"/>
        <v>0</v>
      </c>
      <c r="CI128" s="41">
        <f t="shared" si="13"/>
        <v>0</v>
      </c>
    </row>
    <row r="129" spans="8:87" x14ac:dyDescent="0.25">
      <c r="H129" s="81" t="str">
        <f>IF(Data_NaamPersoonNatVerloop106="","",Data_NaamPersoonNatVerloop106)</f>
        <v/>
      </c>
      <c r="I129" s="41"/>
      <c r="J129" s="41"/>
      <c r="K129" s="83" t="str">
        <f>IF(Data_BeeindigingsdatumNatVerloop106="","",Data_BeeindigingsdatumNatVerloop106)</f>
        <v/>
      </c>
      <c r="L129" s="41"/>
      <c r="M129" s="41"/>
      <c r="N129" s="82" t="str">
        <f>IF(Data_LoonkostenNatVerloop106="","",Data_LoonkostenNatVerloop106)</f>
        <v/>
      </c>
      <c r="O129" s="41"/>
      <c r="P129" s="276" t="s">
        <v>160</v>
      </c>
      <c r="Q129" s="41"/>
      <c r="R129" s="76" t="s">
        <v>160</v>
      </c>
      <c r="S129" s="41"/>
      <c r="T129" s="41"/>
      <c r="U129" s="41"/>
      <c r="V129" s="41"/>
      <c r="W129" s="41">
        <f t="shared" si="8"/>
        <v>0</v>
      </c>
      <c r="X129" s="77" t="str">
        <f t="shared" si="14"/>
        <v/>
      </c>
      <c r="AG129" s="81" t="str">
        <f>IF(Data_NaamPersoonTijd106="","",Data_NaamPersoonTijd106)</f>
        <v/>
      </c>
      <c r="AH129" s="41"/>
      <c r="AI129" s="41"/>
      <c r="AJ129" s="83" t="str">
        <f>IF(Data_BeeindigingsdatumTijd106="","",Data_BeeindigingsdatumTijd106)</f>
        <v/>
      </c>
      <c r="AK129" s="41"/>
      <c r="AL129" s="41"/>
      <c r="AM129" s="82" t="str">
        <f>IF(Data_LoonkostenTijd106="","",Data_LoonkostenTijd106)</f>
        <v/>
      </c>
      <c r="AN129" s="41"/>
      <c r="AO129" s="276" t="str">
        <f>IF(Data_PersoonAanUitTijd106=-1,"v","")</f>
        <v/>
      </c>
      <c r="AP129" s="41"/>
      <c r="AQ129" s="76" t="s">
        <v>160</v>
      </c>
      <c r="AR129" s="41"/>
      <c r="AS129" s="41"/>
      <c r="AT129" s="41"/>
      <c r="AU129" s="41"/>
      <c r="AV129" s="41">
        <f t="shared" si="9"/>
        <v>0</v>
      </c>
      <c r="AW129" s="77">
        <f t="shared" si="10"/>
        <v>0</v>
      </c>
      <c r="AX129" s="41"/>
      <c r="AY129" s="41"/>
      <c r="AZ129" s="41"/>
      <c r="BA129" s="81" t="str">
        <f>IF(Data_NaamPersoonVastVrij106="","",Data_NaamPersoonVastVrij106)</f>
        <v/>
      </c>
      <c r="BB129" s="41"/>
      <c r="BC129" s="41"/>
      <c r="BD129" s="83" t="str">
        <f>IF(Data_BeeindigingsdatumVastVrij106="","",Data_BeeindigingsdatumVastVrij106)</f>
        <v/>
      </c>
      <c r="BE129" s="41"/>
      <c r="BF129" s="41"/>
      <c r="BG129" s="82" t="str">
        <f>IF(Data_LoonkostenVastVrij106="","",Data_LoonkostenVastVrij106)</f>
        <v/>
      </c>
      <c r="BH129" s="41"/>
      <c r="BI129" s="76" t="str">
        <f>IF(Data_PersoonAanUitVastVrij106=-1,"v","")</f>
        <v/>
      </c>
      <c r="BJ129" s="41"/>
      <c r="BK129" s="76" t="s">
        <v>160</v>
      </c>
      <c r="BL129" s="41"/>
      <c r="BM129" s="41"/>
      <c r="BN129" s="41"/>
      <c r="BO129" s="41"/>
      <c r="BP129" s="41">
        <f t="shared" si="11"/>
        <v>0</v>
      </c>
      <c r="BQ129" s="77">
        <f t="shared" si="12"/>
        <v>0</v>
      </c>
      <c r="BS129" s="81" t="str">
        <f>IF(Data_NaamPersoonVastOntslag106="","",Data_NaamPersoonVastOntslag106)</f>
        <v/>
      </c>
      <c r="BV129" s="83" t="str">
        <f>IF(Data_BeeindigingsdatumVastOntslag106="","",Data_BeeindigingsdatumVastOntslag106)</f>
        <v/>
      </c>
      <c r="BY129" s="82" t="str">
        <f>IF(Data_LoonkostenVastOntslag106="","",Data_LoonkostenVastOntslag106)</f>
        <v/>
      </c>
      <c r="CA129" s="76" t="str">
        <f>IF(Data_PersoonAanUitVastOntslag106=-1,"v","")</f>
        <v/>
      </c>
      <c r="CB129" s="41"/>
      <c r="CC129" s="76" t="s">
        <v>160</v>
      </c>
      <c r="CD129" s="41"/>
      <c r="CE129" s="41"/>
      <c r="CF129" s="41"/>
      <c r="CG129" s="41"/>
      <c r="CH129" s="41">
        <f t="shared" si="15"/>
        <v>0</v>
      </c>
      <c r="CI129" s="41">
        <f t="shared" si="13"/>
        <v>0</v>
      </c>
    </row>
    <row r="130" spans="8:87" x14ac:dyDescent="0.25">
      <c r="H130" s="81" t="str">
        <f>IF(Data_NaamPersoonNatVerloop107="","",Data_NaamPersoonNatVerloop107)</f>
        <v/>
      </c>
      <c r="I130" s="41"/>
      <c r="J130" s="41"/>
      <c r="K130" s="83" t="str">
        <f>IF(Data_BeeindigingsdatumNatVerloop107="","",Data_BeeindigingsdatumNatVerloop107)</f>
        <v/>
      </c>
      <c r="L130" s="41"/>
      <c r="M130" s="41"/>
      <c r="N130" s="82" t="str">
        <f>IF(Data_LoonkostenNatVerloop107="","",Data_LoonkostenNatVerloop107)</f>
        <v/>
      </c>
      <c r="O130" s="41"/>
      <c r="P130" s="276" t="s">
        <v>160</v>
      </c>
      <c r="Q130" s="41"/>
      <c r="R130" s="76" t="s">
        <v>160</v>
      </c>
      <c r="S130" s="41"/>
      <c r="T130" s="41"/>
      <c r="U130" s="41"/>
      <c r="V130" s="41"/>
      <c r="W130" s="41">
        <f t="shared" si="8"/>
        <v>0</v>
      </c>
      <c r="X130" s="77" t="str">
        <f t="shared" si="14"/>
        <v/>
      </c>
      <c r="AG130" s="81" t="str">
        <f>IF(Data_NaamPersoonTijd107="","",Data_NaamPersoonTijd107)</f>
        <v/>
      </c>
      <c r="AH130" s="41"/>
      <c r="AI130" s="41"/>
      <c r="AJ130" s="83" t="str">
        <f>IF(Data_BeeindigingsdatumTijd107="","",Data_BeeindigingsdatumTijd107)</f>
        <v/>
      </c>
      <c r="AK130" s="41"/>
      <c r="AL130" s="41"/>
      <c r="AM130" s="82" t="str">
        <f>IF(Data_LoonkostenTijd107="","",Data_LoonkostenTijd107)</f>
        <v/>
      </c>
      <c r="AN130" s="41"/>
      <c r="AO130" s="276" t="str">
        <f>IF(Data_PersoonAanUitTijd107=-1,"v","")</f>
        <v/>
      </c>
      <c r="AP130" s="41"/>
      <c r="AQ130" s="76" t="s">
        <v>160</v>
      </c>
      <c r="AR130" s="41"/>
      <c r="AS130" s="41"/>
      <c r="AT130" s="41"/>
      <c r="AU130" s="41"/>
      <c r="AV130" s="41">
        <f t="shared" si="9"/>
        <v>0</v>
      </c>
      <c r="AW130" s="77">
        <f t="shared" si="10"/>
        <v>0</v>
      </c>
      <c r="AX130" s="41"/>
      <c r="AY130" s="41"/>
      <c r="AZ130" s="41"/>
      <c r="BA130" s="81" t="str">
        <f>IF(Data_NaamPersoonVastVrij107="","",Data_NaamPersoonVastVrij107)</f>
        <v/>
      </c>
      <c r="BB130" s="41"/>
      <c r="BC130" s="41"/>
      <c r="BD130" s="83" t="str">
        <f>IF(Data_BeeindigingsdatumVastVrij107="","",Data_BeeindigingsdatumVastVrij107)</f>
        <v/>
      </c>
      <c r="BE130" s="41"/>
      <c r="BF130" s="41"/>
      <c r="BG130" s="82" t="str">
        <f>IF(Data_LoonkostenVastVrij107="","",Data_LoonkostenVastVrij107)</f>
        <v/>
      </c>
      <c r="BH130" s="41"/>
      <c r="BI130" s="76" t="str">
        <f>IF(Data_PersoonAanUitVastVrij107=-1,"v","")</f>
        <v/>
      </c>
      <c r="BJ130" s="41"/>
      <c r="BK130" s="76" t="s">
        <v>160</v>
      </c>
      <c r="BL130" s="41"/>
      <c r="BM130" s="41"/>
      <c r="BN130" s="41"/>
      <c r="BO130" s="41"/>
      <c r="BP130" s="41">
        <f t="shared" si="11"/>
        <v>0</v>
      </c>
      <c r="BQ130" s="77">
        <f t="shared" si="12"/>
        <v>0</v>
      </c>
      <c r="BS130" s="81" t="str">
        <f>IF(Data_NaamPersoonVastOntslag107="","",Data_NaamPersoonVastOntslag107)</f>
        <v/>
      </c>
      <c r="BV130" s="83" t="str">
        <f>IF(Data_BeeindigingsdatumVastOntslag107="","",Data_BeeindigingsdatumVastOntslag107)</f>
        <v/>
      </c>
      <c r="BY130" s="82" t="str">
        <f>IF(Data_LoonkostenVastOntslag107="","",Data_LoonkostenVastOntslag107)</f>
        <v/>
      </c>
      <c r="CA130" s="76" t="str">
        <f>IF(Data_PersoonAanUitVastOntslag107=-1,"v","")</f>
        <v/>
      </c>
      <c r="CB130" s="41"/>
      <c r="CC130" s="76" t="s">
        <v>160</v>
      </c>
      <c r="CD130" s="41"/>
      <c r="CE130" s="41"/>
      <c r="CF130" s="41"/>
      <c r="CG130" s="41"/>
      <c r="CH130" s="41">
        <f t="shared" si="15"/>
        <v>0</v>
      </c>
      <c r="CI130" s="41">
        <f t="shared" si="13"/>
        <v>0</v>
      </c>
    </row>
    <row r="131" spans="8:87" x14ac:dyDescent="0.25">
      <c r="H131" s="81" t="str">
        <f>IF(Data_NaamPersoonNatVerloop108="","",Data_NaamPersoonNatVerloop108)</f>
        <v/>
      </c>
      <c r="I131" s="41"/>
      <c r="J131" s="41"/>
      <c r="K131" s="83" t="str">
        <f>IF(Data_BeeindigingsdatumNatVerloop108="","",Data_BeeindigingsdatumNatVerloop108)</f>
        <v/>
      </c>
      <c r="L131" s="41"/>
      <c r="M131" s="41"/>
      <c r="N131" s="82" t="str">
        <f>IF(Data_LoonkostenNatVerloop108="","",Data_LoonkostenNatVerloop108)</f>
        <v/>
      </c>
      <c r="O131" s="41"/>
      <c r="P131" s="276" t="s">
        <v>160</v>
      </c>
      <c r="Q131" s="41"/>
      <c r="R131" s="76" t="s">
        <v>160</v>
      </c>
      <c r="S131" s="41"/>
      <c r="T131" s="41"/>
      <c r="U131" s="41"/>
      <c r="V131" s="41"/>
      <c r="W131" s="41">
        <f t="shared" si="8"/>
        <v>0</v>
      </c>
      <c r="X131" s="77" t="str">
        <f t="shared" si="14"/>
        <v/>
      </c>
      <c r="AG131" s="81" t="str">
        <f>IF(Data_NaamPersoonTijd108="","",Data_NaamPersoonTijd108)</f>
        <v/>
      </c>
      <c r="AH131" s="41"/>
      <c r="AI131" s="41"/>
      <c r="AJ131" s="83" t="str">
        <f>IF(Data_BeeindigingsdatumTijd108="","",Data_BeeindigingsdatumTijd108)</f>
        <v/>
      </c>
      <c r="AK131" s="41"/>
      <c r="AL131" s="41"/>
      <c r="AM131" s="82" t="str">
        <f>IF(Data_LoonkostenTijd108="","",Data_LoonkostenTijd108)</f>
        <v/>
      </c>
      <c r="AN131" s="41"/>
      <c r="AO131" s="276" t="str">
        <f>IF(Data_PersoonAanUitTijd108=-1,"v","")</f>
        <v/>
      </c>
      <c r="AP131" s="41"/>
      <c r="AQ131" s="76" t="s">
        <v>160</v>
      </c>
      <c r="AR131" s="41"/>
      <c r="AS131" s="41"/>
      <c r="AT131" s="41"/>
      <c r="AU131" s="41"/>
      <c r="AV131" s="41">
        <f t="shared" si="9"/>
        <v>0</v>
      </c>
      <c r="AW131" s="77">
        <f t="shared" si="10"/>
        <v>0</v>
      </c>
      <c r="AX131" s="41"/>
      <c r="AY131" s="41"/>
      <c r="AZ131" s="41"/>
      <c r="BA131" s="81" t="str">
        <f>IF(Data_NaamPersoonVastVrij108="","",Data_NaamPersoonVastVrij108)</f>
        <v/>
      </c>
      <c r="BB131" s="41"/>
      <c r="BC131" s="41"/>
      <c r="BD131" s="83" t="str">
        <f>IF(Data_BeeindigingsdatumVastVrij108="","",Data_BeeindigingsdatumVastVrij108)</f>
        <v/>
      </c>
      <c r="BE131" s="41"/>
      <c r="BF131" s="41"/>
      <c r="BG131" s="82" t="str">
        <f>IF(Data_LoonkostenVastVrij108="","",Data_LoonkostenVastVrij108)</f>
        <v/>
      </c>
      <c r="BH131" s="41"/>
      <c r="BI131" s="76" t="str">
        <f>IF(Data_PersoonAanUitVastVrij108=-1,"v","")</f>
        <v/>
      </c>
      <c r="BJ131" s="41"/>
      <c r="BK131" s="76" t="s">
        <v>160</v>
      </c>
      <c r="BL131" s="41"/>
      <c r="BM131" s="41"/>
      <c r="BN131" s="41"/>
      <c r="BO131" s="41"/>
      <c r="BP131" s="41">
        <f t="shared" si="11"/>
        <v>0</v>
      </c>
      <c r="BQ131" s="77">
        <f t="shared" si="12"/>
        <v>0</v>
      </c>
      <c r="BS131" s="81" t="str">
        <f>IF(Data_NaamPersoonVastOntslag108="","",Data_NaamPersoonVastOntslag108)</f>
        <v/>
      </c>
      <c r="BV131" s="83" t="str">
        <f>IF(Data_BeeindigingsdatumVastOntslag108="","",Data_BeeindigingsdatumVastOntslag108)</f>
        <v/>
      </c>
      <c r="BY131" s="82" t="str">
        <f>IF(Data_LoonkostenVastOntslag108="","",Data_LoonkostenVastOntslag108)</f>
        <v/>
      </c>
      <c r="CA131" s="76" t="str">
        <f>IF(Data_PersoonAanUitVastOntslag108=-1,"v","")</f>
        <v/>
      </c>
      <c r="CB131" s="41"/>
      <c r="CC131" s="76" t="s">
        <v>160</v>
      </c>
      <c r="CD131" s="41"/>
      <c r="CE131" s="41"/>
      <c r="CF131" s="41"/>
      <c r="CG131" s="41"/>
      <c r="CH131" s="41">
        <f t="shared" si="15"/>
        <v>0</v>
      </c>
      <c r="CI131" s="41">
        <f t="shared" si="13"/>
        <v>0</v>
      </c>
    </row>
    <row r="132" spans="8:87" x14ac:dyDescent="0.25">
      <c r="H132" s="81" t="str">
        <f>IF(Data_NaamPersoonNatVerloop109="","",Data_NaamPersoonNatVerloop109)</f>
        <v/>
      </c>
      <c r="I132" s="41"/>
      <c r="J132" s="41"/>
      <c r="K132" s="83" t="str">
        <f>IF(Data_BeeindigingsdatumNatVerloop109="","",Data_BeeindigingsdatumNatVerloop109)</f>
        <v/>
      </c>
      <c r="L132" s="41"/>
      <c r="M132" s="41"/>
      <c r="N132" s="82" t="str">
        <f>IF(Data_LoonkostenNatVerloop109="","",Data_LoonkostenNatVerloop109)</f>
        <v/>
      </c>
      <c r="O132" s="41"/>
      <c r="P132" s="276" t="s">
        <v>160</v>
      </c>
      <c r="Q132" s="41"/>
      <c r="R132" s="76" t="s">
        <v>160</v>
      </c>
      <c r="S132" s="41"/>
      <c r="T132" s="41"/>
      <c r="U132" s="41"/>
      <c r="V132" s="41"/>
      <c r="W132" s="41">
        <f t="shared" si="8"/>
        <v>0</v>
      </c>
      <c r="X132" s="77" t="str">
        <f t="shared" si="14"/>
        <v/>
      </c>
      <c r="AG132" s="81" t="str">
        <f>IF(Data_NaamPersoonTijd109="","",Data_NaamPersoonTijd109)</f>
        <v/>
      </c>
      <c r="AH132" s="41"/>
      <c r="AI132" s="41"/>
      <c r="AJ132" s="83" t="str">
        <f>IF(Data_BeeindigingsdatumTijd109="","",Data_BeeindigingsdatumTijd109)</f>
        <v/>
      </c>
      <c r="AK132" s="41"/>
      <c r="AL132" s="41"/>
      <c r="AM132" s="82" t="str">
        <f>IF(Data_LoonkostenTijd109="","",Data_LoonkostenTijd109)</f>
        <v/>
      </c>
      <c r="AN132" s="41"/>
      <c r="AO132" s="276" t="str">
        <f>IF(Data_PersoonAanUitTijd109=-1,"v","")</f>
        <v/>
      </c>
      <c r="AP132" s="41"/>
      <c r="AQ132" s="76" t="s">
        <v>160</v>
      </c>
      <c r="AR132" s="41"/>
      <c r="AS132" s="41"/>
      <c r="AT132" s="41"/>
      <c r="AU132" s="41"/>
      <c r="AV132" s="41">
        <f t="shared" si="9"/>
        <v>0</v>
      </c>
      <c r="AW132" s="77">
        <f t="shared" si="10"/>
        <v>0</v>
      </c>
      <c r="AX132" s="41"/>
      <c r="AY132" s="41"/>
      <c r="AZ132" s="41"/>
      <c r="BA132" s="81" t="str">
        <f>IF(Data_NaamPersoonVastVrij109="","",Data_NaamPersoonVastVrij109)</f>
        <v/>
      </c>
      <c r="BB132" s="41"/>
      <c r="BC132" s="41"/>
      <c r="BD132" s="83" t="str">
        <f>IF(Data_BeeindigingsdatumVastVrij109="","",Data_BeeindigingsdatumVastVrij109)</f>
        <v/>
      </c>
      <c r="BE132" s="41"/>
      <c r="BF132" s="41"/>
      <c r="BG132" s="82" t="str">
        <f>IF(Data_LoonkostenVastVrij109="","",Data_LoonkostenVastVrij109)</f>
        <v/>
      </c>
      <c r="BH132" s="41"/>
      <c r="BI132" s="76" t="str">
        <f>IF(Data_PersoonAanUitVastVrij109=-1,"v","")</f>
        <v/>
      </c>
      <c r="BJ132" s="41"/>
      <c r="BK132" s="76" t="s">
        <v>160</v>
      </c>
      <c r="BL132" s="41"/>
      <c r="BM132" s="41"/>
      <c r="BN132" s="41"/>
      <c r="BO132" s="41"/>
      <c r="BP132" s="41">
        <f t="shared" si="11"/>
        <v>0</v>
      </c>
      <c r="BQ132" s="77">
        <f t="shared" si="12"/>
        <v>0</v>
      </c>
      <c r="BS132" s="81" t="str">
        <f>IF(Data_NaamPersoonVastOntslag109="","",Data_NaamPersoonVastOntslag109)</f>
        <v/>
      </c>
      <c r="BV132" s="83" t="str">
        <f>IF(Data_BeeindigingsdatumVastOntslag109="","",Data_BeeindigingsdatumVastOntslag109)</f>
        <v/>
      </c>
      <c r="BY132" s="82" t="str">
        <f>IF(Data_LoonkostenVastOntslag109="","",Data_LoonkostenVastOntslag109)</f>
        <v/>
      </c>
      <c r="CA132" s="76" t="str">
        <f>IF(Data_PersoonAanUitVastOntslag109=-1,"v","")</f>
        <v/>
      </c>
      <c r="CB132" s="41"/>
      <c r="CC132" s="76" t="s">
        <v>160</v>
      </c>
      <c r="CD132" s="41"/>
      <c r="CE132" s="41"/>
      <c r="CF132" s="41"/>
      <c r="CG132" s="41"/>
      <c r="CH132" s="41">
        <f t="shared" si="15"/>
        <v>0</v>
      </c>
      <c r="CI132" s="41">
        <f t="shared" si="13"/>
        <v>0</v>
      </c>
    </row>
    <row r="133" spans="8:87" x14ac:dyDescent="0.25">
      <c r="H133" s="81" t="str">
        <f>IF(Data_NaamPersoonNatVerloop110="","",Data_NaamPersoonNatVerloop110)</f>
        <v/>
      </c>
      <c r="I133" s="41"/>
      <c r="J133" s="41"/>
      <c r="K133" s="83" t="str">
        <f>IF(Data_BeeindigingsdatumNatVerloop110="","",Data_BeeindigingsdatumNatVerloop110)</f>
        <v/>
      </c>
      <c r="L133" s="41"/>
      <c r="M133" s="41"/>
      <c r="N133" s="82" t="str">
        <f>IF(Data_LoonkostenNatVerloop110="","",Data_LoonkostenNatVerloop110)</f>
        <v/>
      </c>
      <c r="O133" s="41"/>
      <c r="P133" s="276" t="s">
        <v>160</v>
      </c>
      <c r="Q133" s="41"/>
      <c r="R133" s="76" t="s">
        <v>160</v>
      </c>
      <c r="S133" s="41"/>
      <c r="T133" s="41"/>
      <c r="U133" s="41"/>
      <c r="V133" s="41"/>
      <c r="W133" s="41">
        <f t="shared" si="8"/>
        <v>0</v>
      </c>
      <c r="X133" s="77" t="str">
        <f t="shared" si="14"/>
        <v/>
      </c>
      <c r="AG133" s="81" t="str">
        <f>IF(Data_NaamPersoonTijd110="","",Data_NaamPersoonTijd110)</f>
        <v/>
      </c>
      <c r="AH133" s="41"/>
      <c r="AI133" s="41"/>
      <c r="AJ133" s="83" t="str">
        <f>IF(Data_BeeindigingsdatumTijd110="","",Data_BeeindigingsdatumTijd110)</f>
        <v/>
      </c>
      <c r="AK133" s="41"/>
      <c r="AL133" s="41"/>
      <c r="AM133" s="82" t="str">
        <f>IF(Data_LoonkostenTijd110="","",Data_LoonkostenTijd110)</f>
        <v/>
      </c>
      <c r="AN133" s="41"/>
      <c r="AO133" s="276" t="str">
        <f>IF(Data_PersoonAanUitTijd110=-1,"v","")</f>
        <v/>
      </c>
      <c r="AP133" s="41"/>
      <c r="AQ133" s="76" t="s">
        <v>160</v>
      </c>
      <c r="AR133" s="41"/>
      <c r="AS133" s="41"/>
      <c r="AT133" s="41"/>
      <c r="AU133" s="41"/>
      <c r="AV133" s="41">
        <f t="shared" si="9"/>
        <v>0</v>
      </c>
      <c r="AW133" s="77">
        <f t="shared" si="10"/>
        <v>0</v>
      </c>
      <c r="AX133" s="41"/>
      <c r="AY133" s="41"/>
      <c r="AZ133" s="41"/>
      <c r="BA133" s="81" t="str">
        <f>IF(Data_NaamPersoonVastVrij110="","",Data_NaamPersoonVastVrij110)</f>
        <v/>
      </c>
      <c r="BB133" s="41"/>
      <c r="BC133" s="41"/>
      <c r="BD133" s="83" t="str">
        <f>IF(Data_BeeindigingsdatumVastVrij110="","",Data_BeeindigingsdatumVastVrij110)</f>
        <v/>
      </c>
      <c r="BE133" s="41"/>
      <c r="BF133" s="41"/>
      <c r="BG133" s="82" t="str">
        <f>IF(Data_LoonkostenVastVrij110="","",Data_LoonkostenVastVrij110)</f>
        <v/>
      </c>
      <c r="BH133" s="41"/>
      <c r="BI133" s="76" t="str">
        <f>IF(Data_PersoonAanUitVastVrij110=-1,"v","")</f>
        <v/>
      </c>
      <c r="BJ133" s="41"/>
      <c r="BK133" s="76" t="s">
        <v>160</v>
      </c>
      <c r="BL133" s="41"/>
      <c r="BM133" s="41"/>
      <c r="BN133" s="41"/>
      <c r="BO133" s="41"/>
      <c r="BP133" s="41">
        <f t="shared" si="11"/>
        <v>0</v>
      </c>
      <c r="BQ133" s="77">
        <f t="shared" si="12"/>
        <v>0</v>
      </c>
      <c r="BS133" s="81" t="str">
        <f>IF(Data_NaamPersoonVastOntslag110="","",Data_NaamPersoonVastOntslag110)</f>
        <v/>
      </c>
      <c r="BV133" s="83" t="str">
        <f>IF(Data_BeeindigingsdatumVastOntslag110="","",Data_BeeindigingsdatumVastOntslag110)</f>
        <v/>
      </c>
      <c r="BY133" s="82" t="str">
        <f>IF(Data_LoonkostenVastOntslag110="","",Data_LoonkostenVastOntslag110)</f>
        <v/>
      </c>
      <c r="CA133" s="76" t="str">
        <f>IF(Data_PersoonAanUitVastOntslag110=-1,"v","")</f>
        <v/>
      </c>
      <c r="CB133" s="41"/>
      <c r="CC133" s="76" t="s">
        <v>160</v>
      </c>
      <c r="CD133" s="41"/>
      <c r="CE133" s="41"/>
      <c r="CF133" s="41"/>
      <c r="CG133" s="41"/>
      <c r="CH133" s="41">
        <f t="shared" si="15"/>
        <v>0</v>
      </c>
      <c r="CI133" s="41">
        <f t="shared" si="13"/>
        <v>0</v>
      </c>
    </row>
    <row r="134" spans="8:87" x14ac:dyDescent="0.25">
      <c r="H134" s="81" t="str">
        <f>IF(Data_NaamPersoonNatVerloop111="","",Data_NaamPersoonNatVerloop111)</f>
        <v/>
      </c>
      <c r="I134" s="41"/>
      <c r="J134" s="41"/>
      <c r="K134" s="83" t="str">
        <f>IF(Data_BeeindigingsdatumNatVerloop111="","",Data_BeeindigingsdatumNatVerloop111)</f>
        <v/>
      </c>
      <c r="L134" s="41"/>
      <c r="M134" s="41"/>
      <c r="N134" s="82" t="str">
        <f>IF(Data_LoonkostenNatVerloop111="","",Data_LoonkostenNatVerloop111)</f>
        <v/>
      </c>
      <c r="O134" s="41"/>
      <c r="P134" s="276" t="s">
        <v>160</v>
      </c>
      <c r="Q134" s="41"/>
      <c r="R134" s="76" t="s">
        <v>160</v>
      </c>
      <c r="S134" s="41"/>
      <c r="T134" s="41"/>
      <c r="U134" s="41"/>
      <c r="V134" s="41"/>
      <c r="W134" s="41">
        <f t="shared" si="8"/>
        <v>0</v>
      </c>
      <c r="X134" s="77" t="str">
        <f t="shared" si="14"/>
        <v/>
      </c>
      <c r="AG134" s="81" t="str">
        <f>IF(Data_NaamPersoonTijd111="","",Data_NaamPersoonTijd111)</f>
        <v/>
      </c>
      <c r="AH134" s="41"/>
      <c r="AI134" s="41"/>
      <c r="AJ134" s="83" t="str">
        <f>IF(Data_BeeindigingsdatumTijd111="","",Data_BeeindigingsdatumTijd111)</f>
        <v/>
      </c>
      <c r="AK134" s="41"/>
      <c r="AL134" s="41"/>
      <c r="AM134" s="82" t="str">
        <f>IF(Data_LoonkostenTijd111="","",Data_LoonkostenTijd111)</f>
        <v/>
      </c>
      <c r="AN134" s="41"/>
      <c r="AO134" s="276" t="str">
        <f>IF(Data_PersoonAanUitTijd111=-1,"v","")</f>
        <v/>
      </c>
      <c r="AP134" s="41"/>
      <c r="AQ134" s="76" t="s">
        <v>160</v>
      </c>
      <c r="AR134" s="41"/>
      <c r="AS134" s="41"/>
      <c r="AT134" s="41"/>
      <c r="AU134" s="41"/>
      <c r="AV134" s="41">
        <f t="shared" si="9"/>
        <v>0</v>
      </c>
      <c r="AW134" s="77">
        <f t="shared" si="10"/>
        <v>0</v>
      </c>
      <c r="AX134" s="41"/>
      <c r="AY134" s="41"/>
      <c r="AZ134" s="41"/>
      <c r="BA134" s="81" t="str">
        <f>IF(Data_NaamPersoonVastVrij111="","",Data_NaamPersoonVastVrij111)</f>
        <v/>
      </c>
      <c r="BB134" s="41"/>
      <c r="BC134" s="41"/>
      <c r="BD134" s="83" t="str">
        <f>IF(Data_BeeindigingsdatumVastVrij111="","",Data_BeeindigingsdatumVastVrij111)</f>
        <v/>
      </c>
      <c r="BE134" s="41"/>
      <c r="BF134" s="41"/>
      <c r="BG134" s="82" t="str">
        <f>IF(Data_LoonkostenVastVrij111="","",Data_LoonkostenVastVrij111)</f>
        <v/>
      </c>
      <c r="BH134" s="41"/>
      <c r="BI134" s="76" t="str">
        <f>IF(Data_PersoonAanUitVastVrij111=-1,"v","")</f>
        <v/>
      </c>
      <c r="BJ134" s="41"/>
      <c r="BK134" s="76" t="s">
        <v>160</v>
      </c>
      <c r="BL134" s="41"/>
      <c r="BM134" s="41"/>
      <c r="BN134" s="41"/>
      <c r="BO134" s="41"/>
      <c r="BP134" s="41">
        <f t="shared" si="11"/>
        <v>0</v>
      </c>
      <c r="BQ134" s="77">
        <f t="shared" si="12"/>
        <v>0</v>
      </c>
      <c r="BS134" s="81" t="str">
        <f>IF(Data_NaamPersoonVastOntslag111="","",Data_NaamPersoonVastOntslag111)</f>
        <v/>
      </c>
      <c r="BV134" s="83" t="str">
        <f>IF(Data_BeeindigingsdatumVastOntslag111="","",Data_BeeindigingsdatumVastOntslag111)</f>
        <v/>
      </c>
      <c r="BY134" s="82" t="str">
        <f>IF(Data_LoonkostenVastOntslag111="","",Data_LoonkostenVastOntslag111)</f>
        <v/>
      </c>
      <c r="CA134" s="76" t="str">
        <f>IF(Data_PersoonAanUitVastOntslag111=-1,"v","")</f>
        <v/>
      </c>
      <c r="CB134" s="41"/>
      <c r="CC134" s="76" t="s">
        <v>160</v>
      </c>
      <c r="CD134" s="41"/>
      <c r="CE134" s="41"/>
      <c r="CF134" s="41"/>
      <c r="CG134" s="41"/>
      <c r="CH134" s="41">
        <f t="shared" si="15"/>
        <v>0</v>
      </c>
      <c r="CI134" s="41">
        <f t="shared" si="13"/>
        <v>0</v>
      </c>
    </row>
    <row r="135" spans="8:87" x14ac:dyDescent="0.25">
      <c r="H135" s="81" t="str">
        <f>IF(Data_NaamPersoonNatVerloop112="","",Data_NaamPersoonNatVerloop112)</f>
        <v/>
      </c>
      <c r="I135" s="41"/>
      <c r="J135" s="41"/>
      <c r="K135" s="83" t="str">
        <f>IF(Data_BeeindigingsdatumNatVerloop112="","",Data_BeeindigingsdatumNatVerloop112)</f>
        <v/>
      </c>
      <c r="L135" s="41"/>
      <c r="M135" s="41"/>
      <c r="N135" s="82" t="str">
        <f>IF(Data_LoonkostenNatVerloop112="","",Data_LoonkostenNatVerloop112)</f>
        <v/>
      </c>
      <c r="O135" s="41"/>
      <c r="P135" s="276" t="s">
        <v>160</v>
      </c>
      <c r="Q135" s="41"/>
      <c r="R135" s="76" t="s">
        <v>160</v>
      </c>
      <c r="S135" s="41"/>
      <c r="T135" s="41"/>
      <c r="U135" s="41"/>
      <c r="V135" s="41"/>
      <c r="W135" s="41">
        <f t="shared" si="8"/>
        <v>0</v>
      </c>
      <c r="X135" s="77" t="str">
        <f t="shared" si="14"/>
        <v/>
      </c>
      <c r="AG135" s="81" t="str">
        <f>IF(Data_NaamPersoonTijd112="","",Data_NaamPersoonTijd112)</f>
        <v/>
      </c>
      <c r="AH135" s="41"/>
      <c r="AI135" s="41"/>
      <c r="AJ135" s="83" t="str">
        <f>IF(Data_BeeindigingsdatumTijd112="","",Data_BeeindigingsdatumTijd112)</f>
        <v/>
      </c>
      <c r="AK135" s="41"/>
      <c r="AL135" s="41"/>
      <c r="AM135" s="82" t="str">
        <f>IF(Data_LoonkostenTijd112="","",Data_LoonkostenTijd112)</f>
        <v/>
      </c>
      <c r="AN135" s="41"/>
      <c r="AO135" s="276" t="str">
        <f>IF(Data_PersoonAanUitTijd112=-1,"v","")</f>
        <v/>
      </c>
      <c r="AP135" s="41"/>
      <c r="AQ135" s="76" t="s">
        <v>160</v>
      </c>
      <c r="AR135" s="41"/>
      <c r="AS135" s="41"/>
      <c r="AT135" s="41"/>
      <c r="AU135" s="41"/>
      <c r="AV135" s="41">
        <f t="shared" si="9"/>
        <v>0</v>
      </c>
      <c r="AW135" s="77">
        <f t="shared" si="10"/>
        <v>0</v>
      </c>
      <c r="AX135" s="41"/>
      <c r="AY135" s="41"/>
      <c r="AZ135" s="41"/>
      <c r="BA135" s="81" t="str">
        <f>IF(Data_NaamPersoonVastVrij112="","",Data_NaamPersoonVastVrij112)</f>
        <v/>
      </c>
      <c r="BB135" s="41"/>
      <c r="BC135" s="41"/>
      <c r="BD135" s="83" t="str">
        <f>IF(Data_BeeindigingsdatumVastVrij112="","",Data_BeeindigingsdatumVastVrij112)</f>
        <v/>
      </c>
      <c r="BE135" s="41"/>
      <c r="BF135" s="41"/>
      <c r="BG135" s="82" t="str">
        <f>IF(Data_LoonkostenVastVrij112="","",Data_LoonkostenVastVrij112)</f>
        <v/>
      </c>
      <c r="BH135" s="41"/>
      <c r="BI135" s="76" t="str">
        <f>IF(Data_PersoonAanUitVastVrij112=-1,"v","")</f>
        <v/>
      </c>
      <c r="BJ135" s="41"/>
      <c r="BK135" s="76" t="s">
        <v>160</v>
      </c>
      <c r="BL135" s="41"/>
      <c r="BM135" s="41"/>
      <c r="BN135" s="41"/>
      <c r="BO135" s="41"/>
      <c r="BP135" s="41">
        <f t="shared" si="11"/>
        <v>0</v>
      </c>
      <c r="BQ135" s="77">
        <f t="shared" si="12"/>
        <v>0</v>
      </c>
      <c r="BS135" s="81" t="str">
        <f>IF(Data_NaamPersoonVastOntslag112="","",Data_NaamPersoonVastOntslag112)</f>
        <v/>
      </c>
      <c r="BV135" s="83" t="str">
        <f>IF(Data_BeeindigingsdatumVastOntslag112="","",Data_BeeindigingsdatumVastOntslag112)</f>
        <v/>
      </c>
      <c r="BY135" s="82" t="str">
        <f>IF(Data_LoonkostenVastOntslag112="","",Data_LoonkostenVastOntslag112)</f>
        <v/>
      </c>
      <c r="CA135" s="76" t="str">
        <f>IF(Data_PersoonAanUitVastOntslag112=-1,"v","")</f>
        <v/>
      </c>
      <c r="CB135" s="41"/>
      <c r="CC135" s="76" t="s">
        <v>160</v>
      </c>
      <c r="CD135" s="41"/>
      <c r="CE135" s="41"/>
      <c r="CF135" s="41"/>
      <c r="CG135" s="41"/>
      <c r="CH135" s="41">
        <f t="shared" si="15"/>
        <v>0</v>
      </c>
      <c r="CI135" s="41">
        <f t="shared" si="13"/>
        <v>0</v>
      </c>
    </row>
    <row r="136" spans="8:87" x14ac:dyDescent="0.25">
      <c r="H136" s="81" t="str">
        <f>IF(Data_NaamPersoonNatVerloop113="","",Data_NaamPersoonNatVerloop113)</f>
        <v/>
      </c>
      <c r="I136" s="41"/>
      <c r="J136" s="41"/>
      <c r="K136" s="83" t="str">
        <f>IF(Data_BeeindigingsdatumNatVerloop113="","",Data_BeeindigingsdatumNatVerloop113)</f>
        <v/>
      </c>
      <c r="L136" s="41"/>
      <c r="M136" s="41"/>
      <c r="N136" s="82" t="str">
        <f>IF(Data_LoonkostenNatVerloop113="","",Data_LoonkostenNatVerloop113)</f>
        <v/>
      </c>
      <c r="O136" s="41"/>
      <c r="P136" s="276" t="s">
        <v>160</v>
      </c>
      <c r="Q136" s="41"/>
      <c r="R136" s="76" t="s">
        <v>160</v>
      </c>
      <c r="S136" s="41"/>
      <c r="T136" s="41"/>
      <c r="U136" s="41"/>
      <c r="V136" s="41"/>
      <c r="W136" s="41">
        <f t="shared" si="8"/>
        <v>0</v>
      </c>
      <c r="X136" s="77" t="str">
        <f t="shared" si="14"/>
        <v/>
      </c>
      <c r="AG136" s="81" t="str">
        <f>IF(Data_NaamPersoonTijd113="","",Data_NaamPersoonTijd113)</f>
        <v/>
      </c>
      <c r="AH136" s="41"/>
      <c r="AI136" s="41"/>
      <c r="AJ136" s="83" t="str">
        <f>IF(Data_BeeindigingsdatumTijd113="","",Data_BeeindigingsdatumTijd113)</f>
        <v/>
      </c>
      <c r="AK136" s="41"/>
      <c r="AL136" s="41"/>
      <c r="AM136" s="82" t="str">
        <f>IF(Data_LoonkostenTijd113="","",Data_LoonkostenTijd113)</f>
        <v/>
      </c>
      <c r="AN136" s="41"/>
      <c r="AO136" s="276" t="str">
        <f>IF(Data_PersoonAanUitTijd113=-1,"v","")</f>
        <v/>
      </c>
      <c r="AP136" s="41"/>
      <c r="AQ136" s="76" t="s">
        <v>160</v>
      </c>
      <c r="AR136" s="41"/>
      <c r="AS136" s="41"/>
      <c r="AT136" s="41"/>
      <c r="AU136" s="41"/>
      <c r="AV136" s="41">
        <f t="shared" si="9"/>
        <v>0</v>
      </c>
      <c r="AW136" s="77">
        <f t="shared" si="10"/>
        <v>0</v>
      </c>
      <c r="AX136" s="41"/>
      <c r="AY136" s="41"/>
      <c r="AZ136" s="41"/>
      <c r="BA136" s="81" t="str">
        <f>IF(Data_NaamPersoonVastVrij113="","",Data_NaamPersoonVastVrij113)</f>
        <v/>
      </c>
      <c r="BB136" s="41"/>
      <c r="BC136" s="41"/>
      <c r="BD136" s="83" t="str">
        <f>IF(Data_BeeindigingsdatumVastVrij113="","",Data_BeeindigingsdatumVastVrij113)</f>
        <v/>
      </c>
      <c r="BE136" s="41"/>
      <c r="BF136" s="41"/>
      <c r="BG136" s="82" t="str">
        <f>IF(Data_LoonkostenVastVrij113="","",Data_LoonkostenVastVrij113)</f>
        <v/>
      </c>
      <c r="BH136" s="41"/>
      <c r="BI136" s="76" t="str">
        <f>IF(Data_PersoonAanUitVastVrij113=-1,"v","")</f>
        <v/>
      </c>
      <c r="BJ136" s="41"/>
      <c r="BK136" s="76" t="s">
        <v>160</v>
      </c>
      <c r="BL136" s="41"/>
      <c r="BM136" s="41"/>
      <c r="BN136" s="41"/>
      <c r="BO136" s="41"/>
      <c r="BP136" s="41">
        <f t="shared" si="11"/>
        <v>0</v>
      </c>
      <c r="BQ136" s="77">
        <f t="shared" si="12"/>
        <v>0</v>
      </c>
      <c r="BS136" s="81" t="str">
        <f>IF(Data_NaamPersoonVastOntslag113="","",Data_NaamPersoonVastOntslag113)</f>
        <v/>
      </c>
      <c r="BV136" s="83" t="str">
        <f>IF(Data_BeeindigingsdatumVastOntslag113="","",Data_BeeindigingsdatumVastOntslag113)</f>
        <v/>
      </c>
      <c r="BY136" s="82" t="str">
        <f>IF(Data_LoonkostenVastOntslag113="","",Data_LoonkostenVastOntslag113)</f>
        <v/>
      </c>
      <c r="CA136" s="76" t="str">
        <f>IF(Data_PersoonAanUitVastOntslag113=-1,"v","")</f>
        <v/>
      </c>
      <c r="CB136" s="41"/>
      <c r="CC136" s="76" t="s">
        <v>160</v>
      </c>
      <c r="CD136" s="41"/>
      <c r="CE136" s="41"/>
      <c r="CF136" s="41"/>
      <c r="CG136" s="41"/>
      <c r="CH136" s="41">
        <f t="shared" si="15"/>
        <v>0</v>
      </c>
      <c r="CI136" s="41">
        <f t="shared" si="13"/>
        <v>0</v>
      </c>
    </row>
    <row r="137" spans="8:87" x14ac:dyDescent="0.25">
      <c r="H137" s="81" t="str">
        <f>IF(Data_NaamPersoonNatVerloop114="","",Data_NaamPersoonNatVerloop114)</f>
        <v/>
      </c>
      <c r="I137" s="41"/>
      <c r="J137" s="41"/>
      <c r="K137" s="83" t="str">
        <f>IF(Data_BeeindigingsdatumNatVerloop114="","",Data_BeeindigingsdatumNatVerloop114)</f>
        <v/>
      </c>
      <c r="L137" s="41"/>
      <c r="M137" s="41"/>
      <c r="N137" s="82" t="str">
        <f>IF(Data_LoonkostenNatVerloop114="","",Data_LoonkostenNatVerloop114)</f>
        <v/>
      </c>
      <c r="O137" s="41"/>
      <c r="P137" s="276" t="s">
        <v>160</v>
      </c>
      <c r="Q137" s="41"/>
      <c r="R137" s="76" t="s">
        <v>160</v>
      </c>
      <c r="S137" s="41"/>
      <c r="T137" s="41"/>
      <c r="U137" s="41"/>
      <c r="V137" s="41"/>
      <c r="W137" s="41">
        <f t="shared" si="8"/>
        <v>0</v>
      </c>
      <c r="X137" s="77" t="str">
        <f t="shared" si="14"/>
        <v/>
      </c>
      <c r="AG137" s="81" t="str">
        <f>IF(Data_NaamPersoonTijd114="","",Data_NaamPersoonTijd114)</f>
        <v/>
      </c>
      <c r="AH137" s="41"/>
      <c r="AI137" s="41"/>
      <c r="AJ137" s="83" t="str">
        <f>IF(Data_BeeindigingsdatumTijd114="","",Data_BeeindigingsdatumTijd114)</f>
        <v/>
      </c>
      <c r="AK137" s="41"/>
      <c r="AL137" s="41"/>
      <c r="AM137" s="82" t="str">
        <f>IF(Data_LoonkostenTijd114="","",Data_LoonkostenTijd114)</f>
        <v/>
      </c>
      <c r="AN137" s="41"/>
      <c r="AO137" s="276" t="str">
        <f>IF(Data_PersoonAanUitTijd114=-1,"v","")</f>
        <v/>
      </c>
      <c r="AP137" s="41"/>
      <c r="AQ137" s="76" t="s">
        <v>160</v>
      </c>
      <c r="AR137" s="41"/>
      <c r="AS137" s="41"/>
      <c r="AT137" s="41"/>
      <c r="AU137" s="41"/>
      <c r="AV137" s="41">
        <f t="shared" si="9"/>
        <v>0</v>
      </c>
      <c r="AW137" s="77">
        <f t="shared" si="10"/>
        <v>0</v>
      </c>
      <c r="AX137" s="41"/>
      <c r="AY137" s="41"/>
      <c r="AZ137" s="41"/>
      <c r="BA137" s="81" t="str">
        <f>IF(Data_NaamPersoonVastVrij114="","",Data_NaamPersoonVastVrij114)</f>
        <v/>
      </c>
      <c r="BB137" s="41"/>
      <c r="BC137" s="41"/>
      <c r="BD137" s="83" t="str">
        <f>IF(Data_BeeindigingsdatumVastVrij114="","",Data_BeeindigingsdatumVastVrij114)</f>
        <v/>
      </c>
      <c r="BE137" s="41"/>
      <c r="BF137" s="41"/>
      <c r="BG137" s="82" t="str">
        <f>IF(Data_LoonkostenVastVrij114="","",Data_LoonkostenVastVrij114)</f>
        <v/>
      </c>
      <c r="BH137" s="41"/>
      <c r="BI137" s="76" t="str">
        <f>IF(Data_PersoonAanUitVastVrij114=-1,"v","")</f>
        <v/>
      </c>
      <c r="BJ137" s="41"/>
      <c r="BK137" s="76" t="s">
        <v>160</v>
      </c>
      <c r="BL137" s="41"/>
      <c r="BM137" s="41"/>
      <c r="BN137" s="41"/>
      <c r="BO137" s="41"/>
      <c r="BP137" s="41">
        <f t="shared" si="11"/>
        <v>0</v>
      </c>
      <c r="BQ137" s="77">
        <f t="shared" si="12"/>
        <v>0</v>
      </c>
      <c r="BS137" s="81" t="str">
        <f>IF(Data_NaamPersoonVastOntslag114="","",Data_NaamPersoonVastOntslag114)</f>
        <v/>
      </c>
      <c r="BV137" s="83" t="str">
        <f>IF(Data_BeeindigingsdatumVastOntslag114="","",Data_BeeindigingsdatumVastOntslag114)</f>
        <v/>
      </c>
      <c r="BY137" s="82" t="str">
        <f>IF(Data_LoonkostenVastOntslag114="","",Data_LoonkostenVastOntslag114)</f>
        <v/>
      </c>
      <c r="CA137" s="76" t="str">
        <f>IF(Data_PersoonAanUitVastOntslag114=-1,"v","")</f>
        <v/>
      </c>
      <c r="CB137" s="41"/>
      <c r="CC137" s="76" t="s">
        <v>160</v>
      </c>
      <c r="CD137" s="41"/>
      <c r="CE137" s="41"/>
      <c r="CF137" s="41"/>
      <c r="CG137" s="41"/>
      <c r="CH137" s="41">
        <f t="shared" si="15"/>
        <v>0</v>
      </c>
      <c r="CI137" s="41">
        <f t="shared" si="13"/>
        <v>0</v>
      </c>
    </row>
    <row r="138" spans="8:87" x14ac:dyDescent="0.25">
      <c r="H138" s="81" t="str">
        <f>IF(Data_NaamPersoonNatVerloop115="","",Data_NaamPersoonNatVerloop115)</f>
        <v/>
      </c>
      <c r="I138" s="41"/>
      <c r="J138" s="41"/>
      <c r="K138" s="83" t="str">
        <f>IF(Data_BeeindigingsdatumNatVerloop115="","",Data_BeeindigingsdatumNatVerloop115)</f>
        <v/>
      </c>
      <c r="L138" s="41"/>
      <c r="M138" s="41"/>
      <c r="N138" s="82" t="str">
        <f>IF(Data_LoonkostenNatVerloop115="","",Data_LoonkostenNatVerloop115)</f>
        <v/>
      </c>
      <c r="O138" s="41"/>
      <c r="P138" s="276" t="s">
        <v>160</v>
      </c>
      <c r="Q138" s="41"/>
      <c r="R138" s="76" t="s">
        <v>160</v>
      </c>
      <c r="S138" s="41"/>
      <c r="T138" s="41"/>
      <c r="U138" s="41"/>
      <c r="V138" s="41"/>
      <c r="W138" s="41">
        <f t="shared" si="8"/>
        <v>0</v>
      </c>
      <c r="X138" s="77" t="str">
        <f t="shared" si="14"/>
        <v/>
      </c>
      <c r="AG138" s="81" t="str">
        <f>IF(Data_NaamPersoonTijd115="","",Data_NaamPersoonTijd115)</f>
        <v/>
      </c>
      <c r="AH138" s="41"/>
      <c r="AI138" s="41"/>
      <c r="AJ138" s="83" t="str">
        <f>IF(Data_BeeindigingsdatumTijd115="","",Data_BeeindigingsdatumTijd115)</f>
        <v/>
      </c>
      <c r="AK138" s="41"/>
      <c r="AL138" s="41"/>
      <c r="AM138" s="82" t="str">
        <f>IF(Data_LoonkostenTijd115="","",Data_LoonkostenTijd115)</f>
        <v/>
      </c>
      <c r="AN138" s="41"/>
      <c r="AO138" s="276" t="str">
        <f>IF(Data_PersoonAanUitTijd115=-1,"v","")</f>
        <v/>
      </c>
      <c r="AP138" s="41"/>
      <c r="AQ138" s="76" t="s">
        <v>160</v>
      </c>
      <c r="AR138" s="41"/>
      <c r="AS138" s="41"/>
      <c r="AT138" s="41"/>
      <c r="AU138" s="41"/>
      <c r="AV138" s="41">
        <f t="shared" si="9"/>
        <v>0</v>
      </c>
      <c r="AW138" s="77">
        <f t="shared" si="10"/>
        <v>0</v>
      </c>
      <c r="AX138" s="41"/>
      <c r="AY138" s="41"/>
      <c r="AZ138" s="41"/>
      <c r="BA138" s="81" t="str">
        <f>IF(Data_NaamPersoonVastVrij115="","",Data_NaamPersoonVastVrij115)</f>
        <v/>
      </c>
      <c r="BB138" s="41"/>
      <c r="BC138" s="41"/>
      <c r="BD138" s="83" t="str">
        <f>IF(Data_BeeindigingsdatumVastVrij115="","",Data_BeeindigingsdatumVastVrij115)</f>
        <v/>
      </c>
      <c r="BE138" s="41"/>
      <c r="BF138" s="41"/>
      <c r="BG138" s="82" t="str">
        <f>IF(Data_LoonkostenVastVrij115="","",Data_LoonkostenVastVrij115)</f>
        <v/>
      </c>
      <c r="BH138" s="41"/>
      <c r="BI138" s="76" t="str">
        <f>IF(Data_PersoonAanUitVastVrij115=-1,"v","")</f>
        <v/>
      </c>
      <c r="BJ138" s="41"/>
      <c r="BK138" s="76" t="s">
        <v>160</v>
      </c>
      <c r="BL138" s="41"/>
      <c r="BM138" s="41"/>
      <c r="BN138" s="41"/>
      <c r="BO138" s="41"/>
      <c r="BP138" s="41">
        <f t="shared" si="11"/>
        <v>0</v>
      </c>
      <c r="BQ138" s="77">
        <f t="shared" si="12"/>
        <v>0</v>
      </c>
      <c r="BS138" s="81" t="str">
        <f>IF(Data_NaamPersoonVastOntslag115="","",Data_NaamPersoonVastOntslag115)</f>
        <v/>
      </c>
      <c r="BV138" s="83" t="str">
        <f>IF(Data_BeeindigingsdatumVastOntslag115="","",Data_BeeindigingsdatumVastOntslag115)</f>
        <v/>
      </c>
      <c r="BY138" s="82" t="str">
        <f>IF(Data_LoonkostenVastOntslag115="","",Data_LoonkostenVastOntslag115)</f>
        <v/>
      </c>
      <c r="CA138" s="76" t="str">
        <f>IF(Data_PersoonAanUitVastOntslag115=-1,"v","")</f>
        <v/>
      </c>
      <c r="CB138" s="41"/>
      <c r="CC138" s="76" t="s">
        <v>160</v>
      </c>
      <c r="CD138" s="41"/>
      <c r="CE138" s="41"/>
      <c r="CF138" s="41"/>
      <c r="CG138" s="41"/>
      <c r="CH138" s="41">
        <f t="shared" si="15"/>
        <v>0</v>
      </c>
      <c r="CI138" s="41">
        <f t="shared" si="13"/>
        <v>0</v>
      </c>
    </row>
    <row r="139" spans="8:87" x14ac:dyDescent="0.25">
      <c r="H139" s="81" t="str">
        <f>IF(Data_NaamPersoonNatVerloop116="","",Data_NaamPersoonNatVerloop116)</f>
        <v/>
      </c>
      <c r="I139" s="41"/>
      <c r="J139" s="41"/>
      <c r="K139" s="83" t="str">
        <f>IF(Data_BeeindigingsdatumNatVerloop116="","",Data_BeeindigingsdatumNatVerloop116)</f>
        <v/>
      </c>
      <c r="L139" s="41"/>
      <c r="M139" s="41"/>
      <c r="N139" s="82" t="str">
        <f>IF(Data_LoonkostenNatVerloop116="","",Data_LoonkostenNatVerloop116)</f>
        <v/>
      </c>
      <c r="O139" s="41"/>
      <c r="P139" s="276" t="s">
        <v>160</v>
      </c>
      <c r="Q139" s="41"/>
      <c r="R139" s="76" t="s">
        <v>160</v>
      </c>
      <c r="S139" s="41"/>
      <c r="T139" s="41"/>
      <c r="U139" s="41"/>
      <c r="V139" s="41"/>
      <c r="W139" s="41">
        <f t="shared" si="8"/>
        <v>0</v>
      </c>
      <c r="X139" s="77" t="str">
        <f t="shared" si="14"/>
        <v/>
      </c>
      <c r="AG139" s="81" t="str">
        <f>IF(Data_NaamPersoonTijd116="","",Data_NaamPersoonTijd116)</f>
        <v/>
      </c>
      <c r="AH139" s="41"/>
      <c r="AI139" s="41"/>
      <c r="AJ139" s="83" t="str">
        <f>IF(Data_BeeindigingsdatumTijd116="","",Data_BeeindigingsdatumTijd116)</f>
        <v/>
      </c>
      <c r="AK139" s="41"/>
      <c r="AL139" s="41"/>
      <c r="AM139" s="82" t="str">
        <f>IF(Data_LoonkostenTijd116="","",Data_LoonkostenTijd116)</f>
        <v/>
      </c>
      <c r="AN139" s="41"/>
      <c r="AO139" s="276" t="str">
        <f>IF(Data_PersoonAanUitTijd116=-1,"v","")</f>
        <v/>
      </c>
      <c r="AP139" s="41"/>
      <c r="AQ139" s="76" t="s">
        <v>160</v>
      </c>
      <c r="AR139" s="41"/>
      <c r="AS139" s="41"/>
      <c r="AT139" s="41"/>
      <c r="AU139" s="41"/>
      <c r="AV139" s="41">
        <f t="shared" si="9"/>
        <v>0</v>
      </c>
      <c r="AW139" s="77">
        <f t="shared" si="10"/>
        <v>0</v>
      </c>
      <c r="AX139" s="41"/>
      <c r="AY139" s="41"/>
      <c r="AZ139" s="41"/>
      <c r="BA139" s="81" t="str">
        <f>IF(Data_NaamPersoonVastVrij116="","",Data_NaamPersoonVastVrij116)</f>
        <v/>
      </c>
      <c r="BB139" s="41"/>
      <c r="BC139" s="41"/>
      <c r="BD139" s="83" t="str">
        <f>IF(Data_BeeindigingsdatumVastVrij116="","",Data_BeeindigingsdatumVastVrij116)</f>
        <v/>
      </c>
      <c r="BE139" s="41"/>
      <c r="BF139" s="41"/>
      <c r="BG139" s="82" t="str">
        <f>IF(Data_LoonkostenVastVrij116="","",Data_LoonkostenVastVrij116)</f>
        <v/>
      </c>
      <c r="BH139" s="41"/>
      <c r="BI139" s="76" t="str">
        <f>IF(Data_PersoonAanUitVastVrij116=-1,"v","")</f>
        <v/>
      </c>
      <c r="BJ139" s="41"/>
      <c r="BK139" s="76" t="s">
        <v>160</v>
      </c>
      <c r="BL139" s="41"/>
      <c r="BM139" s="41"/>
      <c r="BN139" s="41"/>
      <c r="BO139" s="41"/>
      <c r="BP139" s="41">
        <f t="shared" si="11"/>
        <v>0</v>
      </c>
      <c r="BQ139" s="77">
        <f t="shared" si="12"/>
        <v>0</v>
      </c>
      <c r="BS139" s="81" t="str">
        <f>IF(Data_NaamPersoonVastOntslag116="","",Data_NaamPersoonVastOntslag116)</f>
        <v/>
      </c>
      <c r="BV139" s="83" t="str">
        <f>IF(Data_BeeindigingsdatumVastOntslag116="","",Data_BeeindigingsdatumVastOntslag116)</f>
        <v/>
      </c>
      <c r="BY139" s="82" t="str">
        <f>IF(Data_LoonkostenVastOntslag116="","",Data_LoonkostenVastOntslag116)</f>
        <v/>
      </c>
      <c r="CA139" s="76" t="str">
        <f>IF(Data_PersoonAanUitVastOntslag116=-1,"v","")</f>
        <v/>
      </c>
      <c r="CB139" s="41"/>
      <c r="CC139" s="76" t="s">
        <v>160</v>
      </c>
      <c r="CD139" s="41"/>
      <c r="CE139" s="41"/>
      <c r="CF139" s="41"/>
      <c r="CG139" s="41"/>
      <c r="CH139" s="41">
        <f t="shared" si="15"/>
        <v>0</v>
      </c>
      <c r="CI139" s="41">
        <f t="shared" si="13"/>
        <v>0</v>
      </c>
    </row>
    <row r="140" spans="8:87" x14ac:dyDescent="0.25">
      <c r="H140" s="81" t="str">
        <f>IF(Data_NaamPersoonNatVerloop117="","",Data_NaamPersoonNatVerloop117)</f>
        <v/>
      </c>
      <c r="I140" s="41"/>
      <c r="J140" s="41"/>
      <c r="K140" s="83" t="str">
        <f>IF(Data_BeeindigingsdatumNatVerloop117="","",Data_BeeindigingsdatumNatVerloop117)</f>
        <v/>
      </c>
      <c r="L140" s="41"/>
      <c r="M140" s="41"/>
      <c r="N140" s="82" t="str">
        <f>IF(Data_LoonkostenNatVerloop117="","",Data_LoonkostenNatVerloop117)</f>
        <v/>
      </c>
      <c r="O140" s="41"/>
      <c r="P140" s="276" t="s">
        <v>160</v>
      </c>
      <c r="Q140" s="41"/>
      <c r="R140" s="76" t="s">
        <v>160</v>
      </c>
      <c r="S140" s="41"/>
      <c r="T140" s="41"/>
      <c r="U140" s="41"/>
      <c r="V140" s="41"/>
      <c r="W140" s="41">
        <f t="shared" si="8"/>
        <v>0</v>
      </c>
      <c r="X140" s="77" t="str">
        <f t="shared" si="14"/>
        <v/>
      </c>
      <c r="AG140" s="81" t="str">
        <f>IF(Data_NaamPersoonTijd117="","",Data_NaamPersoonTijd117)</f>
        <v/>
      </c>
      <c r="AH140" s="41"/>
      <c r="AI140" s="41"/>
      <c r="AJ140" s="83" t="str">
        <f>IF(Data_BeeindigingsdatumTijd117="","",Data_BeeindigingsdatumTijd117)</f>
        <v/>
      </c>
      <c r="AK140" s="41"/>
      <c r="AL140" s="41"/>
      <c r="AM140" s="82" t="str">
        <f>IF(Data_LoonkostenTijd117="","",Data_LoonkostenTijd117)</f>
        <v/>
      </c>
      <c r="AN140" s="41"/>
      <c r="AO140" s="276" t="str">
        <f>IF(Data_PersoonAanUitTijd117=-1,"v","")</f>
        <v/>
      </c>
      <c r="AP140" s="41"/>
      <c r="AQ140" s="76" t="s">
        <v>160</v>
      </c>
      <c r="AR140" s="41"/>
      <c r="AS140" s="41"/>
      <c r="AT140" s="41"/>
      <c r="AU140" s="41"/>
      <c r="AV140" s="41">
        <f t="shared" si="9"/>
        <v>0</v>
      </c>
      <c r="AW140" s="77">
        <f t="shared" si="10"/>
        <v>0</v>
      </c>
      <c r="AX140" s="41"/>
      <c r="AY140" s="41"/>
      <c r="AZ140" s="41"/>
      <c r="BA140" s="81" t="str">
        <f>IF(Data_NaamPersoonVastVrij117="","",Data_NaamPersoonVastVrij117)</f>
        <v/>
      </c>
      <c r="BB140" s="41"/>
      <c r="BC140" s="41"/>
      <c r="BD140" s="83" t="str">
        <f>IF(Data_BeeindigingsdatumVastVrij117="","",Data_BeeindigingsdatumVastVrij117)</f>
        <v/>
      </c>
      <c r="BE140" s="41"/>
      <c r="BF140" s="41"/>
      <c r="BG140" s="82" t="str">
        <f>IF(Data_LoonkostenVastVrij117="","",Data_LoonkostenVastVrij117)</f>
        <v/>
      </c>
      <c r="BH140" s="41"/>
      <c r="BI140" s="76" t="str">
        <f>IF(Data_PersoonAanUitVastVrij117=-1,"v","")</f>
        <v/>
      </c>
      <c r="BJ140" s="41"/>
      <c r="BK140" s="76" t="s">
        <v>160</v>
      </c>
      <c r="BL140" s="41"/>
      <c r="BM140" s="41"/>
      <c r="BN140" s="41"/>
      <c r="BO140" s="41"/>
      <c r="BP140" s="41">
        <f t="shared" si="11"/>
        <v>0</v>
      </c>
      <c r="BQ140" s="77">
        <f t="shared" si="12"/>
        <v>0</v>
      </c>
      <c r="BS140" s="81" t="str">
        <f>IF(Data_NaamPersoonVastOntslag117="","",Data_NaamPersoonVastOntslag117)</f>
        <v/>
      </c>
      <c r="BV140" s="83" t="str">
        <f>IF(Data_BeeindigingsdatumVastOntslag117="","",Data_BeeindigingsdatumVastOntslag117)</f>
        <v/>
      </c>
      <c r="BY140" s="82" t="str">
        <f>IF(Data_LoonkostenVastOntslag117="","",Data_LoonkostenVastOntslag117)</f>
        <v/>
      </c>
      <c r="CA140" s="76" t="str">
        <f>IF(Data_PersoonAanUitVastOntslag117=-1,"v","")</f>
        <v/>
      </c>
      <c r="CB140" s="41"/>
      <c r="CC140" s="76" t="s">
        <v>160</v>
      </c>
      <c r="CD140" s="41"/>
      <c r="CE140" s="41"/>
      <c r="CF140" s="41"/>
      <c r="CG140" s="41"/>
      <c r="CH140" s="41">
        <f t="shared" si="15"/>
        <v>0</v>
      </c>
      <c r="CI140" s="41">
        <f t="shared" si="13"/>
        <v>0</v>
      </c>
    </row>
    <row r="141" spans="8:87" x14ac:dyDescent="0.25">
      <c r="H141" s="81" t="str">
        <f>IF(Data_NaamPersoonNatVerloop118="","",Data_NaamPersoonNatVerloop118)</f>
        <v/>
      </c>
      <c r="I141" s="41"/>
      <c r="J141" s="41"/>
      <c r="K141" s="83" t="str">
        <f>IF(Data_BeeindigingsdatumNatVerloop118="","",Data_BeeindigingsdatumNatVerloop118)</f>
        <v/>
      </c>
      <c r="L141" s="41"/>
      <c r="M141" s="41"/>
      <c r="N141" s="82" t="str">
        <f>IF(Data_LoonkostenNatVerloop118="","",Data_LoonkostenNatVerloop118)</f>
        <v/>
      </c>
      <c r="O141" s="41"/>
      <c r="P141" s="276" t="s">
        <v>160</v>
      </c>
      <c r="Q141" s="41"/>
      <c r="R141" s="76" t="s">
        <v>160</v>
      </c>
      <c r="S141" s="41"/>
      <c r="T141" s="41"/>
      <c r="U141" s="41"/>
      <c r="V141" s="41"/>
      <c r="W141" s="41">
        <f t="shared" si="8"/>
        <v>0</v>
      </c>
      <c r="X141" s="77" t="str">
        <f t="shared" si="14"/>
        <v/>
      </c>
      <c r="AG141" s="81" t="str">
        <f>IF(Data_NaamPersoonTijd118="","",Data_NaamPersoonTijd118)</f>
        <v/>
      </c>
      <c r="AH141" s="41"/>
      <c r="AI141" s="41"/>
      <c r="AJ141" s="83" t="str">
        <f>IF(Data_BeeindigingsdatumTijd118="","",Data_BeeindigingsdatumTijd118)</f>
        <v/>
      </c>
      <c r="AK141" s="41"/>
      <c r="AL141" s="41"/>
      <c r="AM141" s="82" t="str">
        <f>IF(Data_LoonkostenTijd118="","",Data_LoonkostenTijd118)</f>
        <v/>
      </c>
      <c r="AN141" s="41"/>
      <c r="AO141" s="276" t="str">
        <f>IF(Data_PersoonAanUitTijd118=-1,"v","")</f>
        <v/>
      </c>
      <c r="AP141" s="41"/>
      <c r="AQ141" s="76" t="s">
        <v>160</v>
      </c>
      <c r="AR141" s="41"/>
      <c r="AS141" s="41"/>
      <c r="AT141" s="41"/>
      <c r="AU141" s="41"/>
      <c r="AV141" s="41">
        <f t="shared" si="9"/>
        <v>0</v>
      </c>
      <c r="AW141" s="77">
        <f t="shared" si="10"/>
        <v>0</v>
      </c>
      <c r="AX141" s="41"/>
      <c r="AY141" s="41"/>
      <c r="AZ141" s="41"/>
      <c r="BA141" s="81" t="str">
        <f>IF(Data_NaamPersoonVastVrij118="","",Data_NaamPersoonVastVrij118)</f>
        <v/>
      </c>
      <c r="BB141" s="41"/>
      <c r="BC141" s="41"/>
      <c r="BD141" s="83" t="str">
        <f>IF(Data_BeeindigingsdatumVastVrij118="","",Data_BeeindigingsdatumVastVrij118)</f>
        <v/>
      </c>
      <c r="BE141" s="41"/>
      <c r="BF141" s="41"/>
      <c r="BG141" s="82" t="str">
        <f>IF(Data_LoonkostenVastVrij118="","",Data_LoonkostenVastVrij118)</f>
        <v/>
      </c>
      <c r="BH141" s="41"/>
      <c r="BI141" s="76" t="str">
        <f>IF(Data_PersoonAanUitVastVrij118=-1,"v","")</f>
        <v/>
      </c>
      <c r="BJ141" s="41"/>
      <c r="BK141" s="76" t="s">
        <v>160</v>
      </c>
      <c r="BL141" s="41"/>
      <c r="BM141" s="41"/>
      <c r="BN141" s="41"/>
      <c r="BO141" s="41"/>
      <c r="BP141" s="41">
        <f t="shared" si="11"/>
        <v>0</v>
      </c>
      <c r="BQ141" s="77">
        <f t="shared" si="12"/>
        <v>0</v>
      </c>
      <c r="BS141" s="81" t="str">
        <f>IF(Data_NaamPersoonVastOntslag118="","",Data_NaamPersoonVastOntslag118)</f>
        <v/>
      </c>
      <c r="BV141" s="83" t="str">
        <f>IF(Data_BeeindigingsdatumVastOntslag118="","",Data_BeeindigingsdatumVastOntslag118)</f>
        <v/>
      </c>
      <c r="BY141" s="82" t="str">
        <f>IF(Data_LoonkostenVastOntslag118="","",Data_LoonkostenVastOntslag118)</f>
        <v/>
      </c>
      <c r="CA141" s="76" t="str">
        <f>IF(Data_PersoonAanUitVastOntslag118=-1,"v","")</f>
        <v/>
      </c>
      <c r="CB141" s="41"/>
      <c r="CC141" s="76" t="s">
        <v>160</v>
      </c>
      <c r="CD141" s="41"/>
      <c r="CE141" s="41"/>
      <c r="CF141" s="41"/>
      <c r="CG141" s="41"/>
      <c r="CH141" s="41">
        <f t="shared" si="15"/>
        <v>0</v>
      </c>
      <c r="CI141" s="41">
        <f t="shared" si="13"/>
        <v>0</v>
      </c>
    </row>
    <row r="142" spans="8:87" x14ac:dyDescent="0.25">
      <c r="H142" s="81" t="str">
        <f>IF(Data_NaamPersoonNatVerloop119="","",Data_NaamPersoonNatVerloop119)</f>
        <v/>
      </c>
      <c r="I142" s="41"/>
      <c r="J142" s="41"/>
      <c r="K142" s="83" t="str">
        <f>IF(Data_BeeindigingsdatumNatVerloop119="","",Data_BeeindigingsdatumNatVerloop119)</f>
        <v/>
      </c>
      <c r="L142" s="41"/>
      <c r="M142" s="41"/>
      <c r="N142" s="82" t="str">
        <f>IF(Data_LoonkostenNatVerloop119="","",Data_LoonkostenNatVerloop119)</f>
        <v/>
      </c>
      <c r="O142" s="41"/>
      <c r="P142" s="276" t="s">
        <v>160</v>
      </c>
      <c r="Q142" s="41"/>
      <c r="R142" s="76" t="s">
        <v>160</v>
      </c>
      <c r="S142" s="41"/>
      <c r="T142" s="41"/>
      <c r="U142" s="41"/>
      <c r="V142" s="41"/>
      <c r="W142" s="41">
        <f t="shared" si="8"/>
        <v>0</v>
      </c>
      <c r="X142" s="77" t="str">
        <f t="shared" si="14"/>
        <v/>
      </c>
      <c r="AG142" s="81" t="str">
        <f>IF(Data_NaamPersoonTijd119="","",Data_NaamPersoonTijd119)</f>
        <v/>
      </c>
      <c r="AH142" s="41"/>
      <c r="AI142" s="41"/>
      <c r="AJ142" s="83" t="str">
        <f>IF(Data_BeeindigingsdatumTijd119="","",Data_BeeindigingsdatumTijd119)</f>
        <v/>
      </c>
      <c r="AK142" s="41"/>
      <c r="AL142" s="41"/>
      <c r="AM142" s="82" t="str">
        <f>IF(Data_LoonkostenTijd119="","",Data_LoonkostenTijd119)</f>
        <v/>
      </c>
      <c r="AN142" s="41"/>
      <c r="AO142" s="276" t="str">
        <f>IF(Data_PersoonAanUitTijd119=-1,"v","")</f>
        <v/>
      </c>
      <c r="AP142" s="41"/>
      <c r="AQ142" s="76" t="s">
        <v>160</v>
      </c>
      <c r="AR142" s="41"/>
      <c r="AS142" s="41"/>
      <c r="AT142" s="41"/>
      <c r="AU142" s="41"/>
      <c r="AV142" s="41">
        <f t="shared" si="9"/>
        <v>0</v>
      </c>
      <c r="AW142" s="77">
        <f t="shared" si="10"/>
        <v>0</v>
      </c>
      <c r="AX142" s="41"/>
      <c r="AY142" s="41"/>
      <c r="AZ142" s="41"/>
      <c r="BA142" s="81" t="str">
        <f>IF(Data_NaamPersoonVastVrij119="","",Data_NaamPersoonVastVrij119)</f>
        <v/>
      </c>
      <c r="BB142" s="41"/>
      <c r="BC142" s="41"/>
      <c r="BD142" s="83" t="str">
        <f>IF(Data_BeeindigingsdatumVastVrij119="","",Data_BeeindigingsdatumVastVrij119)</f>
        <v/>
      </c>
      <c r="BE142" s="41"/>
      <c r="BF142" s="41"/>
      <c r="BG142" s="82" t="str">
        <f>IF(Data_LoonkostenVastVrij119="","",Data_LoonkostenVastVrij119)</f>
        <v/>
      </c>
      <c r="BH142" s="41"/>
      <c r="BI142" s="76" t="str">
        <f>IF(Data_PersoonAanUitVastVrij119=-1,"v","")</f>
        <v/>
      </c>
      <c r="BJ142" s="41"/>
      <c r="BK142" s="76" t="s">
        <v>160</v>
      </c>
      <c r="BL142" s="41"/>
      <c r="BM142" s="41"/>
      <c r="BN142" s="41"/>
      <c r="BO142" s="41"/>
      <c r="BP142" s="41">
        <f t="shared" si="11"/>
        <v>0</v>
      </c>
      <c r="BQ142" s="77">
        <f t="shared" si="12"/>
        <v>0</v>
      </c>
      <c r="BS142" s="81" t="str">
        <f>IF(Data_NaamPersoonVastOntslag119="","",Data_NaamPersoonVastOntslag119)</f>
        <v/>
      </c>
      <c r="BV142" s="83" t="str">
        <f>IF(Data_BeeindigingsdatumVastOntslag119="","",Data_BeeindigingsdatumVastOntslag119)</f>
        <v/>
      </c>
      <c r="BY142" s="82" t="str">
        <f>IF(Data_LoonkostenVastOntslag119="","",Data_LoonkostenVastOntslag119)</f>
        <v/>
      </c>
      <c r="CA142" s="76" t="str">
        <f>IF(Data_PersoonAanUitVastOntslag119=-1,"v","")</f>
        <v/>
      </c>
      <c r="CB142" s="41"/>
      <c r="CC142" s="76" t="s">
        <v>160</v>
      </c>
      <c r="CD142" s="41"/>
      <c r="CE142" s="41"/>
      <c r="CF142" s="41"/>
      <c r="CG142" s="41"/>
      <c r="CH142" s="41">
        <f t="shared" si="15"/>
        <v>0</v>
      </c>
      <c r="CI142" s="41">
        <f t="shared" si="13"/>
        <v>0</v>
      </c>
    </row>
    <row r="143" spans="8:87" x14ac:dyDescent="0.25">
      <c r="H143" s="81" t="str">
        <f>IF(Data_NaamPersoonNatVerloop120="","",Data_NaamPersoonNatVerloop120)</f>
        <v/>
      </c>
      <c r="I143" s="41"/>
      <c r="J143" s="41"/>
      <c r="K143" s="83" t="str">
        <f>IF(Data_BeeindigingsdatumNatVerloop120="","",Data_BeeindigingsdatumNatVerloop120)</f>
        <v/>
      </c>
      <c r="L143" s="41"/>
      <c r="M143" s="41"/>
      <c r="N143" s="82" t="str">
        <f>IF(Data_LoonkostenNatVerloop120="","",Data_LoonkostenNatVerloop120)</f>
        <v/>
      </c>
      <c r="O143" s="41"/>
      <c r="P143" s="276" t="s">
        <v>160</v>
      </c>
      <c r="Q143" s="41"/>
      <c r="R143" s="76" t="s">
        <v>160</v>
      </c>
      <c r="S143" s="41"/>
      <c r="T143" s="41"/>
      <c r="U143" s="41"/>
      <c r="V143" s="41"/>
      <c r="W143" s="41">
        <f t="shared" si="8"/>
        <v>0</v>
      </c>
      <c r="X143" s="77" t="str">
        <f t="shared" si="14"/>
        <v/>
      </c>
      <c r="AG143" s="81" t="str">
        <f>IF(Data_NaamPersoonTijd120="","",Data_NaamPersoonTijd120)</f>
        <v/>
      </c>
      <c r="AH143" s="41"/>
      <c r="AI143" s="41"/>
      <c r="AJ143" s="83" t="str">
        <f>IF(Data_BeeindigingsdatumTijd120="","",Data_BeeindigingsdatumTijd120)</f>
        <v/>
      </c>
      <c r="AK143" s="41"/>
      <c r="AL143" s="41"/>
      <c r="AM143" s="82" t="str">
        <f>IF(Data_LoonkostenTijd120="","",Data_LoonkostenTijd120)</f>
        <v/>
      </c>
      <c r="AN143" s="41"/>
      <c r="AO143" s="276" t="str">
        <f>IF(Data_PersoonAanUitTijd120=-1,"v","")</f>
        <v/>
      </c>
      <c r="AP143" s="41"/>
      <c r="AQ143" s="76" t="s">
        <v>160</v>
      </c>
      <c r="AR143" s="41"/>
      <c r="AS143" s="41"/>
      <c r="AT143" s="41"/>
      <c r="AU143" s="41"/>
      <c r="AV143" s="41">
        <f t="shared" si="9"/>
        <v>0</v>
      </c>
      <c r="AW143" s="77">
        <f t="shared" si="10"/>
        <v>0</v>
      </c>
      <c r="AX143" s="41"/>
      <c r="AY143" s="41"/>
      <c r="AZ143" s="41"/>
      <c r="BA143" s="81" t="str">
        <f>IF(Data_NaamPersoonVastVrij120="","",Data_NaamPersoonVastVrij120)</f>
        <v/>
      </c>
      <c r="BB143" s="41"/>
      <c r="BC143" s="41"/>
      <c r="BD143" s="83" t="str">
        <f>IF(Data_BeeindigingsdatumVastVrij120="","",Data_BeeindigingsdatumVastVrij120)</f>
        <v/>
      </c>
      <c r="BE143" s="41"/>
      <c r="BF143" s="41"/>
      <c r="BG143" s="82" t="str">
        <f>IF(Data_LoonkostenVastVrij120="","",Data_LoonkostenVastVrij120)</f>
        <v/>
      </c>
      <c r="BH143" s="41"/>
      <c r="BI143" s="76" t="str">
        <f>IF(Data_PersoonAanUitVastVrij120=-1,"v","")</f>
        <v/>
      </c>
      <c r="BJ143" s="41"/>
      <c r="BK143" s="76" t="s">
        <v>160</v>
      </c>
      <c r="BL143" s="41"/>
      <c r="BM143" s="41"/>
      <c r="BN143" s="41"/>
      <c r="BO143" s="41"/>
      <c r="BP143" s="41">
        <f t="shared" si="11"/>
        <v>0</v>
      </c>
      <c r="BQ143" s="77">
        <f t="shared" si="12"/>
        <v>0</v>
      </c>
      <c r="BS143" s="81" t="str">
        <f>IF(Data_NaamPersoonVastOntslag120="","",Data_NaamPersoonVastOntslag120)</f>
        <v/>
      </c>
      <c r="BV143" s="83" t="str">
        <f>IF(Data_BeeindigingsdatumVastOntslag120="","",Data_BeeindigingsdatumVastOntslag120)</f>
        <v/>
      </c>
      <c r="BY143" s="82" t="str">
        <f>IF(Data_LoonkostenVastOntslag120="","",Data_LoonkostenVastOntslag120)</f>
        <v/>
      </c>
      <c r="CA143" s="76" t="str">
        <f>IF(Data_PersoonAanUitVastOntslag120=-1,"v","")</f>
        <v/>
      </c>
      <c r="CB143" s="41"/>
      <c r="CC143" s="76" t="s">
        <v>160</v>
      </c>
      <c r="CD143" s="41"/>
      <c r="CE143" s="41"/>
      <c r="CF143" s="41"/>
      <c r="CG143" s="41"/>
      <c r="CH143" s="41">
        <f t="shared" si="15"/>
        <v>0</v>
      </c>
      <c r="CI143" s="41">
        <f t="shared" si="13"/>
        <v>0</v>
      </c>
    </row>
    <row r="144" spans="8:87" x14ac:dyDescent="0.25">
      <c r="H144" s="81" t="str">
        <f>IF(Data_NaamPersoonNatVerloop121="","",Data_NaamPersoonNatVerloop121)</f>
        <v/>
      </c>
      <c r="I144" s="41"/>
      <c r="J144" s="41"/>
      <c r="K144" s="83" t="str">
        <f>IF(Data_BeeindigingsdatumNatVerloop121="","",Data_BeeindigingsdatumNatVerloop121)</f>
        <v/>
      </c>
      <c r="L144" s="41"/>
      <c r="M144" s="41"/>
      <c r="N144" s="82" t="str">
        <f>IF(Data_LoonkostenNatVerloop121="","",Data_LoonkostenNatVerloop121)</f>
        <v/>
      </c>
      <c r="O144" s="41"/>
      <c r="P144" s="276" t="s">
        <v>160</v>
      </c>
      <c r="Q144" s="41"/>
      <c r="R144" s="76" t="s">
        <v>160</v>
      </c>
      <c r="S144" s="41"/>
      <c r="T144" s="41"/>
      <c r="U144" s="41"/>
      <c r="V144" s="41"/>
      <c r="W144" s="41">
        <f t="shared" si="8"/>
        <v>0</v>
      </c>
      <c r="X144" s="77" t="str">
        <f t="shared" si="14"/>
        <v/>
      </c>
      <c r="AG144" s="81" t="str">
        <f>IF(Data_NaamPersoonTijd121="","",Data_NaamPersoonTijd121)</f>
        <v/>
      </c>
      <c r="AH144" s="41"/>
      <c r="AI144" s="41"/>
      <c r="AJ144" s="83" t="str">
        <f>IF(Data_BeeindigingsdatumTijd121="","",Data_BeeindigingsdatumTijd121)</f>
        <v/>
      </c>
      <c r="AK144" s="41"/>
      <c r="AL144" s="41"/>
      <c r="AM144" s="82" t="str">
        <f>IF(Data_LoonkostenTijd121="","",Data_LoonkostenTijd121)</f>
        <v/>
      </c>
      <c r="AN144" s="41"/>
      <c r="AO144" s="276" t="str">
        <f>IF(Data_PersoonAanUitTijd121=-1,"v","")</f>
        <v/>
      </c>
      <c r="AP144" s="41"/>
      <c r="AQ144" s="76" t="s">
        <v>160</v>
      </c>
      <c r="AR144" s="41"/>
      <c r="AS144" s="41"/>
      <c r="AT144" s="41"/>
      <c r="AU144" s="41"/>
      <c r="AV144" s="41">
        <f t="shared" si="9"/>
        <v>0</v>
      </c>
      <c r="AW144" s="77">
        <f t="shared" si="10"/>
        <v>0</v>
      </c>
      <c r="AX144" s="41"/>
      <c r="AY144" s="41"/>
      <c r="AZ144" s="41"/>
      <c r="BA144" s="81" t="str">
        <f>IF(Data_NaamPersoonVastVrij121="","",Data_NaamPersoonVastVrij121)</f>
        <v/>
      </c>
      <c r="BB144" s="41"/>
      <c r="BC144" s="41"/>
      <c r="BD144" s="83" t="str">
        <f>IF(Data_BeeindigingsdatumVastVrij121="","",Data_BeeindigingsdatumVastVrij121)</f>
        <v/>
      </c>
      <c r="BE144" s="41"/>
      <c r="BF144" s="41"/>
      <c r="BG144" s="82" t="str">
        <f>IF(Data_LoonkostenVastVrij121="","",Data_LoonkostenVastVrij121)</f>
        <v/>
      </c>
      <c r="BH144" s="41"/>
      <c r="BI144" s="76" t="str">
        <f>IF(Data_PersoonAanUitVastVrij121=-1,"v","")</f>
        <v/>
      </c>
      <c r="BJ144" s="41"/>
      <c r="BK144" s="76" t="s">
        <v>160</v>
      </c>
      <c r="BL144" s="41"/>
      <c r="BM144" s="41"/>
      <c r="BN144" s="41"/>
      <c r="BO144" s="41"/>
      <c r="BP144" s="41">
        <f t="shared" si="11"/>
        <v>0</v>
      </c>
      <c r="BQ144" s="77">
        <f t="shared" si="12"/>
        <v>0</v>
      </c>
      <c r="BS144" s="81" t="str">
        <f>IF(Data_NaamPersoonVastOntslag121="","",Data_NaamPersoonVastOntslag121)</f>
        <v/>
      </c>
      <c r="BV144" s="83" t="str">
        <f>IF(Data_BeeindigingsdatumVastOntslag121="","",Data_BeeindigingsdatumVastOntslag121)</f>
        <v/>
      </c>
      <c r="BY144" s="82" t="str">
        <f>IF(Data_LoonkostenVastOntslag121="","",Data_LoonkostenVastOntslag121)</f>
        <v/>
      </c>
      <c r="CA144" s="76" t="str">
        <f>IF(Data_PersoonAanUitVastOntslag121=-1,"v","")</f>
        <v/>
      </c>
      <c r="CB144" s="41"/>
      <c r="CC144" s="76" t="s">
        <v>160</v>
      </c>
      <c r="CD144" s="41"/>
      <c r="CE144" s="41"/>
      <c r="CF144" s="41"/>
      <c r="CG144" s="41"/>
      <c r="CH144" s="41">
        <f t="shared" si="15"/>
        <v>0</v>
      </c>
      <c r="CI144" s="41">
        <f t="shared" si="13"/>
        <v>0</v>
      </c>
    </row>
    <row r="145" spans="8:87" x14ac:dyDescent="0.25">
      <c r="H145" s="81" t="str">
        <f>IF(Data_NaamPersoonNatVerloop122="","",Data_NaamPersoonNatVerloop122)</f>
        <v/>
      </c>
      <c r="I145" s="41"/>
      <c r="J145" s="41"/>
      <c r="K145" s="83" t="str">
        <f>IF(Data_BeeindigingsdatumNatVerloop122="","",Data_BeeindigingsdatumNatVerloop122)</f>
        <v/>
      </c>
      <c r="L145" s="41"/>
      <c r="M145" s="41"/>
      <c r="N145" s="82" t="str">
        <f>IF(Data_LoonkostenNatVerloop122="","",Data_LoonkostenNatVerloop122)</f>
        <v/>
      </c>
      <c r="O145" s="41"/>
      <c r="P145" s="276" t="s">
        <v>160</v>
      </c>
      <c r="Q145" s="41"/>
      <c r="R145" s="76" t="s">
        <v>160</v>
      </c>
      <c r="S145" s="41"/>
      <c r="T145" s="41"/>
      <c r="U145" s="41"/>
      <c r="V145" s="41"/>
      <c r="W145" s="41">
        <f t="shared" si="8"/>
        <v>0</v>
      </c>
      <c r="X145" s="77" t="str">
        <f t="shared" si="14"/>
        <v/>
      </c>
      <c r="AG145" s="81" t="str">
        <f>IF(Data_NaamPersoonTijd122="","",Data_NaamPersoonTijd122)</f>
        <v/>
      </c>
      <c r="AH145" s="41"/>
      <c r="AI145" s="41"/>
      <c r="AJ145" s="83" t="str">
        <f>IF(Data_BeeindigingsdatumTijd122="","",Data_BeeindigingsdatumTijd122)</f>
        <v/>
      </c>
      <c r="AK145" s="41"/>
      <c r="AL145" s="41"/>
      <c r="AM145" s="82" t="str">
        <f>IF(Data_LoonkostenTijd122="","",Data_LoonkostenTijd122)</f>
        <v/>
      </c>
      <c r="AN145" s="41"/>
      <c r="AO145" s="276" t="str">
        <f>IF(Data_PersoonAanUitTijd122=-1,"v","")</f>
        <v/>
      </c>
      <c r="AP145" s="41"/>
      <c r="AQ145" s="76" t="s">
        <v>160</v>
      </c>
      <c r="AR145" s="41"/>
      <c r="AS145" s="41"/>
      <c r="AT145" s="41"/>
      <c r="AU145" s="41"/>
      <c r="AV145" s="41">
        <f t="shared" si="9"/>
        <v>0</v>
      </c>
      <c r="AW145" s="77">
        <f t="shared" si="10"/>
        <v>0</v>
      </c>
      <c r="AX145" s="41"/>
      <c r="AY145" s="41"/>
      <c r="AZ145" s="41"/>
      <c r="BA145" s="81" t="str">
        <f>IF(Data_NaamPersoonVastVrij122="","",Data_NaamPersoonVastVrij122)</f>
        <v/>
      </c>
      <c r="BB145" s="41"/>
      <c r="BC145" s="41"/>
      <c r="BD145" s="83" t="str">
        <f>IF(Data_BeeindigingsdatumVastVrij122="","",Data_BeeindigingsdatumVastVrij122)</f>
        <v/>
      </c>
      <c r="BE145" s="41"/>
      <c r="BF145" s="41"/>
      <c r="BG145" s="82" t="str">
        <f>IF(Data_LoonkostenVastVrij122="","",Data_LoonkostenVastVrij122)</f>
        <v/>
      </c>
      <c r="BH145" s="41"/>
      <c r="BI145" s="76" t="str">
        <f>IF(Data_PersoonAanUitVastVrij122=-1,"v","")</f>
        <v/>
      </c>
      <c r="BJ145" s="41"/>
      <c r="BK145" s="76" t="s">
        <v>160</v>
      </c>
      <c r="BL145" s="41"/>
      <c r="BM145" s="41"/>
      <c r="BN145" s="41"/>
      <c r="BO145" s="41"/>
      <c r="BP145" s="41">
        <f t="shared" si="11"/>
        <v>0</v>
      </c>
      <c r="BQ145" s="77">
        <f t="shared" si="12"/>
        <v>0</v>
      </c>
      <c r="BS145" s="81" t="str">
        <f>IF(Data_NaamPersoonVastOntslag122="","",Data_NaamPersoonVastOntslag122)</f>
        <v/>
      </c>
      <c r="BV145" s="83" t="str">
        <f>IF(Data_BeeindigingsdatumVastOntslag122="","",Data_BeeindigingsdatumVastOntslag122)</f>
        <v/>
      </c>
      <c r="BY145" s="82" t="str">
        <f>IF(Data_LoonkostenVastOntslag122="","",Data_LoonkostenVastOntslag122)</f>
        <v/>
      </c>
      <c r="CA145" s="76" t="str">
        <f>IF(Data_PersoonAanUitVastOntslag122=-1,"v","")</f>
        <v/>
      </c>
      <c r="CB145" s="41"/>
      <c r="CC145" s="76" t="s">
        <v>160</v>
      </c>
      <c r="CD145" s="41"/>
      <c r="CE145" s="41"/>
      <c r="CF145" s="41"/>
      <c r="CG145" s="41"/>
      <c r="CH145" s="41">
        <f t="shared" si="15"/>
        <v>0</v>
      </c>
      <c r="CI145" s="41">
        <f t="shared" si="13"/>
        <v>0</v>
      </c>
    </row>
    <row r="146" spans="8:87" x14ac:dyDescent="0.25">
      <c r="H146" s="81" t="str">
        <f>IF(Data_NaamPersoonNatVerloop123="","",Data_NaamPersoonNatVerloop123)</f>
        <v/>
      </c>
      <c r="I146" s="41"/>
      <c r="J146" s="41"/>
      <c r="K146" s="83" t="str">
        <f>IF(Data_BeeindigingsdatumNatVerloop123="","",Data_BeeindigingsdatumNatVerloop123)</f>
        <v/>
      </c>
      <c r="L146" s="41"/>
      <c r="M146" s="41"/>
      <c r="N146" s="82" t="str">
        <f>IF(Data_LoonkostenNatVerloop123="","",Data_LoonkostenNatVerloop123)</f>
        <v/>
      </c>
      <c r="O146" s="41"/>
      <c r="P146" s="276" t="s">
        <v>160</v>
      </c>
      <c r="Q146" s="41"/>
      <c r="R146" s="76" t="s">
        <v>160</v>
      </c>
      <c r="S146" s="41"/>
      <c r="T146" s="41"/>
      <c r="U146" s="41"/>
      <c r="V146" s="41"/>
      <c r="W146" s="41">
        <f t="shared" si="8"/>
        <v>0</v>
      </c>
      <c r="X146" s="77" t="str">
        <f t="shared" si="14"/>
        <v/>
      </c>
      <c r="AG146" s="81" t="str">
        <f>IF(Data_NaamPersoonTijd123="","",Data_NaamPersoonTijd123)</f>
        <v/>
      </c>
      <c r="AH146" s="41"/>
      <c r="AI146" s="41"/>
      <c r="AJ146" s="83" t="str">
        <f>IF(Data_BeeindigingsdatumTijd123="","",Data_BeeindigingsdatumTijd123)</f>
        <v/>
      </c>
      <c r="AK146" s="41"/>
      <c r="AL146" s="41"/>
      <c r="AM146" s="82" t="str">
        <f>IF(Data_LoonkostenTijd123="","",Data_LoonkostenTijd123)</f>
        <v/>
      </c>
      <c r="AN146" s="41"/>
      <c r="AO146" s="276" t="str">
        <f>IF(Data_PersoonAanUitTijd123=-1,"v","")</f>
        <v/>
      </c>
      <c r="AP146" s="41"/>
      <c r="AQ146" s="76" t="s">
        <v>160</v>
      </c>
      <c r="AR146" s="41"/>
      <c r="AS146" s="41"/>
      <c r="AT146" s="41"/>
      <c r="AU146" s="41"/>
      <c r="AV146" s="41">
        <f t="shared" si="9"/>
        <v>0</v>
      </c>
      <c r="AW146" s="77">
        <f t="shared" si="10"/>
        <v>0</v>
      </c>
      <c r="AX146" s="41"/>
      <c r="AY146" s="41"/>
      <c r="AZ146" s="41"/>
      <c r="BA146" s="81" t="str">
        <f>IF(Data_NaamPersoonVastVrij123="","",Data_NaamPersoonVastVrij123)</f>
        <v/>
      </c>
      <c r="BB146" s="41"/>
      <c r="BC146" s="41"/>
      <c r="BD146" s="83" t="str">
        <f>IF(Data_BeeindigingsdatumVastVrij123="","",Data_BeeindigingsdatumVastVrij123)</f>
        <v/>
      </c>
      <c r="BE146" s="41"/>
      <c r="BF146" s="41"/>
      <c r="BG146" s="82" t="str">
        <f>IF(Data_LoonkostenVastVrij123="","",Data_LoonkostenVastVrij123)</f>
        <v/>
      </c>
      <c r="BH146" s="41"/>
      <c r="BI146" s="76" t="str">
        <f>IF(Data_PersoonAanUitVastVrij123=-1,"v","")</f>
        <v/>
      </c>
      <c r="BJ146" s="41"/>
      <c r="BK146" s="76" t="s">
        <v>160</v>
      </c>
      <c r="BL146" s="41"/>
      <c r="BM146" s="41"/>
      <c r="BN146" s="41"/>
      <c r="BO146" s="41"/>
      <c r="BP146" s="41">
        <f t="shared" si="11"/>
        <v>0</v>
      </c>
      <c r="BQ146" s="77">
        <f t="shared" si="12"/>
        <v>0</v>
      </c>
      <c r="BS146" s="81" t="str">
        <f>IF(Data_NaamPersoonVastOntslag123="","",Data_NaamPersoonVastOntslag123)</f>
        <v/>
      </c>
      <c r="BV146" s="83" t="str">
        <f>IF(Data_BeeindigingsdatumVastOntslag123="","",Data_BeeindigingsdatumVastOntslag123)</f>
        <v/>
      </c>
      <c r="BY146" s="82" t="str">
        <f>IF(Data_LoonkostenVastOntslag123="","",Data_LoonkostenVastOntslag123)</f>
        <v/>
      </c>
      <c r="CA146" s="76" t="str">
        <f>IF(Data_PersoonAanUitVastOntslag123=-1,"v","")</f>
        <v/>
      </c>
      <c r="CB146" s="41"/>
      <c r="CC146" s="76" t="s">
        <v>160</v>
      </c>
      <c r="CD146" s="41"/>
      <c r="CE146" s="41"/>
      <c r="CF146" s="41"/>
      <c r="CG146" s="41"/>
      <c r="CH146" s="41">
        <f t="shared" si="15"/>
        <v>0</v>
      </c>
      <c r="CI146" s="41">
        <f t="shared" si="13"/>
        <v>0</v>
      </c>
    </row>
    <row r="147" spans="8:87" x14ac:dyDescent="0.25">
      <c r="H147" s="81" t="str">
        <f>IF(Data_NaamPersoonNatVerloop124="","",Data_NaamPersoonNatVerloop124)</f>
        <v/>
      </c>
      <c r="I147" s="41"/>
      <c r="J147" s="41"/>
      <c r="K147" s="83" t="str">
        <f>IF(Data_BeeindigingsdatumNatVerloop124="","",Data_BeeindigingsdatumNatVerloop124)</f>
        <v/>
      </c>
      <c r="L147" s="41"/>
      <c r="M147" s="41"/>
      <c r="N147" s="82" t="str">
        <f>IF(Data_LoonkostenNatVerloop124="","",Data_LoonkostenNatVerloop124)</f>
        <v/>
      </c>
      <c r="O147" s="41"/>
      <c r="P147" s="276" t="s">
        <v>160</v>
      </c>
      <c r="Q147" s="41"/>
      <c r="R147" s="76" t="s">
        <v>160</v>
      </c>
      <c r="S147" s="41"/>
      <c r="T147" s="41"/>
      <c r="U147" s="41"/>
      <c r="V147" s="41"/>
      <c r="W147" s="41">
        <f t="shared" si="8"/>
        <v>0</v>
      </c>
      <c r="X147" s="77" t="str">
        <f t="shared" si="14"/>
        <v/>
      </c>
      <c r="AG147" s="81" t="str">
        <f>IF(Data_NaamPersoonTijd124="","",Data_NaamPersoonTijd124)</f>
        <v/>
      </c>
      <c r="AH147" s="41"/>
      <c r="AI147" s="41"/>
      <c r="AJ147" s="83" t="str">
        <f>IF(Data_BeeindigingsdatumTijd124="","",Data_BeeindigingsdatumTijd124)</f>
        <v/>
      </c>
      <c r="AK147" s="41"/>
      <c r="AL147" s="41"/>
      <c r="AM147" s="82" t="str">
        <f>IF(Data_LoonkostenTijd124="","",Data_LoonkostenTijd124)</f>
        <v/>
      </c>
      <c r="AN147" s="41"/>
      <c r="AO147" s="276" t="str">
        <f>IF(Data_PersoonAanUitTijd124=-1,"v","")</f>
        <v/>
      </c>
      <c r="AP147" s="41"/>
      <c r="AQ147" s="76" t="s">
        <v>160</v>
      </c>
      <c r="AR147" s="41"/>
      <c r="AS147" s="41"/>
      <c r="AT147" s="41"/>
      <c r="AU147" s="41"/>
      <c r="AV147" s="41">
        <f t="shared" si="9"/>
        <v>0</v>
      </c>
      <c r="AW147" s="77">
        <f t="shared" si="10"/>
        <v>0</v>
      </c>
      <c r="AX147" s="41"/>
      <c r="AY147" s="41"/>
      <c r="AZ147" s="41"/>
      <c r="BA147" s="81" t="str">
        <f>IF(Data_NaamPersoonVastVrij124="","",Data_NaamPersoonVastVrij124)</f>
        <v/>
      </c>
      <c r="BB147" s="41"/>
      <c r="BC147" s="41"/>
      <c r="BD147" s="83" t="str">
        <f>IF(Data_BeeindigingsdatumVastVrij124="","",Data_BeeindigingsdatumVastVrij124)</f>
        <v/>
      </c>
      <c r="BE147" s="41"/>
      <c r="BF147" s="41"/>
      <c r="BG147" s="82" t="str">
        <f>IF(Data_LoonkostenVastVrij124="","",Data_LoonkostenVastVrij124)</f>
        <v/>
      </c>
      <c r="BH147" s="41"/>
      <c r="BI147" s="76" t="str">
        <f>IF(Data_PersoonAanUitVastVrij124=-1,"v","")</f>
        <v/>
      </c>
      <c r="BJ147" s="41"/>
      <c r="BK147" s="76" t="s">
        <v>160</v>
      </c>
      <c r="BL147" s="41"/>
      <c r="BM147" s="41"/>
      <c r="BN147" s="41"/>
      <c r="BO147" s="41"/>
      <c r="BP147" s="41">
        <f t="shared" si="11"/>
        <v>0</v>
      </c>
      <c r="BQ147" s="77">
        <f t="shared" si="12"/>
        <v>0</v>
      </c>
      <c r="BS147" s="81" t="str">
        <f>IF(Data_NaamPersoonVastOntslag124="","",Data_NaamPersoonVastOntslag124)</f>
        <v/>
      </c>
      <c r="BV147" s="83" t="str">
        <f>IF(Data_BeeindigingsdatumVastOntslag124="","",Data_BeeindigingsdatumVastOntslag124)</f>
        <v/>
      </c>
      <c r="BY147" s="82" t="str">
        <f>IF(Data_LoonkostenVastOntslag124="","",Data_LoonkostenVastOntslag124)</f>
        <v/>
      </c>
      <c r="CA147" s="76" t="str">
        <f>IF(Data_PersoonAanUitVastOntslag124=-1,"v","")</f>
        <v/>
      </c>
      <c r="CB147" s="41"/>
      <c r="CC147" s="76" t="s">
        <v>160</v>
      </c>
      <c r="CD147" s="41"/>
      <c r="CE147" s="41"/>
      <c r="CF147" s="41"/>
      <c r="CG147" s="41"/>
      <c r="CH147" s="41">
        <f t="shared" si="15"/>
        <v>0</v>
      </c>
      <c r="CI147" s="41">
        <f t="shared" si="13"/>
        <v>0</v>
      </c>
    </row>
    <row r="148" spans="8:87" x14ac:dyDescent="0.25">
      <c r="H148" s="81" t="str">
        <f>IF(Data_NaamPersoonNatVerloop125="","",Data_NaamPersoonNatVerloop125)</f>
        <v/>
      </c>
      <c r="I148" s="41"/>
      <c r="J148" s="41"/>
      <c r="K148" s="83" t="str">
        <f>IF(Data_BeeindigingsdatumNatVerloop125="","",Data_BeeindigingsdatumNatVerloop125)</f>
        <v/>
      </c>
      <c r="L148" s="41"/>
      <c r="M148" s="41"/>
      <c r="N148" s="82" t="str">
        <f>IF(Data_LoonkostenNatVerloop125="","",Data_LoonkostenNatVerloop125)</f>
        <v/>
      </c>
      <c r="O148" s="41"/>
      <c r="P148" s="276" t="s">
        <v>160</v>
      </c>
      <c r="Q148" s="41"/>
      <c r="R148" s="76" t="s">
        <v>160</v>
      </c>
      <c r="S148" s="41"/>
      <c r="T148" s="41"/>
      <c r="U148" s="41"/>
      <c r="V148" s="41"/>
      <c r="W148" s="41">
        <f t="shared" si="8"/>
        <v>0</v>
      </c>
      <c r="X148" s="77" t="str">
        <f t="shared" si="14"/>
        <v/>
      </c>
      <c r="AG148" s="81" t="str">
        <f>IF(Data_NaamPersoonTijd125="","",Data_NaamPersoonTijd125)</f>
        <v/>
      </c>
      <c r="AH148" s="41"/>
      <c r="AI148" s="41"/>
      <c r="AJ148" s="83" t="str">
        <f>IF(Data_BeeindigingsdatumTijd125="","",Data_BeeindigingsdatumTijd125)</f>
        <v/>
      </c>
      <c r="AK148" s="41"/>
      <c r="AL148" s="41"/>
      <c r="AM148" s="82" t="str">
        <f>IF(Data_LoonkostenTijd125="","",Data_LoonkostenTijd125)</f>
        <v/>
      </c>
      <c r="AN148" s="41"/>
      <c r="AO148" s="276" t="str">
        <f>IF(Data_PersoonAanUitTijd125=-1,"v","")</f>
        <v/>
      </c>
      <c r="AP148" s="41"/>
      <c r="AQ148" s="76" t="s">
        <v>160</v>
      </c>
      <c r="AR148" s="41"/>
      <c r="AS148" s="41"/>
      <c r="AT148" s="41"/>
      <c r="AU148" s="41"/>
      <c r="AV148" s="41">
        <f t="shared" si="9"/>
        <v>0</v>
      </c>
      <c r="AW148" s="77">
        <f t="shared" si="10"/>
        <v>0</v>
      </c>
      <c r="AX148" s="41"/>
      <c r="AY148" s="41"/>
      <c r="AZ148" s="41"/>
      <c r="BA148" s="81" t="str">
        <f>IF(Data_NaamPersoonVastVrij125="","",Data_NaamPersoonVastVrij125)</f>
        <v/>
      </c>
      <c r="BB148" s="41"/>
      <c r="BC148" s="41"/>
      <c r="BD148" s="83" t="str">
        <f>IF(Data_BeeindigingsdatumVastVrij125="","",Data_BeeindigingsdatumVastVrij125)</f>
        <v/>
      </c>
      <c r="BE148" s="41"/>
      <c r="BF148" s="41"/>
      <c r="BG148" s="82" t="str">
        <f>IF(Data_LoonkostenVastVrij125="","",Data_LoonkostenVastVrij125)</f>
        <v/>
      </c>
      <c r="BH148" s="41"/>
      <c r="BI148" s="76" t="str">
        <f>IF(Data_PersoonAanUitVastVrij125=-1,"v","")</f>
        <v/>
      </c>
      <c r="BJ148" s="41"/>
      <c r="BK148" s="76" t="s">
        <v>160</v>
      </c>
      <c r="BL148" s="41"/>
      <c r="BM148" s="41"/>
      <c r="BN148" s="41"/>
      <c r="BO148" s="41"/>
      <c r="BP148" s="41">
        <f t="shared" si="11"/>
        <v>0</v>
      </c>
      <c r="BQ148" s="77">
        <f t="shared" si="12"/>
        <v>0</v>
      </c>
      <c r="BS148" s="81" t="str">
        <f>IF(Data_NaamPersoonVastOntslag125="","",Data_NaamPersoonVastOntslag125)</f>
        <v/>
      </c>
      <c r="BV148" s="83" t="str">
        <f>IF(Data_BeeindigingsdatumVastOntslag125="","",Data_BeeindigingsdatumVastOntslag125)</f>
        <v/>
      </c>
      <c r="BY148" s="82" t="str">
        <f>IF(Data_LoonkostenVastOntslag125="","",Data_LoonkostenVastOntslag125)</f>
        <v/>
      </c>
      <c r="CA148" s="76" t="str">
        <f>IF(Data_PersoonAanUitVastOntslag125=-1,"v","")</f>
        <v/>
      </c>
      <c r="CB148" s="41"/>
      <c r="CC148" s="76" t="s">
        <v>160</v>
      </c>
      <c r="CD148" s="41"/>
      <c r="CE148" s="41"/>
      <c r="CF148" s="41"/>
      <c r="CG148" s="41"/>
      <c r="CH148" s="41">
        <f t="shared" si="15"/>
        <v>0</v>
      </c>
      <c r="CI148" s="41">
        <f t="shared" si="13"/>
        <v>0</v>
      </c>
    </row>
    <row r="149" spans="8:87" x14ac:dyDescent="0.25">
      <c r="H149" s="81" t="str">
        <f>IF(Data_NaamPersoonNatVerloop126="","",Data_NaamPersoonNatVerloop126)</f>
        <v/>
      </c>
      <c r="I149" s="41"/>
      <c r="J149" s="41"/>
      <c r="K149" s="83" t="str">
        <f>IF(Data_BeeindigingsdatumNatVerloop126="","",Data_BeeindigingsdatumNatVerloop126)</f>
        <v/>
      </c>
      <c r="L149" s="41"/>
      <c r="M149" s="41"/>
      <c r="N149" s="82" t="str">
        <f>IF(Data_LoonkostenNatVerloop126="","",Data_LoonkostenNatVerloop126)</f>
        <v/>
      </c>
      <c r="O149" s="41"/>
      <c r="P149" s="276" t="s">
        <v>160</v>
      </c>
      <c r="Q149" s="41"/>
      <c r="R149" s="76" t="s">
        <v>160</v>
      </c>
      <c r="S149" s="41"/>
      <c r="T149" s="41"/>
      <c r="U149" s="41"/>
      <c r="V149" s="41"/>
      <c r="W149" s="41">
        <f t="shared" si="8"/>
        <v>0</v>
      </c>
      <c r="X149" s="77" t="str">
        <f t="shared" si="14"/>
        <v/>
      </c>
      <c r="AG149" s="81" t="str">
        <f>IF(Data_NaamPersoonTijd126="","",Data_NaamPersoonTijd126)</f>
        <v/>
      </c>
      <c r="AH149" s="41"/>
      <c r="AI149" s="41"/>
      <c r="AJ149" s="83" t="str">
        <f>IF(Data_BeeindigingsdatumTijd126="","",Data_BeeindigingsdatumTijd126)</f>
        <v/>
      </c>
      <c r="AK149" s="41"/>
      <c r="AL149" s="41"/>
      <c r="AM149" s="82" t="str">
        <f>IF(Data_LoonkostenTijd126="","",Data_LoonkostenTijd126)</f>
        <v/>
      </c>
      <c r="AN149" s="41"/>
      <c r="AO149" s="276" t="str">
        <f>IF(Data_PersoonAanUitTijd126=-1,"v","")</f>
        <v/>
      </c>
      <c r="AP149" s="41"/>
      <c r="AQ149" s="76" t="s">
        <v>160</v>
      </c>
      <c r="AR149" s="41"/>
      <c r="AS149" s="41"/>
      <c r="AT149" s="41"/>
      <c r="AU149" s="41"/>
      <c r="AV149" s="41">
        <f t="shared" si="9"/>
        <v>0</v>
      </c>
      <c r="AW149" s="77">
        <f t="shared" si="10"/>
        <v>0</v>
      </c>
      <c r="AX149" s="41"/>
      <c r="AY149" s="41"/>
      <c r="AZ149" s="41"/>
      <c r="BA149" s="81" t="str">
        <f>IF(Data_NaamPersoonVastVrij126="","",Data_NaamPersoonVastVrij126)</f>
        <v/>
      </c>
      <c r="BB149" s="41"/>
      <c r="BC149" s="41"/>
      <c r="BD149" s="83" t="str">
        <f>IF(Data_BeeindigingsdatumVastVrij126="","",Data_BeeindigingsdatumVastVrij126)</f>
        <v/>
      </c>
      <c r="BE149" s="41"/>
      <c r="BF149" s="41"/>
      <c r="BG149" s="82" t="str">
        <f>IF(Data_LoonkostenVastVrij126="","",Data_LoonkostenVastVrij126)</f>
        <v/>
      </c>
      <c r="BH149" s="41"/>
      <c r="BI149" s="76" t="str">
        <f>IF(Data_PersoonAanUitVastVrij126=-1,"v","")</f>
        <v/>
      </c>
      <c r="BJ149" s="41"/>
      <c r="BK149" s="76" t="s">
        <v>160</v>
      </c>
      <c r="BL149" s="41"/>
      <c r="BM149" s="41"/>
      <c r="BN149" s="41"/>
      <c r="BO149" s="41"/>
      <c r="BP149" s="41">
        <f t="shared" si="11"/>
        <v>0</v>
      </c>
      <c r="BQ149" s="77">
        <f t="shared" si="12"/>
        <v>0</v>
      </c>
      <c r="BS149" s="81" t="str">
        <f>IF(Data_NaamPersoonVastOntslag126="","",Data_NaamPersoonVastOntslag126)</f>
        <v/>
      </c>
      <c r="BV149" s="83" t="str">
        <f>IF(Data_BeeindigingsdatumVastOntslag126="","",Data_BeeindigingsdatumVastOntslag126)</f>
        <v/>
      </c>
      <c r="BY149" s="82" t="str">
        <f>IF(Data_LoonkostenVastOntslag126="","",Data_LoonkostenVastOntslag126)</f>
        <v/>
      </c>
      <c r="CA149" s="76" t="str">
        <f>IF(Data_PersoonAanUitVastOntslag126=-1,"v","")</f>
        <v/>
      </c>
      <c r="CB149" s="41"/>
      <c r="CC149" s="76" t="s">
        <v>160</v>
      </c>
      <c r="CD149" s="41"/>
      <c r="CE149" s="41"/>
      <c r="CF149" s="41"/>
      <c r="CG149" s="41"/>
      <c r="CH149" s="41">
        <f t="shared" si="15"/>
        <v>0</v>
      </c>
      <c r="CI149" s="41">
        <f t="shared" si="13"/>
        <v>0</v>
      </c>
    </row>
    <row r="150" spans="8:87" x14ac:dyDescent="0.25">
      <c r="H150" s="81" t="str">
        <f>IF(Data_NaamPersoonNatVerloop127="","",Data_NaamPersoonNatVerloop127)</f>
        <v/>
      </c>
      <c r="I150" s="41"/>
      <c r="J150" s="41"/>
      <c r="K150" s="83" t="str">
        <f>IF(Data_BeeindigingsdatumNatVerloop127="","",Data_BeeindigingsdatumNatVerloop127)</f>
        <v/>
      </c>
      <c r="L150" s="41"/>
      <c r="M150" s="41"/>
      <c r="N150" s="82" t="str">
        <f>IF(Data_LoonkostenNatVerloop127="","",Data_LoonkostenNatVerloop127)</f>
        <v/>
      </c>
      <c r="O150" s="41"/>
      <c r="P150" s="276" t="s">
        <v>160</v>
      </c>
      <c r="Q150" s="41"/>
      <c r="R150" s="76" t="s">
        <v>160</v>
      </c>
      <c r="S150" s="41"/>
      <c r="T150" s="41"/>
      <c r="U150" s="41"/>
      <c r="V150" s="41"/>
      <c r="W150" s="41">
        <f t="shared" si="8"/>
        <v>0</v>
      </c>
      <c r="X150" s="77" t="str">
        <f t="shared" si="14"/>
        <v/>
      </c>
      <c r="AG150" s="81" t="str">
        <f>IF(Data_NaamPersoonTijd127="","",Data_NaamPersoonTijd127)</f>
        <v/>
      </c>
      <c r="AH150" s="41"/>
      <c r="AI150" s="41"/>
      <c r="AJ150" s="83" t="str">
        <f>IF(Data_BeeindigingsdatumTijd127="","",Data_BeeindigingsdatumTijd127)</f>
        <v/>
      </c>
      <c r="AK150" s="41"/>
      <c r="AL150" s="41"/>
      <c r="AM150" s="82" t="str">
        <f>IF(Data_LoonkostenTijd127="","",Data_LoonkostenTijd127)</f>
        <v/>
      </c>
      <c r="AN150" s="41"/>
      <c r="AO150" s="276" t="str">
        <f>IF(Data_PersoonAanUitTijd127=-1,"v","")</f>
        <v/>
      </c>
      <c r="AP150" s="41"/>
      <c r="AQ150" s="76" t="s">
        <v>160</v>
      </c>
      <c r="AR150" s="41"/>
      <c r="AS150" s="41"/>
      <c r="AT150" s="41"/>
      <c r="AU150" s="41"/>
      <c r="AV150" s="41">
        <f t="shared" si="9"/>
        <v>0</v>
      </c>
      <c r="AW150" s="77">
        <f t="shared" si="10"/>
        <v>0</v>
      </c>
      <c r="AX150" s="41"/>
      <c r="AY150" s="41"/>
      <c r="AZ150" s="41"/>
      <c r="BA150" s="81" t="str">
        <f>IF(Data_NaamPersoonVastVrij127="","",Data_NaamPersoonVastVrij127)</f>
        <v/>
      </c>
      <c r="BB150" s="41"/>
      <c r="BC150" s="41"/>
      <c r="BD150" s="83" t="str">
        <f>IF(Data_BeeindigingsdatumVastVrij127="","",Data_BeeindigingsdatumVastVrij127)</f>
        <v/>
      </c>
      <c r="BE150" s="41"/>
      <c r="BF150" s="41"/>
      <c r="BG150" s="82" t="str">
        <f>IF(Data_LoonkostenVastVrij127="","",Data_LoonkostenVastVrij127)</f>
        <v/>
      </c>
      <c r="BH150" s="41"/>
      <c r="BI150" s="76" t="str">
        <f>IF(Data_PersoonAanUitVastVrij127=-1,"v","")</f>
        <v/>
      </c>
      <c r="BJ150" s="41"/>
      <c r="BK150" s="76" t="s">
        <v>160</v>
      </c>
      <c r="BL150" s="41"/>
      <c r="BM150" s="41"/>
      <c r="BN150" s="41"/>
      <c r="BO150" s="41"/>
      <c r="BP150" s="41">
        <f t="shared" si="11"/>
        <v>0</v>
      </c>
      <c r="BQ150" s="77">
        <f t="shared" si="12"/>
        <v>0</v>
      </c>
      <c r="BS150" s="81" t="str">
        <f>IF(Data_NaamPersoonVastOntslag127="","",Data_NaamPersoonVastOntslag127)</f>
        <v/>
      </c>
      <c r="BV150" s="83" t="str">
        <f>IF(Data_BeeindigingsdatumVastOntslag127="","",Data_BeeindigingsdatumVastOntslag127)</f>
        <v/>
      </c>
      <c r="BY150" s="82" t="str">
        <f>IF(Data_LoonkostenVastOntslag127="","",Data_LoonkostenVastOntslag127)</f>
        <v/>
      </c>
      <c r="CA150" s="76" t="str">
        <f>IF(Data_PersoonAanUitVastOntslag127=-1,"v","")</f>
        <v/>
      </c>
      <c r="CB150" s="41"/>
      <c r="CC150" s="76" t="s">
        <v>160</v>
      </c>
      <c r="CD150" s="41"/>
      <c r="CE150" s="41"/>
      <c r="CF150" s="41"/>
      <c r="CG150" s="41"/>
      <c r="CH150" s="41">
        <f t="shared" si="15"/>
        <v>0</v>
      </c>
      <c r="CI150" s="41">
        <f t="shared" si="13"/>
        <v>0</v>
      </c>
    </row>
    <row r="151" spans="8:87" x14ac:dyDescent="0.25">
      <c r="H151" s="81" t="str">
        <f>IF(Data_NaamPersoonNatVerloop128="","",Data_NaamPersoonNatVerloop128)</f>
        <v/>
      </c>
      <c r="I151" s="41"/>
      <c r="J151" s="41"/>
      <c r="K151" s="83" t="str">
        <f>IF(Data_BeeindigingsdatumNatVerloop128="","",Data_BeeindigingsdatumNatVerloop128)</f>
        <v/>
      </c>
      <c r="L151" s="41"/>
      <c r="M151" s="41"/>
      <c r="N151" s="82" t="str">
        <f>IF(Data_LoonkostenNatVerloop128="","",Data_LoonkostenNatVerloop128)</f>
        <v/>
      </c>
      <c r="O151" s="41"/>
      <c r="P151" s="276" t="s">
        <v>160</v>
      </c>
      <c r="Q151" s="41"/>
      <c r="R151" s="76" t="s">
        <v>160</v>
      </c>
      <c r="S151" s="41"/>
      <c r="T151" s="41"/>
      <c r="U151" s="41"/>
      <c r="V151" s="41"/>
      <c r="W151" s="41">
        <f t="shared" si="8"/>
        <v>0</v>
      </c>
      <c r="X151" s="77" t="str">
        <f t="shared" si="14"/>
        <v/>
      </c>
      <c r="AG151" s="81" t="str">
        <f>IF(Data_NaamPersoonTijd128="","",Data_NaamPersoonTijd128)</f>
        <v/>
      </c>
      <c r="AH151" s="41"/>
      <c r="AI151" s="41"/>
      <c r="AJ151" s="83" t="str">
        <f>IF(Data_BeeindigingsdatumTijd128="","",Data_BeeindigingsdatumTijd128)</f>
        <v/>
      </c>
      <c r="AK151" s="41"/>
      <c r="AL151" s="41"/>
      <c r="AM151" s="82" t="str">
        <f>IF(Data_LoonkostenTijd128="","",Data_LoonkostenTijd128)</f>
        <v/>
      </c>
      <c r="AN151" s="41"/>
      <c r="AO151" s="276" t="str">
        <f>IF(Data_PersoonAanUitTijd128=-1,"v","")</f>
        <v/>
      </c>
      <c r="AP151" s="41"/>
      <c r="AQ151" s="76" t="s">
        <v>160</v>
      </c>
      <c r="AR151" s="41"/>
      <c r="AS151" s="41"/>
      <c r="AT151" s="41"/>
      <c r="AU151" s="41"/>
      <c r="AV151" s="41">
        <f t="shared" si="9"/>
        <v>0</v>
      </c>
      <c r="AW151" s="77">
        <f t="shared" si="10"/>
        <v>0</v>
      </c>
      <c r="AX151" s="41"/>
      <c r="AY151" s="41"/>
      <c r="AZ151" s="41"/>
      <c r="BA151" s="81" t="str">
        <f>IF(Data_NaamPersoonVastVrij128="","",Data_NaamPersoonVastVrij128)</f>
        <v/>
      </c>
      <c r="BB151" s="41"/>
      <c r="BC151" s="41"/>
      <c r="BD151" s="83" t="str">
        <f>IF(Data_BeeindigingsdatumVastVrij128="","",Data_BeeindigingsdatumVastVrij128)</f>
        <v/>
      </c>
      <c r="BE151" s="41"/>
      <c r="BF151" s="41"/>
      <c r="BG151" s="82" t="str">
        <f>IF(Data_LoonkostenVastVrij128="","",Data_LoonkostenVastVrij128)</f>
        <v/>
      </c>
      <c r="BH151" s="41"/>
      <c r="BI151" s="76" t="str">
        <f>IF(Data_PersoonAanUitVastVrij128=-1,"v","")</f>
        <v/>
      </c>
      <c r="BJ151" s="41"/>
      <c r="BK151" s="76" t="s">
        <v>160</v>
      </c>
      <c r="BL151" s="41"/>
      <c r="BM151" s="41"/>
      <c r="BN151" s="41"/>
      <c r="BO151" s="41"/>
      <c r="BP151" s="41">
        <f t="shared" si="11"/>
        <v>0</v>
      </c>
      <c r="BQ151" s="77">
        <f t="shared" si="12"/>
        <v>0</v>
      </c>
      <c r="BS151" s="81" t="str">
        <f>IF(Data_NaamPersoonVastOntslag128="","",Data_NaamPersoonVastOntslag128)</f>
        <v/>
      </c>
      <c r="BV151" s="83" t="str">
        <f>IF(Data_BeeindigingsdatumVastOntslag128="","",Data_BeeindigingsdatumVastOntslag128)</f>
        <v/>
      </c>
      <c r="BY151" s="82" t="str">
        <f>IF(Data_LoonkostenVastOntslag128="","",Data_LoonkostenVastOntslag128)</f>
        <v/>
      </c>
      <c r="CA151" s="76" t="str">
        <f>IF(Data_PersoonAanUitVastOntslag128=-1,"v","")</f>
        <v/>
      </c>
      <c r="CB151" s="41"/>
      <c r="CC151" s="76" t="s">
        <v>160</v>
      </c>
      <c r="CD151" s="41"/>
      <c r="CE151" s="41"/>
      <c r="CF151" s="41"/>
      <c r="CG151" s="41"/>
      <c r="CH151" s="41">
        <f t="shared" si="15"/>
        <v>0</v>
      </c>
      <c r="CI151" s="41">
        <f t="shared" si="13"/>
        <v>0</v>
      </c>
    </row>
    <row r="152" spans="8:87" x14ac:dyDescent="0.25">
      <c r="H152" s="81" t="str">
        <f>IF(Data_NaamPersoonNatVerloop129="","",Data_NaamPersoonNatVerloop129)</f>
        <v/>
      </c>
      <c r="I152" s="41"/>
      <c r="J152" s="41"/>
      <c r="K152" s="83" t="str">
        <f>IF(Data_BeeindigingsdatumNatVerloop129="","",Data_BeeindigingsdatumNatVerloop129)</f>
        <v/>
      </c>
      <c r="L152" s="41"/>
      <c r="M152" s="41"/>
      <c r="N152" s="82" t="str">
        <f>IF(Data_LoonkostenNatVerloop129="","",Data_LoonkostenNatVerloop129)</f>
        <v/>
      </c>
      <c r="O152" s="41"/>
      <c r="P152" s="276" t="s">
        <v>160</v>
      </c>
      <c r="Q152" s="41"/>
      <c r="R152" s="76" t="s">
        <v>160</v>
      </c>
      <c r="S152" s="41"/>
      <c r="T152" s="41"/>
      <c r="U152" s="41"/>
      <c r="V152" s="41"/>
      <c r="W152" s="41">
        <f t="shared" ref="W152:W215" si="16">IF($AO152="v",M152,T152)</f>
        <v>0</v>
      </c>
      <c r="X152" s="77" t="str">
        <f t="shared" si="14"/>
        <v/>
      </c>
      <c r="AG152" s="81" t="str">
        <f>IF(Data_NaamPersoonTijd129="","",Data_NaamPersoonTijd129)</f>
        <v/>
      </c>
      <c r="AH152" s="41"/>
      <c r="AI152" s="41"/>
      <c r="AJ152" s="83" t="str">
        <f>IF(Data_BeeindigingsdatumTijd129="","",Data_BeeindigingsdatumTijd129)</f>
        <v/>
      </c>
      <c r="AK152" s="41"/>
      <c r="AL152" s="41"/>
      <c r="AM152" s="82" t="str">
        <f>IF(Data_LoonkostenTijd129="","",Data_LoonkostenTijd129)</f>
        <v/>
      </c>
      <c r="AN152" s="41"/>
      <c r="AO152" s="276" t="str">
        <f>IF(Data_PersoonAanUitTijd129=-1,"v","")</f>
        <v/>
      </c>
      <c r="AP152" s="41"/>
      <c r="AQ152" s="76" t="s">
        <v>160</v>
      </c>
      <c r="AR152" s="41"/>
      <c r="AS152" s="41"/>
      <c r="AT152" s="41"/>
      <c r="AU152" s="41"/>
      <c r="AV152" s="41">
        <f t="shared" ref="AV152:AV215" si="17">IF($AO152="v",AL152,AS152)</f>
        <v>0</v>
      </c>
      <c r="AW152" s="77">
        <f t="shared" ref="AW152:AW215" si="18">IF(AND($AO152="v",$AQ152="v"),AM152,IF(AND($AO152="v",$AQ152&lt;&gt;"v"),AT152,0))</f>
        <v>0</v>
      </c>
      <c r="AX152" s="41"/>
      <c r="AY152" s="41"/>
      <c r="AZ152" s="41"/>
      <c r="BA152" s="81" t="str">
        <f>IF(Data_NaamPersoonVastVrij129="","",Data_NaamPersoonVastVrij129)</f>
        <v/>
      </c>
      <c r="BB152" s="41"/>
      <c r="BC152" s="41"/>
      <c r="BD152" s="83" t="str">
        <f>IF(Data_BeeindigingsdatumVastVrij129="","",Data_BeeindigingsdatumVastVrij129)</f>
        <v/>
      </c>
      <c r="BE152" s="41"/>
      <c r="BF152" s="41"/>
      <c r="BG152" s="82" t="str">
        <f>IF(Data_LoonkostenVastVrij129="","",Data_LoonkostenVastVrij129)</f>
        <v/>
      </c>
      <c r="BH152" s="41"/>
      <c r="BI152" s="76" t="str">
        <f>IF(Data_PersoonAanUitVastVrij129=-1,"v","")</f>
        <v/>
      </c>
      <c r="BJ152" s="41"/>
      <c r="BK152" s="76" t="s">
        <v>160</v>
      </c>
      <c r="BL152" s="41"/>
      <c r="BM152" s="41"/>
      <c r="BN152" s="41"/>
      <c r="BO152" s="41"/>
      <c r="BP152" s="41">
        <f t="shared" ref="BP152:BP215" si="19">IF($BI152="v",BF152,BM152)</f>
        <v>0</v>
      </c>
      <c r="BQ152" s="77">
        <f t="shared" ref="BQ152:BQ215" si="20">IF(AND($BI152="v",$BK152="v"),BG152,IF(AND($BI152="v",$BK152&lt;&gt;"v"),BN152,0))</f>
        <v>0</v>
      </c>
      <c r="BS152" s="81" t="str">
        <f>IF(Data_NaamPersoonVastOntslag129="","",Data_NaamPersoonVastOntslag129)</f>
        <v/>
      </c>
      <c r="BV152" s="83" t="str">
        <f>IF(Data_BeeindigingsdatumVastOntslag129="","",Data_BeeindigingsdatumVastOntslag129)</f>
        <v/>
      </c>
      <c r="BY152" s="82" t="str">
        <f>IF(Data_LoonkostenVastOntslag129="","",Data_LoonkostenVastOntslag129)</f>
        <v/>
      </c>
      <c r="CA152" s="76" t="str">
        <f>IF(Data_PersoonAanUitVastOntslag129=-1,"v","")</f>
        <v/>
      </c>
      <c r="CB152" s="41"/>
      <c r="CC152" s="76" t="s">
        <v>160</v>
      </c>
      <c r="CD152" s="41"/>
      <c r="CE152" s="41"/>
      <c r="CF152" s="41"/>
      <c r="CG152" s="41"/>
      <c r="CH152" s="41">
        <f t="shared" si="15"/>
        <v>0</v>
      </c>
      <c r="CI152" s="41">
        <f t="shared" ref="CI152:CI215" si="21">IF(AND($CA152="v",$CC152="v"),BY152,IF(AND($CA152="v",$CC152&lt;&gt;"v"),CF151,0))</f>
        <v>0</v>
      </c>
    </row>
    <row r="153" spans="8:87" x14ac:dyDescent="0.25">
      <c r="H153" s="81" t="str">
        <f>IF(Data_NaamPersoonNatVerloop130="","",Data_NaamPersoonNatVerloop130)</f>
        <v/>
      </c>
      <c r="I153" s="41"/>
      <c r="J153" s="41"/>
      <c r="K153" s="83" t="str">
        <f>IF(Data_BeeindigingsdatumNatVerloop130="","",Data_BeeindigingsdatumNatVerloop130)</f>
        <v/>
      </c>
      <c r="L153" s="41"/>
      <c r="M153" s="41"/>
      <c r="N153" s="82" t="str">
        <f>IF(Data_LoonkostenNatVerloop130="","",Data_LoonkostenNatVerloop130)</f>
        <v/>
      </c>
      <c r="O153" s="41"/>
      <c r="P153" s="276" t="s">
        <v>160</v>
      </c>
      <c r="Q153" s="41"/>
      <c r="R153" s="76" t="s">
        <v>160</v>
      </c>
      <c r="S153" s="41"/>
      <c r="T153" s="41"/>
      <c r="U153" s="41"/>
      <c r="V153" s="41"/>
      <c r="W153" s="41">
        <f t="shared" si="16"/>
        <v>0</v>
      </c>
      <c r="X153" s="77" t="str">
        <f t="shared" ref="X153:X216" si="22">IF(AND($P153="v",$R153="v"),N153,IF(AND($P153="v",$R153&lt;&gt;"v"),U153,0))</f>
        <v/>
      </c>
      <c r="AG153" s="81" t="str">
        <f>IF(Data_NaamPersoonTijd130="","",Data_NaamPersoonTijd130)</f>
        <v/>
      </c>
      <c r="AH153" s="41"/>
      <c r="AI153" s="41"/>
      <c r="AJ153" s="83" t="str">
        <f>IF(Data_BeeindigingsdatumTijd130="","",Data_BeeindigingsdatumTijd130)</f>
        <v/>
      </c>
      <c r="AK153" s="41"/>
      <c r="AL153" s="41"/>
      <c r="AM153" s="82" t="str">
        <f>IF(Data_LoonkostenTijd130="","",Data_LoonkostenTijd130)</f>
        <v/>
      </c>
      <c r="AN153" s="41"/>
      <c r="AO153" s="276" t="str">
        <f>IF(Data_PersoonAanUitTijd130=-1,"v","")</f>
        <v/>
      </c>
      <c r="AP153" s="41"/>
      <c r="AQ153" s="76" t="s">
        <v>160</v>
      </c>
      <c r="AR153" s="41"/>
      <c r="AS153" s="41"/>
      <c r="AT153" s="41"/>
      <c r="AU153" s="41"/>
      <c r="AV153" s="41">
        <f t="shared" si="17"/>
        <v>0</v>
      </c>
      <c r="AW153" s="77">
        <f t="shared" si="18"/>
        <v>0</v>
      </c>
      <c r="AX153" s="41"/>
      <c r="AY153" s="41"/>
      <c r="AZ153" s="41"/>
      <c r="BA153" s="81" t="str">
        <f>IF(Data_NaamPersoonVastVrij130="","",Data_NaamPersoonVastVrij130)</f>
        <v/>
      </c>
      <c r="BB153" s="41"/>
      <c r="BC153" s="41"/>
      <c r="BD153" s="83" t="str">
        <f>IF(Data_BeeindigingsdatumVastVrij130="","",Data_BeeindigingsdatumVastVrij130)</f>
        <v/>
      </c>
      <c r="BE153" s="41"/>
      <c r="BF153" s="41"/>
      <c r="BG153" s="82" t="str">
        <f>IF(Data_LoonkostenVastVrij130="","",Data_LoonkostenVastVrij130)</f>
        <v/>
      </c>
      <c r="BH153" s="41"/>
      <c r="BI153" s="76" t="str">
        <f>IF(Data_PersoonAanUitVastVrij130=-1,"v","")</f>
        <v/>
      </c>
      <c r="BJ153" s="41"/>
      <c r="BK153" s="76" t="s">
        <v>160</v>
      </c>
      <c r="BL153" s="41"/>
      <c r="BM153" s="41"/>
      <c r="BN153" s="41"/>
      <c r="BO153" s="41"/>
      <c r="BP153" s="41">
        <f t="shared" si="19"/>
        <v>0</v>
      </c>
      <c r="BQ153" s="77">
        <f t="shared" si="20"/>
        <v>0</v>
      </c>
      <c r="BS153" s="81" t="str">
        <f>IF(Data_NaamPersoonVastOntslag130="","",Data_NaamPersoonVastOntslag130)</f>
        <v/>
      </c>
      <c r="BV153" s="83" t="str">
        <f>IF(Data_BeeindigingsdatumVastOntslag130="","",Data_BeeindigingsdatumVastOntslag130)</f>
        <v/>
      </c>
      <c r="BY153" s="82" t="str">
        <f>IF(Data_LoonkostenVastOntslag130="","",Data_LoonkostenVastOntslag130)</f>
        <v/>
      </c>
      <c r="CA153" s="76" t="str">
        <f>IF(Data_PersoonAanUitVastOntslag130=-1,"v","")</f>
        <v/>
      </c>
      <c r="CB153" s="41"/>
      <c r="CC153" s="76" t="s">
        <v>160</v>
      </c>
      <c r="CD153" s="41"/>
      <c r="CE153" s="41"/>
      <c r="CF153" s="41"/>
      <c r="CG153" s="41"/>
      <c r="CH153" s="41">
        <f t="shared" ref="CH153:CH216" si="23">IF($CA153="v",BX153,CE153)</f>
        <v>0</v>
      </c>
      <c r="CI153" s="41">
        <f t="shared" si="21"/>
        <v>0</v>
      </c>
    </row>
    <row r="154" spans="8:87" x14ac:dyDescent="0.25">
      <c r="H154" s="81" t="str">
        <f>IF(Data_NaamPersoonNatVerloop131="","",Data_NaamPersoonNatVerloop131)</f>
        <v/>
      </c>
      <c r="I154" s="41"/>
      <c r="J154" s="41"/>
      <c r="K154" s="83" t="str">
        <f>IF(Data_BeeindigingsdatumNatVerloop131="","",Data_BeeindigingsdatumNatVerloop131)</f>
        <v/>
      </c>
      <c r="L154" s="41"/>
      <c r="M154" s="41"/>
      <c r="N154" s="82" t="str">
        <f>IF(Data_LoonkostenNatVerloop131="","",Data_LoonkostenNatVerloop131)</f>
        <v/>
      </c>
      <c r="O154" s="41"/>
      <c r="P154" s="276" t="s">
        <v>160</v>
      </c>
      <c r="Q154" s="41"/>
      <c r="R154" s="76" t="s">
        <v>160</v>
      </c>
      <c r="S154" s="41"/>
      <c r="T154" s="41"/>
      <c r="U154" s="41"/>
      <c r="V154" s="41"/>
      <c r="W154" s="41">
        <f t="shared" si="16"/>
        <v>0</v>
      </c>
      <c r="X154" s="77" t="str">
        <f t="shared" si="22"/>
        <v/>
      </c>
      <c r="AG154" s="81" t="str">
        <f>IF(Data_NaamPersoonTijd131="","",Data_NaamPersoonTijd131)</f>
        <v/>
      </c>
      <c r="AH154" s="41"/>
      <c r="AI154" s="41"/>
      <c r="AJ154" s="83" t="str">
        <f>IF(Data_BeeindigingsdatumTijd131="","",Data_BeeindigingsdatumTijd131)</f>
        <v/>
      </c>
      <c r="AK154" s="41"/>
      <c r="AL154" s="41"/>
      <c r="AM154" s="82" t="str">
        <f>IF(Data_LoonkostenTijd131="","",Data_LoonkostenTijd131)</f>
        <v/>
      </c>
      <c r="AN154" s="41"/>
      <c r="AO154" s="276" t="str">
        <f>IF(Data_PersoonAanUitTijd131=-1,"v","")</f>
        <v/>
      </c>
      <c r="AP154" s="41"/>
      <c r="AQ154" s="76" t="s">
        <v>160</v>
      </c>
      <c r="AR154" s="41"/>
      <c r="AS154" s="41"/>
      <c r="AT154" s="41"/>
      <c r="AU154" s="41"/>
      <c r="AV154" s="41">
        <f t="shared" si="17"/>
        <v>0</v>
      </c>
      <c r="AW154" s="77">
        <f t="shared" si="18"/>
        <v>0</v>
      </c>
      <c r="AX154" s="41"/>
      <c r="AY154" s="41"/>
      <c r="AZ154" s="41"/>
      <c r="BA154" s="81" t="str">
        <f>IF(Data_NaamPersoonVastVrij131="","",Data_NaamPersoonVastVrij131)</f>
        <v/>
      </c>
      <c r="BB154" s="41"/>
      <c r="BC154" s="41"/>
      <c r="BD154" s="83" t="str">
        <f>IF(Data_BeeindigingsdatumVastVrij131="","",Data_BeeindigingsdatumVastVrij131)</f>
        <v/>
      </c>
      <c r="BE154" s="41"/>
      <c r="BF154" s="41"/>
      <c r="BG154" s="82" t="str">
        <f>IF(Data_LoonkostenVastVrij131="","",Data_LoonkostenVastVrij131)</f>
        <v/>
      </c>
      <c r="BH154" s="41"/>
      <c r="BI154" s="76" t="str">
        <f>IF(Data_PersoonAanUitVastVrij131=-1,"v","")</f>
        <v/>
      </c>
      <c r="BJ154" s="41"/>
      <c r="BK154" s="76" t="s">
        <v>160</v>
      </c>
      <c r="BL154" s="41"/>
      <c r="BM154" s="41"/>
      <c r="BN154" s="41"/>
      <c r="BO154" s="41"/>
      <c r="BP154" s="41">
        <f t="shared" si="19"/>
        <v>0</v>
      </c>
      <c r="BQ154" s="77">
        <f t="shared" si="20"/>
        <v>0</v>
      </c>
      <c r="BS154" s="81" t="str">
        <f>IF(Data_NaamPersoonVastOntslag131="","",Data_NaamPersoonVastOntslag131)</f>
        <v/>
      </c>
      <c r="BV154" s="83" t="str">
        <f>IF(Data_BeeindigingsdatumVastOntslag131="","",Data_BeeindigingsdatumVastOntslag131)</f>
        <v/>
      </c>
      <c r="BY154" s="82" t="str">
        <f>IF(Data_LoonkostenVastOntslag131="","",Data_LoonkostenVastOntslag131)</f>
        <v/>
      </c>
      <c r="CA154" s="76" t="str">
        <f>IF(Data_PersoonAanUitVastOntslag131=-1,"v","")</f>
        <v/>
      </c>
      <c r="CB154" s="41"/>
      <c r="CC154" s="76" t="s">
        <v>160</v>
      </c>
      <c r="CD154" s="41"/>
      <c r="CE154" s="41"/>
      <c r="CF154" s="41"/>
      <c r="CG154" s="41"/>
      <c r="CH154" s="41">
        <f t="shared" si="23"/>
        <v>0</v>
      </c>
      <c r="CI154" s="41">
        <f t="shared" si="21"/>
        <v>0</v>
      </c>
    </row>
    <row r="155" spans="8:87" x14ac:dyDescent="0.25">
      <c r="H155" s="81" t="str">
        <f>IF(Data_NaamPersoonNatVerloop132="","",Data_NaamPersoonNatVerloop132)</f>
        <v/>
      </c>
      <c r="I155" s="41"/>
      <c r="J155" s="41"/>
      <c r="K155" s="83" t="str">
        <f>IF(Data_BeeindigingsdatumNatVerloop132="","",Data_BeeindigingsdatumNatVerloop132)</f>
        <v/>
      </c>
      <c r="L155" s="41"/>
      <c r="M155" s="41"/>
      <c r="N155" s="82" t="str">
        <f>IF(Data_LoonkostenNatVerloop132="","",Data_LoonkostenNatVerloop132)</f>
        <v/>
      </c>
      <c r="O155" s="41"/>
      <c r="P155" s="276" t="s">
        <v>160</v>
      </c>
      <c r="Q155" s="41"/>
      <c r="R155" s="76" t="s">
        <v>160</v>
      </c>
      <c r="S155" s="41"/>
      <c r="T155" s="41"/>
      <c r="U155" s="41"/>
      <c r="V155" s="41"/>
      <c r="W155" s="41">
        <f t="shared" si="16"/>
        <v>0</v>
      </c>
      <c r="X155" s="77" t="str">
        <f t="shared" si="22"/>
        <v/>
      </c>
      <c r="AG155" s="81" t="str">
        <f>IF(Data_NaamPersoonTijd132="","",Data_NaamPersoonTijd132)</f>
        <v/>
      </c>
      <c r="AH155" s="41"/>
      <c r="AI155" s="41"/>
      <c r="AJ155" s="83" t="str">
        <f>IF(Data_BeeindigingsdatumTijd132="","",Data_BeeindigingsdatumTijd132)</f>
        <v/>
      </c>
      <c r="AK155" s="41"/>
      <c r="AL155" s="41"/>
      <c r="AM155" s="82" t="str">
        <f>IF(Data_LoonkostenTijd132="","",Data_LoonkostenTijd132)</f>
        <v/>
      </c>
      <c r="AN155" s="41"/>
      <c r="AO155" s="276" t="str">
        <f>IF(Data_PersoonAanUitTijd132=-1,"v","")</f>
        <v/>
      </c>
      <c r="AP155" s="41"/>
      <c r="AQ155" s="76" t="s">
        <v>160</v>
      </c>
      <c r="AR155" s="41"/>
      <c r="AS155" s="41"/>
      <c r="AT155" s="41"/>
      <c r="AU155" s="41"/>
      <c r="AV155" s="41">
        <f t="shared" si="17"/>
        <v>0</v>
      </c>
      <c r="AW155" s="77">
        <f t="shared" si="18"/>
        <v>0</v>
      </c>
      <c r="AX155" s="41"/>
      <c r="AY155" s="41"/>
      <c r="AZ155" s="41"/>
      <c r="BA155" s="81" t="str">
        <f>IF(Data_NaamPersoonVastVrij132="","",Data_NaamPersoonVastVrij132)</f>
        <v/>
      </c>
      <c r="BB155" s="41"/>
      <c r="BC155" s="41"/>
      <c r="BD155" s="83" t="str">
        <f>IF(Data_BeeindigingsdatumVastVrij132="","",Data_BeeindigingsdatumVastVrij132)</f>
        <v/>
      </c>
      <c r="BE155" s="41"/>
      <c r="BF155" s="41"/>
      <c r="BG155" s="82" t="str">
        <f>IF(Data_LoonkostenVastVrij132="","",Data_LoonkostenVastVrij132)</f>
        <v/>
      </c>
      <c r="BH155" s="41"/>
      <c r="BI155" s="76" t="str">
        <f>IF(Data_PersoonAanUitVastVrij132=-1,"v","")</f>
        <v/>
      </c>
      <c r="BJ155" s="41"/>
      <c r="BK155" s="76" t="s">
        <v>160</v>
      </c>
      <c r="BL155" s="41"/>
      <c r="BM155" s="41"/>
      <c r="BN155" s="41"/>
      <c r="BO155" s="41"/>
      <c r="BP155" s="41">
        <f t="shared" si="19"/>
        <v>0</v>
      </c>
      <c r="BQ155" s="77">
        <f t="shared" si="20"/>
        <v>0</v>
      </c>
      <c r="BS155" s="81" t="str">
        <f>IF(Data_NaamPersoonVastOntslag132="","",Data_NaamPersoonVastOntslag132)</f>
        <v/>
      </c>
      <c r="BV155" s="83" t="str">
        <f>IF(Data_BeeindigingsdatumVastOntslag132="","",Data_BeeindigingsdatumVastOntslag132)</f>
        <v/>
      </c>
      <c r="BY155" s="82" t="str">
        <f>IF(Data_LoonkostenVastOntslag132="","",Data_LoonkostenVastOntslag132)</f>
        <v/>
      </c>
      <c r="CA155" s="76" t="str">
        <f>IF(Data_PersoonAanUitVastOntslag132=-1,"v","")</f>
        <v/>
      </c>
      <c r="CB155" s="41"/>
      <c r="CC155" s="76" t="s">
        <v>160</v>
      </c>
      <c r="CD155" s="41"/>
      <c r="CE155" s="41"/>
      <c r="CF155" s="41"/>
      <c r="CG155" s="41"/>
      <c r="CH155" s="41">
        <f t="shared" si="23"/>
        <v>0</v>
      </c>
      <c r="CI155" s="41">
        <f t="shared" si="21"/>
        <v>0</v>
      </c>
    </row>
    <row r="156" spans="8:87" x14ac:dyDescent="0.25">
      <c r="H156" s="81" t="str">
        <f>IF(Data_NaamPersoonNatVerloop133="","",Data_NaamPersoonNatVerloop133)</f>
        <v/>
      </c>
      <c r="I156" s="41"/>
      <c r="J156" s="41"/>
      <c r="K156" s="83" t="str">
        <f>IF(Data_BeeindigingsdatumNatVerloop133="","",Data_BeeindigingsdatumNatVerloop133)</f>
        <v/>
      </c>
      <c r="L156" s="41"/>
      <c r="M156" s="41"/>
      <c r="N156" s="82" t="str">
        <f>IF(Data_LoonkostenNatVerloop133="","",Data_LoonkostenNatVerloop133)</f>
        <v/>
      </c>
      <c r="O156" s="41"/>
      <c r="P156" s="276" t="s">
        <v>160</v>
      </c>
      <c r="Q156" s="41"/>
      <c r="R156" s="76" t="s">
        <v>160</v>
      </c>
      <c r="S156" s="41"/>
      <c r="T156" s="41"/>
      <c r="U156" s="41"/>
      <c r="V156" s="41"/>
      <c r="W156" s="41">
        <f t="shared" si="16"/>
        <v>0</v>
      </c>
      <c r="X156" s="77" t="str">
        <f t="shared" si="22"/>
        <v/>
      </c>
      <c r="AG156" s="81" t="str">
        <f>IF(Data_NaamPersoonTijd133="","",Data_NaamPersoonTijd133)</f>
        <v/>
      </c>
      <c r="AH156" s="41"/>
      <c r="AI156" s="41"/>
      <c r="AJ156" s="83" t="str">
        <f>IF(Data_BeeindigingsdatumTijd133="","",Data_BeeindigingsdatumTijd133)</f>
        <v/>
      </c>
      <c r="AK156" s="41"/>
      <c r="AL156" s="41"/>
      <c r="AM156" s="82" t="str">
        <f>IF(Data_LoonkostenTijd133="","",Data_LoonkostenTijd133)</f>
        <v/>
      </c>
      <c r="AN156" s="41"/>
      <c r="AO156" s="276" t="str">
        <f>IF(Data_PersoonAanUitTijd133=-1,"v","")</f>
        <v/>
      </c>
      <c r="AP156" s="41"/>
      <c r="AQ156" s="76" t="s">
        <v>160</v>
      </c>
      <c r="AR156" s="41"/>
      <c r="AS156" s="41"/>
      <c r="AT156" s="41"/>
      <c r="AU156" s="41"/>
      <c r="AV156" s="41">
        <f t="shared" si="17"/>
        <v>0</v>
      </c>
      <c r="AW156" s="77">
        <f t="shared" si="18"/>
        <v>0</v>
      </c>
      <c r="AX156" s="41"/>
      <c r="AY156" s="41"/>
      <c r="AZ156" s="41"/>
      <c r="BA156" s="81" t="str">
        <f>IF(Data_NaamPersoonVastVrij133="","",Data_NaamPersoonVastVrij133)</f>
        <v/>
      </c>
      <c r="BB156" s="41"/>
      <c r="BC156" s="41"/>
      <c r="BD156" s="83" t="str">
        <f>IF(Data_BeeindigingsdatumVastVrij133="","",Data_BeeindigingsdatumVastVrij133)</f>
        <v/>
      </c>
      <c r="BE156" s="41"/>
      <c r="BF156" s="41"/>
      <c r="BG156" s="82" t="str">
        <f>IF(Data_LoonkostenVastVrij133="","",Data_LoonkostenVastVrij133)</f>
        <v/>
      </c>
      <c r="BH156" s="41"/>
      <c r="BI156" s="76" t="str">
        <f>IF(Data_PersoonAanUitVastVrij133=-1,"v","")</f>
        <v/>
      </c>
      <c r="BJ156" s="41"/>
      <c r="BK156" s="76" t="s">
        <v>160</v>
      </c>
      <c r="BL156" s="41"/>
      <c r="BM156" s="41"/>
      <c r="BN156" s="41"/>
      <c r="BO156" s="41"/>
      <c r="BP156" s="41">
        <f t="shared" si="19"/>
        <v>0</v>
      </c>
      <c r="BQ156" s="77">
        <f t="shared" si="20"/>
        <v>0</v>
      </c>
      <c r="BS156" s="81" t="str">
        <f>IF(Data_NaamPersoonVastOntslag133="","",Data_NaamPersoonVastOntslag133)</f>
        <v/>
      </c>
      <c r="BV156" s="83" t="str">
        <f>IF(Data_BeeindigingsdatumVastOntslag133="","",Data_BeeindigingsdatumVastOntslag133)</f>
        <v/>
      </c>
      <c r="BY156" s="82" t="str">
        <f>IF(Data_LoonkostenVastOntslag133="","",Data_LoonkostenVastOntslag133)</f>
        <v/>
      </c>
      <c r="CA156" s="76" t="str">
        <f>IF(Data_PersoonAanUitVastOntslag133=-1,"v","")</f>
        <v/>
      </c>
      <c r="CB156" s="41"/>
      <c r="CC156" s="76" t="s">
        <v>160</v>
      </c>
      <c r="CD156" s="41"/>
      <c r="CE156" s="41"/>
      <c r="CF156" s="41"/>
      <c r="CG156" s="41"/>
      <c r="CH156" s="41">
        <f t="shared" si="23"/>
        <v>0</v>
      </c>
      <c r="CI156" s="41">
        <f t="shared" si="21"/>
        <v>0</v>
      </c>
    </row>
    <row r="157" spans="8:87" x14ac:dyDescent="0.25">
      <c r="H157" s="81" t="str">
        <f>IF(Data_NaamPersoonNatVerloop134="","",Data_NaamPersoonNatVerloop134)</f>
        <v/>
      </c>
      <c r="I157" s="41"/>
      <c r="J157" s="41"/>
      <c r="K157" s="83" t="str">
        <f>IF(Data_BeeindigingsdatumNatVerloop134="","",Data_BeeindigingsdatumNatVerloop134)</f>
        <v/>
      </c>
      <c r="L157" s="41"/>
      <c r="M157" s="41"/>
      <c r="N157" s="82" t="str">
        <f>IF(Data_LoonkostenNatVerloop134="","",Data_LoonkostenNatVerloop134)</f>
        <v/>
      </c>
      <c r="O157" s="41"/>
      <c r="P157" s="276" t="s">
        <v>160</v>
      </c>
      <c r="Q157" s="41"/>
      <c r="R157" s="76" t="s">
        <v>160</v>
      </c>
      <c r="S157" s="41"/>
      <c r="T157" s="41"/>
      <c r="U157" s="41"/>
      <c r="V157" s="41"/>
      <c r="W157" s="41">
        <f t="shared" si="16"/>
        <v>0</v>
      </c>
      <c r="X157" s="77" t="str">
        <f t="shared" si="22"/>
        <v/>
      </c>
      <c r="AG157" s="81" t="str">
        <f>IF(Data_NaamPersoonTijd134="","",Data_NaamPersoonTijd134)</f>
        <v/>
      </c>
      <c r="AH157" s="41"/>
      <c r="AI157" s="41"/>
      <c r="AJ157" s="83" t="str">
        <f>IF(Data_BeeindigingsdatumTijd134="","",Data_BeeindigingsdatumTijd134)</f>
        <v/>
      </c>
      <c r="AK157" s="41"/>
      <c r="AL157" s="41"/>
      <c r="AM157" s="82" t="str">
        <f>IF(Data_LoonkostenTijd134="","",Data_LoonkostenTijd134)</f>
        <v/>
      </c>
      <c r="AN157" s="41"/>
      <c r="AO157" s="276" t="str">
        <f>IF(Data_PersoonAanUitTijd134=-1,"v","")</f>
        <v/>
      </c>
      <c r="AP157" s="41"/>
      <c r="AQ157" s="76" t="s">
        <v>160</v>
      </c>
      <c r="AR157" s="41"/>
      <c r="AS157" s="41"/>
      <c r="AT157" s="41"/>
      <c r="AU157" s="41"/>
      <c r="AV157" s="41">
        <f t="shared" si="17"/>
        <v>0</v>
      </c>
      <c r="AW157" s="77">
        <f t="shared" si="18"/>
        <v>0</v>
      </c>
      <c r="AX157" s="41"/>
      <c r="AY157" s="41"/>
      <c r="AZ157" s="41"/>
      <c r="BA157" s="81" t="str">
        <f>IF(Data_NaamPersoonVastVrij134="","",Data_NaamPersoonVastVrij134)</f>
        <v/>
      </c>
      <c r="BB157" s="41"/>
      <c r="BC157" s="41"/>
      <c r="BD157" s="83" t="str">
        <f>IF(Data_BeeindigingsdatumVastVrij134="","",Data_BeeindigingsdatumVastVrij134)</f>
        <v/>
      </c>
      <c r="BE157" s="41"/>
      <c r="BF157" s="41"/>
      <c r="BG157" s="82" t="str">
        <f>IF(Data_LoonkostenVastVrij134="","",Data_LoonkostenVastVrij134)</f>
        <v/>
      </c>
      <c r="BH157" s="41"/>
      <c r="BI157" s="76" t="str">
        <f>IF(Data_PersoonAanUitVastVrij134=-1,"v","")</f>
        <v/>
      </c>
      <c r="BJ157" s="41"/>
      <c r="BK157" s="76" t="s">
        <v>160</v>
      </c>
      <c r="BL157" s="41"/>
      <c r="BM157" s="41"/>
      <c r="BN157" s="41"/>
      <c r="BO157" s="41"/>
      <c r="BP157" s="41">
        <f t="shared" si="19"/>
        <v>0</v>
      </c>
      <c r="BQ157" s="77">
        <f t="shared" si="20"/>
        <v>0</v>
      </c>
      <c r="BS157" s="81" t="str">
        <f>IF(Data_NaamPersoonVastOntslag134="","",Data_NaamPersoonVastOntslag134)</f>
        <v/>
      </c>
      <c r="BV157" s="83" t="str">
        <f>IF(Data_BeeindigingsdatumVastOntslag134="","",Data_BeeindigingsdatumVastOntslag134)</f>
        <v/>
      </c>
      <c r="BY157" s="82" t="str">
        <f>IF(Data_LoonkostenVastOntslag134="","",Data_LoonkostenVastOntslag134)</f>
        <v/>
      </c>
      <c r="CA157" s="76" t="str">
        <f>IF(Data_PersoonAanUitVastOntslag134=-1,"v","")</f>
        <v/>
      </c>
      <c r="CB157" s="41"/>
      <c r="CC157" s="76" t="s">
        <v>160</v>
      </c>
      <c r="CD157" s="41"/>
      <c r="CE157" s="41"/>
      <c r="CF157" s="41"/>
      <c r="CG157" s="41"/>
      <c r="CH157" s="41">
        <f t="shared" si="23"/>
        <v>0</v>
      </c>
      <c r="CI157" s="41">
        <f t="shared" si="21"/>
        <v>0</v>
      </c>
    </row>
    <row r="158" spans="8:87" x14ac:dyDescent="0.25">
      <c r="H158" s="81" t="str">
        <f>IF(Data_NaamPersoonNatVerloop135="","",Data_NaamPersoonNatVerloop135)</f>
        <v/>
      </c>
      <c r="I158" s="41"/>
      <c r="J158" s="41"/>
      <c r="K158" s="83" t="str">
        <f>IF(Data_BeeindigingsdatumNatVerloop135="","",Data_BeeindigingsdatumNatVerloop135)</f>
        <v/>
      </c>
      <c r="L158" s="41"/>
      <c r="M158" s="41"/>
      <c r="N158" s="82" t="str">
        <f>IF(Data_LoonkostenNatVerloop135="","",Data_LoonkostenNatVerloop135)</f>
        <v/>
      </c>
      <c r="O158" s="41"/>
      <c r="P158" s="276" t="s">
        <v>160</v>
      </c>
      <c r="Q158" s="41"/>
      <c r="R158" s="76" t="s">
        <v>160</v>
      </c>
      <c r="S158" s="41"/>
      <c r="T158" s="41"/>
      <c r="U158" s="41"/>
      <c r="V158" s="41"/>
      <c r="W158" s="41">
        <f t="shared" si="16"/>
        <v>0</v>
      </c>
      <c r="X158" s="77" t="str">
        <f t="shared" si="22"/>
        <v/>
      </c>
      <c r="AG158" s="81" t="str">
        <f>IF(Data_NaamPersoonTijd135="","",Data_NaamPersoonTijd135)</f>
        <v/>
      </c>
      <c r="AH158" s="41"/>
      <c r="AI158" s="41"/>
      <c r="AJ158" s="83" t="str">
        <f>IF(Data_BeeindigingsdatumTijd135="","",Data_BeeindigingsdatumTijd135)</f>
        <v/>
      </c>
      <c r="AK158" s="41"/>
      <c r="AL158" s="41"/>
      <c r="AM158" s="82" t="str">
        <f>IF(Data_LoonkostenTijd135="","",Data_LoonkostenTijd135)</f>
        <v/>
      </c>
      <c r="AN158" s="41"/>
      <c r="AO158" s="276" t="str">
        <f>IF(Data_PersoonAanUitTijd135=-1,"v","")</f>
        <v/>
      </c>
      <c r="AP158" s="41"/>
      <c r="AQ158" s="76" t="s">
        <v>160</v>
      </c>
      <c r="AR158" s="41"/>
      <c r="AS158" s="41"/>
      <c r="AT158" s="41"/>
      <c r="AU158" s="41"/>
      <c r="AV158" s="41">
        <f t="shared" si="17"/>
        <v>0</v>
      </c>
      <c r="AW158" s="77">
        <f t="shared" si="18"/>
        <v>0</v>
      </c>
      <c r="AX158" s="41"/>
      <c r="AY158" s="41"/>
      <c r="AZ158" s="41"/>
      <c r="BA158" s="81" t="str">
        <f>IF(Data_NaamPersoonVastVrij135="","",Data_NaamPersoonVastVrij135)</f>
        <v/>
      </c>
      <c r="BB158" s="41"/>
      <c r="BC158" s="41"/>
      <c r="BD158" s="83" t="str">
        <f>IF(Data_BeeindigingsdatumVastVrij135="","",Data_BeeindigingsdatumVastVrij135)</f>
        <v/>
      </c>
      <c r="BE158" s="41"/>
      <c r="BF158" s="41"/>
      <c r="BG158" s="82" t="str">
        <f>IF(Data_LoonkostenVastVrij135="","",Data_LoonkostenVastVrij135)</f>
        <v/>
      </c>
      <c r="BH158" s="41"/>
      <c r="BI158" s="76" t="str">
        <f>IF(Data_PersoonAanUitVastVrij135=-1,"v","")</f>
        <v/>
      </c>
      <c r="BJ158" s="41"/>
      <c r="BK158" s="76" t="s">
        <v>160</v>
      </c>
      <c r="BL158" s="41"/>
      <c r="BM158" s="41"/>
      <c r="BN158" s="41"/>
      <c r="BO158" s="41"/>
      <c r="BP158" s="41">
        <f t="shared" si="19"/>
        <v>0</v>
      </c>
      <c r="BQ158" s="77">
        <f t="shared" si="20"/>
        <v>0</v>
      </c>
      <c r="BS158" s="81" t="str">
        <f>IF(Data_NaamPersoonVastOntslag135="","",Data_NaamPersoonVastOntslag135)</f>
        <v/>
      </c>
      <c r="BV158" s="83" t="str">
        <f>IF(Data_BeeindigingsdatumVastOntslag135="","",Data_BeeindigingsdatumVastOntslag135)</f>
        <v/>
      </c>
      <c r="BY158" s="82" t="str">
        <f>IF(Data_LoonkostenVastOntslag135="","",Data_LoonkostenVastOntslag135)</f>
        <v/>
      </c>
      <c r="CA158" s="76" t="str">
        <f>IF(Data_PersoonAanUitVastOntslag135=-1,"v","")</f>
        <v/>
      </c>
      <c r="CB158" s="41"/>
      <c r="CC158" s="76" t="s">
        <v>160</v>
      </c>
      <c r="CD158" s="41"/>
      <c r="CE158" s="41"/>
      <c r="CF158" s="41"/>
      <c r="CG158" s="41"/>
      <c r="CH158" s="41">
        <f t="shared" si="23"/>
        <v>0</v>
      </c>
      <c r="CI158" s="41">
        <f t="shared" si="21"/>
        <v>0</v>
      </c>
    </row>
    <row r="159" spans="8:87" x14ac:dyDescent="0.25">
      <c r="H159" s="81" t="str">
        <f>IF(Data_NaamPersoonNatVerloop136="","",Data_NaamPersoonNatVerloop136)</f>
        <v/>
      </c>
      <c r="I159" s="41"/>
      <c r="J159" s="41"/>
      <c r="K159" s="83" t="str">
        <f>IF(Data_BeeindigingsdatumNatVerloop136="","",Data_BeeindigingsdatumNatVerloop136)</f>
        <v/>
      </c>
      <c r="L159" s="41"/>
      <c r="M159" s="41"/>
      <c r="N159" s="82" t="str">
        <f>IF(Data_LoonkostenNatVerloop136="","",Data_LoonkostenNatVerloop136)</f>
        <v/>
      </c>
      <c r="O159" s="41"/>
      <c r="P159" s="276" t="s">
        <v>160</v>
      </c>
      <c r="Q159" s="41"/>
      <c r="R159" s="76" t="s">
        <v>160</v>
      </c>
      <c r="S159" s="41"/>
      <c r="T159" s="41"/>
      <c r="U159" s="41"/>
      <c r="V159" s="41"/>
      <c r="W159" s="41">
        <f t="shared" si="16"/>
        <v>0</v>
      </c>
      <c r="X159" s="77" t="str">
        <f t="shared" si="22"/>
        <v/>
      </c>
      <c r="AG159" s="81" t="str">
        <f>IF(Data_NaamPersoonTijd136="","",Data_NaamPersoonTijd136)</f>
        <v/>
      </c>
      <c r="AH159" s="41"/>
      <c r="AI159" s="41"/>
      <c r="AJ159" s="83" t="str">
        <f>IF(Data_BeeindigingsdatumTijd136="","",Data_BeeindigingsdatumTijd136)</f>
        <v/>
      </c>
      <c r="AK159" s="41"/>
      <c r="AL159" s="41"/>
      <c r="AM159" s="82" t="str">
        <f>IF(Data_LoonkostenTijd136="","",Data_LoonkostenTijd136)</f>
        <v/>
      </c>
      <c r="AN159" s="41"/>
      <c r="AO159" s="276" t="str">
        <f>IF(Data_PersoonAanUitTijd136=-1,"v","")</f>
        <v/>
      </c>
      <c r="AP159" s="41"/>
      <c r="AQ159" s="76" t="s">
        <v>160</v>
      </c>
      <c r="AR159" s="41"/>
      <c r="AS159" s="41"/>
      <c r="AT159" s="41"/>
      <c r="AU159" s="41"/>
      <c r="AV159" s="41">
        <f t="shared" si="17"/>
        <v>0</v>
      </c>
      <c r="AW159" s="77">
        <f t="shared" si="18"/>
        <v>0</v>
      </c>
      <c r="AX159" s="41"/>
      <c r="AY159" s="41"/>
      <c r="AZ159" s="41"/>
      <c r="BA159" s="81" t="str">
        <f>IF(Data_NaamPersoonVastVrij136="","",Data_NaamPersoonVastVrij136)</f>
        <v/>
      </c>
      <c r="BB159" s="41"/>
      <c r="BC159" s="41"/>
      <c r="BD159" s="83" t="str">
        <f>IF(Data_BeeindigingsdatumVastVrij136="","",Data_BeeindigingsdatumVastVrij136)</f>
        <v/>
      </c>
      <c r="BE159" s="41"/>
      <c r="BF159" s="41"/>
      <c r="BG159" s="82" t="str">
        <f>IF(Data_LoonkostenVastVrij136="","",Data_LoonkostenVastVrij136)</f>
        <v/>
      </c>
      <c r="BH159" s="41"/>
      <c r="BI159" s="76" t="str">
        <f>IF(Data_PersoonAanUitVastVrij136=-1,"v","")</f>
        <v/>
      </c>
      <c r="BJ159" s="41"/>
      <c r="BK159" s="76" t="s">
        <v>160</v>
      </c>
      <c r="BL159" s="41"/>
      <c r="BM159" s="41"/>
      <c r="BN159" s="41"/>
      <c r="BO159" s="41"/>
      <c r="BP159" s="41">
        <f t="shared" si="19"/>
        <v>0</v>
      </c>
      <c r="BQ159" s="77">
        <f t="shared" si="20"/>
        <v>0</v>
      </c>
      <c r="BS159" s="81" t="str">
        <f>IF(Data_NaamPersoonVastOntslag136="","",Data_NaamPersoonVastOntslag136)</f>
        <v/>
      </c>
      <c r="BV159" s="83" t="str">
        <f>IF(Data_BeeindigingsdatumVastOntslag136="","",Data_BeeindigingsdatumVastOntslag136)</f>
        <v/>
      </c>
      <c r="BY159" s="82" t="str">
        <f>IF(Data_LoonkostenVastOntslag136="","",Data_LoonkostenVastOntslag136)</f>
        <v/>
      </c>
      <c r="CA159" s="76" t="str">
        <f>IF(Data_PersoonAanUitVastOntslag136=-1,"v","")</f>
        <v/>
      </c>
      <c r="CB159" s="41"/>
      <c r="CC159" s="76" t="s">
        <v>160</v>
      </c>
      <c r="CD159" s="41"/>
      <c r="CE159" s="41"/>
      <c r="CF159" s="41"/>
      <c r="CG159" s="41"/>
      <c r="CH159" s="41">
        <f t="shared" si="23"/>
        <v>0</v>
      </c>
      <c r="CI159" s="41">
        <f t="shared" si="21"/>
        <v>0</v>
      </c>
    </row>
    <row r="160" spans="8:87" x14ac:dyDescent="0.25">
      <c r="H160" s="81" t="str">
        <f>IF(Data_NaamPersoonNatVerloop137="","",Data_NaamPersoonNatVerloop137)</f>
        <v/>
      </c>
      <c r="I160" s="41"/>
      <c r="J160" s="41"/>
      <c r="K160" s="83" t="str">
        <f>IF(Data_BeeindigingsdatumNatVerloop137="","",Data_BeeindigingsdatumNatVerloop137)</f>
        <v/>
      </c>
      <c r="L160" s="41"/>
      <c r="M160" s="41"/>
      <c r="N160" s="82" t="str">
        <f>IF(Data_LoonkostenNatVerloop137="","",Data_LoonkostenNatVerloop137)</f>
        <v/>
      </c>
      <c r="O160" s="41"/>
      <c r="P160" s="276" t="s">
        <v>160</v>
      </c>
      <c r="Q160" s="41"/>
      <c r="R160" s="76" t="s">
        <v>160</v>
      </c>
      <c r="S160" s="41"/>
      <c r="T160" s="41"/>
      <c r="U160" s="41"/>
      <c r="V160" s="41"/>
      <c r="W160" s="41">
        <f t="shared" si="16"/>
        <v>0</v>
      </c>
      <c r="X160" s="77" t="str">
        <f t="shared" si="22"/>
        <v/>
      </c>
      <c r="AG160" s="81" t="str">
        <f>IF(Data_NaamPersoonTijd137="","",Data_NaamPersoonTijd137)</f>
        <v/>
      </c>
      <c r="AH160" s="41"/>
      <c r="AI160" s="41"/>
      <c r="AJ160" s="83" t="str">
        <f>IF(Data_BeeindigingsdatumTijd137="","",Data_BeeindigingsdatumTijd137)</f>
        <v/>
      </c>
      <c r="AK160" s="41"/>
      <c r="AL160" s="41"/>
      <c r="AM160" s="82" t="str">
        <f>IF(Data_LoonkostenTijd137="","",Data_LoonkostenTijd137)</f>
        <v/>
      </c>
      <c r="AN160" s="41"/>
      <c r="AO160" s="276" t="str">
        <f>IF(Data_PersoonAanUitTijd137=-1,"v","")</f>
        <v/>
      </c>
      <c r="AP160" s="41"/>
      <c r="AQ160" s="76" t="s">
        <v>160</v>
      </c>
      <c r="AR160" s="41"/>
      <c r="AS160" s="41"/>
      <c r="AT160" s="41"/>
      <c r="AU160" s="41"/>
      <c r="AV160" s="41">
        <f t="shared" si="17"/>
        <v>0</v>
      </c>
      <c r="AW160" s="77">
        <f t="shared" si="18"/>
        <v>0</v>
      </c>
      <c r="AX160" s="41"/>
      <c r="AY160" s="41"/>
      <c r="AZ160" s="41"/>
      <c r="BA160" s="81" t="str">
        <f>IF(Data_NaamPersoonVastVrij137="","",Data_NaamPersoonVastVrij137)</f>
        <v/>
      </c>
      <c r="BB160" s="41"/>
      <c r="BC160" s="41"/>
      <c r="BD160" s="83" t="str">
        <f>IF(Data_BeeindigingsdatumVastVrij137="","",Data_BeeindigingsdatumVastVrij137)</f>
        <v/>
      </c>
      <c r="BE160" s="41"/>
      <c r="BF160" s="41"/>
      <c r="BG160" s="82" t="str">
        <f>IF(Data_LoonkostenVastVrij137="","",Data_LoonkostenVastVrij137)</f>
        <v/>
      </c>
      <c r="BH160" s="41"/>
      <c r="BI160" s="76" t="str">
        <f>IF(Data_PersoonAanUitVastVrij137=-1,"v","")</f>
        <v/>
      </c>
      <c r="BJ160" s="41"/>
      <c r="BK160" s="76" t="s">
        <v>160</v>
      </c>
      <c r="BL160" s="41"/>
      <c r="BM160" s="41"/>
      <c r="BN160" s="41"/>
      <c r="BO160" s="41"/>
      <c r="BP160" s="41">
        <f t="shared" si="19"/>
        <v>0</v>
      </c>
      <c r="BQ160" s="77">
        <f t="shared" si="20"/>
        <v>0</v>
      </c>
      <c r="BS160" s="81" t="str">
        <f>IF(Data_NaamPersoonVastOntslag137="","",Data_NaamPersoonVastOntslag137)</f>
        <v/>
      </c>
      <c r="BV160" s="83" t="str">
        <f>IF(Data_BeeindigingsdatumVastOntslag137="","",Data_BeeindigingsdatumVastOntslag137)</f>
        <v/>
      </c>
      <c r="BY160" s="82" t="str">
        <f>IF(Data_LoonkostenVastOntslag137="","",Data_LoonkostenVastOntslag137)</f>
        <v/>
      </c>
      <c r="CA160" s="76" t="str">
        <f>IF(Data_PersoonAanUitVastOntslag137=-1,"v","")</f>
        <v/>
      </c>
      <c r="CB160" s="41"/>
      <c r="CC160" s="76" t="s">
        <v>160</v>
      </c>
      <c r="CD160" s="41"/>
      <c r="CE160" s="41"/>
      <c r="CF160" s="41"/>
      <c r="CG160" s="41"/>
      <c r="CH160" s="41">
        <f t="shared" si="23"/>
        <v>0</v>
      </c>
      <c r="CI160" s="41">
        <f t="shared" si="21"/>
        <v>0</v>
      </c>
    </row>
    <row r="161" spans="8:87" x14ac:dyDescent="0.25">
      <c r="H161" s="81" t="str">
        <f>IF(Data_NaamPersoonNatVerloop138="","",Data_NaamPersoonNatVerloop138)</f>
        <v/>
      </c>
      <c r="I161" s="41"/>
      <c r="J161" s="41"/>
      <c r="K161" s="83" t="str">
        <f>IF(Data_BeeindigingsdatumNatVerloop138="","",Data_BeeindigingsdatumNatVerloop138)</f>
        <v/>
      </c>
      <c r="L161" s="41"/>
      <c r="M161" s="41"/>
      <c r="N161" s="82" t="str">
        <f>IF(Data_LoonkostenNatVerloop138="","",Data_LoonkostenNatVerloop138)</f>
        <v/>
      </c>
      <c r="O161" s="41"/>
      <c r="P161" s="276" t="s">
        <v>160</v>
      </c>
      <c r="Q161" s="41"/>
      <c r="R161" s="76" t="s">
        <v>160</v>
      </c>
      <c r="S161" s="41"/>
      <c r="T161" s="41"/>
      <c r="U161" s="41"/>
      <c r="V161" s="41"/>
      <c r="W161" s="41">
        <f t="shared" si="16"/>
        <v>0</v>
      </c>
      <c r="X161" s="77" t="str">
        <f t="shared" si="22"/>
        <v/>
      </c>
      <c r="AG161" s="81" t="str">
        <f>IF(Data_NaamPersoonTijd138="","",Data_NaamPersoonTijd138)</f>
        <v/>
      </c>
      <c r="AH161" s="41"/>
      <c r="AI161" s="41"/>
      <c r="AJ161" s="83" t="str">
        <f>IF(Data_BeeindigingsdatumTijd138="","",Data_BeeindigingsdatumTijd138)</f>
        <v/>
      </c>
      <c r="AK161" s="41"/>
      <c r="AL161" s="41"/>
      <c r="AM161" s="82" t="str">
        <f>IF(Data_LoonkostenTijd138="","",Data_LoonkostenTijd138)</f>
        <v/>
      </c>
      <c r="AN161" s="41"/>
      <c r="AO161" s="276" t="str">
        <f>IF(Data_PersoonAanUitTijd138=-1,"v","")</f>
        <v/>
      </c>
      <c r="AP161" s="41"/>
      <c r="AQ161" s="76" t="s">
        <v>160</v>
      </c>
      <c r="AR161" s="41"/>
      <c r="AS161" s="41"/>
      <c r="AT161" s="41"/>
      <c r="AU161" s="41"/>
      <c r="AV161" s="41">
        <f t="shared" si="17"/>
        <v>0</v>
      </c>
      <c r="AW161" s="77">
        <f t="shared" si="18"/>
        <v>0</v>
      </c>
      <c r="AX161" s="41"/>
      <c r="AY161" s="41"/>
      <c r="AZ161" s="41"/>
      <c r="BA161" s="81" t="str">
        <f>IF(Data_NaamPersoonVastVrij138="","",Data_NaamPersoonVastVrij138)</f>
        <v/>
      </c>
      <c r="BB161" s="41"/>
      <c r="BC161" s="41"/>
      <c r="BD161" s="83" t="str">
        <f>IF(Data_BeeindigingsdatumVastVrij138="","",Data_BeeindigingsdatumVastVrij138)</f>
        <v/>
      </c>
      <c r="BE161" s="41"/>
      <c r="BF161" s="41"/>
      <c r="BG161" s="82" t="str">
        <f>IF(Data_LoonkostenVastVrij138="","",Data_LoonkostenVastVrij138)</f>
        <v/>
      </c>
      <c r="BH161" s="41"/>
      <c r="BI161" s="76" t="str">
        <f>IF(Data_PersoonAanUitVastVrij138=-1,"v","")</f>
        <v/>
      </c>
      <c r="BJ161" s="41"/>
      <c r="BK161" s="76" t="s">
        <v>160</v>
      </c>
      <c r="BL161" s="41"/>
      <c r="BM161" s="41"/>
      <c r="BN161" s="41"/>
      <c r="BO161" s="41"/>
      <c r="BP161" s="41">
        <f t="shared" si="19"/>
        <v>0</v>
      </c>
      <c r="BQ161" s="77">
        <f t="shared" si="20"/>
        <v>0</v>
      </c>
      <c r="BS161" s="81" t="str">
        <f>IF(Data_NaamPersoonVastOntslag138="","",Data_NaamPersoonVastOntslag138)</f>
        <v/>
      </c>
      <c r="BV161" s="83" t="str">
        <f>IF(Data_BeeindigingsdatumVastOntslag138="","",Data_BeeindigingsdatumVastOntslag138)</f>
        <v/>
      </c>
      <c r="BY161" s="82" t="str">
        <f>IF(Data_LoonkostenVastOntslag138="","",Data_LoonkostenVastOntslag138)</f>
        <v/>
      </c>
      <c r="CA161" s="76" t="str">
        <f>IF(Data_PersoonAanUitVastOntslag138=-1,"v","")</f>
        <v/>
      </c>
      <c r="CB161" s="41"/>
      <c r="CC161" s="76" t="s">
        <v>160</v>
      </c>
      <c r="CD161" s="41"/>
      <c r="CE161" s="41"/>
      <c r="CF161" s="41"/>
      <c r="CG161" s="41"/>
      <c r="CH161" s="41">
        <f t="shared" si="23"/>
        <v>0</v>
      </c>
      <c r="CI161" s="41">
        <f t="shared" si="21"/>
        <v>0</v>
      </c>
    </row>
    <row r="162" spans="8:87" x14ac:dyDescent="0.25">
      <c r="H162" s="81" t="str">
        <f>IF(Data_NaamPersoonNatVerloop139="","",Data_NaamPersoonNatVerloop139)</f>
        <v/>
      </c>
      <c r="I162" s="41"/>
      <c r="J162" s="41"/>
      <c r="K162" s="83" t="str">
        <f>IF(Data_BeeindigingsdatumNatVerloop139="","",Data_BeeindigingsdatumNatVerloop139)</f>
        <v/>
      </c>
      <c r="L162" s="41"/>
      <c r="M162" s="41"/>
      <c r="N162" s="82" t="str">
        <f>IF(Data_LoonkostenNatVerloop139="","",Data_LoonkostenNatVerloop139)</f>
        <v/>
      </c>
      <c r="O162" s="41"/>
      <c r="P162" s="276" t="s">
        <v>160</v>
      </c>
      <c r="Q162" s="41"/>
      <c r="R162" s="76" t="s">
        <v>160</v>
      </c>
      <c r="S162" s="41"/>
      <c r="T162" s="41"/>
      <c r="U162" s="41"/>
      <c r="V162" s="41"/>
      <c r="W162" s="41">
        <f t="shared" si="16"/>
        <v>0</v>
      </c>
      <c r="X162" s="77" t="str">
        <f t="shared" si="22"/>
        <v/>
      </c>
      <c r="AG162" s="81" t="str">
        <f>IF(Data_NaamPersoonTijd139="","",Data_NaamPersoonTijd139)</f>
        <v/>
      </c>
      <c r="AH162" s="41"/>
      <c r="AI162" s="41"/>
      <c r="AJ162" s="83" t="str">
        <f>IF(Data_BeeindigingsdatumTijd139="","",Data_BeeindigingsdatumTijd139)</f>
        <v/>
      </c>
      <c r="AK162" s="41"/>
      <c r="AL162" s="41"/>
      <c r="AM162" s="82" t="str">
        <f>IF(Data_LoonkostenTijd139="","",Data_LoonkostenTijd139)</f>
        <v/>
      </c>
      <c r="AN162" s="41"/>
      <c r="AO162" s="276" t="str">
        <f>IF(Data_PersoonAanUitTijd139=-1,"v","")</f>
        <v/>
      </c>
      <c r="AP162" s="41"/>
      <c r="AQ162" s="76" t="s">
        <v>160</v>
      </c>
      <c r="AR162" s="41"/>
      <c r="AS162" s="41"/>
      <c r="AT162" s="41"/>
      <c r="AU162" s="41"/>
      <c r="AV162" s="41">
        <f t="shared" si="17"/>
        <v>0</v>
      </c>
      <c r="AW162" s="77">
        <f t="shared" si="18"/>
        <v>0</v>
      </c>
      <c r="AX162" s="41"/>
      <c r="AY162" s="41"/>
      <c r="AZ162" s="41"/>
      <c r="BA162" s="81" t="str">
        <f>IF(Data_NaamPersoonVastVrij139="","",Data_NaamPersoonVastVrij139)</f>
        <v/>
      </c>
      <c r="BB162" s="41"/>
      <c r="BC162" s="41"/>
      <c r="BD162" s="83" t="str">
        <f>IF(Data_BeeindigingsdatumVastVrij139="","",Data_BeeindigingsdatumVastVrij139)</f>
        <v/>
      </c>
      <c r="BE162" s="41"/>
      <c r="BF162" s="41"/>
      <c r="BG162" s="82" t="str">
        <f>IF(Data_LoonkostenVastVrij139="","",Data_LoonkostenVastVrij139)</f>
        <v/>
      </c>
      <c r="BH162" s="41"/>
      <c r="BI162" s="76" t="str">
        <f>IF(Data_PersoonAanUitVastVrij139=-1,"v","")</f>
        <v/>
      </c>
      <c r="BJ162" s="41"/>
      <c r="BK162" s="76" t="s">
        <v>160</v>
      </c>
      <c r="BL162" s="41"/>
      <c r="BM162" s="41"/>
      <c r="BN162" s="41"/>
      <c r="BO162" s="41"/>
      <c r="BP162" s="41">
        <f t="shared" si="19"/>
        <v>0</v>
      </c>
      <c r="BQ162" s="77">
        <f t="shared" si="20"/>
        <v>0</v>
      </c>
      <c r="BS162" s="81" t="str">
        <f>IF(Data_NaamPersoonVastOntslag139="","",Data_NaamPersoonVastOntslag139)</f>
        <v/>
      </c>
      <c r="BV162" s="83" t="str">
        <f>IF(Data_BeeindigingsdatumVastOntslag139="","",Data_BeeindigingsdatumVastOntslag139)</f>
        <v/>
      </c>
      <c r="BY162" s="82" t="str">
        <f>IF(Data_LoonkostenVastOntslag139="","",Data_LoonkostenVastOntslag139)</f>
        <v/>
      </c>
      <c r="CA162" s="76" t="str">
        <f>IF(Data_PersoonAanUitVastOntslag139=-1,"v","")</f>
        <v/>
      </c>
      <c r="CB162" s="41"/>
      <c r="CC162" s="76" t="s">
        <v>160</v>
      </c>
      <c r="CD162" s="41"/>
      <c r="CE162" s="41"/>
      <c r="CF162" s="41"/>
      <c r="CG162" s="41"/>
      <c r="CH162" s="41">
        <f t="shared" si="23"/>
        <v>0</v>
      </c>
      <c r="CI162" s="41">
        <f t="shared" si="21"/>
        <v>0</v>
      </c>
    </row>
    <row r="163" spans="8:87" x14ac:dyDescent="0.25">
      <c r="H163" s="81" t="str">
        <f>IF(Data_NaamPersoonNatVerloop140="","",Data_NaamPersoonNatVerloop140)</f>
        <v/>
      </c>
      <c r="I163" s="41"/>
      <c r="J163" s="41"/>
      <c r="K163" s="83" t="str">
        <f>IF(Data_BeeindigingsdatumNatVerloop140="","",Data_BeeindigingsdatumNatVerloop140)</f>
        <v/>
      </c>
      <c r="L163" s="41"/>
      <c r="M163" s="41"/>
      <c r="N163" s="82" t="str">
        <f>IF(Data_LoonkostenNatVerloop140="","",Data_LoonkostenNatVerloop140)</f>
        <v/>
      </c>
      <c r="O163" s="41"/>
      <c r="P163" s="276" t="s">
        <v>160</v>
      </c>
      <c r="Q163" s="41"/>
      <c r="R163" s="76" t="s">
        <v>160</v>
      </c>
      <c r="S163" s="41"/>
      <c r="T163" s="41"/>
      <c r="U163" s="41"/>
      <c r="V163" s="41"/>
      <c r="W163" s="41">
        <f t="shared" si="16"/>
        <v>0</v>
      </c>
      <c r="X163" s="77" t="str">
        <f t="shared" si="22"/>
        <v/>
      </c>
      <c r="AG163" s="81" t="str">
        <f>IF(Data_NaamPersoonTijd140="","",Data_NaamPersoonTijd140)</f>
        <v/>
      </c>
      <c r="AH163" s="41"/>
      <c r="AI163" s="41"/>
      <c r="AJ163" s="83" t="str">
        <f>IF(Data_BeeindigingsdatumTijd140="","",Data_BeeindigingsdatumTijd140)</f>
        <v/>
      </c>
      <c r="AK163" s="41"/>
      <c r="AL163" s="41"/>
      <c r="AM163" s="82" t="str">
        <f>IF(Data_LoonkostenTijd140="","",Data_LoonkostenTijd140)</f>
        <v/>
      </c>
      <c r="AN163" s="41"/>
      <c r="AO163" s="276" t="str">
        <f>IF(Data_PersoonAanUitTijd140=-1,"v","")</f>
        <v/>
      </c>
      <c r="AP163" s="41"/>
      <c r="AQ163" s="76" t="s">
        <v>160</v>
      </c>
      <c r="AR163" s="41"/>
      <c r="AS163" s="41"/>
      <c r="AT163" s="41"/>
      <c r="AU163" s="41"/>
      <c r="AV163" s="41">
        <f t="shared" si="17"/>
        <v>0</v>
      </c>
      <c r="AW163" s="77">
        <f t="shared" si="18"/>
        <v>0</v>
      </c>
      <c r="AX163" s="41"/>
      <c r="AY163" s="41"/>
      <c r="AZ163" s="41"/>
      <c r="BA163" s="81" t="str">
        <f>IF(Data_NaamPersoonVastVrij140="","",Data_NaamPersoonVastVrij140)</f>
        <v/>
      </c>
      <c r="BB163" s="41"/>
      <c r="BC163" s="41"/>
      <c r="BD163" s="83" t="str">
        <f>IF(Data_BeeindigingsdatumVastVrij140="","",Data_BeeindigingsdatumVastVrij140)</f>
        <v/>
      </c>
      <c r="BE163" s="41"/>
      <c r="BF163" s="41"/>
      <c r="BG163" s="82" t="str">
        <f>IF(Data_LoonkostenVastVrij140="","",Data_LoonkostenVastVrij140)</f>
        <v/>
      </c>
      <c r="BH163" s="41"/>
      <c r="BI163" s="76" t="str">
        <f>IF(Data_PersoonAanUitVastVrij140=-1,"v","")</f>
        <v/>
      </c>
      <c r="BJ163" s="41"/>
      <c r="BK163" s="76" t="s">
        <v>160</v>
      </c>
      <c r="BL163" s="41"/>
      <c r="BM163" s="41"/>
      <c r="BN163" s="41"/>
      <c r="BO163" s="41"/>
      <c r="BP163" s="41">
        <f t="shared" si="19"/>
        <v>0</v>
      </c>
      <c r="BQ163" s="77">
        <f t="shared" si="20"/>
        <v>0</v>
      </c>
      <c r="BS163" s="81" t="str">
        <f>IF(Data_NaamPersoonVastOntslag140="","",Data_NaamPersoonVastOntslag140)</f>
        <v/>
      </c>
      <c r="BV163" s="83" t="str">
        <f>IF(Data_BeeindigingsdatumVastOntslag140="","",Data_BeeindigingsdatumVastOntslag140)</f>
        <v/>
      </c>
      <c r="BY163" s="82" t="str">
        <f>IF(Data_LoonkostenVastOntslag140="","",Data_LoonkostenVastOntslag140)</f>
        <v/>
      </c>
      <c r="CA163" s="76" t="str">
        <f>IF(Data_PersoonAanUitVastOntslag140=-1,"v","")</f>
        <v/>
      </c>
      <c r="CB163" s="41"/>
      <c r="CC163" s="76" t="s">
        <v>160</v>
      </c>
      <c r="CD163" s="41"/>
      <c r="CE163" s="41"/>
      <c r="CF163" s="41"/>
      <c r="CG163" s="41"/>
      <c r="CH163" s="41">
        <f t="shared" si="23"/>
        <v>0</v>
      </c>
      <c r="CI163" s="41">
        <f t="shared" si="21"/>
        <v>0</v>
      </c>
    </row>
    <row r="164" spans="8:87" x14ac:dyDescent="0.25">
      <c r="H164" s="81" t="str">
        <f>IF(Data_NaamPersoonNatVerloop141="","",Data_NaamPersoonNatVerloop141)</f>
        <v/>
      </c>
      <c r="I164" s="41"/>
      <c r="J164" s="41"/>
      <c r="K164" s="83" t="str">
        <f>IF(Data_BeeindigingsdatumNatVerloop141="","",Data_BeeindigingsdatumNatVerloop141)</f>
        <v/>
      </c>
      <c r="L164" s="41"/>
      <c r="M164" s="41"/>
      <c r="N164" s="82" t="str">
        <f>IF(Data_LoonkostenNatVerloop141="","",Data_LoonkostenNatVerloop141)</f>
        <v/>
      </c>
      <c r="O164" s="41"/>
      <c r="P164" s="276" t="s">
        <v>160</v>
      </c>
      <c r="Q164" s="41"/>
      <c r="R164" s="76" t="s">
        <v>160</v>
      </c>
      <c r="S164" s="41"/>
      <c r="T164" s="41"/>
      <c r="U164" s="41"/>
      <c r="V164" s="41"/>
      <c r="W164" s="41">
        <f t="shared" si="16"/>
        <v>0</v>
      </c>
      <c r="X164" s="77" t="str">
        <f t="shared" si="22"/>
        <v/>
      </c>
      <c r="AG164" s="81" t="str">
        <f>IF(Data_NaamPersoonTijd141="","",Data_NaamPersoonTijd141)</f>
        <v/>
      </c>
      <c r="AH164" s="41"/>
      <c r="AI164" s="41"/>
      <c r="AJ164" s="83" t="str">
        <f>IF(Data_BeeindigingsdatumTijd141="","",Data_BeeindigingsdatumTijd141)</f>
        <v/>
      </c>
      <c r="AK164" s="41"/>
      <c r="AL164" s="41"/>
      <c r="AM164" s="82" t="str">
        <f>IF(Data_LoonkostenTijd141="","",Data_LoonkostenTijd141)</f>
        <v/>
      </c>
      <c r="AN164" s="41"/>
      <c r="AO164" s="276" t="str">
        <f>IF(Data_PersoonAanUitTijd141=-1,"v","")</f>
        <v/>
      </c>
      <c r="AP164" s="41"/>
      <c r="AQ164" s="76" t="s">
        <v>160</v>
      </c>
      <c r="AR164" s="41"/>
      <c r="AS164" s="41"/>
      <c r="AT164" s="41"/>
      <c r="AU164" s="41"/>
      <c r="AV164" s="41">
        <f t="shared" si="17"/>
        <v>0</v>
      </c>
      <c r="AW164" s="77">
        <f t="shared" si="18"/>
        <v>0</v>
      </c>
      <c r="AX164" s="41"/>
      <c r="AY164" s="41"/>
      <c r="AZ164" s="41"/>
      <c r="BA164" s="81" t="str">
        <f>IF(Data_NaamPersoonVastVrij141="","",Data_NaamPersoonVastVrij141)</f>
        <v/>
      </c>
      <c r="BB164" s="41"/>
      <c r="BC164" s="41"/>
      <c r="BD164" s="83" t="str">
        <f>IF(Data_BeeindigingsdatumVastVrij141="","",Data_BeeindigingsdatumVastVrij141)</f>
        <v/>
      </c>
      <c r="BE164" s="41"/>
      <c r="BF164" s="41"/>
      <c r="BG164" s="82" t="str">
        <f>IF(Data_LoonkostenVastVrij141="","",Data_LoonkostenVastVrij141)</f>
        <v/>
      </c>
      <c r="BH164" s="41"/>
      <c r="BI164" s="76" t="str">
        <f>IF(Data_PersoonAanUitVastVrij141=-1,"v","")</f>
        <v/>
      </c>
      <c r="BJ164" s="41"/>
      <c r="BK164" s="76" t="s">
        <v>160</v>
      </c>
      <c r="BL164" s="41"/>
      <c r="BM164" s="41"/>
      <c r="BN164" s="41"/>
      <c r="BO164" s="41"/>
      <c r="BP164" s="41">
        <f t="shared" si="19"/>
        <v>0</v>
      </c>
      <c r="BQ164" s="77">
        <f t="shared" si="20"/>
        <v>0</v>
      </c>
      <c r="BS164" s="81" t="str">
        <f>IF(Data_NaamPersoonVastOntslag141="","",Data_NaamPersoonVastOntslag141)</f>
        <v/>
      </c>
      <c r="BV164" s="83" t="str">
        <f>IF(Data_BeeindigingsdatumVastOntslag141="","",Data_BeeindigingsdatumVastOntslag141)</f>
        <v/>
      </c>
      <c r="BY164" s="82" t="str">
        <f>IF(Data_LoonkostenVastOntslag141="","",Data_LoonkostenVastOntslag141)</f>
        <v/>
      </c>
      <c r="CA164" s="76" t="str">
        <f>IF(Data_PersoonAanUitVastOntslag141=-1,"v","")</f>
        <v/>
      </c>
      <c r="CB164" s="41"/>
      <c r="CC164" s="76" t="s">
        <v>160</v>
      </c>
      <c r="CD164" s="41"/>
      <c r="CE164" s="41"/>
      <c r="CF164" s="41"/>
      <c r="CG164" s="41"/>
      <c r="CH164" s="41">
        <f t="shared" si="23"/>
        <v>0</v>
      </c>
      <c r="CI164" s="41">
        <f t="shared" si="21"/>
        <v>0</v>
      </c>
    </row>
    <row r="165" spans="8:87" x14ac:dyDescent="0.25">
      <c r="H165" s="81" t="str">
        <f>IF(Data_NaamPersoonNatVerloop142="","",Data_NaamPersoonNatVerloop142)</f>
        <v/>
      </c>
      <c r="I165" s="41"/>
      <c r="J165" s="41"/>
      <c r="K165" s="83" t="str">
        <f>IF(Data_BeeindigingsdatumNatVerloop142="","",Data_BeeindigingsdatumNatVerloop142)</f>
        <v/>
      </c>
      <c r="L165" s="41"/>
      <c r="M165" s="41"/>
      <c r="N165" s="82" t="str">
        <f>IF(Data_LoonkostenNatVerloop142="","",Data_LoonkostenNatVerloop142)</f>
        <v/>
      </c>
      <c r="O165" s="41"/>
      <c r="P165" s="276" t="s">
        <v>160</v>
      </c>
      <c r="Q165" s="41"/>
      <c r="R165" s="76" t="s">
        <v>160</v>
      </c>
      <c r="S165" s="41"/>
      <c r="T165" s="41"/>
      <c r="U165" s="41"/>
      <c r="V165" s="41"/>
      <c r="W165" s="41">
        <f t="shared" si="16"/>
        <v>0</v>
      </c>
      <c r="X165" s="77" t="str">
        <f t="shared" si="22"/>
        <v/>
      </c>
      <c r="AG165" s="81" t="str">
        <f>IF(Data_NaamPersoonTijd142="","",Data_NaamPersoonTijd142)</f>
        <v/>
      </c>
      <c r="AH165" s="41"/>
      <c r="AI165" s="41"/>
      <c r="AJ165" s="83" t="str">
        <f>IF(Data_BeeindigingsdatumTijd142="","",Data_BeeindigingsdatumTijd142)</f>
        <v/>
      </c>
      <c r="AK165" s="41"/>
      <c r="AL165" s="41"/>
      <c r="AM165" s="82" t="str">
        <f>IF(Data_LoonkostenTijd142="","",Data_LoonkostenTijd142)</f>
        <v/>
      </c>
      <c r="AN165" s="41"/>
      <c r="AO165" s="276" t="str">
        <f>IF(Data_PersoonAanUitTijd142=-1,"v","")</f>
        <v/>
      </c>
      <c r="AP165" s="41"/>
      <c r="AQ165" s="76" t="s">
        <v>160</v>
      </c>
      <c r="AR165" s="41"/>
      <c r="AS165" s="41"/>
      <c r="AT165" s="41"/>
      <c r="AU165" s="41"/>
      <c r="AV165" s="41">
        <f t="shared" si="17"/>
        <v>0</v>
      </c>
      <c r="AW165" s="77">
        <f t="shared" si="18"/>
        <v>0</v>
      </c>
      <c r="AX165" s="41"/>
      <c r="AY165" s="41"/>
      <c r="AZ165" s="41"/>
      <c r="BA165" s="81" t="str">
        <f>IF(Data_NaamPersoonVastVrij142="","",Data_NaamPersoonVastVrij142)</f>
        <v/>
      </c>
      <c r="BB165" s="41"/>
      <c r="BC165" s="41"/>
      <c r="BD165" s="83" t="str">
        <f>IF(Data_BeeindigingsdatumVastVrij142="","",Data_BeeindigingsdatumVastVrij142)</f>
        <v/>
      </c>
      <c r="BE165" s="41"/>
      <c r="BF165" s="41"/>
      <c r="BG165" s="82" t="str">
        <f>IF(Data_LoonkostenVastVrij142="","",Data_LoonkostenVastVrij142)</f>
        <v/>
      </c>
      <c r="BH165" s="41"/>
      <c r="BI165" s="76" t="str">
        <f>IF(Data_PersoonAanUitVastVrij142=-1,"v","")</f>
        <v/>
      </c>
      <c r="BJ165" s="41"/>
      <c r="BK165" s="76" t="s">
        <v>160</v>
      </c>
      <c r="BL165" s="41"/>
      <c r="BM165" s="41"/>
      <c r="BN165" s="41"/>
      <c r="BO165" s="41"/>
      <c r="BP165" s="41">
        <f t="shared" si="19"/>
        <v>0</v>
      </c>
      <c r="BQ165" s="77">
        <f t="shared" si="20"/>
        <v>0</v>
      </c>
      <c r="BS165" s="81" t="str">
        <f>IF(Data_NaamPersoonVastOntslag142="","",Data_NaamPersoonVastOntslag142)</f>
        <v/>
      </c>
      <c r="BV165" s="83" t="str">
        <f>IF(Data_BeeindigingsdatumVastOntslag142="","",Data_BeeindigingsdatumVastOntslag142)</f>
        <v/>
      </c>
      <c r="BY165" s="82" t="str">
        <f>IF(Data_LoonkostenVastOntslag142="","",Data_LoonkostenVastOntslag142)</f>
        <v/>
      </c>
      <c r="CA165" s="76" t="str">
        <f>IF(Data_PersoonAanUitVastOntslag142=-1,"v","")</f>
        <v/>
      </c>
      <c r="CB165" s="41"/>
      <c r="CC165" s="76" t="s">
        <v>160</v>
      </c>
      <c r="CD165" s="41"/>
      <c r="CE165" s="41"/>
      <c r="CF165" s="41"/>
      <c r="CG165" s="41"/>
      <c r="CH165" s="41">
        <f t="shared" si="23"/>
        <v>0</v>
      </c>
      <c r="CI165" s="41">
        <f t="shared" si="21"/>
        <v>0</v>
      </c>
    </row>
    <row r="166" spans="8:87" x14ac:dyDescent="0.25">
      <c r="H166" s="81" t="str">
        <f>IF(Data_NaamPersoonNatVerloop143="","",Data_NaamPersoonNatVerloop143)</f>
        <v/>
      </c>
      <c r="I166" s="41"/>
      <c r="J166" s="41"/>
      <c r="K166" s="83" t="str">
        <f>IF(Data_BeeindigingsdatumNatVerloop143="","",Data_BeeindigingsdatumNatVerloop143)</f>
        <v/>
      </c>
      <c r="L166" s="41"/>
      <c r="M166" s="41"/>
      <c r="N166" s="82" t="str">
        <f>IF(Data_LoonkostenNatVerloop143="","",Data_LoonkostenNatVerloop143)</f>
        <v/>
      </c>
      <c r="O166" s="41"/>
      <c r="P166" s="276" t="s">
        <v>160</v>
      </c>
      <c r="Q166" s="41"/>
      <c r="R166" s="76" t="s">
        <v>160</v>
      </c>
      <c r="S166" s="41"/>
      <c r="T166" s="41"/>
      <c r="U166" s="41"/>
      <c r="V166" s="41"/>
      <c r="W166" s="41">
        <f t="shared" si="16"/>
        <v>0</v>
      </c>
      <c r="X166" s="77" t="str">
        <f t="shared" si="22"/>
        <v/>
      </c>
      <c r="AG166" s="81" t="str">
        <f>IF(Data_NaamPersoonTijd143="","",Data_NaamPersoonTijd143)</f>
        <v/>
      </c>
      <c r="AH166" s="41"/>
      <c r="AI166" s="41"/>
      <c r="AJ166" s="83" t="str">
        <f>IF(Data_BeeindigingsdatumTijd143="","",Data_BeeindigingsdatumTijd143)</f>
        <v/>
      </c>
      <c r="AK166" s="41"/>
      <c r="AL166" s="41"/>
      <c r="AM166" s="82" t="str">
        <f>IF(Data_LoonkostenTijd143="","",Data_LoonkostenTijd143)</f>
        <v/>
      </c>
      <c r="AN166" s="41"/>
      <c r="AO166" s="276" t="str">
        <f>IF(Data_PersoonAanUitTijd143=-1,"v","")</f>
        <v/>
      </c>
      <c r="AP166" s="41"/>
      <c r="AQ166" s="76" t="s">
        <v>160</v>
      </c>
      <c r="AR166" s="41"/>
      <c r="AS166" s="41"/>
      <c r="AT166" s="41"/>
      <c r="AU166" s="41"/>
      <c r="AV166" s="41">
        <f t="shared" si="17"/>
        <v>0</v>
      </c>
      <c r="AW166" s="77">
        <f t="shared" si="18"/>
        <v>0</v>
      </c>
      <c r="AX166" s="41"/>
      <c r="AY166" s="41"/>
      <c r="AZ166" s="41"/>
      <c r="BA166" s="81" t="str">
        <f>IF(Data_NaamPersoonVastVrij143="","",Data_NaamPersoonVastVrij143)</f>
        <v/>
      </c>
      <c r="BB166" s="41"/>
      <c r="BC166" s="41"/>
      <c r="BD166" s="83" t="str">
        <f>IF(Data_BeeindigingsdatumVastVrij143="","",Data_BeeindigingsdatumVastVrij143)</f>
        <v/>
      </c>
      <c r="BE166" s="41"/>
      <c r="BF166" s="41"/>
      <c r="BG166" s="82" t="str">
        <f>IF(Data_LoonkostenVastVrij143="","",Data_LoonkostenVastVrij143)</f>
        <v/>
      </c>
      <c r="BH166" s="41"/>
      <c r="BI166" s="76" t="str">
        <f>IF(Data_PersoonAanUitVastVrij143=-1,"v","")</f>
        <v/>
      </c>
      <c r="BJ166" s="41"/>
      <c r="BK166" s="76" t="s">
        <v>160</v>
      </c>
      <c r="BL166" s="41"/>
      <c r="BM166" s="41"/>
      <c r="BN166" s="41"/>
      <c r="BO166" s="41"/>
      <c r="BP166" s="41">
        <f t="shared" si="19"/>
        <v>0</v>
      </c>
      <c r="BQ166" s="77">
        <f t="shared" si="20"/>
        <v>0</v>
      </c>
      <c r="BS166" s="81" t="str">
        <f>IF(Data_NaamPersoonVastOntslag143="","",Data_NaamPersoonVastOntslag143)</f>
        <v/>
      </c>
      <c r="BV166" s="83" t="str">
        <f>IF(Data_BeeindigingsdatumVastOntslag143="","",Data_BeeindigingsdatumVastOntslag143)</f>
        <v/>
      </c>
      <c r="BY166" s="82" t="str">
        <f>IF(Data_LoonkostenVastOntslag143="","",Data_LoonkostenVastOntslag143)</f>
        <v/>
      </c>
      <c r="CA166" s="76" t="str">
        <f>IF(Data_PersoonAanUitVastOntslag143=-1,"v","")</f>
        <v/>
      </c>
      <c r="CB166" s="41"/>
      <c r="CC166" s="76" t="s">
        <v>160</v>
      </c>
      <c r="CD166" s="41"/>
      <c r="CE166" s="41"/>
      <c r="CF166" s="41"/>
      <c r="CG166" s="41"/>
      <c r="CH166" s="41">
        <f t="shared" si="23"/>
        <v>0</v>
      </c>
      <c r="CI166" s="41">
        <f t="shared" si="21"/>
        <v>0</v>
      </c>
    </row>
    <row r="167" spans="8:87" x14ac:dyDescent="0.25">
      <c r="H167" s="81" t="str">
        <f>IF(Data_NaamPersoonNatVerloop144="","",Data_NaamPersoonNatVerloop144)</f>
        <v/>
      </c>
      <c r="I167" s="41"/>
      <c r="J167" s="41"/>
      <c r="K167" s="83" t="str">
        <f>IF(Data_BeeindigingsdatumNatVerloop144="","",Data_BeeindigingsdatumNatVerloop144)</f>
        <v/>
      </c>
      <c r="L167" s="41"/>
      <c r="M167" s="41"/>
      <c r="N167" s="82" t="str">
        <f>IF(Data_LoonkostenNatVerloop144="","",Data_LoonkostenNatVerloop144)</f>
        <v/>
      </c>
      <c r="O167" s="41"/>
      <c r="P167" s="276" t="s">
        <v>160</v>
      </c>
      <c r="Q167" s="41"/>
      <c r="R167" s="76" t="s">
        <v>160</v>
      </c>
      <c r="S167" s="41"/>
      <c r="T167" s="41"/>
      <c r="U167" s="41"/>
      <c r="V167" s="41"/>
      <c r="W167" s="41">
        <f t="shared" si="16"/>
        <v>0</v>
      </c>
      <c r="X167" s="77" t="str">
        <f t="shared" si="22"/>
        <v/>
      </c>
      <c r="AG167" s="81" t="str">
        <f>IF(Data_NaamPersoonTijd144="","",Data_NaamPersoonTijd144)</f>
        <v/>
      </c>
      <c r="AH167" s="41"/>
      <c r="AI167" s="41"/>
      <c r="AJ167" s="83" t="str">
        <f>IF(Data_BeeindigingsdatumTijd144="","",Data_BeeindigingsdatumTijd144)</f>
        <v/>
      </c>
      <c r="AK167" s="41"/>
      <c r="AL167" s="41"/>
      <c r="AM167" s="82" t="str">
        <f>IF(Data_LoonkostenTijd144="","",Data_LoonkostenTijd144)</f>
        <v/>
      </c>
      <c r="AN167" s="41"/>
      <c r="AO167" s="276" t="str">
        <f>IF(Data_PersoonAanUitTijd144=-1,"v","")</f>
        <v/>
      </c>
      <c r="AP167" s="41"/>
      <c r="AQ167" s="76" t="s">
        <v>160</v>
      </c>
      <c r="AR167" s="41"/>
      <c r="AS167" s="41"/>
      <c r="AT167" s="41"/>
      <c r="AU167" s="41"/>
      <c r="AV167" s="41">
        <f t="shared" si="17"/>
        <v>0</v>
      </c>
      <c r="AW167" s="77">
        <f t="shared" si="18"/>
        <v>0</v>
      </c>
      <c r="AX167" s="41"/>
      <c r="AY167" s="41"/>
      <c r="AZ167" s="41"/>
      <c r="BA167" s="81" t="str">
        <f>IF(Data_NaamPersoonVastVrij144="","",Data_NaamPersoonVastVrij144)</f>
        <v/>
      </c>
      <c r="BB167" s="41"/>
      <c r="BC167" s="41"/>
      <c r="BD167" s="83" t="str">
        <f>IF(Data_BeeindigingsdatumVastVrij144="","",Data_BeeindigingsdatumVastVrij144)</f>
        <v/>
      </c>
      <c r="BE167" s="41"/>
      <c r="BF167" s="41"/>
      <c r="BG167" s="82" t="str">
        <f>IF(Data_LoonkostenVastVrij144="","",Data_LoonkostenVastVrij144)</f>
        <v/>
      </c>
      <c r="BH167" s="41"/>
      <c r="BI167" s="76" t="str">
        <f>IF(Data_PersoonAanUitVastVrij144=-1,"v","")</f>
        <v/>
      </c>
      <c r="BJ167" s="41"/>
      <c r="BK167" s="76" t="s">
        <v>160</v>
      </c>
      <c r="BL167" s="41"/>
      <c r="BM167" s="41"/>
      <c r="BN167" s="41"/>
      <c r="BO167" s="41"/>
      <c r="BP167" s="41">
        <f t="shared" si="19"/>
        <v>0</v>
      </c>
      <c r="BQ167" s="77">
        <f t="shared" si="20"/>
        <v>0</v>
      </c>
      <c r="BS167" s="81" t="str">
        <f>IF(Data_NaamPersoonVastOntslag144="","",Data_NaamPersoonVastOntslag144)</f>
        <v/>
      </c>
      <c r="BV167" s="83" t="str">
        <f>IF(Data_BeeindigingsdatumVastOntslag144="","",Data_BeeindigingsdatumVastOntslag144)</f>
        <v/>
      </c>
      <c r="BY167" s="82" t="str">
        <f>IF(Data_LoonkostenVastOntslag144="","",Data_LoonkostenVastOntslag144)</f>
        <v/>
      </c>
      <c r="CA167" s="76" t="str">
        <f>IF(Data_PersoonAanUitVastOntslag144=-1,"v","")</f>
        <v/>
      </c>
      <c r="CB167" s="41"/>
      <c r="CC167" s="76" t="s">
        <v>160</v>
      </c>
      <c r="CD167" s="41"/>
      <c r="CE167" s="41"/>
      <c r="CF167" s="41"/>
      <c r="CG167" s="41"/>
      <c r="CH167" s="41">
        <f t="shared" si="23"/>
        <v>0</v>
      </c>
      <c r="CI167" s="41">
        <f t="shared" si="21"/>
        <v>0</v>
      </c>
    </row>
    <row r="168" spans="8:87" x14ac:dyDescent="0.25">
      <c r="H168" s="81" t="str">
        <f>IF(Data_NaamPersoonNatVerloop145="","",Data_NaamPersoonNatVerloop145)</f>
        <v/>
      </c>
      <c r="I168" s="41"/>
      <c r="J168" s="41"/>
      <c r="K168" s="83" t="str">
        <f>IF(Data_BeeindigingsdatumNatVerloop145="","",Data_BeeindigingsdatumNatVerloop145)</f>
        <v/>
      </c>
      <c r="L168" s="41"/>
      <c r="M168" s="41"/>
      <c r="N168" s="82" t="str">
        <f>IF(Data_LoonkostenNatVerloop145="","",Data_LoonkostenNatVerloop145)</f>
        <v/>
      </c>
      <c r="O168" s="41"/>
      <c r="P168" s="276" t="s">
        <v>160</v>
      </c>
      <c r="Q168" s="41"/>
      <c r="R168" s="76" t="s">
        <v>160</v>
      </c>
      <c r="S168" s="41"/>
      <c r="T168" s="41"/>
      <c r="U168" s="41"/>
      <c r="V168" s="41"/>
      <c r="W168" s="41">
        <f t="shared" si="16"/>
        <v>0</v>
      </c>
      <c r="X168" s="77" t="str">
        <f t="shared" si="22"/>
        <v/>
      </c>
      <c r="AG168" s="81" t="str">
        <f>IF(Data_NaamPersoonTijd145="","",Data_NaamPersoonTijd145)</f>
        <v/>
      </c>
      <c r="AH168" s="41"/>
      <c r="AI168" s="41"/>
      <c r="AJ168" s="83" t="str">
        <f>IF(Data_BeeindigingsdatumTijd145="","",Data_BeeindigingsdatumTijd145)</f>
        <v/>
      </c>
      <c r="AK168" s="41"/>
      <c r="AL168" s="41"/>
      <c r="AM168" s="82" t="str">
        <f>IF(Data_LoonkostenTijd145="","",Data_LoonkostenTijd145)</f>
        <v/>
      </c>
      <c r="AN168" s="41"/>
      <c r="AO168" s="276" t="str">
        <f>IF(Data_PersoonAanUitTijd145=-1,"v","")</f>
        <v/>
      </c>
      <c r="AP168" s="41"/>
      <c r="AQ168" s="76" t="s">
        <v>160</v>
      </c>
      <c r="AR168" s="41"/>
      <c r="AS168" s="41"/>
      <c r="AT168" s="41"/>
      <c r="AU168" s="41"/>
      <c r="AV168" s="41">
        <f t="shared" si="17"/>
        <v>0</v>
      </c>
      <c r="AW168" s="77">
        <f t="shared" si="18"/>
        <v>0</v>
      </c>
      <c r="AX168" s="41"/>
      <c r="AY168" s="41"/>
      <c r="AZ168" s="41"/>
      <c r="BA168" s="81" t="str">
        <f>IF(Data_NaamPersoonVastVrij145="","",Data_NaamPersoonVastVrij145)</f>
        <v/>
      </c>
      <c r="BB168" s="41"/>
      <c r="BC168" s="41"/>
      <c r="BD168" s="83" t="str">
        <f>IF(Data_BeeindigingsdatumVastVrij145="","",Data_BeeindigingsdatumVastVrij145)</f>
        <v/>
      </c>
      <c r="BE168" s="41"/>
      <c r="BF168" s="41"/>
      <c r="BG168" s="82" t="str">
        <f>IF(Data_LoonkostenVastVrij145="","",Data_LoonkostenVastVrij145)</f>
        <v/>
      </c>
      <c r="BH168" s="41"/>
      <c r="BI168" s="76" t="str">
        <f>IF(Data_PersoonAanUitVastVrij145=-1,"v","")</f>
        <v/>
      </c>
      <c r="BJ168" s="41"/>
      <c r="BK168" s="76" t="s">
        <v>160</v>
      </c>
      <c r="BL168" s="41"/>
      <c r="BM168" s="41"/>
      <c r="BN168" s="41"/>
      <c r="BO168" s="41"/>
      <c r="BP168" s="41">
        <f t="shared" si="19"/>
        <v>0</v>
      </c>
      <c r="BQ168" s="77">
        <f t="shared" si="20"/>
        <v>0</v>
      </c>
      <c r="BS168" s="81" t="str">
        <f>IF(Data_NaamPersoonVastOntslag145="","",Data_NaamPersoonVastOntslag145)</f>
        <v/>
      </c>
      <c r="BV168" s="83" t="str">
        <f>IF(Data_BeeindigingsdatumVastOntslag145="","",Data_BeeindigingsdatumVastOntslag145)</f>
        <v/>
      </c>
      <c r="BY168" s="82" t="str">
        <f>IF(Data_LoonkostenVastOntslag145="","",Data_LoonkostenVastOntslag145)</f>
        <v/>
      </c>
      <c r="CA168" s="76" t="str">
        <f>IF(Data_PersoonAanUitVastOntslag145=-1,"v","")</f>
        <v/>
      </c>
      <c r="CB168" s="41"/>
      <c r="CC168" s="76" t="s">
        <v>160</v>
      </c>
      <c r="CD168" s="41"/>
      <c r="CE168" s="41"/>
      <c r="CF168" s="41"/>
      <c r="CG168" s="41"/>
      <c r="CH168" s="41">
        <f t="shared" si="23"/>
        <v>0</v>
      </c>
      <c r="CI168" s="41">
        <f t="shared" si="21"/>
        <v>0</v>
      </c>
    </row>
    <row r="169" spans="8:87" x14ac:dyDescent="0.25">
      <c r="H169" s="81" t="str">
        <f>IF(Data_NaamPersoonNatVerloop146="","",Data_NaamPersoonNatVerloop146)</f>
        <v/>
      </c>
      <c r="I169" s="41"/>
      <c r="J169" s="41"/>
      <c r="K169" s="83" t="str">
        <f>IF(Data_BeeindigingsdatumNatVerloop146="","",Data_BeeindigingsdatumNatVerloop146)</f>
        <v/>
      </c>
      <c r="L169" s="41"/>
      <c r="M169" s="41"/>
      <c r="N169" s="82" t="str">
        <f>IF(Data_LoonkostenNatVerloop146="","",Data_LoonkostenNatVerloop146)</f>
        <v/>
      </c>
      <c r="O169" s="41"/>
      <c r="P169" s="276" t="s">
        <v>160</v>
      </c>
      <c r="Q169" s="41"/>
      <c r="R169" s="76" t="s">
        <v>160</v>
      </c>
      <c r="S169" s="41"/>
      <c r="T169" s="41"/>
      <c r="U169" s="41"/>
      <c r="V169" s="41"/>
      <c r="W169" s="41">
        <f t="shared" si="16"/>
        <v>0</v>
      </c>
      <c r="X169" s="77" t="str">
        <f t="shared" si="22"/>
        <v/>
      </c>
      <c r="AG169" s="81" t="str">
        <f>IF(Data_NaamPersoonTijd146="","",Data_NaamPersoonTijd146)</f>
        <v/>
      </c>
      <c r="AH169" s="41"/>
      <c r="AI169" s="41"/>
      <c r="AJ169" s="83" t="str">
        <f>IF(Data_BeeindigingsdatumTijd146="","",Data_BeeindigingsdatumTijd146)</f>
        <v/>
      </c>
      <c r="AK169" s="41"/>
      <c r="AL169" s="41"/>
      <c r="AM169" s="82" t="str">
        <f>IF(Data_LoonkostenTijd146="","",Data_LoonkostenTijd146)</f>
        <v/>
      </c>
      <c r="AN169" s="41"/>
      <c r="AO169" s="276" t="str">
        <f>IF(Data_PersoonAanUitTijd146=-1,"v","")</f>
        <v/>
      </c>
      <c r="AP169" s="41"/>
      <c r="AQ169" s="76" t="s">
        <v>160</v>
      </c>
      <c r="AR169" s="41"/>
      <c r="AS169" s="41"/>
      <c r="AT169" s="41"/>
      <c r="AU169" s="41"/>
      <c r="AV169" s="41">
        <f t="shared" si="17"/>
        <v>0</v>
      </c>
      <c r="AW169" s="77">
        <f t="shared" si="18"/>
        <v>0</v>
      </c>
      <c r="AX169" s="41"/>
      <c r="AY169" s="41"/>
      <c r="AZ169" s="41"/>
      <c r="BA169" s="81" t="str">
        <f>IF(Data_NaamPersoonVastVrij146="","",Data_NaamPersoonVastVrij146)</f>
        <v/>
      </c>
      <c r="BB169" s="41"/>
      <c r="BC169" s="41"/>
      <c r="BD169" s="83" t="str">
        <f>IF(Data_BeeindigingsdatumVastVrij146="","",Data_BeeindigingsdatumVastVrij146)</f>
        <v/>
      </c>
      <c r="BE169" s="41"/>
      <c r="BF169" s="41"/>
      <c r="BG169" s="82" t="str">
        <f>IF(Data_LoonkostenVastVrij146="","",Data_LoonkostenVastVrij146)</f>
        <v/>
      </c>
      <c r="BH169" s="41"/>
      <c r="BI169" s="76" t="str">
        <f>IF(Data_PersoonAanUitVastVrij146=-1,"v","")</f>
        <v/>
      </c>
      <c r="BJ169" s="41"/>
      <c r="BK169" s="76" t="s">
        <v>160</v>
      </c>
      <c r="BL169" s="41"/>
      <c r="BM169" s="41"/>
      <c r="BN169" s="41"/>
      <c r="BO169" s="41"/>
      <c r="BP169" s="41">
        <f t="shared" si="19"/>
        <v>0</v>
      </c>
      <c r="BQ169" s="77">
        <f t="shared" si="20"/>
        <v>0</v>
      </c>
      <c r="BS169" s="81" t="str">
        <f>IF(Data_NaamPersoonVastOntslag146="","",Data_NaamPersoonVastOntslag146)</f>
        <v/>
      </c>
      <c r="BV169" s="83" t="str">
        <f>IF(Data_BeeindigingsdatumVastOntslag146="","",Data_BeeindigingsdatumVastOntslag146)</f>
        <v/>
      </c>
      <c r="BY169" s="82" t="str">
        <f>IF(Data_LoonkostenVastOntslag146="","",Data_LoonkostenVastOntslag146)</f>
        <v/>
      </c>
      <c r="CA169" s="76" t="str">
        <f>IF(Data_PersoonAanUitVastOntslag146=-1,"v","")</f>
        <v/>
      </c>
      <c r="CB169" s="41"/>
      <c r="CC169" s="76" t="s">
        <v>160</v>
      </c>
      <c r="CD169" s="41"/>
      <c r="CE169" s="41"/>
      <c r="CF169" s="41"/>
      <c r="CG169" s="41"/>
      <c r="CH169" s="41">
        <f t="shared" si="23"/>
        <v>0</v>
      </c>
      <c r="CI169" s="41">
        <f t="shared" si="21"/>
        <v>0</v>
      </c>
    </row>
    <row r="170" spans="8:87" x14ac:dyDescent="0.25">
      <c r="H170" s="81" t="str">
        <f>IF(Data_NaamPersoonNatVerloop147="","",Data_NaamPersoonNatVerloop147)</f>
        <v/>
      </c>
      <c r="I170" s="41"/>
      <c r="J170" s="41"/>
      <c r="K170" s="83" t="str">
        <f>IF(Data_BeeindigingsdatumNatVerloop147="","",Data_BeeindigingsdatumNatVerloop147)</f>
        <v/>
      </c>
      <c r="L170" s="41"/>
      <c r="M170" s="41"/>
      <c r="N170" s="82" t="str">
        <f>IF(Data_LoonkostenNatVerloop147="","",Data_LoonkostenNatVerloop147)</f>
        <v/>
      </c>
      <c r="O170" s="41"/>
      <c r="P170" s="276" t="s">
        <v>160</v>
      </c>
      <c r="Q170" s="41"/>
      <c r="R170" s="76" t="s">
        <v>160</v>
      </c>
      <c r="S170" s="41"/>
      <c r="T170" s="41"/>
      <c r="U170" s="41"/>
      <c r="V170" s="41"/>
      <c r="W170" s="41">
        <f t="shared" si="16"/>
        <v>0</v>
      </c>
      <c r="X170" s="77" t="str">
        <f t="shared" si="22"/>
        <v/>
      </c>
      <c r="AG170" s="81" t="str">
        <f>IF(Data_NaamPersoonTijd147="","",Data_NaamPersoonTijd147)</f>
        <v/>
      </c>
      <c r="AH170" s="41"/>
      <c r="AI170" s="41"/>
      <c r="AJ170" s="83" t="str">
        <f>IF(Data_BeeindigingsdatumTijd147="","",Data_BeeindigingsdatumTijd147)</f>
        <v/>
      </c>
      <c r="AK170" s="41"/>
      <c r="AL170" s="41"/>
      <c r="AM170" s="82" t="str">
        <f>IF(Data_LoonkostenTijd147="","",Data_LoonkostenTijd147)</f>
        <v/>
      </c>
      <c r="AN170" s="41"/>
      <c r="AO170" s="276" t="str">
        <f>IF(Data_PersoonAanUitTijd147=-1,"v","")</f>
        <v/>
      </c>
      <c r="AP170" s="41"/>
      <c r="AQ170" s="76" t="s">
        <v>160</v>
      </c>
      <c r="AR170" s="41"/>
      <c r="AS170" s="41"/>
      <c r="AT170" s="41"/>
      <c r="AU170" s="41"/>
      <c r="AV170" s="41">
        <f t="shared" si="17"/>
        <v>0</v>
      </c>
      <c r="AW170" s="77">
        <f t="shared" si="18"/>
        <v>0</v>
      </c>
      <c r="AX170" s="41"/>
      <c r="AY170" s="41"/>
      <c r="AZ170" s="41"/>
      <c r="BA170" s="81" t="str">
        <f>IF(Data_NaamPersoonVastVrij147="","",Data_NaamPersoonVastVrij147)</f>
        <v/>
      </c>
      <c r="BB170" s="41"/>
      <c r="BC170" s="41"/>
      <c r="BD170" s="83" t="str">
        <f>IF(Data_BeeindigingsdatumVastVrij147="","",Data_BeeindigingsdatumVastVrij147)</f>
        <v/>
      </c>
      <c r="BE170" s="41"/>
      <c r="BF170" s="41"/>
      <c r="BG170" s="82" t="str">
        <f>IF(Data_LoonkostenVastVrij147="","",Data_LoonkostenVastVrij147)</f>
        <v/>
      </c>
      <c r="BH170" s="41"/>
      <c r="BI170" s="76" t="str">
        <f>IF(Data_PersoonAanUitVastVrij147=-1,"v","")</f>
        <v/>
      </c>
      <c r="BJ170" s="41"/>
      <c r="BK170" s="76" t="s">
        <v>160</v>
      </c>
      <c r="BL170" s="41"/>
      <c r="BM170" s="41"/>
      <c r="BN170" s="41"/>
      <c r="BO170" s="41"/>
      <c r="BP170" s="41">
        <f t="shared" si="19"/>
        <v>0</v>
      </c>
      <c r="BQ170" s="77">
        <f t="shared" si="20"/>
        <v>0</v>
      </c>
      <c r="BS170" s="81" t="str">
        <f>IF(Data_NaamPersoonVastOntslag147="","",Data_NaamPersoonVastOntslag147)</f>
        <v/>
      </c>
      <c r="BV170" s="83" t="str">
        <f>IF(Data_BeeindigingsdatumVastOntslag147="","",Data_BeeindigingsdatumVastOntslag147)</f>
        <v/>
      </c>
      <c r="BY170" s="82" t="str">
        <f>IF(Data_LoonkostenVastOntslag147="","",Data_LoonkostenVastOntslag147)</f>
        <v/>
      </c>
      <c r="CA170" s="76" t="str">
        <f>IF(Data_PersoonAanUitVastOntslag147=-1,"v","")</f>
        <v/>
      </c>
      <c r="CB170" s="41"/>
      <c r="CC170" s="76" t="s">
        <v>160</v>
      </c>
      <c r="CD170" s="41"/>
      <c r="CE170" s="41"/>
      <c r="CF170" s="41"/>
      <c r="CG170" s="41"/>
      <c r="CH170" s="41">
        <f t="shared" si="23"/>
        <v>0</v>
      </c>
      <c r="CI170" s="41">
        <f t="shared" si="21"/>
        <v>0</v>
      </c>
    </row>
    <row r="171" spans="8:87" x14ac:dyDescent="0.25">
      <c r="H171" s="81" t="str">
        <f>IF(Data_NaamPersoonNatVerloop148="","",Data_NaamPersoonNatVerloop148)</f>
        <v/>
      </c>
      <c r="I171" s="41"/>
      <c r="J171" s="41"/>
      <c r="K171" s="83" t="str">
        <f>IF(Data_BeeindigingsdatumNatVerloop148="","",Data_BeeindigingsdatumNatVerloop148)</f>
        <v/>
      </c>
      <c r="L171" s="41"/>
      <c r="M171" s="41"/>
      <c r="N171" s="82" t="str">
        <f>IF(Data_LoonkostenNatVerloop148="","",Data_LoonkostenNatVerloop148)</f>
        <v/>
      </c>
      <c r="O171" s="41"/>
      <c r="P171" s="276" t="s">
        <v>160</v>
      </c>
      <c r="Q171" s="41"/>
      <c r="R171" s="76" t="s">
        <v>160</v>
      </c>
      <c r="S171" s="41"/>
      <c r="T171" s="41"/>
      <c r="U171" s="41"/>
      <c r="V171" s="41"/>
      <c r="W171" s="41">
        <f t="shared" si="16"/>
        <v>0</v>
      </c>
      <c r="X171" s="77" t="str">
        <f t="shared" si="22"/>
        <v/>
      </c>
      <c r="AG171" s="81" t="str">
        <f>IF(Data_NaamPersoonTijd148="","",Data_NaamPersoonTijd148)</f>
        <v/>
      </c>
      <c r="AH171" s="41"/>
      <c r="AI171" s="41"/>
      <c r="AJ171" s="83" t="str">
        <f>IF(Data_BeeindigingsdatumTijd148="","",Data_BeeindigingsdatumTijd148)</f>
        <v/>
      </c>
      <c r="AK171" s="41"/>
      <c r="AL171" s="41"/>
      <c r="AM171" s="82" t="str">
        <f>IF(Data_LoonkostenTijd148="","",Data_LoonkostenTijd148)</f>
        <v/>
      </c>
      <c r="AN171" s="41"/>
      <c r="AO171" s="276" t="str">
        <f>IF(Data_PersoonAanUitTijd148=-1,"v","")</f>
        <v/>
      </c>
      <c r="AP171" s="41"/>
      <c r="AQ171" s="76" t="s">
        <v>160</v>
      </c>
      <c r="AR171" s="41"/>
      <c r="AS171" s="41"/>
      <c r="AT171" s="41"/>
      <c r="AU171" s="41"/>
      <c r="AV171" s="41">
        <f t="shared" si="17"/>
        <v>0</v>
      </c>
      <c r="AW171" s="77">
        <f t="shared" si="18"/>
        <v>0</v>
      </c>
      <c r="AX171" s="41"/>
      <c r="AY171" s="41"/>
      <c r="AZ171" s="41"/>
      <c r="BA171" s="81" t="str">
        <f>IF(Data_NaamPersoonVastVrij148="","",Data_NaamPersoonVastVrij148)</f>
        <v/>
      </c>
      <c r="BB171" s="41"/>
      <c r="BC171" s="41"/>
      <c r="BD171" s="83" t="str">
        <f>IF(Data_BeeindigingsdatumVastVrij148="","",Data_BeeindigingsdatumVastVrij148)</f>
        <v/>
      </c>
      <c r="BE171" s="41"/>
      <c r="BF171" s="41"/>
      <c r="BG171" s="82" t="str">
        <f>IF(Data_LoonkostenVastVrij148="","",Data_LoonkostenVastVrij148)</f>
        <v/>
      </c>
      <c r="BH171" s="41"/>
      <c r="BI171" s="76" t="str">
        <f>IF(Data_PersoonAanUitVastVrij148=-1,"v","")</f>
        <v/>
      </c>
      <c r="BJ171" s="41"/>
      <c r="BK171" s="76" t="s">
        <v>160</v>
      </c>
      <c r="BL171" s="41"/>
      <c r="BM171" s="41"/>
      <c r="BN171" s="41"/>
      <c r="BO171" s="41"/>
      <c r="BP171" s="41">
        <f t="shared" si="19"/>
        <v>0</v>
      </c>
      <c r="BQ171" s="77">
        <f t="shared" si="20"/>
        <v>0</v>
      </c>
      <c r="BS171" s="81" t="str">
        <f>IF(Data_NaamPersoonVastOntslag148="","",Data_NaamPersoonVastOntslag148)</f>
        <v/>
      </c>
      <c r="BV171" s="83" t="str">
        <f>IF(Data_BeeindigingsdatumVastOntslag148="","",Data_BeeindigingsdatumVastOntslag148)</f>
        <v/>
      </c>
      <c r="BY171" s="82" t="str">
        <f>IF(Data_LoonkostenVastOntslag148="","",Data_LoonkostenVastOntslag148)</f>
        <v/>
      </c>
      <c r="CA171" s="76" t="str">
        <f>IF(Data_PersoonAanUitVastOntslag148=-1,"v","")</f>
        <v/>
      </c>
      <c r="CB171" s="41"/>
      <c r="CC171" s="76" t="s">
        <v>160</v>
      </c>
      <c r="CD171" s="41"/>
      <c r="CE171" s="41"/>
      <c r="CF171" s="41"/>
      <c r="CG171" s="41"/>
      <c r="CH171" s="41">
        <f t="shared" si="23"/>
        <v>0</v>
      </c>
      <c r="CI171" s="41">
        <f t="shared" si="21"/>
        <v>0</v>
      </c>
    </row>
    <row r="172" spans="8:87" x14ac:dyDescent="0.25">
      <c r="H172" s="81" t="str">
        <f>IF(Data_NaamPersoonNatVerloop149="","",Data_NaamPersoonNatVerloop149)</f>
        <v/>
      </c>
      <c r="I172" s="41"/>
      <c r="J172" s="41"/>
      <c r="K172" s="83" t="str">
        <f>IF(Data_BeeindigingsdatumNatVerloop149="","",Data_BeeindigingsdatumNatVerloop149)</f>
        <v/>
      </c>
      <c r="L172" s="41"/>
      <c r="M172" s="41"/>
      <c r="N172" s="82" t="str">
        <f>IF(Data_LoonkostenNatVerloop149="","",Data_LoonkostenNatVerloop149)</f>
        <v/>
      </c>
      <c r="O172" s="41"/>
      <c r="P172" s="276" t="s">
        <v>160</v>
      </c>
      <c r="Q172" s="41"/>
      <c r="R172" s="76" t="s">
        <v>160</v>
      </c>
      <c r="S172" s="41"/>
      <c r="T172" s="41"/>
      <c r="U172" s="41"/>
      <c r="V172" s="41"/>
      <c r="W172" s="41">
        <f t="shared" si="16"/>
        <v>0</v>
      </c>
      <c r="X172" s="77" t="str">
        <f t="shared" si="22"/>
        <v/>
      </c>
      <c r="AG172" s="81" t="str">
        <f>IF(Data_NaamPersoonTijd149="","",Data_NaamPersoonTijd149)</f>
        <v/>
      </c>
      <c r="AH172" s="41"/>
      <c r="AI172" s="41"/>
      <c r="AJ172" s="83" t="str">
        <f>IF(Data_BeeindigingsdatumTijd149="","",Data_BeeindigingsdatumTijd149)</f>
        <v/>
      </c>
      <c r="AK172" s="41"/>
      <c r="AL172" s="41"/>
      <c r="AM172" s="82" t="str">
        <f>IF(Data_LoonkostenTijd149="","",Data_LoonkostenTijd149)</f>
        <v/>
      </c>
      <c r="AN172" s="41"/>
      <c r="AO172" s="276" t="str">
        <f>IF(Data_PersoonAanUitTijd149=-1,"v","")</f>
        <v/>
      </c>
      <c r="AP172" s="41"/>
      <c r="AQ172" s="76" t="s">
        <v>160</v>
      </c>
      <c r="AR172" s="41"/>
      <c r="AS172" s="41"/>
      <c r="AT172" s="41"/>
      <c r="AU172" s="41"/>
      <c r="AV172" s="41">
        <f t="shared" si="17"/>
        <v>0</v>
      </c>
      <c r="AW172" s="77">
        <f t="shared" si="18"/>
        <v>0</v>
      </c>
      <c r="AX172" s="41"/>
      <c r="AY172" s="41"/>
      <c r="AZ172" s="41"/>
      <c r="BA172" s="81" t="str">
        <f>IF(Data_NaamPersoonVastVrij149="","",Data_NaamPersoonVastVrij149)</f>
        <v/>
      </c>
      <c r="BB172" s="41"/>
      <c r="BC172" s="41"/>
      <c r="BD172" s="83" t="str">
        <f>IF(Data_BeeindigingsdatumVastVrij149="","",Data_BeeindigingsdatumVastVrij149)</f>
        <v/>
      </c>
      <c r="BE172" s="41"/>
      <c r="BF172" s="41"/>
      <c r="BG172" s="82" t="str">
        <f>IF(Data_LoonkostenVastVrij149="","",Data_LoonkostenVastVrij149)</f>
        <v/>
      </c>
      <c r="BH172" s="41"/>
      <c r="BI172" s="76" t="str">
        <f>IF(Data_PersoonAanUitVastVrij149=-1,"v","")</f>
        <v/>
      </c>
      <c r="BJ172" s="41"/>
      <c r="BK172" s="76" t="s">
        <v>160</v>
      </c>
      <c r="BL172" s="41"/>
      <c r="BM172" s="41"/>
      <c r="BN172" s="41"/>
      <c r="BO172" s="41"/>
      <c r="BP172" s="41">
        <f t="shared" si="19"/>
        <v>0</v>
      </c>
      <c r="BQ172" s="77">
        <f t="shared" si="20"/>
        <v>0</v>
      </c>
      <c r="BS172" s="81" t="str">
        <f>IF(Data_NaamPersoonVastOntslag149="","",Data_NaamPersoonVastOntslag149)</f>
        <v/>
      </c>
      <c r="BV172" s="83" t="str">
        <f>IF(Data_BeeindigingsdatumVastOntslag149="","",Data_BeeindigingsdatumVastOntslag149)</f>
        <v/>
      </c>
      <c r="BY172" s="82" t="str">
        <f>IF(Data_LoonkostenVastOntslag149="","",Data_LoonkostenVastOntslag149)</f>
        <v/>
      </c>
      <c r="CA172" s="76" t="str">
        <f>IF(Data_PersoonAanUitVastOntslag149=-1,"v","")</f>
        <v/>
      </c>
      <c r="CB172" s="41"/>
      <c r="CC172" s="76" t="s">
        <v>160</v>
      </c>
      <c r="CD172" s="41"/>
      <c r="CE172" s="41"/>
      <c r="CF172" s="41"/>
      <c r="CG172" s="41"/>
      <c r="CH172" s="41">
        <f t="shared" si="23"/>
        <v>0</v>
      </c>
      <c r="CI172" s="41">
        <f t="shared" si="21"/>
        <v>0</v>
      </c>
    </row>
    <row r="173" spans="8:87" x14ac:dyDescent="0.25">
      <c r="H173" s="81" t="str">
        <f>IF(Data_NaamPersoonNatVerloop150="","",Data_NaamPersoonNatVerloop150)</f>
        <v/>
      </c>
      <c r="I173" s="41"/>
      <c r="J173" s="41"/>
      <c r="K173" s="83" t="str">
        <f>IF(Data_BeeindigingsdatumNatVerloop150="","",Data_BeeindigingsdatumNatVerloop150)</f>
        <v/>
      </c>
      <c r="L173" s="41"/>
      <c r="M173" s="41"/>
      <c r="N173" s="82" t="str">
        <f>IF(Data_LoonkostenNatVerloop150="","",Data_LoonkostenNatVerloop150)</f>
        <v/>
      </c>
      <c r="O173" s="41"/>
      <c r="P173" s="276" t="s">
        <v>160</v>
      </c>
      <c r="Q173" s="41"/>
      <c r="R173" s="76" t="s">
        <v>160</v>
      </c>
      <c r="S173" s="41"/>
      <c r="T173" s="41"/>
      <c r="U173" s="41"/>
      <c r="V173" s="41"/>
      <c r="W173" s="41">
        <f t="shared" si="16"/>
        <v>0</v>
      </c>
      <c r="X173" s="77" t="str">
        <f t="shared" si="22"/>
        <v/>
      </c>
      <c r="AG173" s="81" t="str">
        <f>IF(Data_NaamPersoonTijd150="","",Data_NaamPersoonTijd150)</f>
        <v/>
      </c>
      <c r="AH173" s="41"/>
      <c r="AI173" s="41"/>
      <c r="AJ173" s="83" t="str">
        <f>IF(Data_BeeindigingsdatumTijd150="","",Data_BeeindigingsdatumTijd150)</f>
        <v/>
      </c>
      <c r="AK173" s="41"/>
      <c r="AL173" s="41"/>
      <c r="AM173" s="82" t="str">
        <f>IF(Data_LoonkostenTijd150="","",Data_LoonkostenTijd150)</f>
        <v/>
      </c>
      <c r="AN173" s="41"/>
      <c r="AO173" s="276" t="str">
        <f>IF(Data_PersoonAanUitTijd150=-1,"v","")</f>
        <v/>
      </c>
      <c r="AP173" s="41"/>
      <c r="AQ173" s="76" t="s">
        <v>160</v>
      </c>
      <c r="AR173" s="41"/>
      <c r="AS173" s="41"/>
      <c r="AT173" s="41"/>
      <c r="AU173" s="41"/>
      <c r="AV173" s="41">
        <f t="shared" si="17"/>
        <v>0</v>
      </c>
      <c r="AW173" s="77">
        <f t="shared" si="18"/>
        <v>0</v>
      </c>
      <c r="AX173" s="41"/>
      <c r="AY173" s="41"/>
      <c r="AZ173" s="41"/>
      <c r="BA173" s="81" t="str">
        <f>IF(Data_NaamPersoonVastVrij150="","",Data_NaamPersoonVastVrij150)</f>
        <v/>
      </c>
      <c r="BB173" s="41"/>
      <c r="BC173" s="41"/>
      <c r="BD173" s="83" t="str">
        <f>IF(Data_BeeindigingsdatumVastVrij150="","",Data_BeeindigingsdatumVastVrij150)</f>
        <v/>
      </c>
      <c r="BE173" s="41"/>
      <c r="BF173" s="41"/>
      <c r="BG173" s="82" t="str">
        <f>IF(Data_LoonkostenVastVrij150="","",Data_LoonkostenVastVrij150)</f>
        <v/>
      </c>
      <c r="BH173" s="41"/>
      <c r="BI173" s="76" t="str">
        <f>IF(Data_PersoonAanUitVastVrij150=-1,"v","")</f>
        <v/>
      </c>
      <c r="BJ173" s="41"/>
      <c r="BK173" s="76" t="s">
        <v>160</v>
      </c>
      <c r="BL173" s="41"/>
      <c r="BM173" s="41"/>
      <c r="BN173" s="41"/>
      <c r="BO173" s="41"/>
      <c r="BP173" s="41">
        <f t="shared" si="19"/>
        <v>0</v>
      </c>
      <c r="BQ173" s="77">
        <f t="shared" si="20"/>
        <v>0</v>
      </c>
      <c r="BS173" s="81" t="str">
        <f>IF(Data_NaamPersoonVastOntslag150="","",Data_NaamPersoonVastOntslag150)</f>
        <v/>
      </c>
      <c r="BV173" s="83" t="str">
        <f>IF(Data_BeeindigingsdatumVastOntslag150="","",Data_BeeindigingsdatumVastOntslag150)</f>
        <v/>
      </c>
      <c r="BY173" s="82" t="str">
        <f>IF(Data_LoonkostenVastOntslag150="","",Data_LoonkostenVastOntslag150)</f>
        <v/>
      </c>
      <c r="CA173" s="76" t="str">
        <f>IF(Data_PersoonAanUitVastOntslag150=-1,"v","")</f>
        <v/>
      </c>
      <c r="CB173" s="41"/>
      <c r="CC173" s="76" t="s">
        <v>160</v>
      </c>
      <c r="CD173" s="41"/>
      <c r="CE173" s="41"/>
      <c r="CF173" s="41"/>
      <c r="CG173" s="41"/>
      <c r="CH173" s="41">
        <f t="shared" si="23"/>
        <v>0</v>
      </c>
      <c r="CI173" s="41">
        <f t="shared" si="21"/>
        <v>0</v>
      </c>
    </row>
    <row r="174" spans="8:87" x14ac:dyDescent="0.25">
      <c r="H174" s="81" t="str">
        <f>IF(Data_NaamPersoonNatVerloop151="","",Data_NaamPersoonNatVerloop151)</f>
        <v/>
      </c>
      <c r="I174" s="41"/>
      <c r="J174" s="41"/>
      <c r="K174" s="83" t="str">
        <f>IF(Data_BeeindigingsdatumNatVerloop151="","",Data_BeeindigingsdatumNatVerloop151)</f>
        <v/>
      </c>
      <c r="L174" s="41"/>
      <c r="M174" s="41"/>
      <c r="N174" s="82" t="str">
        <f>IF(Data_LoonkostenNatVerloop151="","",Data_LoonkostenNatVerloop151)</f>
        <v/>
      </c>
      <c r="O174" s="41"/>
      <c r="P174" s="276" t="s">
        <v>160</v>
      </c>
      <c r="Q174" s="41"/>
      <c r="R174" s="76" t="s">
        <v>160</v>
      </c>
      <c r="S174" s="41"/>
      <c r="T174" s="41"/>
      <c r="U174" s="41"/>
      <c r="V174" s="41"/>
      <c r="W174" s="41">
        <f t="shared" si="16"/>
        <v>0</v>
      </c>
      <c r="X174" s="77" t="str">
        <f t="shared" si="22"/>
        <v/>
      </c>
      <c r="AG174" s="81" t="str">
        <f>IF(Data_NaamPersoonTijd151="","",Data_NaamPersoonTijd151)</f>
        <v/>
      </c>
      <c r="AH174" s="41"/>
      <c r="AI174" s="41"/>
      <c r="AJ174" s="83" t="str">
        <f>IF(Data_BeeindigingsdatumTijd151="","",Data_BeeindigingsdatumTijd151)</f>
        <v/>
      </c>
      <c r="AK174" s="41"/>
      <c r="AL174" s="41"/>
      <c r="AM174" s="82" t="str">
        <f>IF(Data_LoonkostenTijd151="","",Data_LoonkostenTijd151)</f>
        <v/>
      </c>
      <c r="AN174" s="41"/>
      <c r="AO174" s="276" t="str">
        <f>IF(Data_PersoonAanUitTijd151=-1,"v","")</f>
        <v/>
      </c>
      <c r="AP174" s="41"/>
      <c r="AQ174" s="76" t="s">
        <v>160</v>
      </c>
      <c r="AR174" s="41"/>
      <c r="AS174" s="41"/>
      <c r="AT174" s="41"/>
      <c r="AU174" s="41"/>
      <c r="AV174" s="41">
        <f t="shared" si="17"/>
        <v>0</v>
      </c>
      <c r="AW174" s="77">
        <f t="shared" si="18"/>
        <v>0</v>
      </c>
      <c r="AX174" s="41"/>
      <c r="AY174" s="41"/>
      <c r="AZ174" s="41"/>
      <c r="BA174" s="81" t="str">
        <f>IF(Data_NaamPersoonVastVrij151="","",Data_NaamPersoonVastVrij151)</f>
        <v/>
      </c>
      <c r="BB174" s="41"/>
      <c r="BC174" s="41"/>
      <c r="BD174" s="83" t="str">
        <f>IF(Data_BeeindigingsdatumVastVrij151="","",Data_BeeindigingsdatumVastVrij151)</f>
        <v/>
      </c>
      <c r="BE174" s="41"/>
      <c r="BF174" s="41"/>
      <c r="BG174" s="82" t="str">
        <f>IF(Data_LoonkostenVastVrij151="","",Data_LoonkostenVastVrij151)</f>
        <v/>
      </c>
      <c r="BH174" s="41"/>
      <c r="BI174" s="76" t="str">
        <f>IF(Data_PersoonAanUitVastVrij151=-1,"v","")</f>
        <v/>
      </c>
      <c r="BJ174" s="41"/>
      <c r="BK174" s="76" t="s">
        <v>160</v>
      </c>
      <c r="BL174" s="41"/>
      <c r="BM174" s="41"/>
      <c r="BN174" s="41"/>
      <c r="BO174" s="41"/>
      <c r="BP174" s="41">
        <f t="shared" si="19"/>
        <v>0</v>
      </c>
      <c r="BQ174" s="77">
        <f t="shared" si="20"/>
        <v>0</v>
      </c>
      <c r="BS174" s="81" t="str">
        <f>IF(Data_NaamPersoonVastOntslag151="","",Data_NaamPersoonVastOntslag151)</f>
        <v/>
      </c>
      <c r="BV174" s="83" t="str">
        <f>IF(Data_BeeindigingsdatumVastOntslag151="","",Data_BeeindigingsdatumVastOntslag151)</f>
        <v/>
      </c>
      <c r="BY174" s="82" t="str">
        <f>IF(Data_LoonkostenVastOntslag151="","",Data_LoonkostenVastOntslag151)</f>
        <v/>
      </c>
      <c r="CA174" s="76" t="str">
        <f>IF(Data_PersoonAanUitVastOntslag151=-1,"v","")</f>
        <v/>
      </c>
      <c r="CB174" s="41"/>
      <c r="CC174" s="76" t="s">
        <v>160</v>
      </c>
      <c r="CD174" s="41"/>
      <c r="CE174" s="41"/>
      <c r="CF174" s="41"/>
      <c r="CG174" s="41"/>
      <c r="CH174" s="41">
        <f t="shared" si="23"/>
        <v>0</v>
      </c>
      <c r="CI174" s="41">
        <f t="shared" si="21"/>
        <v>0</v>
      </c>
    </row>
    <row r="175" spans="8:87" x14ac:dyDescent="0.25">
      <c r="H175" s="81" t="str">
        <f>IF(Data_NaamPersoonNatVerloop152="","",Data_NaamPersoonNatVerloop152)</f>
        <v/>
      </c>
      <c r="I175" s="41"/>
      <c r="J175" s="41"/>
      <c r="K175" s="83" t="str">
        <f>IF(Data_BeeindigingsdatumNatVerloop152="","",Data_BeeindigingsdatumNatVerloop152)</f>
        <v/>
      </c>
      <c r="L175" s="41"/>
      <c r="M175" s="41"/>
      <c r="N175" s="82" t="str">
        <f>IF(Data_LoonkostenNatVerloop152="","",Data_LoonkostenNatVerloop152)</f>
        <v/>
      </c>
      <c r="O175" s="41"/>
      <c r="P175" s="276" t="s">
        <v>160</v>
      </c>
      <c r="Q175" s="41"/>
      <c r="R175" s="76" t="s">
        <v>160</v>
      </c>
      <c r="S175" s="41"/>
      <c r="T175" s="41"/>
      <c r="U175" s="41"/>
      <c r="V175" s="41"/>
      <c r="W175" s="41">
        <f t="shared" si="16"/>
        <v>0</v>
      </c>
      <c r="X175" s="77" t="str">
        <f t="shared" si="22"/>
        <v/>
      </c>
      <c r="AG175" s="81" t="str">
        <f>IF(Data_NaamPersoonTijd152="","",Data_NaamPersoonTijd152)</f>
        <v/>
      </c>
      <c r="AH175" s="41"/>
      <c r="AI175" s="41"/>
      <c r="AJ175" s="83" t="str">
        <f>IF(Data_BeeindigingsdatumTijd152="","",Data_BeeindigingsdatumTijd152)</f>
        <v/>
      </c>
      <c r="AK175" s="41"/>
      <c r="AL175" s="41"/>
      <c r="AM175" s="82" t="str">
        <f>IF(Data_LoonkostenTijd152="","",Data_LoonkostenTijd152)</f>
        <v/>
      </c>
      <c r="AN175" s="41"/>
      <c r="AO175" s="276" t="str">
        <f>IF(Data_PersoonAanUitTijd152=-1,"v","")</f>
        <v/>
      </c>
      <c r="AP175" s="41"/>
      <c r="AQ175" s="76" t="s">
        <v>160</v>
      </c>
      <c r="AR175" s="41"/>
      <c r="AS175" s="41"/>
      <c r="AT175" s="41"/>
      <c r="AU175" s="41"/>
      <c r="AV175" s="41">
        <f t="shared" si="17"/>
        <v>0</v>
      </c>
      <c r="AW175" s="77">
        <f t="shared" si="18"/>
        <v>0</v>
      </c>
      <c r="AX175" s="41"/>
      <c r="AY175" s="41"/>
      <c r="AZ175" s="41"/>
      <c r="BA175" s="81" t="str">
        <f>IF(Data_NaamPersoonVastVrij152="","",Data_NaamPersoonVastVrij152)</f>
        <v/>
      </c>
      <c r="BB175" s="41"/>
      <c r="BC175" s="41"/>
      <c r="BD175" s="83" t="str">
        <f>IF(Data_BeeindigingsdatumVastVrij152="","",Data_BeeindigingsdatumVastVrij152)</f>
        <v/>
      </c>
      <c r="BE175" s="41"/>
      <c r="BF175" s="41"/>
      <c r="BG175" s="82" t="str">
        <f>IF(Data_LoonkostenVastVrij152="","",Data_LoonkostenVastVrij152)</f>
        <v/>
      </c>
      <c r="BH175" s="41"/>
      <c r="BI175" s="76" t="str">
        <f>IF(Data_PersoonAanUitVastVrij152=-1,"v","")</f>
        <v/>
      </c>
      <c r="BJ175" s="41"/>
      <c r="BK175" s="76" t="s">
        <v>160</v>
      </c>
      <c r="BL175" s="41"/>
      <c r="BM175" s="41"/>
      <c r="BN175" s="41"/>
      <c r="BO175" s="41"/>
      <c r="BP175" s="41">
        <f t="shared" si="19"/>
        <v>0</v>
      </c>
      <c r="BQ175" s="77">
        <f t="shared" si="20"/>
        <v>0</v>
      </c>
      <c r="BS175" s="81" t="str">
        <f>IF(Data_NaamPersoonVastOntslag152="","",Data_NaamPersoonVastOntslag152)</f>
        <v/>
      </c>
      <c r="BV175" s="83" t="str">
        <f>IF(Data_BeeindigingsdatumVastOntslag152="","",Data_BeeindigingsdatumVastOntslag152)</f>
        <v/>
      </c>
      <c r="BY175" s="82" t="str">
        <f>IF(Data_LoonkostenVastOntslag152="","",Data_LoonkostenVastOntslag152)</f>
        <v/>
      </c>
      <c r="CA175" s="76" t="str">
        <f>IF(Data_PersoonAanUitVastOntslag152=-1,"v","")</f>
        <v/>
      </c>
      <c r="CB175" s="41"/>
      <c r="CC175" s="76" t="s">
        <v>160</v>
      </c>
      <c r="CD175" s="41"/>
      <c r="CE175" s="41"/>
      <c r="CF175" s="41"/>
      <c r="CG175" s="41"/>
      <c r="CH175" s="41">
        <f t="shared" si="23"/>
        <v>0</v>
      </c>
      <c r="CI175" s="41">
        <f t="shared" si="21"/>
        <v>0</v>
      </c>
    </row>
    <row r="176" spans="8:87" x14ac:dyDescent="0.25">
      <c r="H176" s="81" t="str">
        <f>IF(Data_NaamPersoonNatVerloop153="","",Data_NaamPersoonNatVerloop153)</f>
        <v/>
      </c>
      <c r="I176" s="41"/>
      <c r="J176" s="41"/>
      <c r="K176" s="83" t="str">
        <f>IF(Data_BeeindigingsdatumNatVerloop153="","",Data_BeeindigingsdatumNatVerloop153)</f>
        <v/>
      </c>
      <c r="L176" s="41"/>
      <c r="M176" s="41"/>
      <c r="N176" s="82" t="str">
        <f>IF(Data_LoonkostenNatVerloop153="","",Data_LoonkostenNatVerloop153)</f>
        <v/>
      </c>
      <c r="O176" s="41"/>
      <c r="P176" s="276" t="s">
        <v>160</v>
      </c>
      <c r="Q176" s="41"/>
      <c r="R176" s="76" t="s">
        <v>160</v>
      </c>
      <c r="S176" s="41"/>
      <c r="T176" s="41"/>
      <c r="U176" s="41"/>
      <c r="V176" s="41"/>
      <c r="W176" s="41">
        <f t="shared" si="16"/>
        <v>0</v>
      </c>
      <c r="X176" s="77" t="str">
        <f t="shared" si="22"/>
        <v/>
      </c>
      <c r="AG176" s="81" t="str">
        <f>IF(Data_NaamPersoonTijd153="","",Data_NaamPersoonTijd153)</f>
        <v/>
      </c>
      <c r="AH176" s="41"/>
      <c r="AI176" s="41"/>
      <c r="AJ176" s="83" t="str">
        <f>IF(Data_BeeindigingsdatumTijd153="","",Data_BeeindigingsdatumTijd153)</f>
        <v/>
      </c>
      <c r="AK176" s="41"/>
      <c r="AL176" s="41"/>
      <c r="AM176" s="82" t="str">
        <f>IF(Data_LoonkostenTijd153="","",Data_LoonkostenTijd153)</f>
        <v/>
      </c>
      <c r="AN176" s="41"/>
      <c r="AO176" s="276" t="str">
        <f>IF(Data_PersoonAanUitTijd153=-1,"v","")</f>
        <v/>
      </c>
      <c r="AP176" s="41"/>
      <c r="AQ176" s="76" t="s">
        <v>160</v>
      </c>
      <c r="AR176" s="41"/>
      <c r="AS176" s="41"/>
      <c r="AT176" s="41"/>
      <c r="AU176" s="41"/>
      <c r="AV176" s="41">
        <f t="shared" si="17"/>
        <v>0</v>
      </c>
      <c r="AW176" s="77">
        <f t="shared" si="18"/>
        <v>0</v>
      </c>
      <c r="AX176" s="41"/>
      <c r="AY176" s="41"/>
      <c r="AZ176" s="41"/>
      <c r="BA176" s="81" t="str">
        <f>IF(Data_NaamPersoonVastVrij153="","",Data_NaamPersoonVastVrij153)</f>
        <v/>
      </c>
      <c r="BB176" s="41"/>
      <c r="BC176" s="41"/>
      <c r="BD176" s="83" t="str">
        <f>IF(Data_BeeindigingsdatumVastVrij153="","",Data_BeeindigingsdatumVastVrij153)</f>
        <v/>
      </c>
      <c r="BE176" s="41"/>
      <c r="BF176" s="41"/>
      <c r="BG176" s="82" t="str">
        <f>IF(Data_LoonkostenVastVrij153="","",Data_LoonkostenVastVrij153)</f>
        <v/>
      </c>
      <c r="BH176" s="41"/>
      <c r="BI176" s="76" t="str">
        <f>IF(Data_PersoonAanUitVastVrij153=-1,"v","")</f>
        <v/>
      </c>
      <c r="BJ176" s="41"/>
      <c r="BK176" s="76" t="s">
        <v>160</v>
      </c>
      <c r="BL176" s="41"/>
      <c r="BM176" s="41"/>
      <c r="BN176" s="41"/>
      <c r="BO176" s="41"/>
      <c r="BP176" s="41">
        <f t="shared" si="19"/>
        <v>0</v>
      </c>
      <c r="BQ176" s="77">
        <f t="shared" si="20"/>
        <v>0</v>
      </c>
      <c r="BS176" s="81" t="str">
        <f>IF(Data_NaamPersoonVastOntslag153="","",Data_NaamPersoonVastOntslag153)</f>
        <v/>
      </c>
      <c r="BV176" s="83" t="str">
        <f>IF(Data_BeeindigingsdatumVastOntslag153="","",Data_BeeindigingsdatumVastOntslag153)</f>
        <v/>
      </c>
      <c r="BY176" s="82" t="str">
        <f>IF(Data_LoonkostenVastOntslag153="","",Data_LoonkostenVastOntslag153)</f>
        <v/>
      </c>
      <c r="CA176" s="76" t="str">
        <f>IF(Data_PersoonAanUitVastOntslag153=-1,"v","")</f>
        <v/>
      </c>
      <c r="CB176" s="41"/>
      <c r="CC176" s="76" t="s">
        <v>160</v>
      </c>
      <c r="CD176" s="41"/>
      <c r="CE176" s="41"/>
      <c r="CF176" s="41"/>
      <c r="CG176" s="41"/>
      <c r="CH176" s="41">
        <f t="shared" si="23"/>
        <v>0</v>
      </c>
      <c r="CI176" s="41">
        <f t="shared" si="21"/>
        <v>0</v>
      </c>
    </row>
    <row r="177" spans="8:87" x14ac:dyDescent="0.25">
      <c r="H177" s="81" t="str">
        <f>IF(Data_NaamPersoonNatVerloop154="","",Data_NaamPersoonNatVerloop154)</f>
        <v/>
      </c>
      <c r="I177" s="41"/>
      <c r="J177" s="41"/>
      <c r="K177" s="83" t="str">
        <f>IF(Data_BeeindigingsdatumNatVerloop154="","",Data_BeeindigingsdatumNatVerloop154)</f>
        <v/>
      </c>
      <c r="L177" s="41"/>
      <c r="M177" s="41"/>
      <c r="N177" s="82" t="str">
        <f>IF(Data_LoonkostenNatVerloop154="","",Data_LoonkostenNatVerloop154)</f>
        <v/>
      </c>
      <c r="O177" s="41"/>
      <c r="P177" s="276" t="s">
        <v>160</v>
      </c>
      <c r="Q177" s="41"/>
      <c r="R177" s="76" t="s">
        <v>160</v>
      </c>
      <c r="S177" s="41"/>
      <c r="T177" s="41"/>
      <c r="U177" s="41"/>
      <c r="V177" s="41"/>
      <c r="W177" s="41">
        <f t="shared" si="16"/>
        <v>0</v>
      </c>
      <c r="X177" s="77" t="str">
        <f t="shared" si="22"/>
        <v/>
      </c>
      <c r="AG177" s="81" t="str">
        <f>IF(Data_NaamPersoonTijd154="","",Data_NaamPersoonTijd154)</f>
        <v/>
      </c>
      <c r="AH177" s="41"/>
      <c r="AI177" s="41"/>
      <c r="AJ177" s="83" t="str">
        <f>IF(Data_BeeindigingsdatumTijd154="","",Data_BeeindigingsdatumTijd154)</f>
        <v/>
      </c>
      <c r="AK177" s="41"/>
      <c r="AL177" s="41"/>
      <c r="AM177" s="82" t="str">
        <f>IF(Data_LoonkostenTijd154="","",Data_LoonkostenTijd154)</f>
        <v/>
      </c>
      <c r="AN177" s="41"/>
      <c r="AO177" s="276" t="str">
        <f>IF(Data_PersoonAanUitTijd154=-1,"v","")</f>
        <v/>
      </c>
      <c r="AP177" s="41"/>
      <c r="AQ177" s="76" t="s">
        <v>160</v>
      </c>
      <c r="AR177" s="41"/>
      <c r="AS177" s="41"/>
      <c r="AT177" s="41"/>
      <c r="AU177" s="41"/>
      <c r="AV177" s="41">
        <f t="shared" si="17"/>
        <v>0</v>
      </c>
      <c r="AW177" s="77">
        <f t="shared" si="18"/>
        <v>0</v>
      </c>
      <c r="AX177" s="41"/>
      <c r="AY177" s="41"/>
      <c r="AZ177" s="41"/>
      <c r="BA177" s="81" t="str">
        <f>IF(Data_NaamPersoonVastVrij154="","",Data_NaamPersoonVastVrij154)</f>
        <v/>
      </c>
      <c r="BB177" s="41"/>
      <c r="BC177" s="41"/>
      <c r="BD177" s="83" t="str">
        <f>IF(Data_BeeindigingsdatumVastVrij154="","",Data_BeeindigingsdatumVastVrij154)</f>
        <v/>
      </c>
      <c r="BE177" s="41"/>
      <c r="BF177" s="41"/>
      <c r="BG177" s="82" t="str">
        <f>IF(Data_LoonkostenVastVrij154="","",Data_LoonkostenVastVrij154)</f>
        <v/>
      </c>
      <c r="BH177" s="41"/>
      <c r="BI177" s="76" t="str">
        <f>IF(Data_PersoonAanUitVastVrij154=-1,"v","")</f>
        <v/>
      </c>
      <c r="BJ177" s="41"/>
      <c r="BK177" s="76" t="s">
        <v>160</v>
      </c>
      <c r="BL177" s="41"/>
      <c r="BM177" s="41"/>
      <c r="BN177" s="41"/>
      <c r="BO177" s="41"/>
      <c r="BP177" s="41">
        <f t="shared" si="19"/>
        <v>0</v>
      </c>
      <c r="BQ177" s="77">
        <f t="shared" si="20"/>
        <v>0</v>
      </c>
      <c r="BS177" s="81" t="str">
        <f>IF(Data_NaamPersoonVastOntslag154="","",Data_NaamPersoonVastOntslag154)</f>
        <v/>
      </c>
      <c r="BV177" s="83" t="str">
        <f>IF(Data_BeeindigingsdatumVastOntslag154="","",Data_BeeindigingsdatumVastOntslag154)</f>
        <v/>
      </c>
      <c r="BY177" s="82" t="str">
        <f>IF(Data_LoonkostenVastOntslag154="","",Data_LoonkostenVastOntslag154)</f>
        <v/>
      </c>
      <c r="CA177" s="76" t="str">
        <f>IF(Data_PersoonAanUitVastOntslag154=-1,"v","")</f>
        <v/>
      </c>
      <c r="CB177" s="41"/>
      <c r="CC177" s="76" t="s">
        <v>160</v>
      </c>
      <c r="CD177" s="41"/>
      <c r="CE177" s="41"/>
      <c r="CF177" s="41"/>
      <c r="CG177" s="41"/>
      <c r="CH177" s="41">
        <f t="shared" si="23"/>
        <v>0</v>
      </c>
      <c r="CI177" s="41">
        <f t="shared" si="21"/>
        <v>0</v>
      </c>
    </row>
    <row r="178" spans="8:87" x14ac:dyDescent="0.25">
      <c r="H178" s="81" t="str">
        <f>IF(Data_NaamPersoonNatVerloop155="","",Data_NaamPersoonNatVerloop155)</f>
        <v/>
      </c>
      <c r="I178" s="41"/>
      <c r="J178" s="41"/>
      <c r="K178" s="83" t="str">
        <f>IF(Data_BeeindigingsdatumNatVerloop155="","",Data_BeeindigingsdatumNatVerloop155)</f>
        <v/>
      </c>
      <c r="L178" s="41"/>
      <c r="M178" s="41"/>
      <c r="N178" s="82" t="str">
        <f>IF(Data_LoonkostenNatVerloop155="","",Data_LoonkostenNatVerloop155)</f>
        <v/>
      </c>
      <c r="O178" s="41"/>
      <c r="P178" s="276" t="s">
        <v>160</v>
      </c>
      <c r="Q178" s="41"/>
      <c r="R178" s="76" t="s">
        <v>160</v>
      </c>
      <c r="S178" s="41"/>
      <c r="T178" s="41"/>
      <c r="U178" s="41"/>
      <c r="V178" s="41"/>
      <c r="W178" s="41">
        <f t="shared" si="16"/>
        <v>0</v>
      </c>
      <c r="X178" s="77" t="str">
        <f t="shared" si="22"/>
        <v/>
      </c>
      <c r="AG178" s="81" t="str">
        <f>IF(Data_NaamPersoonTijd155="","",Data_NaamPersoonTijd155)</f>
        <v/>
      </c>
      <c r="AH178" s="41"/>
      <c r="AI178" s="41"/>
      <c r="AJ178" s="83" t="str">
        <f>IF(Data_BeeindigingsdatumTijd155="","",Data_BeeindigingsdatumTijd155)</f>
        <v/>
      </c>
      <c r="AK178" s="41"/>
      <c r="AL178" s="41"/>
      <c r="AM178" s="82" t="str">
        <f>IF(Data_LoonkostenTijd155="","",Data_LoonkostenTijd155)</f>
        <v/>
      </c>
      <c r="AN178" s="41"/>
      <c r="AO178" s="276" t="str">
        <f>IF(Data_PersoonAanUitTijd155=-1,"v","")</f>
        <v/>
      </c>
      <c r="AP178" s="41"/>
      <c r="AQ178" s="76" t="s">
        <v>160</v>
      </c>
      <c r="AR178" s="41"/>
      <c r="AS178" s="41"/>
      <c r="AT178" s="41"/>
      <c r="AU178" s="41"/>
      <c r="AV178" s="41">
        <f t="shared" si="17"/>
        <v>0</v>
      </c>
      <c r="AW178" s="77">
        <f t="shared" si="18"/>
        <v>0</v>
      </c>
      <c r="AX178" s="41"/>
      <c r="AY178" s="41"/>
      <c r="AZ178" s="41"/>
      <c r="BA178" s="81" t="str">
        <f>IF(Data_NaamPersoonVastVrij155="","",Data_NaamPersoonVastVrij155)</f>
        <v/>
      </c>
      <c r="BB178" s="41"/>
      <c r="BC178" s="41"/>
      <c r="BD178" s="83" t="str">
        <f>IF(Data_BeeindigingsdatumVastVrij155="","",Data_BeeindigingsdatumVastVrij155)</f>
        <v/>
      </c>
      <c r="BE178" s="41"/>
      <c r="BF178" s="41"/>
      <c r="BG178" s="82" t="str">
        <f>IF(Data_LoonkostenVastVrij155="","",Data_LoonkostenVastVrij155)</f>
        <v/>
      </c>
      <c r="BH178" s="41"/>
      <c r="BI178" s="76" t="str">
        <f>IF(Data_PersoonAanUitVastVrij155=-1,"v","")</f>
        <v/>
      </c>
      <c r="BJ178" s="41"/>
      <c r="BK178" s="76" t="s">
        <v>160</v>
      </c>
      <c r="BL178" s="41"/>
      <c r="BM178" s="41"/>
      <c r="BN178" s="41"/>
      <c r="BO178" s="41"/>
      <c r="BP178" s="41">
        <f t="shared" si="19"/>
        <v>0</v>
      </c>
      <c r="BQ178" s="77">
        <f t="shared" si="20"/>
        <v>0</v>
      </c>
      <c r="BS178" s="81" t="str">
        <f>IF(Data_NaamPersoonVastOntslag155="","",Data_NaamPersoonVastOntslag155)</f>
        <v/>
      </c>
      <c r="BV178" s="83" t="str">
        <f>IF(Data_BeeindigingsdatumVastOntslag155="","",Data_BeeindigingsdatumVastOntslag155)</f>
        <v/>
      </c>
      <c r="BY178" s="82" t="str">
        <f>IF(Data_LoonkostenVastOntslag155="","",Data_LoonkostenVastOntslag155)</f>
        <v/>
      </c>
      <c r="CA178" s="76" t="str">
        <f>IF(Data_PersoonAanUitVastOntslag155=-1,"v","")</f>
        <v/>
      </c>
      <c r="CB178" s="41"/>
      <c r="CC178" s="76" t="s">
        <v>160</v>
      </c>
      <c r="CD178" s="41"/>
      <c r="CE178" s="41"/>
      <c r="CF178" s="41"/>
      <c r="CG178" s="41"/>
      <c r="CH178" s="41">
        <f t="shared" si="23"/>
        <v>0</v>
      </c>
      <c r="CI178" s="41">
        <f t="shared" si="21"/>
        <v>0</v>
      </c>
    </row>
    <row r="179" spans="8:87" x14ac:dyDescent="0.25">
      <c r="H179" s="81" t="str">
        <f>IF(Data_NaamPersoonNatVerloop156="","",Data_NaamPersoonNatVerloop156)</f>
        <v/>
      </c>
      <c r="I179" s="41"/>
      <c r="J179" s="41"/>
      <c r="K179" s="83" t="str">
        <f>IF(Data_BeeindigingsdatumNatVerloop156="","",Data_BeeindigingsdatumNatVerloop156)</f>
        <v/>
      </c>
      <c r="L179" s="41"/>
      <c r="M179" s="41"/>
      <c r="N179" s="82" t="str">
        <f>IF(Data_LoonkostenNatVerloop156="","",Data_LoonkostenNatVerloop156)</f>
        <v/>
      </c>
      <c r="O179" s="41"/>
      <c r="P179" s="276" t="s">
        <v>160</v>
      </c>
      <c r="Q179" s="41"/>
      <c r="R179" s="76" t="s">
        <v>160</v>
      </c>
      <c r="S179" s="41"/>
      <c r="T179" s="41"/>
      <c r="U179" s="41"/>
      <c r="V179" s="41"/>
      <c r="W179" s="41">
        <f t="shared" si="16"/>
        <v>0</v>
      </c>
      <c r="X179" s="77" t="str">
        <f t="shared" si="22"/>
        <v/>
      </c>
      <c r="AG179" s="81" t="str">
        <f>IF(Data_NaamPersoonTijd156="","",Data_NaamPersoonTijd156)</f>
        <v/>
      </c>
      <c r="AH179" s="41"/>
      <c r="AI179" s="41"/>
      <c r="AJ179" s="83" t="str">
        <f>IF(Data_BeeindigingsdatumTijd156="","",Data_BeeindigingsdatumTijd156)</f>
        <v/>
      </c>
      <c r="AK179" s="41"/>
      <c r="AL179" s="41"/>
      <c r="AM179" s="82" t="str">
        <f>IF(Data_LoonkostenTijd156="","",Data_LoonkostenTijd156)</f>
        <v/>
      </c>
      <c r="AN179" s="41"/>
      <c r="AO179" s="276" t="str">
        <f>IF(Data_PersoonAanUitTijd156=-1,"v","")</f>
        <v/>
      </c>
      <c r="AP179" s="41"/>
      <c r="AQ179" s="76" t="s">
        <v>160</v>
      </c>
      <c r="AR179" s="41"/>
      <c r="AS179" s="41"/>
      <c r="AT179" s="41"/>
      <c r="AU179" s="41"/>
      <c r="AV179" s="41">
        <f t="shared" si="17"/>
        <v>0</v>
      </c>
      <c r="AW179" s="77">
        <f t="shared" si="18"/>
        <v>0</v>
      </c>
      <c r="AX179" s="41"/>
      <c r="AY179" s="41"/>
      <c r="AZ179" s="41"/>
      <c r="BA179" s="81" t="str">
        <f>IF(Data_NaamPersoonVastVrij156="","",Data_NaamPersoonVastVrij156)</f>
        <v/>
      </c>
      <c r="BB179" s="41"/>
      <c r="BC179" s="41"/>
      <c r="BD179" s="83" t="str">
        <f>IF(Data_BeeindigingsdatumVastVrij156="","",Data_BeeindigingsdatumVastVrij156)</f>
        <v/>
      </c>
      <c r="BE179" s="41"/>
      <c r="BF179" s="41"/>
      <c r="BG179" s="82" t="str">
        <f>IF(Data_LoonkostenVastVrij156="","",Data_LoonkostenVastVrij156)</f>
        <v/>
      </c>
      <c r="BH179" s="41"/>
      <c r="BI179" s="76" t="str">
        <f>IF(Data_PersoonAanUitVastVrij156=-1,"v","")</f>
        <v/>
      </c>
      <c r="BJ179" s="41"/>
      <c r="BK179" s="76" t="s">
        <v>160</v>
      </c>
      <c r="BL179" s="41"/>
      <c r="BM179" s="41"/>
      <c r="BN179" s="41"/>
      <c r="BO179" s="41"/>
      <c r="BP179" s="41">
        <f t="shared" si="19"/>
        <v>0</v>
      </c>
      <c r="BQ179" s="77">
        <f t="shared" si="20"/>
        <v>0</v>
      </c>
      <c r="BS179" s="81" t="str">
        <f>IF(Data_NaamPersoonVastOntslag156="","",Data_NaamPersoonVastOntslag156)</f>
        <v/>
      </c>
      <c r="BV179" s="83" t="str">
        <f>IF(Data_BeeindigingsdatumVastOntslag156="","",Data_BeeindigingsdatumVastOntslag156)</f>
        <v/>
      </c>
      <c r="BY179" s="82" t="str">
        <f>IF(Data_LoonkostenVastOntslag156="","",Data_LoonkostenVastOntslag156)</f>
        <v/>
      </c>
      <c r="CA179" s="76" t="str">
        <f>IF(Data_PersoonAanUitVastOntslag156=-1,"v","")</f>
        <v/>
      </c>
      <c r="CB179" s="41"/>
      <c r="CC179" s="76" t="s">
        <v>160</v>
      </c>
      <c r="CD179" s="41"/>
      <c r="CE179" s="41"/>
      <c r="CF179" s="41"/>
      <c r="CG179" s="41"/>
      <c r="CH179" s="41">
        <f t="shared" si="23"/>
        <v>0</v>
      </c>
      <c r="CI179" s="41">
        <f t="shared" si="21"/>
        <v>0</v>
      </c>
    </row>
    <row r="180" spans="8:87" x14ac:dyDescent="0.25">
      <c r="H180" s="81" t="str">
        <f>IF(Data_NaamPersoonNatVerloop157="","",Data_NaamPersoonNatVerloop157)</f>
        <v/>
      </c>
      <c r="I180" s="41"/>
      <c r="J180" s="41"/>
      <c r="K180" s="83" t="str">
        <f>IF(Data_BeeindigingsdatumNatVerloop157="","",Data_BeeindigingsdatumNatVerloop157)</f>
        <v/>
      </c>
      <c r="L180" s="41"/>
      <c r="M180" s="41"/>
      <c r="N180" s="82" t="str">
        <f>IF(Data_LoonkostenNatVerloop157="","",Data_LoonkostenNatVerloop157)</f>
        <v/>
      </c>
      <c r="O180" s="41"/>
      <c r="P180" s="276" t="s">
        <v>160</v>
      </c>
      <c r="Q180" s="41"/>
      <c r="R180" s="76" t="s">
        <v>160</v>
      </c>
      <c r="S180" s="41"/>
      <c r="T180" s="41"/>
      <c r="U180" s="41"/>
      <c r="V180" s="41"/>
      <c r="W180" s="41">
        <f t="shared" si="16"/>
        <v>0</v>
      </c>
      <c r="X180" s="77" t="str">
        <f t="shared" si="22"/>
        <v/>
      </c>
      <c r="AG180" s="81" t="str">
        <f>IF(Data_NaamPersoonTijd157="","",Data_NaamPersoonTijd157)</f>
        <v/>
      </c>
      <c r="AH180" s="41"/>
      <c r="AI180" s="41"/>
      <c r="AJ180" s="83" t="str">
        <f>IF(Data_BeeindigingsdatumTijd157="","",Data_BeeindigingsdatumTijd157)</f>
        <v/>
      </c>
      <c r="AK180" s="41"/>
      <c r="AL180" s="41"/>
      <c r="AM180" s="82" t="str">
        <f>IF(Data_LoonkostenTijd157="","",Data_LoonkostenTijd157)</f>
        <v/>
      </c>
      <c r="AN180" s="41"/>
      <c r="AO180" s="276" t="str">
        <f>IF(Data_PersoonAanUitTijd157=-1,"v","")</f>
        <v/>
      </c>
      <c r="AP180" s="41"/>
      <c r="AQ180" s="76" t="s">
        <v>160</v>
      </c>
      <c r="AR180" s="41"/>
      <c r="AS180" s="41"/>
      <c r="AT180" s="41"/>
      <c r="AU180" s="41"/>
      <c r="AV180" s="41">
        <f t="shared" si="17"/>
        <v>0</v>
      </c>
      <c r="AW180" s="77">
        <f t="shared" si="18"/>
        <v>0</v>
      </c>
      <c r="AX180" s="41"/>
      <c r="AY180" s="41"/>
      <c r="AZ180" s="41"/>
      <c r="BA180" s="81" t="str">
        <f>IF(Data_NaamPersoonVastVrij157="","",Data_NaamPersoonVastVrij157)</f>
        <v/>
      </c>
      <c r="BB180" s="41"/>
      <c r="BC180" s="41"/>
      <c r="BD180" s="83" t="str">
        <f>IF(Data_BeeindigingsdatumVastVrij157="","",Data_BeeindigingsdatumVastVrij157)</f>
        <v/>
      </c>
      <c r="BE180" s="41"/>
      <c r="BF180" s="41"/>
      <c r="BG180" s="82" t="str">
        <f>IF(Data_LoonkostenVastVrij157="","",Data_LoonkostenVastVrij157)</f>
        <v/>
      </c>
      <c r="BH180" s="41"/>
      <c r="BI180" s="76" t="str">
        <f>IF(Data_PersoonAanUitVastVrij157=-1,"v","")</f>
        <v/>
      </c>
      <c r="BJ180" s="41"/>
      <c r="BK180" s="76" t="s">
        <v>160</v>
      </c>
      <c r="BL180" s="41"/>
      <c r="BM180" s="41"/>
      <c r="BN180" s="41"/>
      <c r="BO180" s="41"/>
      <c r="BP180" s="41">
        <f t="shared" si="19"/>
        <v>0</v>
      </c>
      <c r="BQ180" s="77">
        <f t="shared" si="20"/>
        <v>0</v>
      </c>
      <c r="BS180" s="81" t="str">
        <f>IF(Data_NaamPersoonVastOntslag157="","",Data_NaamPersoonVastOntslag157)</f>
        <v/>
      </c>
      <c r="BV180" s="83" t="str">
        <f>IF(Data_BeeindigingsdatumVastOntslag157="","",Data_BeeindigingsdatumVastOntslag157)</f>
        <v/>
      </c>
      <c r="BY180" s="82" t="str">
        <f>IF(Data_LoonkostenVastOntslag157="","",Data_LoonkostenVastOntslag157)</f>
        <v/>
      </c>
      <c r="CA180" s="76" t="str">
        <f>IF(Data_PersoonAanUitVastOntslag157=-1,"v","")</f>
        <v/>
      </c>
      <c r="CB180" s="41"/>
      <c r="CC180" s="76" t="s">
        <v>160</v>
      </c>
      <c r="CD180" s="41"/>
      <c r="CE180" s="41"/>
      <c r="CF180" s="41"/>
      <c r="CG180" s="41"/>
      <c r="CH180" s="41">
        <f t="shared" si="23"/>
        <v>0</v>
      </c>
      <c r="CI180" s="41">
        <f t="shared" si="21"/>
        <v>0</v>
      </c>
    </row>
    <row r="181" spans="8:87" x14ac:dyDescent="0.25">
      <c r="H181" s="81" t="str">
        <f>IF(Data_NaamPersoonNatVerloop158="","",Data_NaamPersoonNatVerloop158)</f>
        <v/>
      </c>
      <c r="I181" s="41"/>
      <c r="J181" s="41"/>
      <c r="K181" s="83" t="str">
        <f>IF(Data_BeeindigingsdatumNatVerloop158="","",Data_BeeindigingsdatumNatVerloop158)</f>
        <v/>
      </c>
      <c r="L181" s="41"/>
      <c r="M181" s="41"/>
      <c r="N181" s="82" t="str">
        <f>IF(Data_LoonkostenNatVerloop158="","",Data_LoonkostenNatVerloop158)</f>
        <v/>
      </c>
      <c r="O181" s="41"/>
      <c r="P181" s="276" t="s">
        <v>160</v>
      </c>
      <c r="Q181" s="41"/>
      <c r="R181" s="76" t="s">
        <v>160</v>
      </c>
      <c r="S181" s="41"/>
      <c r="T181" s="41"/>
      <c r="U181" s="41"/>
      <c r="V181" s="41"/>
      <c r="W181" s="41">
        <f t="shared" si="16"/>
        <v>0</v>
      </c>
      <c r="X181" s="77" t="str">
        <f t="shared" si="22"/>
        <v/>
      </c>
      <c r="AG181" s="81" t="str">
        <f>IF(Data_NaamPersoonTijd158="","",Data_NaamPersoonTijd158)</f>
        <v/>
      </c>
      <c r="AH181" s="41"/>
      <c r="AI181" s="41"/>
      <c r="AJ181" s="83" t="str">
        <f>IF(Data_BeeindigingsdatumTijd158="","",Data_BeeindigingsdatumTijd158)</f>
        <v/>
      </c>
      <c r="AK181" s="41"/>
      <c r="AL181" s="41"/>
      <c r="AM181" s="82" t="str">
        <f>IF(Data_LoonkostenTijd158="","",Data_LoonkostenTijd158)</f>
        <v/>
      </c>
      <c r="AN181" s="41"/>
      <c r="AO181" s="276" t="str">
        <f>IF(Data_PersoonAanUitTijd158=-1,"v","")</f>
        <v/>
      </c>
      <c r="AP181" s="41"/>
      <c r="AQ181" s="76" t="s">
        <v>160</v>
      </c>
      <c r="AR181" s="41"/>
      <c r="AS181" s="41"/>
      <c r="AT181" s="41"/>
      <c r="AU181" s="41"/>
      <c r="AV181" s="41">
        <f t="shared" si="17"/>
        <v>0</v>
      </c>
      <c r="AW181" s="77">
        <f t="shared" si="18"/>
        <v>0</v>
      </c>
      <c r="AX181" s="41"/>
      <c r="AY181" s="41"/>
      <c r="AZ181" s="41"/>
      <c r="BA181" s="81" t="str">
        <f>IF(Data_NaamPersoonVastVrij158="","",Data_NaamPersoonVastVrij158)</f>
        <v/>
      </c>
      <c r="BB181" s="41"/>
      <c r="BC181" s="41"/>
      <c r="BD181" s="83" t="str">
        <f>IF(Data_BeeindigingsdatumVastVrij158="","",Data_BeeindigingsdatumVastVrij158)</f>
        <v/>
      </c>
      <c r="BE181" s="41"/>
      <c r="BF181" s="41"/>
      <c r="BG181" s="82" t="str">
        <f>IF(Data_LoonkostenVastVrij158="","",Data_LoonkostenVastVrij158)</f>
        <v/>
      </c>
      <c r="BH181" s="41"/>
      <c r="BI181" s="76" t="str">
        <f>IF(Data_PersoonAanUitVastVrij158=-1,"v","")</f>
        <v/>
      </c>
      <c r="BJ181" s="41"/>
      <c r="BK181" s="76" t="s">
        <v>160</v>
      </c>
      <c r="BL181" s="41"/>
      <c r="BM181" s="41"/>
      <c r="BN181" s="41"/>
      <c r="BO181" s="41"/>
      <c r="BP181" s="41">
        <f t="shared" si="19"/>
        <v>0</v>
      </c>
      <c r="BQ181" s="77">
        <f t="shared" si="20"/>
        <v>0</v>
      </c>
      <c r="BS181" s="81" t="str">
        <f>IF(Data_NaamPersoonVastOntslag158="","",Data_NaamPersoonVastOntslag158)</f>
        <v/>
      </c>
      <c r="BV181" s="83" t="str">
        <f>IF(Data_BeeindigingsdatumVastOntslag158="","",Data_BeeindigingsdatumVastOntslag158)</f>
        <v/>
      </c>
      <c r="BY181" s="82" t="str">
        <f>IF(Data_LoonkostenVastOntslag158="","",Data_LoonkostenVastOntslag158)</f>
        <v/>
      </c>
      <c r="CA181" s="76" t="str">
        <f>IF(Data_PersoonAanUitVastOntslag158=-1,"v","")</f>
        <v/>
      </c>
      <c r="CB181" s="41"/>
      <c r="CC181" s="76" t="s">
        <v>160</v>
      </c>
      <c r="CD181" s="41"/>
      <c r="CE181" s="41"/>
      <c r="CF181" s="41"/>
      <c r="CG181" s="41"/>
      <c r="CH181" s="41">
        <f t="shared" si="23"/>
        <v>0</v>
      </c>
      <c r="CI181" s="41">
        <f t="shared" si="21"/>
        <v>0</v>
      </c>
    </row>
    <row r="182" spans="8:87" x14ac:dyDescent="0.25">
      <c r="H182" s="81" t="str">
        <f>IF(Data_NaamPersoonNatVerloop159="","",Data_NaamPersoonNatVerloop159)</f>
        <v/>
      </c>
      <c r="I182" s="41"/>
      <c r="J182" s="41"/>
      <c r="K182" s="83" t="str">
        <f>IF(Data_BeeindigingsdatumNatVerloop159="","",Data_BeeindigingsdatumNatVerloop159)</f>
        <v/>
      </c>
      <c r="L182" s="41"/>
      <c r="M182" s="41"/>
      <c r="N182" s="82" t="str">
        <f>IF(Data_LoonkostenNatVerloop159="","",Data_LoonkostenNatVerloop159)</f>
        <v/>
      </c>
      <c r="O182" s="41"/>
      <c r="P182" s="276" t="s">
        <v>160</v>
      </c>
      <c r="Q182" s="41"/>
      <c r="R182" s="76" t="s">
        <v>160</v>
      </c>
      <c r="S182" s="41"/>
      <c r="T182" s="41"/>
      <c r="U182" s="41"/>
      <c r="V182" s="41"/>
      <c r="W182" s="41">
        <f t="shared" si="16"/>
        <v>0</v>
      </c>
      <c r="X182" s="77" t="str">
        <f t="shared" si="22"/>
        <v/>
      </c>
      <c r="AG182" s="81" t="str">
        <f>IF(Data_NaamPersoonTijd159="","",Data_NaamPersoonTijd159)</f>
        <v/>
      </c>
      <c r="AH182" s="41"/>
      <c r="AI182" s="41"/>
      <c r="AJ182" s="83" t="str">
        <f>IF(Data_BeeindigingsdatumTijd159="","",Data_BeeindigingsdatumTijd159)</f>
        <v/>
      </c>
      <c r="AK182" s="41"/>
      <c r="AL182" s="41"/>
      <c r="AM182" s="82" t="str">
        <f>IF(Data_LoonkostenTijd159="","",Data_LoonkostenTijd159)</f>
        <v/>
      </c>
      <c r="AN182" s="41"/>
      <c r="AO182" s="276" t="str">
        <f>IF(Data_PersoonAanUitTijd159=-1,"v","")</f>
        <v/>
      </c>
      <c r="AP182" s="41"/>
      <c r="AQ182" s="76" t="s">
        <v>160</v>
      </c>
      <c r="AR182" s="41"/>
      <c r="AS182" s="41"/>
      <c r="AT182" s="41"/>
      <c r="AU182" s="41"/>
      <c r="AV182" s="41">
        <f t="shared" si="17"/>
        <v>0</v>
      </c>
      <c r="AW182" s="77">
        <f t="shared" si="18"/>
        <v>0</v>
      </c>
      <c r="AX182" s="41"/>
      <c r="AY182" s="41"/>
      <c r="AZ182" s="41"/>
      <c r="BA182" s="81" t="str">
        <f>IF(Data_NaamPersoonVastVrij159="","",Data_NaamPersoonVastVrij159)</f>
        <v/>
      </c>
      <c r="BB182" s="41"/>
      <c r="BC182" s="41"/>
      <c r="BD182" s="83" t="str">
        <f>IF(Data_BeeindigingsdatumVastVrij159="","",Data_BeeindigingsdatumVastVrij159)</f>
        <v/>
      </c>
      <c r="BE182" s="41"/>
      <c r="BF182" s="41"/>
      <c r="BG182" s="82" t="str">
        <f>IF(Data_LoonkostenVastVrij159="","",Data_LoonkostenVastVrij159)</f>
        <v/>
      </c>
      <c r="BH182" s="41"/>
      <c r="BI182" s="76" t="str">
        <f>IF(Data_PersoonAanUitVastVrij159=-1,"v","")</f>
        <v/>
      </c>
      <c r="BJ182" s="41"/>
      <c r="BK182" s="76" t="s">
        <v>160</v>
      </c>
      <c r="BL182" s="41"/>
      <c r="BM182" s="41"/>
      <c r="BN182" s="41"/>
      <c r="BO182" s="41"/>
      <c r="BP182" s="41">
        <f t="shared" si="19"/>
        <v>0</v>
      </c>
      <c r="BQ182" s="77">
        <f t="shared" si="20"/>
        <v>0</v>
      </c>
      <c r="BS182" s="81" t="str">
        <f>IF(Data_NaamPersoonVastOntslag159="","",Data_NaamPersoonVastOntslag159)</f>
        <v/>
      </c>
      <c r="BV182" s="83" t="str">
        <f>IF(Data_BeeindigingsdatumVastOntslag159="","",Data_BeeindigingsdatumVastOntslag159)</f>
        <v/>
      </c>
      <c r="BY182" s="82" t="str">
        <f>IF(Data_LoonkostenVastOntslag159="","",Data_LoonkostenVastOntslag159)</f>
        <v/>
      </c>
      <c r="CA182" s="76" t="str">
        <f>IF(Data_PersoonAanUitVastOntslag159=-1,"v","")</f>
        <v/>
      </c>
      <c r="CB182" s="41"/>
      <c r="CC182" s="76" t="s">
        <v>160</v>
      </c>
      <c r="CD182" s="41"/>
      <c r="CE182" s="41"/>
      <c r="CF182" s="41"/>
      <c r="CG182" s="41"/>
      <c r="CH182" s="41">
        <f t="shared" si="23"/>
        <v>0</v>
      </c>
      <c r="CI182" s="41">
        <f t="shared" si="21"/>
        <v>0</v>
      </c>
    </row>
    <row r="183" spans="8:87" x14ac:dyDescent="0.25">
      <c r="H183" s="81" t="str">
        <f>IF(Data_NaamPersoonNatVerloop160="","",Data_NaamPersoonNatVerloop160)</f>
        <v/>
      </c>
      <c r="I183" s="41"/>
      <c r="J183" s="41"/>
      <c r="K183" s="83" t="str">
        <f>IF(Data_BeeindigingsdatumNatVerloop160="","",Data_BeeindigingsdatumNatVerloop160)</f>
        <v/>
      </c>
      <c r="L183" s="41"/>
      <c r="M183" s="41"/>
      <c r="N183" s="82" t="str">
        <f>IF(Data_LoonkostenNatVerloop160="","",Data_LoonkostenNatVerloop160)</f>
        <v/>
      </c>
      <c r="O183" s="41"/>
      <c r="P183" s="276" t="s">
        <v>160</v>
      </c>
      <c r="Q183" s="41"/>
      <c r="R183" s="76" t="s">
        <v>160</v>
      </c>
      <c r="S183" s="41"/>
      <c r="T183" s="41"/>
      <c r="U183" s="41"/>
      <c r="V183" s="41"/>
      <c r="W183" s="41">
        <f t="shared" si="16"/>
        <v>0</v>
      </c>
      <c r="X183" s="77" t="str">
        <f t="shared" si="22"/>
        <v/>
      </c>
      <c r="AG183" s="81" t="str">
        <f>IF(Data_NaamPersoonTijd160="","",Data_NaamPersoonTijd160)</f>
        <v/>
      </c>
      <c r="AH183" s="41"/>
      <c r="AI183" s="41"/>
      <c r="AJ183" s="83" t="str">
        <f>IF(Data_BeeindigingsdatumTijd160="","",Data_BeeindigingsdatumTijd160)</f>
        <v/>
      </c>
      <c r="AK183" s="41"/>
      <c r="AL183" s="41"/>
      <c r="AM183" s="82" t="str">
        <f>IF(Data_LoonkostenTijd160="","",Data_LoonkostenTijd160)</f>
        <v/>
      </c>
      <c r="AN183" s="41"/>
      <c r="AO183" s="276" t="str">
        <f>IF(Data_PersoonAanUitTijd160=-1,"v","")</f>
        <v/>
      </c>
      <c r="AP183" s="41"/>
      <c r="AQ183" s="76" t="s">
        <v>160</v>
      </c>
      <c r="AR183" s="41"/>
      <c r="AS183" s="41"/>
      <c r="AT183" s="41"/>
      <c r="AU183" s="41"/>
      <c r="AV183" s="41">
        <f t="shared" si="17"/>
        <v>0</v>
      </c>
      <c r="AW183" s="77">
        <f t="shared" si="18"/>
        <v>0</v>
      </c>
      <c r="AX183" s="41"/>
      <c r="AY183" s="41"/>
      <c r="AZ183" s="41"/>
      <c r="BA183" s="81" t="str">
        <f>IF(Data_NaamPersoonVastVrij160="","",Data_NaamPersoonVastVrij160)</f>
        <v/>
      </c>
      <c r="BB183" s="41"/>
      <c r="BC183" s="41"/>
      <c r="BD183" s="83" t="str">
        <f>IF(Data_BeeindigingsdatumVastVrij160="","",Data_BeeindigingsdatumVastVrij160)</f>
        <v/>
      </c>
      <c r="BE183" s="41"/>
      <c r="BF183" s="41"/>
      <c r="BG183" s="82" t="str">
        <f>IF(Data_LoonkostenVastVrij160="","",Data_LoonkostenVastVrij160)</f>
        <v/>
      </c>
      <c r="BH183" s="41"/>
      <c r="BI183" s="76" t="str">
        <f>IF(Data_PersoonAanUitVastVrij160=-1,"v","")</f>
        <v/>
      </c>
      <c r="BJ183" s="41"/>
      <c r="BK183" s="76" t="s">
        <v>160</v>
      </c>
      <c r="BL183" s="41"/>
      <c r="BM183" s="41"/>
      <c r="BN183" s="41"/>
      <c r="BO183" s="41"/>
      <c r="BP183" s="41">
        <f t="shared" si="19"/>
        <v>0</v>
      </c>
      <c r="BQ183" s="77">
        <f t="shared" si="20"/>
        <v>0</v>
      </c>
      <c r="BS183" s="81" t="str">
        <f>IF(Data_NaamPersoonVastOntslag160="","",Data_NaamPersoonVastOntslag160)</f>
        <v/>
      </c>
      <c r="BV183" s="83" t="str">
        <f>IF(Data_BeeindigingsdatumVastOntslag160="","",Data_BeeindigingsdatumVastOntslag160)</f>
        <v/>
      </c>
      <c r="BY183" s="82" t="str">
        <f>IF(Data_LoonkostenVastOntslag160="","",Data_LoonkostenVastOntslag160)</f>
        <v/>
      </c>
      <c r="CA183" s="76" t="str">
        <f>IF(Data_PersoonAanUitVastOntslag160=-1,"v","")</f>
        <v/>
      </c>
      <c r="CB183" s="41"/>
      <c r="CC183" s="76" t="s">
        <v>160</v>
      </c>
      <c r="CD183" s="41"/>
      <c r="CE183" s="41"/>
      <c r="CF183" s="41"/>
      <c r="CG183" s="41"/>
      <c r="CH183" s="41">
        <f t="shared" si="23"/>
        <v>0</v>
      </c>
      <c r="CI183" s="41">
        <f t="shared" si="21"/>
        <v>0</v>
      </c>
    </row>
    <row r="184" spans="8:87" x14ac:dyDescent="0.25">
      <c r="H184" s="81" t="str">
        <f>IF(Data_NaamPersoonNatVerloop161="","",Data_NaamPersoonNatVerloop161)</f>
        <v/>
      </c>
      <c r="I184" s="41"/>
      <c r="J184" s="41"/>
      <c r="K184" s="83" t="str">
        <f>IF(Data_BeeindigingsdatumNatVerloop161="","",Data_BeeindigingsdatumNatVerloop161)</f>
        <v/>
      </c>
      <c r="L184" s="41"/>
      <c r="M184" s="41"/>
      <c r="N184" s="82" t="str">
        <f>IF(Data_LoonkostenNatVerloop161="","",Data_LoonkostenNatVerloop161)</f>
        <v/>
      </c>
      <c r="O184" s="41"/>
      <c r="P184" s="276" t="s">
        <v>160</v>
      </c>
      <c r="Q184" s="41"/>
      <c r="R184" s="76" t="s">
        <v>160</v>
      </c>
      <c r="S184" s="41"/>
      <c r="T184" s="41"/>
      <c r="U184" s="41"/>
      <c r="V184" s="41"/>
      <c r="W184" s="41">
        <f t="shared" si="16"/>
        <v>0</v>
      </c>
      <c r="X184" s="77" t="str">
        <f t="shared" si="22"/>
        <v/>
      </c>
      <c r="AG184" s="81" t="str">
        <f>IF(Data_NaamPersoonTijd161="","",Data_NaamPersoonTijd161)</f>
        <v/>
      </c>
      <c r="AH184" s="41"/>
      <c r="AI184" s="41"/>
      <c r="AJ184" s="83" t="str">
        <f>IF(Data_BeeindigingsdatumTijd161="","",Data_BeeindigingsdatumTijd161)</f>
        <v/>
      </c>
      <c r="AK184" s="41"/>
      <c r="AL184" s="41"/>
      <c r="AM184" s="82" t="str">
        <f>IF(Data_LoonkostenTijd161="","",Data_LoonkostenTijd161)</f>
        <v/>
      </c>
      <c r="AN184" s="41"/>
      <c r="AO184" s="276" t="str">
        <f>IF(Data_PersoonAanUitTijd161=-1,"v","")</f>
        <v/>
      </c>
      <c r="AP184" s="41"/>
      <c r="AQ184" s="76" t="s">
        <v>160</v>
      </c>
      <c r="AR184" s="41"/>
      <c r="AS184" s="41"/>
      <c r="AT184" s="41"/>
      <c r="AU184" s="41"/>
      <c r="AV184" s="41">
        <f t="shared" si="17"/>
        <v>0</v>
      </c>
      <c r="AW184" s="77">
        <f t="shared" si="18"/>
        <v>0</v>
      </c>
      <c r="AX184" s="41"/>
      <c r="AY184" s="41"/>
      <c r="AZ184" s="41"/>
      <c r="BA184" s="81" t="str">
        <f>IF(Data_NaamPersoonVastVrij161="","",Data_NaamPersoonVastVrij161)</f>
        <v/>
      </c>
      <c r="BB184" s="41"/>
      <c r="BC184" s="41"/>
      <c r="BD184" s="83" t="str">
        <f>IF(Data_BeeindigingsdatumVastVrij161="","",Data_BeeindigingsdatumVastVrij161)</f>
        <v/>
      </c>
      <c r="BE184" s="41"/>
      <c r="BF184" s="41"/>
      <c r="BG184" s="82" t="str">
        <f>IF(Data_LoonkostenVastVrij161="","",Data_LoonkostenVastVrij161)</f>
        <v/>
      </c>
      <c r="BH184" s="41"/>
      <c r="BI184" s="76" t="str">
        <f>IF(Data_PersoonAanUitVastVrij161=-1,"v","")</f>
        <v/>
      </c>
      <c r="BJ184" s="41"/>
      <c r="BK184" s="76" t="s">
        <v>160</v>
      </c>
      <c r="BL184" s="41"/>
      <c r="BM184" s="41"/>
      <c r="BN184" s="41"/>
      <c r="BO184" s="41"/>
      <c r="BP184" s="41">
        <f t="shared" si="19"/>
        <v>0</v>
      </c>
      <c r="BQ184" s="77">
        <f t="shared" si="20"/>
        <v>0</v>
      </c>
      <c r="BS184" s="81" t="str">
        <f>IF(Data_NaamPersoonVastOntslag161="","",Data_NaamPersoonVastOntslag161)</f>
        <v/>
      </c>
      <c r="BV184" s="83" t="str">
        <f>IF(Data_BeeindigingsdatumVastOntslag161="","",Data_BeeindigingsdatumVastOntslag161)</f>
        <v/>
      </c>
      <c r="BY184" s="82" t="str">
        <f>IF(Data_LoonkostenVastOntslag161="","",Data_LoonkostenVastOntslag161)</f>
        <v/>
      </c>
      <c r="CA184" s="76" t="str">
        <f>IF(Data_PersoonAanUitVastOntslag161=-1,"v","")</f>
        <v/>
      </c>
      <c r="CB184" s="41"/>
      <c r="CC184" s="76" t="s">
        <v>160</v>
      </c>
      <c r="CD184" s="41"/>
      <c r="CE184" s="41"/>
      <c r="CF184" s="41"/>
      <c r="CG184" s="41"/>
      <c r="CH184" s="41">
        <f t="shared" si="23"/>
        <v>0</v>
      </c>
      <c r="CI184" s="41">
        <f t="shared" si="21"/>
        <v>0</v>
      </c>
    </row>
    <row r="185" spans="8:87" x14ac:dyDescent="0.25">
      <c r="H185" s="81" t="str">
        <f>IF(Data_NaamPersoonNatVerloop162="","",Data_NaamPersoonNatVerloop162)</f>
        <v/>
      </c>
      <c r="I185" s="41"/>
      <c r="J185" s="41"/>
      <c r="K185" s="83" t="str">
        <f>IF(Data_BeeindigingsdatumNatVerloop162="","",Data_BeeindigingsdatumNatVerloop162)</f>
        <v/>
      </c>
      <c r="L185" s="41"/>
      <c r="M185" s="41"/>
      <c r="N185" s="82" t="str">
        <f>IF(Data_LoonkostenNatVerloop162="","",Data_LoonkostenNatVerloop162)</f>
        <v/>
      </c>
      <c r="O185" s="41"/>
      <c r="P185" s="276" t="s">
        <v>160</v>
      </c>
      <c r="Q185" s="41"/>
      <c r="R185" s="76" t="s">
        <v>160</v>
      </c>
      <c r="S185" s="41"/>
      <c r="T185" s="41"/>
      <c r="U185" s="41"/>
      <c r="V185" s="41"/>
      <c r="W185" s="41">
        <f t="shared" si="16"/>
        <v>0</v>
      </c>
      <c r="X185" s="77" t="str">
        <f t="shared" si="22"/>
        <v/>
      </c>
      <c r="AG185" s="81" t="str">
        <f>IF(Data_NaamPersoonTijd162="","",Data_NaamPersoonTijd162)</f>
        <v/>
      </c>
      <c r="AH185" s="41"/>
      <c r="AI185" s="41"/>
      <c r="AJ185" s="83" t="str">
        <f>IF(Data_BeeindigingsdatumTijd162="","",Data_BeeindigingsdatumTijd162)</f>
        <v/>
      </c>
      <c r="AK185" s="41"/>
      <c r="AL185" s="41"/>
      <c r="AM185" s="82" t="str">
        <f>IF(Data_LoonkostenTijd162="","",Data_LoonkostenTijd162)</f>
        <v/>
      </c>
      <c r="AN185" s="41"/>
      <c r="AO185" s="276" t="str">
        <f>IF(Data_PersoonAanUitTijd162=-1,"v","")</f>
        <v/>
      </c>
      <c r="AP185" s="41"/>
      <c r="AQ185" s="76" t="s">
        <v>160</v>
      </c>
      <c r="AR185" s="41"/>
      <c r="AS185" s="41"/>
      <c r="AT185" s="41"/>
      <c r="AU185" s="41"/>
      <c r="AV185" s="41">
        <f t="shared" si="17"/>
        <v>0</v>
      </c>
      <c r="AW185" s="77">
        <f t="shared" si="18"/>
        <v>0</v>
      </c>
      <c r="AX185" s="41"/>
      <c r="AY185" s="41"/>
      <c r="AZ185" s="41"/>
      <c r="BA185" s="81" t="str">
        <f>IF(Data_NaamPersoonVastVrij162="","",Data_NaamPersoonVastVrij162)</f>
        <v/>
      </c>
      <c r="BB185" s="41"/>
      <c r="BC185" s="41"/>
      <c r="BD185" s="83" t="str">
        <f>IF(Data_BeeindigingsdatumVastVrij162="","",Data_BeeindigingsdatumVastVrij162)</f>
        <v/>
      </c>
      <c r="BE185" s="41"/>
      <c r="BF185" s="41"/>
      <c r="BG185" s="82" t="str">
        <f>IF(Data_LoonkostenVastVrij162="","",Data_LoonkostenVastVrij162)</f>
        <v/>
      </c>
      <c r="BH185" s="41"/>
      <c r="BI185" s="76" t="str">
        <f>IF(Data_PersoonAanUitVastVrij162=-1,"v","")</f>
        <v/>
      </c>
      <c r="BJ185" s="41"/>
      <c r="BK185" s="76" t="s">
        <v>160</v>
      </c>
      <c r="BL185" s="41"/>
      <c r="BM185" s="41"/>
      <c r="BN185" s="41"/>
      <c r="BO185" s="41"/>
      <c r="BP185" s="41">
        <f t="shared" si="19"/>
        <v>0</v>
      </c>
      <c r="BQ185" s="77">
        <f t="shared" si="20"/>
        <v>0</v>
      </c>
      <c r="BS185" s="81" t="str">
        <f>IF(Data_NaamPersoonVastOntslag162="","",Data_NaamPersoonVastOntslag162)</f>
        <v/>
      </c>
      <c r="BV185" s="83" t="str">
        <f>IF(Data_BeeindigingsdatumVastOntslag162="","",Data_BeeindigingsdatumVastOntslag162)</f>
        <v/>
      </c>
      <c r="BY185" s="82" t="str">
        <f>IF(Data_LoonkostenVastOntslag162="","",Data_LoonkostenVastOntslag162)</f>
        <v/>
      </c>
      <c r="CA185" s="76" t="str">
        <f>IF(Data_PersoonAanUitVastOntslag162=-1,"v","")</f>
        <v/>
      </c>
      <c r="CB185" s="41"/>
      <c r="CC185" s="76" t="s">
        <v>160</v>
      </c>
      <c r="CD185" s="41"/>
      <c r="CE185" s="41"/>
      <c r="CF185" s="41"/>
      <c r="CG185" s="41"/>
      <c r="CH185" s="41">
        <f t="shared" si="23"/>
        <v>0</v>
      </c>
      <c r="CI185" s="41">
        <f t="shared" si="21"/>
        <v>0</v>
      </c>
    </row>
    <row r="186" spans="8:87" x14ac:dyDescent="0.25">
      <c r="H186" s="81" t="str">
        <f>IF(Data_NaamPersoonNatVerloop163="","",Data_NaamPersoonNatVerloop163)</f>
        <v/>
      </c>
      <c r="I186" s="41"/>
      <c r="J186" s="41"/>
      <c r="K186" s="83" t="str">
        <f>IF(Data_BeeindigingsdatumNatVerloop163="","",Data_BeeindigingsdatumNatVerloop163)</f>
        <v/>
      </c>
      <c r="L186" s="41"/>
      <c r="M186" s="41"/>
      <c r="N186" s="82" t="str">
        <f>IF(Data_LoonkostenNatVerloop163="","",Data_LoonkostenNatVerloop163)</f>
        <v/>
      </c>
      <c r="O186" s="41"/>
      <c r="P186" s="276" t="s">
        <v>160</v>
      </c>
      <c r="Q186" s="41"/>
      <c r="R186" s="76" t="s">
        <v>160</v>
      </c>
      <c r="S186" s="41"/>
      <c r="T186" s="41"/>
      <c r="U186" s="41"/>
      <c r="V186" s="41"/>
      <c r="W186" s="41">
        <f t="shared" si="16"/>
        <v>0</v>
      </c>
      <c r="X186" s="77" t="str">
        <f t="shared" si="22"/>
        <v/>
      </c>
      <c r="AG186" s="81" t="str">
        <f>IF(Data_NaamPersoonTijd163="","",Data_NaamPersoonTijd163)</f>
        <v/>
      </c>
      <c r="AH186" s="41"/>
      <c r="AI186" s="41"/>
      <c r="AJ186" s="83" t="str">
        <f>IF(Data_BeeindigingsdatumTijd163="","",Data_BeeindigingsdatumTijd163)</f>
        <v/>
      </c>
      <c r="AK186" s="41"/>
      <c r="AL186" s="41"/>
      <c r="AM186" s="82" t="str">
        <f>IF(Data_LoonkostenTijd163="","",Data_LoonkostenTijd163)</f>
        <v/>
      </c>
      <c r="AN186" s="41"/>
      <c r="AO186" s="276" t="str">
        <f>IF(Data_PersoonAanUitTijd163=-1,"v","")</f>
        <v/>
      </c>
      <c r="AP186" s="41"/>
      <c r="AQ186" s="76" t="s">
        <v>160</v>
      </c>
      <c r="AR186" s="41"/>
      <c r="AS186" s="41"/>
      <c r="AT186" s="41"/>
      <c r="AU186" s="41"/>
      <c r="AV186" s="41">
        <f t="shared" si="17"/>
        <v>0</v>
      </c>
      <c r="AW186" s="77">
        <f t="shared" si="18"/>
        <v>0</v>
      </c>
      <c r="AX186" s="41"/>
      <c r="AY186" s="41"/>
      <c r="AZ186" s="41"/>
      <c r="BA186" s="81" t="str">
        <f>IF(Data_NaamPersoonVastVrij163="","",Data_NaamPersoonVastVrij163)</f>
        <v/>
      </c>
      <c r="BB186" s="41"/>
      <c r="BC186" s="41"/>
      <c r="BD186" s="83" t="str">
        <f>IF(Data_BeeindigingsdatumVastVrij163="","",Data_BeeindigingsdatumVastVrij163)</f>
        <v/>
      </c>
      <c r="BE186" s="41"/>
      <c r="BF186" s="41"/>
      <c r="BG186" s="82" t="str">
        <f>IF(Data_LoonkostenVastVrij163="","",Data_LoonkostenVastVrij163)</f>
        <v/>
      </c>
      <c r="BH186" s="41"/>
      <c r="BI186" s="76" t="str">
        <f>IF(Data_PersoonAanUitVastVrij163=-1,"v","")</f>
        <v/>
      </c>
      <c r="BJ186" s="41"/>
      <c r="BK186" s="76" t="s">
        <v>160</v>
      </c>
      <c r="BL186" s="41"/>
      <c r="BM186" s="41"/>
      <c r="BN186" s="41"/>
      <c r="BO186" s="41"/>
      <c r="BP186" s="41">
        <f t="shared" si="19"/>
        <v>0</v>
      </c>
      <c r="BQ186" s="77">
        <f t="shared" si="20"/>
        <v>0</v>
      </c>
      <c r="BS186" s="81" t="str">
        <f>IF(Data_NaamPersoonVastOntslag163="","",Data_NaamPersoonVastOntslag163)</f>
        <v/>
      </c>
      <c r="BV186" s="83" t="str">
        <f>IF(Data_BeeindigingsdatumVastOntslag163="","",Data_BeeindigingsdatumVastOntslag163)</f>
        <v/>
      </c>
      <c r="BY186" s="82" t="str">
        <f>IF(Data_LoonkostenVastOntslag163="","",Data_LoonkostenVastOntslag163)</f>
        <v/>
      </c>
      <c r="CA186" s="76" t="str">
        <f>IF(Data_PersoonAanUitVastOntslag163=-1,"v","")</f>
        <v/>
      </c>
      <c r="CB186" s="41"/>
      <c r="CC186" s="76" t="s">
        <v>160</v>
      </c>
      <c r="CD186" s="41"/>
      <c r="CE186" s="41"/>
      <c r="CF186" s="41"/>
      <c r="CG186" s="41"/>
      <c r="CH186" s="41">
        <f t="shared" si="23"/>
        <v>0</v>
      </c>
      <c r="CI186" s="41">
        <f t="shared" si="21"/>
        <v>0</v>
      </c>
    </row>
    <row r="187" spans="8:87" x14ac:dyDescent="0.25">
      <c r="H187" s="81" t="str">
        <f>IF(Data_NaamPersoonNatVerloop164="","",Data_NaamPersoonNatVerloop164)</f>
        <v/>
      </c>
      <c r="I187" s="41"/>
      <c r="J187" s="41"/>
      <c r="K187" s="83" t="str">
        <f>IF(Data_BeeindigingsdatumNatVerloop164="","",Data_BeeindigingsdatumNatVerloop164)</f>
        <v/>
      </c>
      <c r="L187" s="41"/>
      <c r="M187" s="41"/>
      <c r="N187" s="82" t="str">
        <f>IF(Data_LoonkostenNatVerloop164="","",Data_LoonkostenNatVerloop164)</f>
        <v/>
      </c>
      <c r="O187" s="41"/>
      <c r="P187" s="276" t="s">
        <v>160</v>
      </c>
      <c r="Q187" s="41"/>
      <c r="R187" s="76" t="s">
        <v>160</v>
      </c>
      <c r="S187" s="41"/>
      <c r="T187" s="41"/>
      <c r="U187" s="41"/>
      <c r="V187" s="41"/>
      <c r="W187" s="41">
        <f t="shared" si="16"/>
        <v>0</v>
      </c>
      <c r="X187" s="77" t="str">
        <f t="shared" si="22"/>
        <v/>
      </c>
      <c r="AG187" s="81" t="str">
        <f>IF(Data_NaamPersoonTijd164="","",Data_NaamPersoonTijd164)</f>
        <v/>
      </c>
      <c r="AH187" s="41"/>
      <c r="AI187" s="41"/>
      <c r="AJ187" s="83" t="str">
        <f>IF(Data_BeeindigingsdatumTijd164="","",Data_BeeindigingsdatumTijd164)</f>
        <v/>
      </c>
      <c r="AK187" s="41"/>
      <c r="AL187" s="41"/>
      <c r="AM187" s="82" t="str">
        <f>IF(Data_LoonkostenTijd164="","",Data_LoonkostenTijd164)</f>
        <v/>
      </c>
      <c r="AN187" s="41"/>
      <c r="AO187" s="276" t="str">
        <f>IF(Data_PersoonAanUitTijd164=-1,"v","")</f>
        <v/>
      </c>
      <c r="AP187" s="41"/>
      <c r="AQ187" s="76" t="s">
        <v>160</v>
      </c>
      <c r="AR187" s="41"/>
      <c r="AS187" s="41"/>
      <c r="AT187" s="41"/>
      <c r="AU187" s="41"/>
      <c r="AV187" s="41">
        <f t="shared" si="17"/>
        <v>0</v>
      </c>
      <c r="AW187" s="77">
        <f t="shared" si="18"/>
        <v>0</v>
      </c>
      <c r="AX187" s="41"/>
      <c r="AY187" s="41"/>
      <c r="AZ187" s="41"/>
      <c r="BA187" s="81" t="str">
        <f>IF(Data_NaamPersoonVastVrij164="","",Data_NaamPersoonVastVrij164)</f>
        <v/>
      </c>
      <c r="BB187" s="41"/>
      <c r="BC187" s="41"/>
      <c r="BD187" s="83" t="str">
        <f>IF(Data_BeeindigingsdatumVastVrij164="","",Data_BeeindigingsdatumVastVrij164)</f>
        <v/>
      </c>
      <c r="BE187" s="41"/>
      <c r="BF187" s="41"/>
      <c r="BG187" s="82" t="str">
        <f>IF(Data_LoonkostenVastVrij164="","",Data_LoonkostenVastVrij164)</f>
        <v/>
      </c>
      <c r="BH187" s="41"/>
      <c r="BI187" s="76" t="str">
        <f>IF(Data_PersoonAanUitVastVrij164=-1,"v","")</f>
        <v/>
      </c>
      <c r="BJ187" s="41"/>
      <c r="BK187" s="76" t="s">
        <v>160</v>
      </c>
      <c r="BL187" s="41"/>
      <c r="BM187" s="41"/>
      <c r="BN187" s="41"/>
      <c r="BO187" s="41"/>
      <c r="BP187" s="41">
        <f t="shared" si="19"/>
        <v>0</v>
      </c>
      <c r="BQ187" s="77">
        <f t="shared" si="20"/>
        <v>0</v>
      </c>
      <c r="BS187" s="81" t="str">
        <f>IF(Data_NaamPersoonVastOntslag164="","",Data_NaamPersoonVastOntslag164)</f>
        <v/>
      </c>
      <c r="BV187" s="83" t="str">
        <f>IF(Data_BeeindigingsdatumVastOntslag164="","",Data_BeeindigingsdatumVastOntslag164)</f>
        <v/>
      </c>
      <c r="BY187" s="82" t="str">
        <f>IF(Data_LoonkostenVastOntslag164="","",Data_LoonkostenVastOntslag164)</f>
        <v/>
      </c>
      <c r="CA187" s="76" t="str">
        <f>IF(Data_PersoonAanUitVastOntslag164=-1,"v","")</f>
        <v/>
      </c>
      <c r="CB187" s="41"/>
      <c r="CC187" s="76" t="s">
        <v>160</v>
      </c>
      <c r="CD187" s="41"/>
      <c r="CE187" s="41"/>
      <c r="CF187" s="41"/>
      <c r="CG187" s="41"/>
      <c r="CH187" s="41">
        <f t="shared" si="23"/>
        <v>0</v>
      </c>
      <c r="CI187" s="41">
        <f t="shared" si="21"/>
        <v>0</v>
      </c>
    </row>
    <row r="188" spans="8:87" x14ac:dyDescent="0.25">
      <c r="H188" s="81" t="str">
        <f>IF(Data_NaamPersoonNatVerloop165="","",Data_NaamPersoonNatVerloop165)</f>
        <v/>
      </c>
      <c r="I188" s="41"/>
      <c r="J188" s="41"/>
      <c r="K188" s="83" t="str">
        <f>IF(Data_BeeindigingsdatumNatVerloop165="","",Data_BeeindigingsdatumNatVerloop165)</f>
        <v/>
      </c>
      <c r="L188" s="41"/>
      <c r="M188" s="41"/>
      <c r="N188" s="82" t="str">
        <f>IF(Data_LoonkostenNatVerloop165="","",Data_LoonkostenNatVerloop165)</f>
        <v/>
      </c>
      <c r="O188" s="41"/>
      <c r="P188" s="276" t="s">
        <v>160</v>
      </c>
      <c r="Q188" s="41"/>
      <c r="R188" s="76" t="s">
        <v>160</v>
      </c>
      <c r="S188" s="41"/>
      <c r="T188" s="41"/>
      <c r="U188" s="41"/>
      <c r="V188" s="41"/>
      <c r="W188" s="41">
        <f t="shared" si="16"/>
        <v>0</v>
      </c>
      <c r="X188" s="77" t="str">
        <f t="shared" si="22"/>
        <v/>
      </c>
      <c r="AG188" s="81" t="str">
        <f>IF(Data_NaamPersoonTijd165="","",Data_NaamPersoonTijd165)</f>
        <v/>
      </c>
      <c r="AH188" s="41"/>
      <c r="AI188" s="41"/>
      <c r="AJ188" s="83" t="str">
        <f>IF(Data_BeeindigingsdatumTijd165="","",Data_BeeindigingsdatumTijd165)</f>
        <v/>
      </c>
      <c r="AK188" s="41"/>
      <c r="AL188" s="41"/>
      <c r="AM188" s="82" t="str">
        <f>IF(Data_LoonkostenTijd165="","",Data_LoonkostenTijd165)</f>
        <v/>
      </c>
      <c r="AN188" s="41"/>
      <c r="AO188" s="276" t="str">
        <f>IF(Data_PersoonAanUitTijd165=-1,"v","")</f>
        <v/>
      </c>
      <c r="AP188" s="41"/>
      <c r="AQ188" s="76" t="s">
        <v>160</v>
      </c>
      <c r="AR188" s="41"/>
      <c r="AS188" s="41"/>
      <c r="AT188" s="41"/>
      <c r="AU188" s="41"/>
      <c r="AV188" s="41">
        <f t="shared" si="17"/>
        <v>0</v>
      </c>
      <c r="AW188" s="77">
        <f t="shared" si="18"/>
        <v>0</v>
      </c>
      <c r="AX188" s="41"/>
      <c r="AY188" s="41"/>
      <c r="AZ188" s="41"/>
      <c r="BA188" s="81" t="str">
        <f>IF(Data_NaamPersoonVastVrij165="","",Data_NaamPersoonVastVrij165)</f>
        <v/>
      </c>
      <c r="BB188" s="41"/>
      <c r="BC188" s="41"/>
      <c r="BD188" s="83" t="str">
        <f>IF(Data_BeeindigingsdatumVastVrij165="","",Data_BeeindigingsdatumVastVrij165)</f>
        <v/>
      </c>
      <c r="BE188" s="41"/>
      <c r="BF188" s="41"/>
      <c r="BG188" s="82" t="str">
        <f>IF(Data_LoonkostenVastVrij165="","",Data_LoonkostenVastVrij165)</f>
        <v/>
      </c>
      <c r="BH188" s="41"/>
      <c r="BI188" s="76" t="str">
        <f>IF(Data_PersoonAanUitVastVrij165=-1,"v","")</f>
        <v/>
      </c>
      <c r="BJ188" s="41"/>
      <c r="BK188" s="76" t="s">
        <v>160</v>
      </c>
      <c r="BL188" s="41"/>
      <c r="BM188" s="41"/>
      <c r="BN188" s="41"/>
      <c r="BO188" s="41"/>
      <c r="BP188" s="41">
        <f t="shared" si="19"/>
        <v>0</v>
      </c>
      <c r="BQ188" s="77">
        <f t="shared" si="20"/>
        <v>0</v>
      </c>
      <c r="BS188" s="81" t="str">
        <f>IF(Data_NaamPersoonVastOntslag165="","",Data_NaamPersoonVastOntslag165)</f>
        <v/>
      </c>
      <c r="BV188" s="83" t="str">
        <f>IF(Data_BeeindigingsdatumVastOntslag165="","",Data_BeeindigingsdatumVastOntslag165)</f>
        <v/>
      </c>
      <c r="BY188" s="82" t="str">
        <f>IF(Data_LoonkostenVastOntslag165="","",Data_LoonkostenVastOntslag165)</f>
        <v/>
      </c>
      <c r="CA188" s="76" t="str">
        <f>IF(Data_PersoonAanUitVastOntslag165=-1,"v","")</f>
        <v/>
      </c>
      <c r="CB188" s="41"/>
      <c r="CC188" s="76" t="s">
        <v>160</v>
      </c>
      <c r="CD188" s="41"/>
      <c r="CE188" s="41"/>
      <c r="CF188" s="41"/>
      <c r="CG188" s="41"/>
      <c r="CH188" s="41">
        <f t="shared" si="23"/>
        <v>0</v>
      </c>
      <c r="CI188" s="41">
        <f t="shared" si="21"/>
        <v>0</v>
      </c>
    </row>
    <row r="189" spans="8:87" x14ac:dyDescent="0.25">
      <c r="H189" s="81" t="str">
        <f>IF(Data_NaamPersoonNatVerloop166="","",Data_NaamPersoonNatVerloop166)</f>
        <v/>
      </c>
      <c r="I189" s="41"/>
      <c r="J189" s="41"/>
      <c r="K189" s="83" t="str">
        <f>IF(Data_BeeindigingsdatumNatVerloop166="","",Data_BeeindigingsdatumNatVerloop166)</f>
        <v/>
      </c>
      <c r="L189" s="41"/>
      <c r="M189" s="41"/>
      <c r="N189" s="82" t="str">
        <f>IF(Data_LoonkostenNatVerloop166="","",Data_LoonkostenNatVerloop166)</f>
        <v/>
      </c>
      <c r="O189" s="41"/>
      <c r="P189" s="276" t="s">
        <v>160</v>
      </c>
      <c r="Q189" s="41"/>
      <c r="R189" s="76" t="s">
        <v>160</v>
      </c>
      <c r="S189" s="41"/>
      <c r="T189" s="41"/>
      <c r="U189" s="41"/>
      <c r="V189" s="41"/>
      <c r="W189" s="41">
        <f t="shared" si="16"/>
        <v>0</v>
      </c>
      <c r="X189" s="77" t="str">
        <f t="shared" si="22"/>
        <v/>
      </c>
      <c r="AG189" s="81" t="str">
        <f>IF(Data_NaamPersoonTijd166="","",Data_NaamPersoonTijd166)</f>
        <v/>
      </c>
      <c r="AH189" s="41"/>
      <c r="AI189" s="41"/>
      <c r="AJ189" s="83" t="str">
        <f>IF(Data_BeeindigingsdatumTijd166="","",Data_BeeindigingsdatumTijd166)</f>
        <v/>
      </c>
      <c r="AK189" s="41"/>
      <c r="AL189" s="41"/>
      <c r="AM189" s="82" t="str">
        <f>IF(Data_LoonkostenTijd166="","",Data_LoonkostenTijd166)</f>
        <v/>
      </c>
      <c r="AN189" s="41"/>
      <c r="AO189" s="276" t="str">
        <f>IF(Data_PersoonAanUitTijd166=-1,"v","")</f>
        <v/>
      </c>
      <c r="AP189" s="41"/>
      <c r="AQ189" s="76" t="s">
        <v>160</v>
      </c>
      <c r="AR189" s="41"/>
      <c r="AS189" s="41"/>
      <c r="AT189" s="41"/>
      <c r="AU189" s="41"/>
      <c r="AV189" s="41">
        <f t="shared" si="17"/>
        <v>0</v>
      </c>
      <c r="AW189" s="77">
        <f t="shared" si="18"/>
        <v>0</v>
      </c>
      <c r="AX189" s="41"/>
      <c r="AY189" s="41"/>
      <c r="AZ189" s="41"/>
      <c r="BA189" s="81" t="str">
        <f>IF(Data_NaamPersoonVastVrij166="","",Data_NaamPersoonVastVrij166)</f>
        <v/>
      </c>
      <c r="BB189" s="41"/>
      <c r="BC189" s="41"/>
      <c r="BD189" s="83" t="str">
        <f>IF(Data_BeeindigingsdatumVastVrij166="","",Data_BeeindigingsdatumVastVrij166)</f>
        <v/>
      </c>
      <c r="BE189" s="41"/>
      <c r="BF189" s="41"/>
      <c r="BG189" s="82" t="str">
        <f>IF(Data_LoonkostenVastVrij166="","",Data_LoonkostenVastVrij166)</f>
        <v/>
      </c>
      <c r="BH189" s="41"/>
      <c r="BI189" s="76" t="str">
        <f>IF(Data_PersoonAanUitVastVrij166=-1,"v","")</f>
        <v/>
      </c>
      <c r="BJ189" s="41"/>
      <c r="BK189" s="76" t="s">
        <v>160</v>
      </c>
      <c r="BL189" s="41"/>
      <c r="BM189" s="41"/>
      <c r="BN189" s="41"/>
      <c r="BO189" s="41"/>
      <c r="BP189" s="41">
        <f t="shared" si="19"/>
        <v>0</v>
      </c>
      <c r="BQ189" s="77">
        <f t="shared" si="20"/>
        <v>0</v>
      </c>
      <c r="BS189" s="81" t="str">
        <f>IF(Data_NaamPersoonVastOntslag166="","",Data_NaamPersoonVastOntslag166)</f>
        <v/>
      </c>
      <c r="BV189" s="83" t="str">
        <f>IF(Data_BeeindigingsdatumVastOntslag166="","",Data_BeeindigingsdatumVastOntslag166)</f>
        <v/>
      </c>
      <c r="BY189" s="82" t="str">
        <f>IF(Data_LoonkostenVastOntslag166="","",Data_LoonkostenVastOntslag166)</f>
        <v/>
      </c>
      <c r="CA189" s="76" t="str">
        <f>IF(Data_PersoonAanUitVastOntslag166=-1,"v","")</f>
        <v/>
      </c>
      <c r="CB189" s="41"/>
      <c r="CC189" s="76" t="s">
        <v>160</v>
      </c>
      <c r="CD189" s="41"/>
      <c r="CE189" s="41"/>
      <c r="CF189" s="41"/>
      <c r="CG189" s="41"/>
      <c r="CH189" s="41">
        <f t="shared" si="23"/>
        <v>0</v>
      </c>
      <c r="CI189" s="41">
        <f t="shared" si="21"/>
        <v>0</v>
      </c>
    </row>
    <row r="190" spans="8:87" x14ac:dyDescent="0.25">
      <c r="H190" s="81" t="str">
        <f>IF(Data_NaamPersoonNatVerloop167="","",Data_NaamPersoonNatVerloop167)</f>
        <v/>
      </c>
      <c r="I190" s="41"/>
      <c r="J190" s="41"/>
      <c r="K190" s="83" t="str">
        <f>IF(Data_BeeindigingsdatumNatVerloop167="","",Data_BeeindigingsdatumNatVerloop167)</f>
        <v/>
      </c>
      <c r="L190" s="41"/>
      <c r="M190" s="41"/>
      <c r="N190" s="82" t="str">
        <f>IF(Data_LoonkostenNatVerloop167="","",Data_LoonkostenNatVerloop167)</f>
        <v/>
      </c>
      <c r="O190" s="41"/>
      <c r="P190" s="276" t="s">
        <v>160</v>
      </c>
      <c r="Q190" s="41"/>
      <c r="R190" s="76" t="s">
        <v>160</v>
      </c>
      <c r="S190" s="41"/>
      <c r="T190" s="41"/>
      <c r="U190" s="41"/>
      <c r="V190" s="41"/>
      <c r="W190" s="41">
        <f t="shared" si="16"/>
        <v>0</v>
      </c>
      <c r="X190" s="77" t="str">
        <f t="shared" si="22"/>
        <v/>
      </c>
      <c r="AG190" s="81" t="str">
        <f>IF(Data_NaamPersoonTijd167="","",Data_NaamPersoonTijd167)</f>
        <v/>
      </c>
      <c r="AH190" s="41"/>
      <c r="AI190" s="41"/>
      <c r="AJ190" s="83" t="str">
        <f>IF(Data_BeeindigingsdatumTijd167="","",Data_BeeindigingsdatumTijd167)</f>
        <v/>
      </c>
      <c r="AK190" s="41"/>
      <c r="AL190" s="41"/>
      <c r="AM190" s="82" t="str">
        <f>IF(Data_LoonkostenTijd167="","",Data_LoonkostenTijd167)</f>
        <v/>
      </c>
      <c r="AN190" s="41"/>
      <c r="AO190" s="276" t="str">
        <f>IF(Data_PersoonAanUitTijd167=-1,"v","")</f>
        <v/>
      </c>
      <c r="AP190" s="41"/>
      <c r="AQ190" s="76" t="s">
        <v>160</v>
      </c>
      <c r="AR190" s="41"/>
      <c r="AS190" s="41"/>
      <c r="AT190" s="41"/>
      <c r="AU190" s="41"/>
      <c r="AV190" s="41">
        <f t="shared" si="17"/>
        <v>0</v>
      </c>
      <c r="AW190" s="77">
        <f t="shared" si="18"/>
        <v>0</v>
      </c>
      <c r="AX190" s="41"/>
      <c r="AY190" s="41"/>
      <c r="AZ190" s="41"/>
      <c r="BA190" s="81" t="str">
        <f>IF(Data_NaamPersoonVastVrij167="","",Data_NaamPersoonVastVrij167)</f>
        <v/>
      </c>
      <c r="BB190" s="41"/>
      <c r="BC190" s="41"/>
      <c r="BD190" s="83" t="str">
        <f>IF(Data_BeeindigingsdatumVastVrij167="","",Data_BeeindigingsdatumVastVrij167)</f>
        <v/>
      </c>
      <c r="BE190" s="41"/>
      <c r="BF190" s="41"/>
      <c r="BG190" s="82" t="str">
        <f>IF(Data_LoonkostenVastVrij167="","",Data_LoonkostenVastVrij167)</f>
        <v/>
      </c>
      <c r="BH190" s="41"/>
      <c r="BI190" s="76" t="str">
        <f>IF(Data_PersoonAanUitVastVrij167=-1,"v","")</f>
        <v/>
      </c>
      <c r="BJ190" s="41"/>
      <c r="BK190" s="76" t="s">
        <v>160</v>
      </c>
      <c r="BL190" s="41"/>
      <c r="BM190" s="41"/>
      <c r="BN190" s="41"/>
      <c r="BO190" s="41"/>
      <c r="BP190" s="41">
        <f t="shared" si="19"/>
        <v>0</v>
      </c>
      <c r="BQ190" s="77">
        <f t="shared" si="20"/>
        <v>0</v>
      </c>
      <c r="BS190" s="81" t="str">
        <f>IF(Data_NaamPersoonVastOntslag167="","",Data_NaamPersoonVastOntslag167)</f>
        <v/>
      </c>
      <c r="BV190" s="83" t="str">
        <f>IF(Data_BeeindigingsdatumVastOntslag167="","",Data_BeeindigingsdatumVastOntslag167)</f>
        <v/>
      </c>
      <c r="BY190" s="82" t="str">
        <f>IF(Data_LoonkostenVastOntslag167="","",Data_LoonkostenVastOntslag167)</f>
        <v/>
      </c>
      <c r="CA190" s="76" t="str">
        <f>IF(Data_PersoonAanUitVastOntslag167=-1,"v","")</f>
        <v/>
      </c>
      <c r="CB190" s="41"/>
      <c r="CC190" s="76" t="s">
        <v>160</v>
      </c>
      <c r="CD190" s="41"/>
      <c r="CE190" s="41"/>
      <c r="CF190" s="41"/>
      <c r="CG190" s="41"/>
      <c r="CH190" s="41">
        <f t="shared" si="23"/>
        <v>0</v>
      </c>
      <c r="CI190" s="41">
        <f t="shared" si="21"/>
        <v>0</v>
      </c>
    </row>
    <row r="191" spans="8:87" x14ac:dyDescent="0.25">
      <c r="H191" s="81" t="str">
        <f>IF(Data_NaamPersoonNatVerloop168="","",Data_NaamPersoonNatVerloop168)</f>
        <v/>
      </c>
      <c r="I191" s="41"/>
      <c r="J191" s="41"/>
      <c r="K191" s="83" t="str">
        <f>IF(Data_BeeindigingsdatumNatVerloop168="","",Data_BeeindigingsdatumNatVerloop168)</f>
        <v/>
      </c>
      <c r="L191" s="41"/>
      <c r="M191" s="41"/>
      <c r="N191" s="82" t="str">
        <f>IF(Data_LoonkostenNatVerloop168="","",Data_LoonkostenNatVerloop168)</f>
        <v/>
      </c>
      <c r="O191" s="41"/>
      <c r="P191" s="276" t="s">
        <v>160</v>
      </c>
      <c r="Q191" s="41"/>
      <c r="R191" s="76" t="s">
        <v>160</v>
      </c>
      <c r="S191" s="41"/>
      <c r="T191" s="41"/>
      <c r="U191" s="41"/>
      <c r="V191" s="41"/>
      <c r="W191" s="41">
        <f t="shared" si="16"/>
        <v>0</v>
      </c>
      <c r="X191" s="77" t="str">
        <f t="shared" si="22"/>
        <v/>
      </c>
      <c r="AG191" s="81" t="str">
        <f>IF(Data_NaamPersoonTijd168="","",Data_NaamPersoonTijd168)</f>
        <v/>
      </c>
      <c r="AH191" s="41"/>
      <c r="AI191" s="41"/>
      <c r="AJ191" s="83" t="str">
        <f>IF(Data_BeeindigingsdatumTijd168="","",Data_BeeindigingsdatumTijd168)</f>
        <v/>
      </c>
      <c r="AK191" s="41"/>
      <c r="AL191" s="41"/>
      <c r="AM191" s="82" t="str">
        <f>IF(Data_LoonkostenTijd168="","",Data_LoonkostenTijd168)</f>
        <v/>
      </c>
      <c r="AN191" s="41"/>
      <c r="AO191" s="276" t="str">
        <f>IF(Data_PersoonAanUitTijd168=-1,"v","")</f>
        <v/>
      </c>
      <c r="AP191" s="41"/>
      <c r="AQ191" s="76" t="s">
        <v>160</v>
      </c>
      <c r="AR191" s="41"/>
      <c r="AS191" s="41"/>
      <c r="AT191" s="41"/>
      <c r="AU191" s="41"/>
      <c r="AV191" s="41">
        <f t="shared" si="17"/>
        <v>0</v>
      </c>
      <c r="AW191" s="77">
        <f t="shared" si="18"/>
        <v>0</v>
      </c>
      <c r="AX191" s="41"/>
      <c r="AY191" s="41"/>
      <c r="AZ191" s="41"/>
      <c r="BA191" s="81" t="str">
        <f>IF(Data_NaamPersoonVastVrij168="","",Data_NaamPersoonVastVrij168)</f>
        <v/>
      </c>
      <c r="BB191" s="41"/>
      <c r="BC191" s="41"/>
      <c r="BD191" s="83" t="str">
        <f>IF(Data_BeeindigingsdatumVastVrij168="","",Data_BeeindigingsdatumVastVrij168)</f>
        <v/>
      </c>
      <c r="BE191" s="41"/>
      <c r="BF191" s="41"/>
      <c r="BG191" s="82" t="str">
        <f>IF(Data_LoonkostenVastVrij168="","",Data_LoonkostenVastVrij168)</f>
        <v/>
      </c>
      <c r="BH191" s="41"/>
      <c r="BI191" s="76" t="str">
        <f>IF(Data_PersoonAanUitVastVrij168=-1,"v","")</f>
        <v/>
      </c>
      <c r="BJ191" s="41"/>
      <c r="BK191" s="76" t="s">
        <v>160</v>
      </c>
      <c r="BL191" s="41"/>
      <c r="BM191" s="41"/>
      <c r="BN191" s="41"/>
      <c r="BO191" s="41"/>
      <c r="BP191" s="41">
        <f t="shared" si="19"/>
        <v>0</v>
      </c>
      <c r="BQ191" s="77">
        <f t="shared" si="20"/>
        <v>0</v>
      </c>
      <c r="BS191" s="81" t="str">
        <f>IF(Data_NaamPersoonVastOntslag168="","",Data_NaamPersoonVastOntslag168)</f>
        <v/>
      </c>
      <c r="BV191" s="83" t="str">
        <f>IF(Data_BeeindigingsdatumVastOntslag168="","",Data_BeeindigingsdatumVastOntslag168)</f>
        <v/>
      </c>
      <c r="BY191" s="82" t="str">
        <f>IF(Data_LoonkostenVastOntslag168="","",Data_LoonkostenVastOntslag168)</f>
        <v/>
      </c>
      <c r="CA191" s="76" t="str">
        <f>IF(Data_PersoonAanUitVastOntslag168=-1,"v","")</f>
        <v/>
      </c>
      <c r="CB191" s="41"/>
      <c r="CC191" s="76" t="s">
        <v>160</v>
      </c>
      <c r="CD191" s="41"/>
      <c r="CE191" s="41"/>
      <c r="CF191" s="41"/>
      <c r="CG191" s="41"/>
      <c r="CH191" s="41">
        <f t="shared" si="23"/>
        <v>0</v>
      </c>
      <c r="CI191" s="41">
        <f t="shared" si="21"/>
        <v>0</v>
      </c>
    </row>
    <row r="192" spans="8:87" x14ac:dyDescent="0.25">
      <c r="H192" s="81" t="str">
        <f>IF(Data_NaamPersoonNatVerloop169="","",Data_NaamPersoonNatVerloop169)</f>
        <v/>
      </c>
      <c r="I192" s="41"/>
      <c r="J192" s="41"/>
      <c r="K192" s="83" t="str">
        <f>IF(Data_BeeindigingsdatumNatVerloop169="","",Data_BeeindigingsdatumNatVerloop169)</f>
        <v/>
      </c>
      <c r="L192" s="41"/>
      <c r="M192" s="41"/>
      <c r="N192" s="82" t="str">
        <f>IF(Data_LoonkostenNatVerloop169="","",Data_LoonkostenNatVerloop169)</f>
        <v/>
      </c>
      <c r="O192" s="41"/>
      <c r="P192" s="276" t="s">
        <v>160</v>
      </c>
      <c r="Q192" s="41"/>
      <c r="R192" s="76" t="s">
        <v>160</v>
      </c>
      <c r="S192" s="41"/>
      <c r="T192" s="41"/>
      <c r="U192" s="41"/>
      <c r="V192" s="41"/>
      <c r="W192" s="41">
        <f t="shared" si="16"/>
        <v>0</v>
      </c>
      <c r="X192" s="77" t="str">
        <f t="shared" si="22"/>
        <v/>
      </c>
      <c r="AG192" s="81" t="str">
        <f>IF(Data_NaamPersoonTijd169="","",Data_NaamPersoonTijd169)</f>
        <v/>
      </c>
      <c r="AH192" s="41"/>
      <c r="AI192" s="41"/>
      <c r="AJ192" s="83" t="str">
        <f>IF(Data_BeeindigingsdatumTijd169="","",Data_BeeindigingsdatumTijd169)</f>
        <v/>
      </c>
      <c r="AK192" s="41"/>
      <c r="AL192" s="41"/>
      <c r="AM192" s="82" t="str">
        <f>IF(Data_LoonkostenTijd169="","",Data_LoonkostenTijd169)</f>
        <v/>
      </c>
      <c r="AN192" s="41"/>
      <c r="AO192" s="276" t="str">
        <f>IF(Data_PersoonAanUitTijd169=-1,"v","")</f>
        <v/>
      </c>
      <c r="AP192" s="41"/>
      <c r="AQ192" s="76" t="s">
        <v>160</v>
      </c>
      <c r="AR192" s="41"/>
      <c r="AS192" s="41"/>
      <c r="AT192" s="41"/>
      <c r="AU192" s="41"/>
      <c r="AV192" s="41">
        <f t="shared" si="17"/>
        <v>0</v>
      </c>
      <c r="AW192" s="77">
        <f t="shared" si="18"/>
        <v>0</v>
      </c>
      <c r="AX192" s="41"/>
      <c r="AY192" s="41"/>
      <c r="AZ192" s="41"/>
      <c r="BA192" s="81" t="str">
        <f>IF(Data_NaamPersoonVastVrij169="","",Data_NaamPersoonVastVrij169)</f>
        <v/>
      </c>
      <c r="BB192" s="41"/>
      <c r="BC192" s="41"/>
      <c r="BD192" s="83" t="str">
        <f>IF(Data_BeeindigingsdatumVastVrij169="","",Data_BeeindigingsdatumVastVrij169)</f>
        <v/>
      </c>
      <c r="BE192" s="41"/>
      <c r="BF192" s="41"/>
      <c r="BG192" s="82" t="str">
        <f>IF(Data_LoonkostenVastVrij169="","",Data_LoonkostenVastVrij169)</f>
        <v/>
      </c>
      <c r="BH192" s="41"/>
      <c r="BI192" s="76" t="str">
        <f>IF(Data_PersoonAanUitVastVrij169=-1,"v","")</f>
        <v/>
      </c>
      <c r="BJ192" s="41"/>
      <c r="BK192" s="76" t="s">
        <v>160</v>
      </c>
      <c r="BL192" s="41"/>
      <c r="BM192" s="41"/>
      <c r="BN192" s="41"/>
      <c r="BO192" s="41"/>
      <c r="BP192" s="41">
        <f t="shared" si="19"/>
        <v>0</v>
      </c>
      <c r="BQ192" s="77">
        <f t="shared" si="20"/>
        <v>0</v>
      </c>
      <c r="BS192" s="81" t="str">
        <f>IF(Data_NaamPersoonVastOntslag169="","",Data_NaamPersoonVastOntslag169)</f>
        <v/>
      </c>
      <c r="BV192" s="83" t="str">
        <f>IF(Data_BeeindigingsdatumVastOntslag169="","",Data_BeeindigingsdatumVastOntslag169)</f>
        <v/>
      </c>
      <c r="BY192" s="82" t="str">
        <f>IF(Data_LoonkostenVastOntslag169="","",Data_LoonkostenVastOntslag169)</f>
        <v/>
      </c>
      <c r="CA192" s="76" t="str">
        <f>IF(Data_PersoonAanUitVastOntslag169=-1,"v","")</f>
        <v/>
      </c>
      <c r="CB192" s="41"/>
      <c r="CC192" s="76" t="s">
        <v>160</v>
      </c>
      <c r="CD192" s="41"/>
      <c r="CE192" s="41"/>
      <c r="CF192" s="41"/>
      <c r="CG192" s="41"/>
      <c r="CH192" s="41">
        <f t="shared" si="23"/>
        <v>0</v>
      </c>
      <c r="CI192" s="41">
        <f t="shared" si="21"/>
        <v>0</v>
      </c>
    </row>
    <row r="193" spans="8:87" x14ac:dyDescent="0.25">
      <c r="H193" s="81" t="str">
        <f>IF(Data_NaamPersoonNatVerloop170="","",Data_NaamPersoonNatVerloop170)</f>
        <v/>
      </c>
      <c r="I193" s="41"/>
      <c r="J193" s="41"/>
      <c r="K193" s="83" t="str">
        <f>IF(Data_BeeindigingsdatumNatVerloop170="","",Data_BeeindigingsdatumNatVerloop170)</f>
        <v/>
      </c>
      <c r="L193" s="41"/>
      <c r="M193" s="41"/>
      <c r="N193" s="82" t="str">
        <f>IF(Data_LoonkostenNatVerloop170="","",Data_LoonkostenNatVerloop170)</f>
        <v/>
      </c>
      <c r="O193" s="41"/>
      <c r="P193" s="276" t="s">
        <v>160</v>
      </c>
      <c r="Q193" s="41"/>
      <c r="R193" s="76" t="s">
        <v>160</v>
      </c>
      <c r="S193" s="41"/>
      <c r="T193" s="41"/>
      <c r="U193" s="41"/>
      <c r="V193" s="41"/>
      <c r="W193" s="41">
        <f t="shared" si="16"/>
        <v>0</v>
      </c>
      <c r="X193" s="77" t="str">
        <f t="shared" si="22"/>
        <v/>
      </c>
      <c r="AG193" s="81" t="str">
        <f>IF(Data_NaamPersoonTijd170="","",Data_NaamPersoonTijd170)</f>
        <v/>
      </c>
      <c r="AH193" s="41"/>
      <c r="AI193" s="41"/>
      <c r="AJ193" s="83" t="str">
        <f>IF(Data_BeeindigingsdatumTijd170="","",Data_BeeindigingsdatumTijd170)</f>
        <v/>
      </c>
      <c r="AK193" s="41"/>
      <c r="AL193" s="41"/>
      <c r="AM193" s="82" t="str">
        <f>IF(Data_LoonkostenTijd170="","",Data_LoonkostenTijd170)</f>
        <v/>
      </c>
      <c r="AN193" s="41"/>
      <c r="AO193" s="276" t="str">
        <f>IF(Data_PersoonAanUitTijd170=-1,"v","")</f>
        <v/>
      </c>
      <c r="AP193" s="41"/>
      <c r="AQ193" s="76" t="s">
        <v>160</v>
      </c>
      <c r="AR193" s="41"/>
      <c r="AS193" s="41"/>
      <c r="AT193" s="41"/>
      <c r="AU193" s="41"/>
      <c r="AV193" s="41">
        <f t="shared" si="17"/>
        <v>0</v>
      </c>
      <c r="AW193" s="77">
        <f t="shared" si="18"/>
        <v>0</v>
      </c>
      <c r="AX193" s="41"/>
      <c r="AY193" s="41"/>
      <c r="AZ193" s="41"/>
      <c r="BA193" s="81" t="str">
        <f>IF(Data_NaamPersoonVastVrij170="","",Data_NaamPersoonVastVrij170)</f>
        <v/>
      </c>
      <c r="BB193" s="41"/>
      <c r="BC193" s="41"/>
      <c r="BD193" s="83" t="str">
        <f>IF(Data_BeeindigingsdatumVastVrij170="","",Data_BeeindigingsdatumVastVrij170)</f>
        <v/>
      </c>
      <c r="BE193" s="41"/>
      <c r="BF193" s="41"/>
      <c r="BG193" s="82" t="str">
        <f>IF(Data_LoonkostenVastVrij170="","",Data_LoonkostenVastVrij170)</f>
        <v/>
      </c>
      <c r="BH193" s="41"/>
      <c r="BI193" s="76" t="str">
        <f>IF(Data_PersoonAanUitVastVrij170=-1,"v","")</f>
        <v/>
      </c>
      <c r="BJ193" s="41"/>
      <c r="BK193" s="76" t="s">
        <v>160</v>
      </c>
      <c r="BL193" s="41"/>
      <c r="BM193" s="41"/>
      <c r="BN193" s="41"/>
      <c r="BO193" s="41"/>
      <c r="BP193" s="41">
        <f t="shared" si="19"/>
        <v>0</v>
      </c>
      <c r="BQ193" s="77">
        <f t="shared" si="20"/>
        <v>0</v>
      </c>
      <c r="BS193" s="81" t="str">
        <f>IF(Data_NaamPersoonVastOntslag170="","",Data_NaamPersoonVastOntslag170)</f>
        <v/>
      </c>
      <c r="BV193" s="83" t="str">
        <f>IF(Data_BeeindigingsdatumVastOntslag170="","",Data_BeeindigingsdatumVastOntslag170)</f>
        <v/>
      </c>
      <c r="BY193" s="82" t="str">
        <f>IF(Data_LoonkostenVastOntslag170="","",Data_LoonkostenVastOntslag170)</f>
        <v/>
      </c>
      <c r="CA193" s="76" t="str">
        <f>IF(Data_PersoonAanUitVastOntslag170=-1,"v","")</f>
        <v/>
      </c>
      <c r="CB193" s="41"/>
      <c r="CC193" s="76" t="s">
        <v>160</v>
      </c>
      <c r="CD193" s="41"/>
      <c r="CE193" s="41"/>
      <c r="CF193" s="41"/>
      <c r="CG193" s="41"/>
      <c r="CH193" s="41">
        <f t="shared" si="23"/>
        <v>0</v>
      </c>
      <c r="CI193" s="41">
        <f t="shared" si="21"/>
        <v>0</v>
      </c>
    </row>
    <row r="194" spans="8:87" x14ac:dyDescent="0.25">
      <c r="H194" s="81" t="str">
        <f>IF(Data_NaamPersoonNatVerloop171="","",Data_NaamPersoonNatVerloop171)</f>
        <v/>
      </c>
      <c r="I194" s="41"/>
      <c r="J194" s="41"/>
      <c r="K194" s="83" t="str">
        <f>IF(Data_BeeindigingsdatumNatVerloop171="","",Data_BeeindigingsdatumNatVerloop171)</f>
        <v/>
      </c>
      <c r="L194" s="41"/>
      <c r="M194" s="41"/>
      <c r="N194" s="82" t="str">
        <f>IF(Data_LoonkostenNatVerloop171="","",Data_LoonkostenNatVerloop171)</f>
        <v/>
      </c>
      <c r="O194" s="41"/>
      <c r="P194" s="276" t="s">
        <v>160</v>
      </c>
      <c r="Q194" s="41"/>
      <c r="R194" s="76" t="s">
        <v>160</v>
      </c>
      <c r="S194" s="41"/>
      <c r="T194" s="41"/>
      <c r="U194" s="41"/>
      <c r="V194" s="41"/>
      <c r="W194" s="41">
        <f t="shared" si="16"/>
        <v>0</v>
      </c>
      <c r="X194" s="77" t="str">
        <f t="shared" si="22"/>
        <v/>
      </c>
      <c r="AG194" s="81" t="str">
        <f>IF(Data_NaamPersoonTijd171="","",Data_NaamPersoonTijd171)</f>
        <v/>
      </c>
      <c r="AH194" s="41"/>
      <c r="AI194" s="41"/>
      <c r="AJ194" s="83" t="str">
        <f>IF(Data_BeeindigingsdatumTijd171="","",Data_BeeindigingsdatumTijd171)</f>
        <v/>
      </c>
      <c r="AK194" s="41"/>
      <c r="AL194" s="41"/>
      <c r="AM194" s="82" t="str">
        <f>IF(Data_LoonkostenTijd171="","",Data_LoonkostenTijd171)</f>
        <v/>
      </c>
      <c r="AN194" s="41"/>
      <c r="AO194" s="276" t="str">
        <f>IF(Data_PersoonAanUitTijd171=-1,"v","")</f>
        <v/>
      </c>
      <c r="AP194" s="41"/>
      <c r="AQ194" s="76" t="s">
        <v>160</v>
      </c>
      <c r="AR194" s="41"/>
      <c r="AS194" s="41"/>
      <c r="AT194" s="41"/>
      <c r="AU194" s="41"/>
      <c r="AV194" s="41">
        <f t="shared" si="17"/>
        <v>0</v>
      </c>
      <c r="AW194" s="77">
        <f t="shared" si="18"/>
        <v>0</v>
      </c>
      <c r="AX194" s="41"/>
      <c r="AY194" s="41"/>
      <c r="AZ194" s="41"/>
      <c r="BA194" s="81" t="str">
        <f>IF(Data_NaamPersoonVastVrij171="","",Data_NaamPersoonVastVrij171)</f>
        <v/>
      </c>
      <c r="BB194" s="41"/>
      <c r="BC194" s="41"/>
      <c r="BD194" s="83" t="str">
        <f>IF(Data_BeeindigingsdatumVastVrij171="","",Data_BeeindigingsdatumVastVrij171)</f>
        <v/>
      </c>
      <c r="BE194" s="41"/>
      <c r="BF194" s="41"/>
      <c r="BG194" s="82" t="str">
        <f>IF(Data_LoonkostenVastVrij171="","",Data_LoonkostenVastVrij171)</f>
        <v/>
      </c>
      <c r="BH194" s="41"/>
      <c r="BI194" s="76" t="str">
        <f>IF(Data_PersoonAanUitVastVrij171=-1,"v","")</f>
        <v/>
      </c>
      <c r="BJ194" s="41"/>
      <c r="BK194" s="76" t="s">
        <v>160</v>
      </c>
      <c r="BL194" s="41"/>
      <c r="BM194" s="41"/>
      <c r="BN194" s="41"/>
      <c r="BO194" s="41"/>
      <c r="BP194" s="41">
        <f t="shared" si="19"/>
        <v>0</v>
      </c>
      <c r="BQ194" s="77">
        <f t="shared" si="20"/>
        <v>0</v>
      </c>
      <c r="BS194" s="81" t="str">
        <f>IF(Data_NaamPersoonVastOntslag171="","",Data_NaamPersoonVastOntslag171)</f>
        <v/>
      </c>
      <c r="BV194" s="83" t="str">
        <f>IF(Data_BeeindigingsdatumVastOntslag171="","",Data_BeeindigingsdatumVastOntslag171)</f>
        <v/>
      </c>
      <c r="BY194" s="82" t="str">
        <f>IF(Data_LoonkostenVastOntslag171="","",Data_LoonkostenVastOntslag171)</f>
        <v/>
      </c>
      <c r="CA194" s="76" t="str">
        <f>IF(Data_PersoonAanUitVastOntslag171=-1,"v","")</f>
        <v/>
      </c>
      <c r="CB194" s="41"/>
      <c r="CC194" s="76" t="s">
        <v>160</v>
      </c>
      <c r="CD194" s="41"/>
      <c r="CE194" s="41"/>
      <c r="CF194" s="41"/>
      <c r="CG194" s="41"/>
      <c r="CH194" s="41">
        <f t="shared" si="23"/>
        <v>0</v>
      </c>
      <c r="CI194" s="41">
        <f t="shared" si="21"/>
        <v>0</v>
      </c>
    </row>
    <row r="195" spans="8:87" x14ac:dyDescent="0.25">
      <c r="H195" s="81" t="str">
        <f>IF(Data_NaamPersoonNatVerloop172="","",Data_NaamPersoonNatVerloop172)</f>
        <v/>
      </c>
      <c r="I195" s="41"/>
      <c r="J195" s="41"/>
      <c r="K195" s="83" t="str">
        <f>IF(Data_BeeindigingsdatumNatVerloop172="","",Data_BeeindigingsdatumNatVerloop172)</f>
        <v/>
      </c>
      <c r="L195" s="41"/>
      <c r="M195" s="41"/>
      <c r="N195" s="82" t="str">
        <f>IF(Data_LoonkostenNatVerloop172="","",Data_LoonkostenNatVerloop172)</f>
        <v/>
      </c>
      <c r="O195" s="41"/>
      <c r="P195" s="276" t="s">
        <v>160</v>
      </c>
      <c r="Q195" s="41"/>
      <c r="R195" s="76" t="s">
        <v>160</v>
      </c>
      <c r="S195" s="41"/>
      <c r="T195" s="41"/>
      <c r="U195" s="41"/>
      <c r="V195" s="41"/>
      <c r="W195" s="41">
        <f t="shared" si="16"/>
        <v>0</v>
      </c>
      <c r="X195" s="77" t="str">
        <f t="shared" si="22"/>
        <v/>
      </c>
      <c r="AG195" s="81" t="str">
        <f>IF(Data_NaamPersoonTijd172="","",Data_NaamPersoonTijd172)</f>
        <v/>
      </c>
      <c r="AH195" s="41"/>
      <c r="AI195" s="41"/>
      <c r="AJ195" s="83" t="str">
        <f>IF(Data_BeeindigingsdatumTijd172="","",Data_BeeindigingsdatumTijd172)</f>
        <v/>
      </c>
      <c r="AK195" s="41"/>
      <c r="AL195" s="41"/>
      <c r="AM195" s="82" t="str">
        <f>IF(Data_LoonkostenTijd172="","",Data_LoonkostenTijd172)</f>
        <v/>
      </c>
      <c r="AN195" s="41"/>
      <c r="AO195" s="276" t="str">
        <f>IF(Data_PersoonAanUitTijd172=-1,"v","")</f>
        <v/>
      </c>
      <c r="AP195" s="41"/>
      <c r="AQ195" s="76" t="s">
        <v>160</v>
      </c>
      <c r="AR195" s="41"/>
      <c r="AS195" s="41"/>
      <c r="AT195" s="41"/>
      <c r="AU195" s="41"/>
      <c r="AV195" s="41">
        <f t="shared" si="17"/>
        <v>0</v>
      </c>
      <c r="AW195" s="77">
        <f t="shared" si="18"/>
        <v>0</v>
      </c>
      <c r="AX195" s="41"/>
      <c r="AY195" s="41"/>
      <c r="AZ195" s="41"/>
      <c r="BA195" s="81" t="str">
        <f>IF(Data_NaamPersoonVastVrij172="","",Data_NaamPersoonVastVrij172)</f>
        <v/>
      </c>
      <c r="BB195" s="41"/>
      <c r="BC195" s="41"/>
      <c r="BD195" s="83" t="str">
        <f>IF(Data_BeeindigingsdatumVastVrij172="","",Data_BeeindigingsdatumVastVrij172)</f>
        <v/>
      </c>
      <c r="BE195" s="41"/>
      <c r="BF195" s="41"/>
      <c r="BG195" s="82" t="str">
        <f>IF(Data_LoonkostenVastVrij172="","",Data_LoonkostenVastVrij172)</f>
        <v/>
      </c>
      <c r="BH195" s="41"/>
      <c r="BI195" s="76" t="str">
        <f>IF(Data_PersoonAanUitVastVrij172=-1,"v","")</f>
        <v/>
      </c>
      <c r="BJ195" s="41"/>
      <c r="BK195" s="76" t="s">
        <v>160</v>
      </c>
      <c r="BL195" s="41"/>
      <c r="BM195" s="41"/>
      <c r="BN195" s="41"/>
      <c r="BO195" s="41"/>
      <c r="BP195" s="41">
        <f t="shared" si="19"/>
        <v>0</v>
      </c>
      <c r="BQ195" s="77">
        <f t="shared" si="20"/>
        <v>0</v>
      </c>
      <c r="BS195" s="81" t="str">
        <f>IF(Data_NaamPersoonVastOntslag172="","",Data_NaamPersoonVastOntslag172)</f>
        <v/>
      </c>
      <c r="BV195" s="83" t="str">
        <f>IF(Data_BeeindigingsdatumVastOntslag172="","",Data_BeeindigingsdatumVastOntslag172)</f>
        <v/>
      </c>
      <c r="BY195" s="82" t="str">
        <f>IF(Data_LoonkostenVastOntslag172="","",Data_LoonkostenVastOntslag172)</f>
        <v/>
      </c>
      <c r="CA195" s="76" t="str">
        <f>IF(Data_PersoonAanUitVastOntslag172=-1,"v","")</f>
        <v/>
      </c>
      <c r="CB195" s="41"/>
      <c r="CC195" s="76" t="s">
        <v>160</v>
      </c>
      <c r="CD195" s="41"/>
      <c r="CE195" s="41"/>
      <c r="CF195" s="41"/>
      <c r="CG195" s="41"/>
      <c r="CH195" s="41">
        <f t="shared" si="23"/>
        <v>0</v>
      </c>
      <c r="CI195" s="41">
        <f t="shared" si="21"/>
        <v>0</v>
      </c>
    </row>
    <row r="196" spans="8:87" x14ac:dyDescent="0.25">
      <c r="H196" s="81" t="str">
        <f>IF(Data_NaamPersoonNatVerloop173="","",Data_NaamPersoonNatVerloop173)</f>
        <v/>
      </c>
      <c r="I196" s="41"/>
      <c r="J196" s="41"/>
      <c r="K196" s="83" t="str">
        <f>IF(Data_BeeindigingsdatumNatVerloop173="","",Data_BeeindigingsdatumNatVerloop173)</f>
        <v/>
      </c>
      <c r="L196" s="41"/>
      <c r="M196" s="41"/>
      <c r="N196" s="82" t="str">
        <f>IF(Data_LoonkostenNatVerloop173="","",Data_LoonkostenNatVerloop173)</f>
        <v/>
      </c>
      <c r="O196" s="41"/>
      <c r="P196" s="276" t="s">
        <v>160</v>
      </c>
      <c r="Q196" s="41"/>
      <c r="R196" s="76" t="s">
        <v>160</v>
      </c>
      <c r="S196" s="41"/>
      <c r="T196" s="41"/>
      <c r="U196" s="41"/>
      <c r="V196" s="41"/>
      <c r="W196" s="41">
        <f t="shared" si="16"/>
        <v>0</v>
      </c>
      <c r="X196" s="77" t="str">
        <f t="shared" si="22"/>
        <v/>
      </c>
      <c r="AG196" s="81" t="str">
        <f>IF(Data_NaamPersoonTijd173="","",Data_NaamPersoonTijd173)</f>
        <v/>
      </c>
      <c r="AH196" s="41"/>
      <c r="AI196" s="41"/>
      <c r="AJ196" s="83" t="str">
        <f>IF(Data_BeeindigingsdatumTijd173="","",Data_BeeindigingsdatumTijd173)</f>
        <v/>
      </c>
      <c r="AK196" s="41"/>
      <c r="AL196" s="41"/>
      <c r="AM196" s="82" t="str">
        <f>IF(Data_LoonkostenTijd173="","",Data_LoonkostenTijd173)</f>
        <v/>
      </c>
      <c r="AN196" s="41"/>
      <c r="AO196" s="276" t="str">
        <f>IF(Data_PersoonAanUitTijd173=-1,"v","")</f>
        <v/>
      </c>
      <c r="AP196" s="41"/>
      <c r="AQ196" s="76" t="s">
        <v>160</v>
      </c>
      <c r="AR196" s="41"/>
      <c r="AS196" s="41"/>
      <c r="AT196" s="41"/>
      <c r="AU196" s="41"/>
      <c r="AV196" s="41">
        <f t="shared" si="17"/>
        <v>0</v>
      </c>
      <c r="AW196" s="77">
        <f t="shared" si="18"/>
        <v>0</v>
      </c>
      <c r="AX196" s="41"/>
      <c r="AY196" s="41"/>
      <c r="AZ196" s="41"/>
      <c r="BA196" s="81" t="str">
        <f>IF(Data_NaamPersoonVastVrij173="","",Data_NaamPersoonVastVrij173)</f>
        <v/>
      </c>
      <c r="BB196" s="41"/>
      <c r="BC196" s="41"/>
      <c r="BD196" s="83" t="str">
        <f>IF(Data_BeeindigingsdatumVastVrij173="","",Data_BeeindigingsdatumVastVrij173)</f>
        <v/>
      </c>
      <c r="BE196" s="41"/>
      <c r="BF196" s="41"/>
      <c r="BG196" s="82" t="str">
        <f>IF(Data_LoonkostenVastVrij173="","",Data_LoonkostenVastVrij173)</f>
        <v/>
      </c>
      <c r="BH196" s="41"/>
      <c r="BI196" s="76" t="str">
        <f>IF(Data_PersoonAanUitVastVrij173=-1,"v","")</f>
        <v/>
      </c>
      <c r="BJ196" s="41"/>
      <c r="BK196" s="76" t="s">
        <v>160</v>
      </c>
      <c r="BL196" s="41"/>
      <c r="BM196" s="41"/>
      <c r="BN196" s="41"/>
      <c r="BO196" s="41"/>
      <c r="BP196" s="41">
        <f t="shared" si="19"/>
        <v>0</v>
      </c>
      <c r="BQ196" s="77">
        <f t="shared" si="20"/>
        <v>0</v>
      </c>
      <c r="BS196" s="81" t="str">
        <f>IF(Data_NaamPersoonVastOntslag173="","",Data_NaamPersoonVastOntslag173)</f>
        <v/>
      </c>
      <c r="BV196" s="83" t="str">
        <f>IF(Data_BeeindigingsdatumVastOntslag173="","",Data_BeeindigingsdatumVastOntslag173)</f>
        <v/>
      </c>
      <c r="BY196" s="82" t="str">
        <f>IF(Data_LoonkostenVastOntslag173="","",Data_LoonkostenVastOntslag173)</f>
        <v/>
      </c>
      <c r="CA196" s="76" t="str">
        <f>IF(Data_PersoonAanUitVastOntslag173=-1,"v","")</f>
        <v/>
      </c>
      <c r="CB196" s="41"/>
      <c r="CC196" s="76" t="s">
        <v>160</v>
      </c>
      <c r="CD196" s="41"/>
      <c r="CE196" s="41"/>
      <c r="CF196" s="41"/>
      <c r="CG196" s="41"/>
      <c r="CH196" s="41">
        <f t="shared" si="23"/>
        <v>0</v>
      </c>
      <c r="CI196" s="41">
        <f t="shared" si="21"/>
        <v>0</v>
      </c>
    </row>
    <row r="197" spans="8:87" x14ac:dyDescent="0.25">
      <c r="H197" s="81" t="str">
        <f>IF(Data_NaamPersoonNatVerloop174="","",Data_NaamPersoonNatVerloop174)</f>
        <v/>
      </c>
      <c r="I197" s="41"/>
      <c r="J197" s="41"/>
      <c r="K197" s="83" t="str">
        <f>IF(Data_BeeindigingsdatumNatVerloop174="","",Data_BeeindigingsdatumNatVerloop174)</f>
        <v/>
      </c>
      <c r="L197" s="41"/>
      <c r="M197" s="41"/>
      <c r="N197" s="82" t="str">
        <f>IF(Data_LoonkostenNatVerloop174="","",Data_LoonkostenNatVerloop174)</f>
        <v/>
      </c>
      <c r="O197" s="41"/>
      <c r="P197" s="276" t="s">
        <v>160</v>
      </c>
      <c r="Q197" s="41"/>
      <c r="R197" s="76" t="s">
        <v>160</v>
      </c>
      <c r="S197" s="41"/>
      <c r="T197" s="41"/>
      <c r="U197" s="41"/>
      <c r="V197" s="41"/>
      <c r="W197" s="41">
        <f t="shared" si="16"/>
        <v>0</v>
      </c>
      <c r="X197" s="77" t="str">
        <f t="shared" si="22"/>
        <v/>
      </c>
      <c r="AG197" s="81" t="str">
        <f>IF(Data_NaamPersoonTijd174="","",Data_NaamPersoonTijd174)</f>
        <v/>
      </c>
      <c r="AH197" s="41"/>
      <c r="AI197" s="41"/>
      <c r="AJ197" s="83" t="str">
        <f>IF(Data_BeeindigingsdatumTijd174="","",Data_BeeindigingsdatumTijd174)</f>
        <v/>
      </c>
      <c r="AK197" s="41"/>
      <c r="AL197" s="41"/>
      <c r="AM197" s="82" t="str">
        <f>IF(Data_LoonkostenTijd174="","",Data_LoonkostenTijd174)</f>
        <v/>
      </c>
      <c r="AN197" s="41"/>
      <c r="AO197" s="276" t="str">
        <f>IF(Data_PersoonAanUitTijd174=-1,"v","")</f>
        <v/>
      </c>
      <c r="AP197" s="41"/>
      <c r="AQ197" s="76" t="s">
        <v>160</v>
      </c>
      <c r="AR197" s="41"/>
      <c r="AS197" s="41"/>
      <c r="AT197" s="41"/>
      <c r="AU197" s="41"/>
      <c r="AV197" s="41">
        <f t="shared" si="17"/>
        <v>0</v>
      </c>
      <c r="AW197" s="77">
        <f t="shared" si="18"/>
        <v>0</v>
      </c>
      <c r="AX197" s="41"/>
      <c r="AY197" s="41"/>
      <c r="AZ197" s="41"/>
      <c r="BA197" s="81" t="str">
        <f>IF(Data_NaamPersoonVastVrij174="","",Data_NaamPersoonVastVrij174)</f>
        <v/>
      </c>
      <c r="BB197" s="41"/>
      <c r="BC197" s="41"/>
      <c r="BD197" s="83" t="str">
        <f>IF(Data_BeeindigingsdatumVastVrij174="","",Data_BeeindigingsdatumVastVrij174)</f>
        <v/>
      </c>
      <c r="BE197" s="41"/>
      <c r="BF197" s="41"/>
      <c r="BG197" s="82" t="str">
        <f>IF(Data_LoonkostenVastVrij174="","",Data_LoonkostenVastVrij174)</f>
        <v/>
      </c>
      <c r="BH197" s="41"/>
      <c r="BI197" s="76" t="str">
        <f>IF(Data_PersoonAanUitVastVrij174=-1,"v","")</f>
        <v/>
      </c>
      <c r="BJ197" s="41"/>
      <c r="BK197" s="76" t="s">
        <v>160</v>
      </c>
      <c r="BL197" s="41"/>
      <c r="BM197" s="41"/>
      <c r="BN197" s="41"/>
      <c r="BO197" s="41"/>
      <c r="BP197" s="41">
        <f t="shared" si="19"/>
        <v>0</v>
      </c>
      <c r="BQ197" s="77">
        <f t="shared" si="20"/>
        <v>0</v>
      </c>
      <c r="BS197" s="81" t="str">
        <f>IF(Data_NaamPersoonVastOntslag174="","",Data_NaamPersoonVastOntslag174)</f>
        <v/>
      </c>
      <c r="BV197" s="83" t="str">
        <f>IF(Data_BeeindigingsdatumVastOntslag174="","",Data_BeeindigingsdatumVastOntslag174)</f>
        <v/>
      </c>
      <c r="BY197" s="82" t="str">
        <f>IF(Data_LoonkostenVastOntslag174="","",Data_LoonkostenVastOntslag174)</f>
        <v/>
      </c>
      <c r="CA197" s="76" t="str">
        <f>IF(Data_PersoonAanUitVastOntslag174=-1,"v","")</f>
        <v/>
      </c>
      <c r="CB197" s="41"/>
      <c r="CC197" s="76" t="s">
        <v>160</v>
      </c>
      <c r="CD197" s="41"/>
      <c r="CE197" s="41"/>
      <c r="CF197" s="41"/>
      <c r="CG197" s="41"/>
      <c r="CH197" s="41">
        <f t="shared" si="23"/>
        <v>0</v>
      </c>
      <c r="CI197" s="41">
        <f t="shared" si="21"/>
        <v>0</v>
      </c>
    </row>
    <row r="198" spans="8:87" x14ac:dyDescent="0.25">
      <c r="H198" s="81" t="str">
        <f>IF(Data_NaamPersoonNatVerloop175="","",Data_NaamPersoonNatVerloop175)</f>
        <v/>
      </c>
      <c r="I198" s="41"/>
      <c r="J198" s="41"/>
      <c r="K198" s="83" t="str">
        <f>IF(Data_BeeindigingsdatumNatVerloop175="","",Data_BeeindigingsdatumNatVerloop175)</f>
        <v/>
      </c>
      <c r="L198" s="41"/>
      <c r="M198" s="41"/>
      <c r="N198" s="82" t="str">
        <f>IF(Data_LoonkostenNatVerloop175="","",Data_LoonkostenNatVerloop175)</f>
        <v/>
      </c>
      <c r="O198" s="41"/>
      <c r="P198" s="276" t="s">
        <v>160</v>
      </c>
      <c r="Q198" s="41"/>
      <c r="R198" s="76" t="s">
        <v>160</v>
      </c>
      <c r="S198" s="41"/>
      <c r="T198" s="41"/>
      <c r="U198" s="41"/>
      <c r="V198" s="41"/>
      <c r="W198" s="41">
        <f t="shared" si="16"/>
        <v>0</v>
      </c>
      <c r="X198" s="77" t="str">
        <f t="shared" si="22"/>
        <v/>
      </c>
      <c r="AG198" s="81" t="str">
        <f>IF(Data_NaamPersoonTijd175="","",Data_NaamPersoonTijd175)</f>
        <v/>
      </c>
      <c r="AH198" s="41"/>
      <c r="AI198" s="41"/>
      <c r="AJ198" s="83" t="str">
        <f>IF(Data_BeeindigingsdatumTijd175="","",Data_BeeindigingsdatumTijd175)</f>
        <v/>
      </c>
      <c r="AK198" s="41"/>
      <c r="AL198" s="41"/>
      <c r="AM198" s="82" t="str">
        <f>IF(Data_LoonkostenTijd175="","",Data_LoonkostenTijd175)</f>
        <v/>
      </c>
      <c r="AN198" s="41"/>
      <c r="AO198" s="276" t="str">
        <f>IF(Data_PersoonAanUitTijd175=-1,"v","")</f>
        <v/>
      </c>
      <c r="AP198" s="41"/>
      <c r="AQ198" s="76" t="s">
        <v>160</v>
      </c>
      <c r="AR198" s="41"/>
      <c r="AS198" s="41"/>
      <c r="AT198" s="41"/>
      <c r="AU198" s="41"/>
      <c r="AV198" s="41">
        <f t="shared" si="17"/>
        <v>0</v>
      </c>
      <c r="AW198" s="77">
        <f t="shared" si="18"/>
        <v>0</v>
      </c>
      <c r="AX198" s="41"/>
      <c r="AY198" s="41"/>
      <c r="AZ198" s="41"/>
      <c r="BA198" s="81" t="str">
        <f>IF(Data_NaamPersoonVastVrij175="","",Data_NaamPersoonVastVrij175)</f>
        <v/>
      </c>
      <c r="BB198" s="41"/>
      <c r="BC198" s="41"/>
      <c r="BD198" s="83" t="str">
        <f>IF(Data_BeeindigingsdatumVastVrij175="","",Data_BeeindigingsdatumVastVrij175)</f>
        <v/>
      </c>
      <c r="BE198" s="41"/>
      <c r="BF198" s="41"/>
      <c r="BG198" s="82" t="str">
        <f>IF(Data_LoonkostenVastVrij175="","",Data_LoonkostenVastVrij175)</f>
        <v/>
      </c>
      <c r="BH198" s="41"/>
      <c r="BI198" s="76" t="str">
        <f>IF(Data_PersoonAanUitVastVrij175=-1,"v","")</f>
        <v/>
      </c>
      <c r="BJ198" s="41"/>
      <c r="BK198" s="76" t="s">
        <v>160</v>
      </c>
      <c r="BL198" s="41"/>
      <c r="BM198" s="41"/>
      <c r="BN198" s="41"/>
      <c r="BO198" s="41"/>
      <c r="BP198" s="41">
        <f t="shared" si="19"/>
        <v>0</v>
      </c>
      <c r="BQ198" s="77">
        <f t="shared" si="20"/>
        <v>0</v>
      </c>
      <c r="BS198" s="81" t="str">
        <f>IF(Data_NaamPersoonVastOntslag175="","",Data_NaamPersoonVastOntslag175)</f>
        <v/>
      </c>
      <c r="BV198" s="83" t="str">
        <f>IF(Data_BeeindigingsdatumVastOntslag175="","",Data_BeeindigingsdatumVastOntslag175)</f>
        <v/>
      </c>
      <c r="BY198" s="82" t="str">
        <f>IF(Data_LoonkostenVastOntslag175="","",Data_LoonkostenVastOntslag175)</f>
        <v/>
      </c>
      <c r="CA198" s="76" t="str">
        <f>IF(Data_PersoonAanUitVastOntslag175=-1,"v","")</f>
        <v/>
      </c>
      <c r="CB198" s="41"/>
      <c r="CC198" s="76" t="s">
        <v>160</v>
      </c>
      <c r="CD198" s="41"/>
      <c r="CE198" s="41"/>
      <c r="CF198" s="41"/>
      <c r="CG198" s="41"/>
      <c r="CH198" s="41">
        <f t="shared" si="23"/>
        <v>0</v>
      </c>
      <c r="CI198" s="41">
        <f t="shared" si="21"/>
        <v>0</v>
      </c>
    </row>
    <row r="199" spans="8:87" x14ac:dyDescent="0.25">
      <c r="H199" s="81" t="str">
        <f>IF(Data_NaamPersoonNatVerloop176="","",Data_NaamPersoonNatVerloop176)</f>
        <v/>
      </c>
      <c r="I199" s="41"/>
      <c r="J199" s="41"/>
      <c r="K199" s="83" t="str">
        <f>IF(Data_BeeindigingsdatumNatVerloop176="","",Data_BeeindigingsdatumNatVerloop176)</f>
        <v/>
      </c>
      <c r="L199" s="41"/>
      <c r="M199" s="41"/>
      <c r="N199" s="82" t="str">
        <f>IF(Data_LoonkostenNatVerloop176="","",Data_LoonkostenNatVerloop176)</f>
        <v/>
      </c>
      <c r="O199" s="41"/>
      <c r="P199" s="276" t="s">
        <v>160</v>
      </c>
      <c r="Q199" s="41"/>
      <c r="R199" s="76" t="s">
        <v>160</v>
      </c>
      <c r="S199" s="41"/>
      <c r="T199" s="41"/>
      <c r="U199" s="41"/>
      <c r="V199" s="41"/>
      <c r="W199" s="41">
        <f t="shared" si="16"/>
        <v>0</v>
      </c>
      <c r="X199" s="77" t="str">
        <f t="shared" si="22"/>
        <v/>
      </c>
      <c r="AG199" s="81" t="str">
        <f>IF(Data_NaamPersoonTijd176="","",Data_NaamPersoonTijd176)</f>
        <v/>
      </c>
      <c r="AH199" s="41"/>
      <c r="AI199" s="41"/>
      <c r="AJ199" s="83" t="str">
        <f>IF(Data_BeeindigingsdatumTijd176="","",Data_BeeindigingsdatumTijd176)</f>
        <v/>
      </c>
      <c r="AK199" s="41"/>
      <c r="AL199" s="41"/>
      <c r="AM199" s="82" t="str">
        <f>IF(Data_LoonkostenTijd176="","",Data_LoonkostenTijd176)</f>
        <v/>
      </c>
      <c r="AN199" s="41"/>
      <c r="AO199" s="276" t="str">
        <f>IF(Data_PersoonAanUitTijd176=-1,"v","")</f>
        <v/>
      </c>
      <c r="AP199" s="41"/>
      <c r="AQ199" s="76" t="s">
        <v>160</v>
      </c>
      <c r="AR199" s="41"/>
      <c r="AS199" s="41"/>
      <c r="AT199" s="41"/>
      <c r="AU199" s="41"/>
      <c r="AV199" s="41">
        <f t="shared" si="17"/>
        <v>0</v>
      </c>
      <c r="AW199" s="77">
        <f t="shared" si="18"/>
        <v>0</v>
      </c>
      <c r="AX199" s="41"/>
      <c r="AY199" s="41"/>
      <c r="AZ199" s="41"/>
      <c r="BA199" s="81" t="str">
        <f>IF(Data_NaamPersoonVastVrij176="","",Data_NaamPersoonVastVrij176)</f>
        <v/>
      </c>
      <c r="BB199" s="41"/>
      <c r="BC199" s="41"/>
      <c r="BD199" s="83" t="str">
        <f>IF(Data_BeeindigingsdatumVastVrij176="","",Data_BeeindigingsdatumVastVrij176)</f>
        <v/>
      </c>
      <c r="BE199" s="41"/>
      <c r="BF199" s="41"/>
      <c r="BG199" s="82" t="str">
        <f>IF(Data_LoonkostenVastVrij176="","",Data_LoonkostenVastVrij176)</f>
        <v/>
      </c>
      <c r="BH199" s="41"/>
      <c r="BI199" s="76" t="str">
        <f>IF(Data_PersoonAanUitVastVrij176=-1,"v","")</f>
        <v/>
      </c>
      <c r="BJ199" s="41"/>
      <c r="BK199" s="76" t="s">
        <v>160</v>
      </c>
      <c r="BL199" s="41"/>
      <c r="BM199" s="41"/>
      <c r="BN199" s="41"/>
      <c r="BO199" s="41"/>
      <c r="BP199" s="41">
        <f t="shared" si="19"/>
        <v>0</v>
      </c>
      <c r="BQ199" s="77">
        <f t="shared" si="20"/>
        <v>0</v>
      </c>
      <c r="BS199" s="81" t="str">
        <f>IF(Data_NaamPersoonVastOntslag176="","",Data_NaamPersoonVastOntslag176)</f>
        <v/>
      </c>
      <c r="BV199" s="83" t="str">
        <f>IF(Data_BeeindigingsdatumVastOntslag176="","",Data_BeeindigingsdatumVastOntslag176)</f>
        <v/>
      </c>
      <c r="BY199" s="82" t="str">
        <f>IF(Data_LoonkostenVastOntslag176="","",Data_LoonkostenVastOntslag176)</f>
        <v/>
      </c>
      <c r="CA199" s="76" t="str">
        <f>IF(Data_PersoonAanUitVastOntslag176=-1,"v","")</f>
        <v/>
      </c>
      <c r="CB199" s="41"/>
      <c r="CC199" s="76" t="s">
        <v>160</v>
      </c>
      <c r="CD199" s="41"/>
      <c r="CE199" s="41"/>
      <c r="CF199" s="41"/>
      <c r="CG199" s="41"/>
      <c r="CH199" s="41">
        <f t="shared" si="23"/>
        <v>0</v>
      </c>
      <c r="CI199" s="41">
        <f t="shared" si="21"/>
        <v>0</v>
      </c>
    </row>
    <row r="200" spans="8:87" x14ac:dyDescent="0.25">
      <c r="H200" s="81" t="str">
        <f>IF(Data_NaamPersoonNatVerloop177="","",Data_NaamPersoonNatVerloop177)</f>
        <v/>
      </c>
      <c r="I200" s="41"/>
      <c r="J200" s="41"/>
      <c r="K200" s="83" t="str">
        <f>IF(Data_BeeindigingsdatumNatVerloop177="","",Data_BeeindigingsdatumNatVerloop177)</f>
        <v/>
      </c>
      <c r="L200" s="41"/>
      <c r="M200" s="41"/>
      <c r="N200" s="82" t="str">
        <f>IF(Data_LoonkostenNatVerloop177="","",Data_LoonkostenNatVerloop177)</f>
        <v/>
      </c>
      <c r="O200" s="41"/>
      <c r="P200" s="276" t="s">
        <v>160</v>
      </c>
      <c r="Q200" s="41"/>
      <c r="R200" s="76" t="s">
        <v>160</v>
      </c>
      <c r="S200" s="41"/>
      <c r="T200" s="41"/>
      <c r="U200" s="41"/>
      <c r="V200" s="41"/>
      <c r="W200" s="41">
        <f t="shared" si="16"/>
        <v>0</v>
      </c>
      <c r="X200" s="77" t="str">
        <f t="shared" si="22"/>
        <v/>
      </c>
      <c r="AG200" s="81" t="str">
        <f>IF(Data_NaamPersoonTijd177="","",Data_NaamPersoonTijd177)</f>
        <v/>
      </c>
      <c r="AH200" s="41"/>
      <c r="AI200" s="41"/>
      <c r="AJ200" s="83" t="str">
        <f>IF(Data_BeeindigingsdatumTijd177="","",Data_BeeindigingsdatumTijd177)</f>
        <v/>
      </c>
      <c r="AK200" s="41"/>
      <c r="AL200" s="41"/>
      <c r="AM200" s="82" t="str">
        <f>IF(Data_LoonkostenTijd177="","",Data_LoonkostenTijd177)</f>
        <v/>
      </c>
      <c r="AN200" s="41"/>
      <c r="AO200" s="276" t="str">
        <f>IF(Data_PersoonAanUitTijd177=-1,"v","")</f>
        <v/>
      </c>
      <c r="AP200" s="41"/>
      <c r="AQ200" s="76" t="s">
        <v>160</v>
      </c>
      <c r="AR200" s="41"/>
      <c r="AS200" s="41"/>
      <c r="AT200" s="41"/>
      <c r="AU200" s="41"/>
      <c r="AV200" s="41">
        <f t="shared" si="17"/>
        <v>0</v>
      </c>
      <c r="AW200" s="77">
        <f t="shared" si="18"/>
        <v>0</v>
      </c>
      <c r="AX200" s="41"/>
      <c r="AY200" s="41"/>
      <c r="AZ200" s="41"/>
      <c r="BA200" s="81" t="str">
        <f>IF(Data_NaamPersoonVastVrij177="","",Data_NaamPersoonVastVrij177)</f>
        <v/>
      </c>
      <c r="BB200" s="41"/>
      <c r="BC200" s="41"/>
      <c r="BD200" s="83" t="str">
        <f>IF(Data_BeeindigingsdatumVastVrij177="","",Data_BeeindigingsdatumVastVrij177)</f>
        <v/>
      </c>
      <c r="BE200" s="41"/>
      <c r="BF200" s="41"/>
      <c r="BG200" s="82" t="str">
        <f>IF(Data_LoonkostenVastVrij177="","",Data_LoonkostenVastVrij177)</f>
        <v/>
      </c>
      <c r="BH200" s="41"/>
      <c r="BI200" s="76" t="str">
        <f>IF(Data_PersoonAanUitVastVrij177=-1,"v","")</f>
        <v/>
      </c>
      <c r="BJ200" s="41"/>
      <c r="BK200" s="76" t="s">
        <v>160</v>
      </c>
      <c r="BL200" s="41"/>
      <c r="BM200" s="41"/>
      <c r="BN200" s="41"/>
      <c r="BO200" s="41"/>
      <c r="BP200" s="41">
        <f t="shared" si="19"/>
        <v>0</v>
      </c>
      <c r="BQ200" s="77">
        <f t="shared" si="20"/>
        <v>0</v>
      </c>
      <c r="BS200" s="81" t="str">
        <f>IF(Data_NaamPersoonVastOntslag177="","",Data_NaamPersoonVastOntslag177)</f>
        <v/>
      </c>
      <c r="BV200" s="83" t="str">
        <f>IF(Data_BeeindigingsdatumVastOntslag177="","",Data_BeeindigingsdatumVastOntslag177)</f>
        <v/>
      </c>
      <c r="BY200" s="82" t="str">
        <f>IF(Data_LoonkostenVastOntslag177="","",Data_LoonkostenVastOntslag177)</f>
        <v/>
      </c>
      <c r="CA200" s="76" t="str">
        <f>IF(Data_PersoonAanUitVastOntslag177=-1,"v","")</f>
        <v/>
      </c>
      <c r="CB200" s="41"/>
      <c r="CC200" s="76" t="s">
        <v>160</v>
      </c>
      <c r="CD200" s="41"/>
      <c r="CE200" s="41"/>
      <c r="CF200" s="41"/>
      <c r="CG200" s="41"/>
      <c r="CH200" s="41">
        <f t="shared" si="23"/>
        <v>0</v>
      </c>
      <c r="CI200" s="41">
        <f t="shared" si="21"/>
        <v>0</v>
      </c>
    </row>
    <row r="201" spans="8:87" x14ac:dyDescent="0.25">
      <c r="H201" s="81" t="str">
        <f>IF(Data_NaamPersoonNatVerloop178="","",Data_NaamPersoonNatVerloop178)</f>
        <v/>
      </c>
      <c r="I201" s="41"/>
      <c r="J201" s="41"/>
      <c r="K201" s="83" t="str">
        <f>IF(Data_BeeindigingsdatumNatVerloop178="","",Data_BeeindigingsdatumNatVerloop178)</f>
        <v/>
      </c>
      <c r="L201" s="41"/>
      <c r="M201" s="41"/>
      <c r="N201" s="82" t="str">
        <f>IF(Data_LoonkostenNatVerloop178="","",Data_LoonkostenNatVerloop178)</f>
        <v/>
      </c>
      <c r="O201" s="41"/>
      <c r="P201" s="276" t="s">
        <v>160</v>
      </c>
      <c r="Q201" s="41"/>
      <c r="R201" s="76" t="s">
        <v>160</v>
      </c>
      <c r="S201" s="41"/>
      <c r="T201" s="41"/>
      <c r="U201" s="41"/>
      <c r="V201" s="41"/>
      <c r="W201" s="41">
        <f t="shared" si="16"/>
        <v>0</v>
      </c>
      <c r="X201" s="77" t="str">
        <f t="shared" si="22"/>
        <v/>
      </c>
      <c r="AG201" s="81" t="str">
        <f>IF(Data_NaamPersoonTijd178="","",Data_NaamPersoonTijd178)</f>
        <v/>
      </c>
      <c r="AH201" s="41"/>
      <c r="AI201" s="41"/>
      <c r="AJ201" s="83" t="str">
        <f>IF(Data_BeeindigingsdatumTijd178="","",Data_BeeindigingsdatumTijd178)</f>
        <v/>
      </c>
      <c r="AK201" s="41"/>
      <c r="AL201" s="41"/>
      <c r="AM201" s="82" t="str">
        <f>IF(Data_LoonkostenTijd178="","",Data_LoonkostenTijd178)</f>
        <v/>
      </c>
      <c r="AN201" s="41"/>
      <c r="AO201" s="276" t="str">
        <f>IF(Data_PersoonAanUitTijd178=-1,"v","")</f>
        <v/>
      </c>
      <c r="AP201" s="41"/>
      <c r="AQ201" s="76" t="s">
        <v>160</v>
      </c>
      <c r="AR201" s="41"/>
      <c r="AS201" s="41"/>
      <c r="AT201" s="41"/>
      <c r="AU201" s="41"/>
      <c r="AV201" s="41">
        <f t="shared" si="17"/>
        <v>0</v>
      </c>
      <c r="AW201" s="77">
        <f t="shared" si="18"/>
        <v>0</v>
      </c>
      <c r="AX201" s="41"/>
      <c r="AY201" s="41"/>
      <c r="AZ201" s="41"/>
      <c r="BA201" s="81" t="str">
        <f>IF(Data_NaamPersoonVastVrij178="","",Data_NaamPersoonVastVrij178)</f>
        <v/>
      </c>
      <c r="BB201" s="41"/>
      <c r="BC201" s="41"/>
      <c r="BD201" s="83" t="str">
        <f>IF(Data_BeeindigingsdatumVastVrij178="","",Data_BeeindigingsdatumVastVrij178)</f>
        <v/>
      </c>
      <c r="BE201" s="41"/>
      <c r="BF201" s="41"/>
      <c r="BG201" s="82" t="str">
        <f>IF(Data_LoonkostenVastVrij178="","",Data_LoonkostenVastVrij178)</f>
        <v/>
      </c>
      <c r="BH201" s="41"/>
      <c r="BI201" s="76" t="str">
        <f>IF(Data_PersoonAanUitVastVrij178=-1,"v","")</f>
        <v/>
      </c>
      <c r="BJ201" s="41"/>
      <c r="BK201" s="76" t="s">
        <v>160</v>
      </c>
      <c r="BL201" s="41"/>
      <c r="BM201" s="41"/>
      <c r="BN201" s="41"/>
      <c r="BO201" s="41"/>
      <c r="BP201" s="41">
        <f t="shared" si="19"/>
        <v>0</v>
      </c>
      <c r="BQ201" s="77">
        <f t="shared" si="20"/>
        <v>0</v>
      </c>
      <c r="BS201" s="81" t="str">
        <f>IF(Data_NaamPersoonVastOntslag178="","",Data_NaamPersoonVastOntslag178)</f>
        <v/>
      </c>
      <c r="BV201" s="83" t="str">
        <f>IF(Data_BeeindigingsdatumVastOntslag178="","",Data_BeeindigingsdatumVastOntslag178)</f>
        <v/>
      </c>
      <c r="BY201" s="82" t="str">
        <f>IF(Data_LoonkostenVastOntslag178="","",Data_LoonkostenVastOntslag178)</f>
        <v/>
      </c>
      <c r="CA201" s="76" t="str">
        <f>IF(Data_PersoonAanUitVastOntslag178=-1,"v","")</f>
        <v/>
      </c>
      <c r="CB201" s="41"/>
      <c r="CC201" s="76" t="s">
        <v>160</v>
      </c>
      <c r="CD201" s="41"/>
      <c r="CE201" s="41"/>
      <c r="CF201" s="41"/>
      <c r="CG201" s="41"/>
      <c r="CH201" s="41">
        <f t="shared" si="23"/>
        <v>0</v>
      </c>
      <c r="CI201" s="41">
        <f t="shared" si="21"/>
        <v>0</v>
      </c>
    </row>
    <row r="202" spans="8:87" x14ac:dyDescent="0.25">
      <c r="H202" s="81" t="str">
        <f>IF(Data_NaamPersoonNatVerloop179="","",Data_NaamPersoonNatVerloop179)</f>
        <v/>
      </c>
      <c r="I202" s="41"/>
      <c r="J202" s="41"/>
      <c r="K202" s="83" t="str">
        <f>IF(Data_BeeindigingsdatumNatVerloop179="","",Data_BeeindigingsdatumNatVerloop179)</f>
        <v/>
      </c>
      <c r="L202" s="41"/>
      <c r="M202" s="41"/>
      <c r="N202" s="82" t="str">
        <f>IF(Data_LoonkostenNatVerloop179="","",Data_LoonkostenNatVerloop179)</f>
        <v/>
      </c>
      <c r="O202" s="41"/>
      <c r="P202" s="276" t="s">
        <v>160</v>
      </c>
      <c r="Q202" s="41"/>
      <c r="R202" s="76" t="s">
        <v>160</v>
      </c>
      <c r="S202" s="41"/>
      <c r="T202" s="41"/>
      <c r="U202" s="41"/>
      <c r="V202" s="41"/>
      <c r="W202" s="41">
        <f t="shared" si="16"/>
        <v>0</v>
      </c>
      <c r="X202" s="77" t="str">
        <f t="shared" si="22"/>
        <v/>
      </c>
      <c r="AG202" s="81" t="str">
        <f>IF(Data_NaamPersoonTijd179="","",Data_NaamPersoonTijd179)</f>
        <v/>
      </c>
      <c r="AH202" s="41"/>
      <c r="AI202" s="41"/>
      <c r="AJ202" s="83" t="str">
        <f>IF(Data_BeeindigingsdatumTijd179="","",Data_BeeindigingsdatumTijd179)</f>
        <v/>
      </c>
      <c r="AK202" s="41"/>
      <c r="AL202" s="41"/>
      <c r="AM202" s="82" t="str">
        <f>IF(Data_LoonkostenTijd179="","",Data_LoonkostenTijd179)</f>
        <v/>
      </c>
      <c r="AN202" s="41"/>
      <c r="AO202" s="276" t="str">
        <f>IF(Data_PersoonAanUitTijd179=-1,"v","")</f>
        <v/>
      </c>
      <c r="AP202" s="41"/>
      <c r="AQ202" s="76" t="s">
        <v>160</v>
      </c>
      <c r="AR202" s="41"/>
      <c r="AS202" s="41"/>
      <c r="AT202" s="41"/>
      <c r="AU202" s="41"/>
      <c r="AV202" s="41">
        <f t="shared" si="17"/>
        <v>0</v>
      </c>
      <c r="AW202" s="77">
        <f t="shared" si="18"/>
        <v>0</v>
      </c>
      <c r="AX202" s="41"/>
      <c r="AY202" s="41"/>
      <c r="AZ202" s="41"/>
      <c r="BA202" s="81" t="str">
        <f>IF(Data_NaamPersoonVastVrij179="","",Data_NaamPersoonVastVrij179)</f>
        <v/>
      </c>
      <c r="BB202" s="41"/>
      <c r="BC202" s="41"/>
      <c r="BD202" s="83" t="str">
        <f>IF(Data_BeeindigingsdatumVastVrij179="","",Data_BeeindigingsdatumVastVrij179)</f>
        <v/>
      </c>
      <c r="BE202" s="41"/>
      <c r="BF202" s="41"/>
      <c r="BG202" s="82" t="str">
        <f>IF(Data_LoonkostenVastVrij179="","",Data_LoonkostenVastVrij179)</f>
        <v/>
      </c>
      <c r="BH202" s="41"/>
      <c r="BI202" s="76" t="str">
        <f>IF(Data_PersoonAanUitVastVrij179=-1,"v","")</f>
        <v/>
      </c>
      <c r="BJ202" s="41"/>
      <c r="BK202" s="76" t="s">
        <v>160</v>
      </c>
      <c r="BL202" s="41"/>
      <c r="BM202" s="41"/>
      <c r="BN202" s="41"/>
      <c r="BO202" s="41"/>
      <c r="BP202" s="41">
        <f t="shared" si="19"/>
        <v>0</v>
      </c>
      <c r="BQ202" s="77">
        <f t="shared" si="20"/>
        <v>0</v>
      </c>
      <c r="BS202" s="81" t="str">
        <f>IF(Data_NaamPersoonVastOntslag179="","",Data_NaamPersoonVastOntslag179)</f>
        <v/>
      </c>
      <c r="BV202" s="83" t="str">
        <f>IF(Data_BeeindigingsdatumVastOntslag179="","",Data_BeeindigingsdatumVastOntslag179)</f>
        <v/>
      </c>
      <c r="BY202" s="82" t="str">
        <f>IF(Data_LoonkostenVastOntslag179="","",Data_LoonkostenVastOntslag179)</f>
        <v/>
      </c>
      <c r="CA202" s="76" t="str">
        <f>IF(Data_PersoonAanUitVastOntslag179=-1,"v","")</f>
        <v/>
      </c>
      <c r="CB202" s="41"/>
      <c r="CC202" s="76" t="s">
        <v>160</v>
      </c>
      <c r="CD202" s="41"/>
      <c r="CE202" s="41"/>
      <c r="CF202" s="41"/>
      <c r="CG202" s="41"/>
      <c r="CH202" s="41">
        <f t="shared" si="23"/>
        <v>0</v>
      </c>
      <c r="CI202" s="41">
        <f t="shared" si="21"/>
        <v>0</v>
      </c>
    </row>
    <row r="203" spans="8:87" x14ac:dyDescent="0.25">
      <c r="H203" s="81" t="str">
        <f>IF(Data_NaamPersoonNatVerloop180="","",Data_NaamPersoonNatVerloop180)</f>
        <v/>
      </c>
      <c r="I203" s="41"/>
      <c r="J203" s="41"/>
      <c r="K203" s="83" t="str">
        <f>IF(Data_BeeindigingsdatumNatVerloop180="","",Data_BeeindigingsdatumNatVerloop180)</f>
        <v/>
      </c>
      <c r="L203" s="41"/>
      <c r="M203" s="41"/>
      <c r="N203" s="82" t="str">
        <f>IF(Data_LoonkostenNatVerloop180="","",Data_LoonkostenNatVerloop180)</f>
        <v/>
      </c>
      <c r="O203" s="41"/>
      <c r="P203" s="276" t="s">
        <v>160</v>
      </c>
      <c r="Q203" s="41"/>
      <c r="R203" s="76" t="s">
        <v>160</v>
      </c>
      <c r="S203" s="41"/>
      <c r="T203" s="41"/>
      <c r="U203" s="41"/>
      <c r="V203" s="41"/>
      <c r="W203" s="41">
        <f t="shared" si="16"/>
        <v>0</v>
      </c>
      <c r="X203" s="77" t="str">
        <f t="shared" si="22"/>
        <v/>
      </c>
      <c r="AG203" s="81" t="str">
        <f>IF(Data_NaamPersoonTijd180="","",Data_NaamPersoonTijd180)</f>
        <v/>
      </c>
      <c r="AH203" s="41"/>
      <c r="AI203" s="41"/>
      <c r="AJ203" s="83" t="str">
        <f>IF(Data_BeeindigingsdatumTijd180="","",Data_BeeindigingsdatumTijd180)</f>
        <v/>
      </c>
      <c r="AK203" s="41"/>
      <c r="AL203" s="41"/>
      <c r="AM203" s="82" t="str">
        <f>IF(Data_LoonkostenTijd180="","",Data_LoonkostenTijd180)</f>
        <v/>
      </c>
      <c r="AN203" s="41"/>
      <c r="AO203" s="276" t="str">
        <f>IF(Data_PersoonAanUitTijd180=-1,"v","")</f>
        <v/>
      </c>
      <c r="AP203" s="41"/>
      <c r="AQ203" s="76" t="s">
        <v>160</v>
      </c>
      <c r="AR203" s="41"/>
      <c r="AS203" s="41"/>
      <c r="AT203" s="41"/>
      <c r="AU203" s="41"/>
      <c r="AV203" s="41">
        <f t="shared" si="17"/>
        <v>0</v>
      </c>
      <c r="AW203" s="77">
        <f t="shared" si="18"/>
        <v>0</v>
      </c>
      <c r="AX203" s="41"/>
      <c r="AY203" s="41"/>
      <c r="AZ203" s="41"/>
      <c r="BA203" s="81" t="str">
        <f>IF(Data_NaamPersoonVastVrij180="","",Data_NaamPersoonVastVrij180)</f>
        <v/>
      </c>
      <c r="BB203" s="41"/>
      <c r="BC203" s="41"/>
      <c r="BD203" s="83" t="str">
        <f>IF(Data_BeeindigingsdatumVastVrij180="","",Data_BeeindigingsdatumVastVrij180)</f>
        <v/>
      </c>
      <c r="BE203" s="41"/>
      <c r="BF203" s="41"/>
      <c r="BG203" s="82" t="str">
        <f>IF(Data_LoonkostenVastVrij180="","",Data_LoonkostenVastVrij180)</f>
        <v/>
      </c>
      <c r="BH203" s="41"/>
      <c r="BI203" s="76" t="str">
        <f>IF(Data_PersoonAanUitVastVrij180=-1,"v","")</f>
        <v/>
      </c>
      <c r="BJ203" s="41"/>
      <c r="BK203" s="76" t="s">
        <v>160</v>
      </c>
      <c r="BL203" s="41"/>
      <c r="BM203" s="41"/>
      <c r="BN203" s="41"/>
      <c r="BO203" s="41"/>
      <c r="BP203" s="41">
        <f t="shared" si="19"/>
        <v>0</v>
      </c>
      <c r="BQ203" s="77">
        <f t="shared" si="20"/>
        <v>0</v>
      </c>
      <c r="BS203" s="81" t="str">
        <f>IF(Data_NaamPersoonVastOntslag180="","",Data_NaamPersoonVastOntslag180)</f>
        <v/>
      </c>
      <c r="BV203" s="83" t="str">
        <f>IF(Data_BeeindigingsdatumVastOntslag180="","",Data_BeeindigingsdatumVastOntslag180)</f>
        <v/>
      </c>
      <c r="BY203" s="82" t="str">
        <f>IF(Data_LoonkostenVastOntslag180="","",Data_LoonkostenVastOntslag180)</f>
        <v/>
      </c>
      <c r="CA203" s="76" t="str">
        <f>IF(Data_PersoonAanUitVastOntslag180=-1,"v","")</f>
        <v/>
      </c>
      <c r="CB203" s="41"/>
      <c r="CC203" s="76" t="s">
        <v>160</v>
      </c>
      <c r="CD203" s="41"/>
      <c r="CE203" s="41"/>
      <c r="CF203" s="41"/>
      <c r="CG203" s="41"/>
      <c r="CH203" s="41">
        <f t="shared" si="23"/>
        <v>0</v>
      </c>
      <c r="CI203" s="41">
        <f t="shared" si="21"/>
        <v>0</v>
      </c>
    </row>
    <row r="204" spans="8:87" x14ac:dyDescent="0.25">
      <c r="H204" s="81" t="str">
        <f>IF(Data_NaamPersoonNatVerloop181="","",Data_NaamPersoonNatVerloop181)</f>
        <v/>
      </c>
      <c r="I204" s="41"/>
      <c r="J204" s="41"/>
      <c r="K204" s="83" t="str">
        <f>IF(Data_BeeindigingsdatumNatVerloop181="","",Data_BeeindigingsdatumNatVerloop181)</f>
        <v/>
      </c>
      <c r="L204" s="41"/>
      <c r="M204" s="41"/>
      <c r="N204" s="82" t="str">
        <f>IF(Data_LoonkostenNatVerloop181="","",Data_LoonkostenNatVerloop181)</f>
        <v/>
      </c>
      <c r="O204" s="41"/>
      <c r="P204" s="276" t="s">
        <v>160</v>
      </c>
      <c r="Q204" s="41"/>
      <c r="R204" s="76" t="s">
        <v>160</v>
      </c>
      <c r="S204" s="41"/>
      <c r="T204" s="41"/>
      <c r="U204" s="41"/>
      <c r="V204" s="41"/>
      <c r="W204" s="41">
        <f t="shared" si="16"/>
        <v>0</v>
      </c>
      <c r="X204" s="77" t="str">
        <f t="shared" si="22"/>
        <v/>
      </c>
      <c r="AG204" s="81" t="str">
        <f>IF(Data_NaamPersoonTijd181="","",Data_NaamPersoonTijd181)</f>
        <v/>
      </c>
      <c r="AH204" s="41"/>
      <c r="AI204" s="41"/>
      <c r="AJ204" s="83" t="str">
        <f>IF(Data_BeeindigingsdatumTijd181="","",Data_BeeindigingsdatumTijd181)</f>
        <v/>
      </c>
      <c r="AK204" s="41"/>
      <c r="AL204" s="41"/>
      <c r="AM204" s="82" t="str">
        <f>IF(Data_LoonkostenTijd181="","",Data_LoonkostenTijd181)</f>
        <v/>
      </c>
      <c r="AN204" s="41"/>
      <c r="AO204" s="276" t="str">
        <f>IF(Data_PersoonAanUitTijd181=-1,"v","")</f>
        <v/>
      </c>
      <c r="AP204" s="41"/>
      <c r="AQ204" s="76" t="s">
        <v>160</v>
      </c>
      <c r="AR204" s="41"/>
      <c r="AS204" s="41"/>
      <c r="AT204" s="41"/>
      <c r="AU204" s="41"/>
      <c r="AV204" s="41">
        <f t="shared" si="17"/>
        <v>0</v>
      </c>
      <c r="AW204" s="77">
        <f t="shared" si="18"/>
        <v>0</v>
      </c>
      <c r="AX204" s="41"/>
      <c r="AY204" s="41"/>
      <c r="AZ204" s="41"/>
      <c r="BA204" s="81" t="str">
        <f>IF(Data_NaamPersoonVastVrij181="","",Data_NaamPersoonVastVrij181)</f>
        <v/>
      </c>
      <c r="BB204" s="41"/>
      <c r="BC204" s="41"/>
      <c r="BD204" s="83" t="str">
        <f>IF(Data_BeeindigingsdatumVastVrij181="","",Data_BeeindigingsdatumVastVrij181)</f>
        <v/>
      </c>
      <c r="BE204" s="41"/>
      <c r="BF204" s="41"/>
      <c r="BG204" s="82" t="str">
        <f>IF(Data_LoonkostenVastVrij181="","",Data_LoonkostenVastVrij181)</f>
        <v/>
      </c>
      <c r="BH204" s="41"/>
      <c r="BI204" s="76" t="str">
        <f>IF(Data_PersoonAanUitVastVrij181=-1,"v","")</f>
        <v/>
      </c>
      <c r="BJ204" s="41"/>
      <c r="BK204" s="76" t="s">
        <v>160</v>
      </c>
      <c r="BL204" s="41"/>
      <c r="BM204" s="41"/>
      <c r="BN204" s="41"/>
      <c r="BO204" s="41"/>
      <c r="BP204" s="41">
        <f t="shared" si="19"/>
        <v>0</v>
      </c>
      <c r="BQ204" s="77">
        <f t="shared" si="20"/>
        <v>0</v>
      </c>
      <c r="BS204" s="81" t="str">
        <f>IF(Data_NaamPersoonVastOntslag181="","",Data_NaamPersoonVastOntslag181)</f>
        <v/>
      </c>
      <c r="BV204" s="83" t="str">
        <f>IF(Data_BeeindigingsdatumVastOntslag181="","",Data_BeeindigingsdatumVastOntslag181)</f>
        <v/>
      </c>
      <c r="BY204" s="82" t="str">
        <f>IF(Data_LoonkostenVastOntslag181="","",Data_LoonkostenVastOntslag181)</f>
        <v/>
      </c>
      <c r="CA204" s="76" t="str">
        <f>IF(Data_PersoonAanUitVastOntslag181=-1,"v","")</f>
        <v/>
      </c>
      <c r="CB204" s="41"/>
      <c r="CC204" s="76" t="s">
        <v>160</v>
      </c>
      <c r="CD204" s="41"/>
      <c r="CE204" s="41"/>
      <c r="CF204" s="41"/>
      <c r="CG204" s="41"/>
      <c r="CH204" s="41">
        <f t="shared" si="23"/>
        <v>0</v>
      </c>
      <c r="CI204" s="41">
        <f t="shared" si="21"/>
        <v>0</v>
      </c>
    </row>
    <row r="205" spans="8:87" x14ac:dyDescent="0.25">
      <c r="H205" s="81" t="str">
        <f>IF(Data_NaamPersoonNatVerloop182="","",Data_NaamPersoonNatVerloop182)</f>
        <v/>
      </c>
      <c r="I205" s="41"/>
      <c r="J205" s="41"/>
      <c r="K205" s="83" t="str">
        <f>IF(Data_BeeindigingsdatumNatVerloop182="","",Data_BeeindigingsdatumNatVerloop182)</f>
        <v/>
      </c>
      <c r="L205" s="41"/>
      <c r="M205" s="41"/>
      <c r="N205" s="82" t="str">
        <f>IF(Data_LoonkostenNatVerloop182="","",Data_LoonkostenNatVerloop182)</f>
        <v/>
      </c>
      <c r="O205" s="41"/>
      <c r="P205" s="276" t="s">
        <v>160</v>
      </c>
      <c r="Q205" s="41"/>
      <c r="R205" s="76" t="s">
        <v>160</v>
      </c>
      <c r="S205" s="41"/>
      <c r="T205" s="41"/>
      <c r="U205" s="41"/>
      <c r="V205" s="41"/>
      <c r="W205" s="41">
        <f t="shared" si="16"/>
        <v>0</v>
      </c>
      <c r="X205" s="77" t="str">
        <f t="shared" si="22"/>
        <v/>
      </c>
      <c r="AG205" s="81" t="str">
        <f>IF(Data_NaamPersoonTijd182="","",Data_NaamPersoonTijd182)</f>
        <v/>
      </c>
      <c r="AH205" s="41"/>
      <c r="AI205" s="41"/>
      <c r="AJ205" s="83" t="str">
        <f>IF(Data_BeeindigingsdatumTijd182="","",Data_BeeindigingsdatumTijd182)</f>
        <v/>
      </c>
      <c r="AK205" s="41"/>
      <c r="AL205" s="41"/>
      <c r="AM205" s="82" t="str">
        <f>IF(Data_LoonkostenTijd182="","",Data_LoonkostenTijd182)</f>
        <v/>
      </c>
      <c r="AN205" s="41"/>
      <c r="AO205" s="276" t="str">
        <f>IF(Data_PersoonAanUitTijd182=-1,"v","")</f>
        <v/>
      </c>
      <c r="AP205" s="41"/>
      <c r="AQ205" s="76" t="s">
        <v>160</v>
      </c>
      <c r="AR205" s="41"/>
      <c r="AS205" s="41"/>
      <c r="AT205" s="41"/>
      <c r="AU205" s="41"/>
      <c r="AV205" s="41">
        <f t="shared" si="17"/>
        <v>0</v>
      </c>
      <c r="AW205" s="77">
        <f t="shared" si="18"/>
        <v>0</v>
      </c>
      <c r="AX205" s="41"/>
      <c r="AY205" s="41"/>
      <c r="AZ205" s="41"/>
      <c r="BA205" s="81" t="str">
        <f>IF(Data_NaamPersoonVastVrij182="","",Data_NaamPersoonVastVrij182)</f>
        <v/>
      </c>
      <c r="BB205" s="41"/>
      <c r="BC205" s="41"/>
      <c r="BD205" s="83" t="str">
        <f>IF(Data_BeeindigingsdatumVastVrij182="","",Data_BeeindigingsdatumVastVrij182)</f>
        <v/>
      </c>
      <c r="BE205" s="41"/>
      <c r="BF205" s="41"/>
      <c r="BG205" s="82" t="str">
        <f>IF(Data_LoonkostenVastVrij182="","",Data_LoonkostenVastVrij182)</f>
        <v/>
      </c>
      <c r="BH205" s="41"/>
      <c r="BI205" s="76" t="str">
        <f>IF(Data_PersoonAanUitVastVrij182=-1,"v","")</f>
        <v/>
      </c>
      <c r="BJ205" s="41"/>
      <c r="BK205" s="76" t="s">
        <v>160</v>
      </c>
      <c r="BL205" s="41"/>
      <c r="BM205" s="41"/>
      <c r="BN205" s="41"/>
      <c r="BO205" s="41"/>
      <c r="BP205" s="41">
        <f t="shared" si="19"/>
        <v>0</v>
      </c>
      <c r="BQ205" s="77">
        <f t="shared" si="20"/>
        <v>0</v>
      </c>
      <c r="BS205" s="81" t="str">
        <f>IF(Data_NaamPersoonVastOntslag182="","",Data_NaamPersoonVastOntslag182)</f>
        <v/>
      </c>
      <c r="BV205" s="83" t="str">
        <f>IF(Data_BeeindigingsdatumVastOntslag182="","",Data_BeeindigingsdatumVastOntslag182)</f>
        <v/>
      </c>
      <c r="BY205" s="82" t="str">
        <f>IF(Data_LoonkostenVastOntslag182="","",Data_LoonkostenVastOntslag182)</f>
        <v/>
      </c>
      <c r="CA205" s="76" t="str">
        <f>IF(Data_PersoonAanUitVastOntslag182=-1,"v","")</f>
        <v/>
      </c>
      <c r="CB205" s="41"/>
      <c r="CC205" s="76" t="s">
        <v>160</v>
      </c>
      <c r="CD205" s="41"/>
      <c r="CE205" s="41"/>
      <c r="CF205" s="41"/>
      <c r="CG205" s="41"/>
      <c r="CH205" s="41">
        <f t="shared" si="23"/>
        <v>0</v>
      </c>
      <c r="CI205" s="41">
        <f t="shared" si="21"/>
        <v>0</v>
      </c>
    </row>
    <row r="206" spans="8:87" x14ac:dyDescent="0.25">
      <c r="H206" s="81" t="str">
        <f>IF(Data_NaamPersoonNatVerloop183="","",Data_NaamPersoonNatVerloop183)</f>
        <v/>
      </c>
      <c r="I206" s="41"/>
      <c r="J206" s="41"/>
      <c r="K206" s="83" t="str">
        <f>IF(Data_BeeindigingsdatumNatVerloop183="","",Data_BeeindigingsdatumNatVerloop183)</f>
        <v/>
      </c>
      <c r="L206" s="41"/>
      <c r="M206" s="41"/>
      <c r="N206" s="82" t="str">
        <f>IF(Data_LoonkostenNatVerloop183="","",Data_LoonkostenNatVerloop183)</f>
        <v/>
      </c>
      <c r="O206" s="41"/>
      <c r="P206" s="276" t="s">
        <v>160</v>
      </c>
      <c r="Q206" s="41"/>
      <c r="R206" s="76" t="s">
        <v>160</v>
      </c>
      <c r="S206" s="41"/>
      <c r="T206" s="41"/>
      <c r="U206" s="41"/>
      <c r="V206" s="41"/>
      <c r="W206" s="41">
        <f t="shared" si="16"/>
        <v>0</v>
      </c>
      <c r="X206" s="77" t="str">
        <f t="shared" si="22"/>
        <v/>
      </c>
      <c r="AG206" s="81" t="str">
        <f>IF(Data_NaamPersoonTijd183="","",Data_NaamPersoonTijd183)</f>
        <v/>
      </c>
      <c r="AH206" s="41"/>
      <c r="AI206" s="41"/>
      <c r="AJ206" s="83" t="str">
        <f>IF(Data_BeeindigingsdatumTijd183="","",Data_BeeindigingsdatumTijd183)</f>
        <v/>
      </c>
      <c r="AK206" s="41"/>
      <c r="AL206" s="41"/>
      <c r="AM206" s="82" t="str">
        <f>IF(Data_LoonkostenTijd183="","",Data_LoonkostenTijd183)</f>
        <v/>
      </c>
      <c r="AN206" s="41"/>
      <c r="AO206" s="276" t="str">
        <f>IF(Data_PersoonAanUitTijd183=-1,"v","")</f>
        <v/>
      </c>
      <c r="AP206" s="41"/>
      <c r="AQ206" s="76" t="s">
        <v>160</v>
      </c>
      <c r="AR206" s="41"/>
      <c r="AS206" s="41"/>
      <c r="AT206" s="41"/>
      <c r="AU206" s="41"/>
      <c r="AV206" s="41">
        <f t="shared" si="17"/>
        <v>0</v>
      </c>
      <c r="AW206" s="77">
        <f t="shared" si="18"/>
        <v>0</v>
      </c>
      <c r="AX206" s="41"/>
      <c r="AY206" s="41"/>
      <c r="AZ206" s="41"/>
      <c r="BA206" s="81" t="str">
        <f>IF(Data_NaamPersoonVastVrij183="","",Data_NaamPersoonVastVrij183)</f>
        <v/>
      </c>
      <c r="BB206" s="41"/>
      <c r="BC206" s="41"/>
      <c r="BD206" s="83" t="str">
        <f>IF(Data_BeeindigingsdatumVastVrij183="","",Data_BeeindigingsdatumVastVrij183)</f>
        <v/>
      </c>
      <c r="BE206" s="41"/>
      <c r="BF206" s="41"/>
      <c r="BG206" s="82" t="str">
        <f>IF(Data_LoonkostenVastVrij183="","",Data_LoonkostenVastVrij183)</f>
        <v/>
      </c>
      <c r="BH206" s="41"/>
      <c r="BI206" s="76" t="str">
        <f>IF(Data_PersoonAanUitVastVrij183=-1,"v","")</f>
        <v/>
      </c>
      <c r="BJ206" s="41"/>
      <c r="BK206" s="76" t="s">
        <v>160</v>
      </c>
      <c r="BL206" s="41"/>
      <c r="BM206" s="41"/>
      <c r="BN206" s="41"/>
      <c r="BO206" s="41"/>
      <c r="BP206" s="41">
        <f t="shared" si="19"/>
        <v>0</v>
      </c>
      <c r="BQ206" s="77">
        <f t="shared" si="20"/>
        <v>0</v>
      </c>
      <c r="BS206" s="81" t="str">
        <f>IF(Data_NaamPersoonVastOntslag183="","",Data_NaamPersoonVastOntslag183)</f>
        <v/>
      </c>
      <c r="BV206" s="83" t="str">
        <f>IF(Data_BeeindigingsdatumVastOntslag183="","",Data_BeeindigingsdatumVastOntslag183)</f>
        <v/>
      </c>
      <c r="BY206" s="82" t="str">
        <f>IF(Data_LoonkostenVastOntslag183="","",Data_LoonkostenVastOntslag183)</f>
        <v/>
      </c>
      <c r="CA206" s="76" t="str">
        <f>IF(Data_PersoonAanUitVastOntslag183=-1,"v","")</f>
        <v/>
      </c>
      <c r="CB206" s="41"/>
      <c r="CC206" s="76" t="s">
        <v>160</v>
      </c>
      <c r="CD206" s="41"/>
      <c r="CE206" s="41"/>
      <c r="CF206" s="41"/>
      <c r="CG206" s="41"/>
      <c r="CH206" s="41">
        <f t="shared" si="23"/>
        <v>0</v>
      </c>
      <c r="CI206" s="41">
        <f t="shared" si="21"/>
        <v>0</v>
      </c>
    </row>
    <row r="207" spans="8:87" x14ac:dyDescent="0.25">
      <c r="H207" s="81" t="str">
        <f>IF(Data_NaamPersoonNatVerloop184="","",Data_NaamPersoonNatVerloop184)</f>
        <v/>
      </c>
      <c r="I207" s="41"/>
      <c r="J207" s="41"/>
      <c r="K207" s="83" t="str">
        <f>IF(Data_BeeindigingsdatumNatVerloop184="","",Data_BeeindigingsdatumNatVerloop184)</f>
        <v/>
      </c>
      <c r="L207" s="41"/>
      <c r="M207" s="41"/>
      <c r="N207" s="82" t="str">
        <f>IF(Data_LoonkostenNatVerloop184="","",Data_LoonkostenNatVerloop184)</f>
        <v/>
      </c>
      <c r="O207" s="41"/>
      <c r="P207" s="276" t="s">
        <v>160</v>
      </c>
      <c r="Q207" s="41"/>
      <c r="R207" s="76" t="s">
        <v>160</v>
      </c>
      <c r="S207" s="41"/>
      <c r="T207" s="41"/>
      <c r="U207" s="41"/>
      <c r="V207" s="41"/>
      <c r="W207" s="41">
        <f t="shared" si="16"/>
        <v>0</v>
      </c>
      <c r="X207" s="77" t="str">
        <f t="shared" si="22"/>
        <v/>
      </c>
      <c r="AG207" s="81" t="str">
        <f>IF(Data_NaamPersoonTijd184="","",Data_NaamPersoonTijd184)</f>
        <v/>
      </c>
      <c r="AH207" s="41"/>
      <c r="AI207" s="41"/>
      <c r="AJ207" s="83" t="str">
        <f>IF(Data_BeeindigingsdatumTijd184="","",Data_BeeindigingsdatumTijd184)</f>
        <v/>
      </c>
      <c r="AK207" s="41"/>
      <c r="AL207" s="41"/>
      <c r="AM207" s="82" t="str">
        <f>IF(Data_LoonkostenTijd184="","",Data_LoonkostenTijd184)</f>
        <v/>
      </c>
      <c r="AN207" s="41"/>
      <c r="AO207" s="276" t="str">
        <f>IF(Data_PersoonAanUitTijd184=-1,"v","")</f>
        <v/>
      </c>
      <c r="AP207" s="41"/>
      <c r="AQ207" s="76" t="s">
        <v>160</v>
      </c>
      <c r="AR207" s="41"/>
      <c r="AS207" s="41"/>
      <c r="AT207" s="41"/>
      <c r="AU207" s="41"/>
      <c r="AV207" s="41">
        <f t="shared" si="17"/>
        <v>0</v>
      </c>
      <c r="AW207" s="77">
        <f t="shared" si="18"/>
        <v>0</v>
      </c>
      <c r="AX207" s="41"/>
      <c r="AY207" s="41"/>
      <c r="AZ207" s="41"/>
      <c r="BA207" s="81" t="str">
        <f>IF(Data_NaamPersoonVastVrij184="","",Data_NaamPersoonVastVrij184)</f>
        <v/>
      </c>
      <c r="BB207" s="41"/>
      <c r="BC207" s="41"/>
      <c r="BD207" s="83" t="str">
        <f>IF(Data_BeeindigingsdatumVastVrij184="","",Data_BeeindigingsdatumVastVrij184)</f>
        <v/>
      </c>
      <c r="BE207" s="41"/>
      <c r="BF207" s="41"/>
      <c r="BG207" s="82" t="str">
        <f>IF(Data_LoonkostenVastVrij184="","",Data_LoonkostenVastVrij184)</f>
        <v/>
      </c>
      <c r="BH207" s="41"/>
      <c r="BI207" s="76" t="str">
        <f>IF(Data_PersoonAanUitVastVrij184=-1,"v","")</f>
        <v/>
      </c>
      <c r="BJ207" s="41"/>
      <c r="BK207" s="76" t="s">
        <v>160</v>
      </c>
      <c r="BL207" s="41"/>
      <c r="BM207" s="41"/>
      <c r="BN207" s="41"/>
      <c r="BO207" s="41"/>
      <c r="BP207" s="41">
        <f t="shared" si="19"/>
        <v>0</v>
      </c>
      <c r="BQ207" s="77">
        <f t="shared" si="20"/>
        <v>0</v>
      </c>
      <c r="BS207" s="81" t="str">
        <f>IF(Data_NaamPersoonVastOntslag184="","",Data_NaamPersoonVastOntslag184)</f>
        <v/>
      </c>
      <c r="BV207" s="83" t="str">
        <f>IF(Data_BeeindigingsdatumVastOntslag184="","",Data_BeeindigingsdatumVastOntslag184)</f>
        <v/>
      </c>
      <c r="BY207" s="82" t="str">
        <f>IF(Data_LoonkostenVastOntslag184="","",Data_LoonkostenVastOntslag184)</f>
        <v/>
      </c>
      <c r="CA207" s="76" t="str">
        <f>IF(Data_PersoonAanUitVastOntslag184=-1,"v","")</f>
        <v/>
      </c>
      <c r="CB207" s="41"/>
      <c r="CC207" s="76" t="s">
        <v>160</v>
      </c>
      <c r="CD207" s="41"/>
      <c r="CE207" s="41"/>
      <c r="CF207" s="41"/>
      <c r="CG207" s="41"/>
      <c r="CH207" s="41">
        <f t="shared" si="23"/>
        <v>0</v>
      </c>
      <c r="CI207" s="41">
        <f t="shared" si="21"/>
        <v>0</v>
      </c>
    </row>
    <row r="208" spans="8:87" x14ac:dyDescent="0.25">
      <c r="H208" s="81" t="str">
        <f>IF(Data_NaamPersoonNatVerloop185="","",Data_NaamPersoonNatVerloop185)</f>
        <v/>
      </c>
      <c r="I208" s="41"/>
      <c r="J208" s="41"/>
      <c r="K208" s="83" t="str">
        <f>IF(Data_BeeindigingsdatumNatVerloop185="","",Data_BeeindigingsdatumNatVerloop185)</f>
        <v/>
      </c>
      <c r="L208" s="41"/>
      <c r="M208" s="41"/>
      <c r="N208" s="82" t="str">
        <f>IF(Data_LoonkostenNatVerloop185="","",Data_LoonkostenNatVerloop185)</f>
        <v/>
      </c>
      <c r="O208" s="41"/>
      <c r="P208" s="276" t="s">
        <v>160</v>
      </c>
      <c r="Q208" s="41"/>
      <c r="R208" s="76" t="s">
        <v>160</v>
      </c>
      <c r="S208" s="41"/>
      <c r="T208" s="41"/>
      <c r="U208" s="41"/>
      <c r="V208" s="41"/>
      <c r="W208" s="41">
        <f t="shared" si="16"/>
        <v>0</v>
      </c>
      <c r="X208" s="77" t="str">
        <f t="shared" si="22"/>
        <v/>
      </c>
      <c r="AG208" s="81" t="str">
        <f>IF(Data_NaamPersoonTijd185="","",Data_NaamPersoonTijd185)</f>
        <v/>
      </c>
      <c r="AH208" s="41"/>
      <c r="AI208" s="41"/>
      <c r="AJ208" s="83" t="str">
        <f>IF(Data_BeeindigingsdatumTijd185="","",Data_BeeindigingsdatumTijd185)</f>
        <v/>
      </c>
      <c r="AK208" s="41"/>
      <c r="AL208" s="41"/>
      <c r="AM208" s="82" t="str">
        <f>IF(Data_LoonkostenTijd185="","",Data_LoonkostenTijd185)</f>
        <v/>
      </c>
      <c r="AN208" s="41"/>
      <c r="AO208" s="276" t="str">
        <f>IF(Data_PersoonAanUitTijd185=-1,"v","")</f>
        <v/>
      </c>
      <c r="AP208" s="41"/>
      <c r="AQ208" s="76" t="s">
        <v>160</v>
      </c>
      <c r="AR208" s="41"/>
      <c r="AS208" s="41"/>
      <c r="AT208" s="41"/>
      <c r="AU208" s="41"/>
      <c r="AV208" s="41">
        <f t="shared" si="17"/>
        <v>0</v>
      </c>
      <c r="AW208" s="77">
        <f t="shared" si="18"/>
        <v>0</v>
      </c>
      <c r="AX208" s="41"/>
      <c r="AY208" s="41"/>
      <c r="AZ208" s="41"/>
      <c r="BA208" s="81" t="str">
        <f>IF(Data_NaamPersoonVastVrij185="","",Data_NaamPersoonVastVrij185)</f>
        <v/>
      </c>
      <c r="BB208" s="41"/>
      <c r="BC208" s="41"/>
      <c r="BD208" s="83" t="str">
        <f>IF(Data_BeeindigingsdatumVastVrij185="","",Data_BeeindigingsdatumVastVrij185)</f>
        <v/>
      </c>
      <c r="BE208" s="41"/>
      <c r="BF208" s="41"/>
      <c r="BG208" s="82" t="str">
        <f>IF(Data_LoonkostenVastVrij185="","",Data_LoonkostenVastVrij185)</f>
        <v/>
      </c>
      <c r="BH208" s="41"/>
      <c r="BI208" s="76" t="str">
        <f>IF(Data_PersoonAanUitVastVrij185=-1,"v","")</f>
        <v/>
      </c>
      <c r="BJ208" s="41"/>
      <c r="BK208" s="76" t="s">
        <v>160</v>
      </c>
      <c r="BL208" s="41"/>
      <c r="BM208" s="41"/>
      <c r="BN208" s="41"/>
      <c r="BO208" s="41"/>
      <c r="BP208" s="41">
        <f t="shared" si="19"/>
        <v>0</v>
      </c>
      <c r="BQ208" s="77">
        <f t="shared" si="20"/>
        <v>0</v>
      </c>
      <c r="BS208" s="81" t="str">
        <f>IF(Data_NaamPersoonVastOntslag185="","",Data_NaamPersoonVastOntslag185)</f>
        <v/>
      </c>
      <c r="BV208" s="83" t="str">
        <f>IF(Data_BeeindigingsdatumVastOntslag185="","",Data_BeeindigingsdatumVastOntslag185)</f>
        <v/>
      </c>
      <c r="BY208" s="82" t="str">
        <f>IF(Data_LoonkostenVastOntslag185="","",Data_LoonkostenVastOntslag185)</f>
        <v/>
      </c>
      <c r="CA208" s="76" t="str">
        <f>IF(Data_PersoonAanUitVastOntslag185=-1,"v","")</f>
        <v/>
      </c>
      <c r="CB208" s="41"/>
      <c r="CC208" s="76" t="s">
        <v>160</v>
      </c>
      <c r="CD208" s="41"/>
      <c r="CE208" s="41"/>
      <c r="CF208" s="41"/>
      <c r="CG208" s="41"/>
      <c r="CH208" s="41">
        <f t="shared" si="23"/>
        <v>0</v>
      </c>
      <c r="CI208" s="41">
        <f t="shared" si="21"/>
        <v>0</v>
      </c>
    </row>
    <row r="209" spans="8:87" x14ac:dyDescent="0.25">
      <c r="H209" s="81" t="str">
        <f>IF(Data_NaamPersoonNatVerloop186="","",Data_NaamPersoonNatVerloop186)</f>
        <v/>
      </c>
      <c r="I209" s="41"/>
      <c r="J209" s="41"/>
      <c r="K209" s="83" t="str">
        <f>IF(Data_BeeindigingsdatumNatVerloop186="","",Data_BeeindigingsdatumNatVerloop186)</f>
        <v/>
      </c>
      <c r="L209" s="41"/>
      <c r="M209" s="41"/>
      <c r="N209" s="82" t="str">
        <f>IF(Data_LoonkostenNatVerloop186="","",Data_LoonkostenNatVerloop186)</f>
        <v/>
      </c>
      <c r="O209" s="41"/>
      <c r="P209" s="276" t="s">
        <v>160</v>
      </c>
      <c r="Q209" s="41"/>
      <c r="R209" s="76" t="s">
        <v>160</v>
      </c>
      <c r="S209" s="41"/>
      <c r="T209" s="41"/>
      <c r="U209" s="41"/>
      <c r="V209" s="41"/>
      <c r="W209" s="41">
        <f t="shared" si="16"/>
        <v>0</v>
      </c>
      <c r="X209" s="77" t="str">
        <f t="shared" si="22"/>
        <v/>
      </c>
      <c r="AG209" s="81" t="str">
        <f>IF(Data_NaamPersoonTijd186="","",Data_NaamPersoonTijd186)</f>
        <v/>
      </c>
      <c r="AH209" s="41"/>
      <c r="AI209" s="41"/>
      <c r="AJ209" s="83" t="str">
        <f>IF(Data_BeeindigingsdatumTijd186="","",Data_BeeindigingsdatumTijd186)</f>
        <v/>
      </c>
      <c r="AK209" s="41"/>
      <c r="AL209" s="41"/>
      <c r="AM209" s="82" t="str">
        <f>IF(Data_LoonkostenTijd186="","",Data_LoonkostenTijd186)</f>
        <v/>
      </c>
      <c r="AN209" s="41"/>
      <c r="AO209" s="276" t="str">
        <f>IF(Data_PersoonAanUitTijd186=-1,"v","")</f>
        <v/>
      </c>
      <c r="AP209" s="41"/>
      <c r="AQ209" s="76" t="s">
        <v>160</v>
      </c>
      <c r="AR209" s="41"/>
      <c r="AS209" s="41"/>
      <c r="AT209" s="41"/>
      <c r="AU209" s="41"/>
      <c r="AV209" s="41">
        <f t="shared" si="17"/>
        <v>0</v>
      </c>
      <c r="AW209" s="77">
        <f t="shared" si="18"/>
        <v>0</v>
      </c>
      <c r="AX209" s="41"/>
      <c r="AY209" s="41"/>
      <c r="AZ209" s="41"/>
      <c r="BA209" s="81" t="str">
        <f>IF(Data_NaamPersoonVastVrij186="","",Data_NaamPersoonVastVrij186)</f>
        <v/>
      </c>
      <c r="BB209" s="41"/>
      <c r="BC209" s="41"/>
      <c r="BD209" s="83" t="str">
        <f>IF(Data_BeeindigingsdatumVastVrij186="","",Data_BeeindigingsdatumVastVrij186)</f>
        <v/>
      </c>
      <c r="BE209" s="41"/>
      <c r="BF209" s="41"/>
      <c r="BG209" s="82" t="str">
        <f>IF(Data_LoonkostenVastVrij186="","",Data_LoonkostenVastVrij186)</f>
        <v/>
      </c>
      <c r="BH209" s="41"/>
      <c r="BI209" s="76" t="str">
        <f>IF(Data_PersoonAanUitVastVrij186=-1,"v","")</f>
        <v/>
      </c>
      <c r="BJ209" s="41"/>
      <c r="BK209" s="76" t="s">
        <v>160</v>
      </c>
      <c r="BL209" s="41"/>
      <c r="BM209" s="41"/>
      <c r="BN209" s="41"/>
      <c r="BO209" s="41"/>
      <c r="BP209" s="41">
        <f t="shared" si="19"/>
        <v>0</v>
      </c>
      <c r="BQ209" s="77">
        <f t="shared" si="20"/>
        <v>0</v>
      </c>
      <c r="BS209" s="81" t="str">
        <f>IF(Data_NaamPersoonVastOntslag186="","",Data_NaamPersoonVastOntslag186)</f>
        <v/>
      </c>
      <c r="BV209" s="83" t="str">
        <f>IF(Data_BeeindigingsdatumVastOntslag186="","",Data_BeeindigingsdatumVastOntslag186)</f>
        <v/>
      </c>
      <c r="BY209" s="82" t="str">
        <f>IF(Data_LoonkostenVastOntslag186="","",Data_LoonkostenVastOntslag186)</f>
        <v/>
      </c>
      <c r="CA209" s="76" t="str">
        <f>IF(Data_PersoonAanUitVastOntslag186=-1,"v","")</f>
        <v/>
      </c>
      <c r="CB209" s="41"/>
      <c r="CC209" s="76" t="s">
        <v>160</v>
      </c>
      <c r="CD209" s="41"/>
      <c r="CE209" s="41"/>
      <c r="CF209" s="41"/>
      <c r="CG209" s="41"/>
      <c r="CH209" s="41">
        <f t="shared" si="23"/>
        <v>0</v>
      </c>
      <c r="CI209" s="41">
        <f t="shared" si="21"/>
        <v>0</v>
      </c>
    </row>
    <row r="210" spans="8:87" x14ac:dyDescent="0.25">
      <c r="H210" s="81" t="str">
        <f>IF(Data_NaamPersoonNatVerloop187="","",Data_NaamPersoonNatVerloop187)</f>
        <v/>
      </c>
      <c r="I210" s="41"/>
      <c r="J210" s="41"/>
      <c r="K210" s="83" t="str">
        <f>IF(Data_BeeindigingsdatumNatVerloop187="","",Data_BeeindigingsdatumNatVerloop187)</f>
        <v/>
      </c>
      <c r="L210" s="41"/>
      <c r="M210" s="41"/>
      <c r="N210" s="82" t="str">
        <f>IF(Data_LoonkostenNatVerloop187="","",Data_LoonkostenNatVerloop187)</f>
        <v/>
      </c>
      <c r="O210" s="41"/>
      <c r="P210" s="276" t="s">
        <v>160</v>
      </c>
      <c r="Q210" s="41"/>
      <c r="R210" s="76" t="s">
        <v>160</v>
      </c>
      <c r="S210" s="41"/>
      <c r="T210" s="41"/>
      <c r="U210" s="41"/>
      <c r="V210" s="41"/>
      <c r="W210" s="41">
        <f t="shared" si="16"/>
        <v>0</v>
      </c>
      <c r="X210" s="77" t="str">
        <f t="shared" si="22"/>
        <v/>
      </c>
      <c r="AG210" s="81" t="str">
        <f>IF(Data_NaamPersoonTijd187="","",Data_NaamPersoonTijd187)</f>
        <v/>
      </c>
      <c r="AH210" s="41"/>
      <c r="AI210" s="41"/>
      <c r="AJ210" s="83" t="str">
        <f>IF(Data_BeeindigingsdatumTijd187="","",Data_BeeindigingsdatumTijd187)</f>
        <v/>
      </c>
      <c r="AK210" s="41"/>
      <c r="AL210" s="41"/>
      <c r="AM210" s="82" t="str">
        <f>IF(Data_LoonkostenTijd187="","",Data_LoonkostenTijd187)</f>
        <v/>
      </c>
      <c r="AN210" s="41"/>
      <c r="AO210" s="276" t="str">
        <f>IF(Data_PersoonAanUitTijd187=-1,"v","")</f>
        <v/>
      </c>
      <c r="AP210" s="41"/>
      <c r="AQ210" s="76" t="s">
        <v>160</v>
      </c>
      <c r="AR210" s="41"/>
      <c r="AS210" s="41"/>
      <c r="AT210" s="41"/>
      <c r="AU210" s="41"/>
      <c r="AV210" s="41">
        <f t="shared" si="17"/>
        <v>0</v>
      </c>
      <c r="AW210" s="77">
        <f t="shared" si="18"/>
        <v>0</v>
      </c>
      <c r="AX210" s="41"/>
      <c r="AY210" s="41"/>
      <c r="AZ210" s="41"/>
      <c r="BA210" s="81" t="str">
        <f>IF(Data_NaamPersoonVastVrij187="","",Data_NaamPersoonVastVrij187)</f>
        <v/>
      </c>
      <c r="BB210" s="41"/>
      <c r="BC210" s="41"/>
      <c r="BD210" s="83" t="str">
        <f>IF(Data_BeeindigingsdatumVastVrij187="","",Data_BeeindigingsdatumVastVrij187)</f>
        <v/>
      </c>
      <c r="BE210" s="41"/>
      <c r="BF210" s="41"/>
      <c r="BG210" s="82" t="str">
        <f>IF(Data_LoonkostenVastVrij187="","",Data_LoonkostenVastVrij187)</f>
        <v/>
      </c>
      <c r="BH210" s="41"/>
      <c r="BI210" s="76" t="str">
        <f>IF(Data_PersoonAanUitVastVrij187=-1,"v","")</f>
        <v/>
      </c>
      <c r="BJ210" s="41"/>
      <c r="BK210" s="76" t="s">
        <v>160</v>
      </c>
      <c r="BL210" s="41"/>
      <c r="BM210" s="41"/>
      <c r="BN210" s="41"/>
      <c r="BO210" s="41"/>
      <c r="BP210" s="41">
        <f t="shared" si="19"/>
        <v>0</v>
      </c>
      <c r="BQ210" s="77">
        <f t="shared" si="20"/>
        <v>0</v>
      </c>
      <c r="BS210" s="81" t="str">
        <f>IF(Data_NaamPersoonVastOntslag187="","",Data_NaamPersoonVastOntslag187)</f>
        <v/>
      </c>
      <c r="BV210" s="83" t="str">
        <f>IF(Data_BeeindigingsdatumVastOntslag187="","",Data_BeeindigingsdatumVastOntslag187)</f>
        <v/>
      </c>
      <c r="BY210" s="82" t="str">
        <f>IF(Data_LoonkostenVastOntslag187="","",Data_LoonkostenVastOntslag187)</f>
        <v/>
      </c>
      <c r="CA210" s="76" t="str">
        <f>IF(Data_PersoonAanUitVastOntslag187=-1,"v","")</f>
        <v/>
      </c>
      <c r="CB210" s="41"/>
      <c r="CC210" s="76" t="s">
        <v>160</v>
      </c>
      <c r="CD210" s="41"/>
      <c r="CE210" s="41"/>
      <c r="CF210" s="41"/>
      <c r="CG210" s="41"/>
      <c r="CH210" s="41">
        <f t="shared" si="23"/>
        <v>0</v>
      </c>
      <c r="CI210" s="41">
        <f t="shared" si="21"/>
        <v>0</v>
      </c>
    </row>
    <row r="211" spans="8:87" x14ac:dyDescent="0.25">
      <c r="H211" s="81" t="str">
        <f>IF(Data_NaamPersoonNatVerloop188="","",Data_NaamPersoonNatVerloop188)</f>
        <v/>
      </c>
      <c r="I211" s="41"/>
      <c r="J211" s="41"/>
      <c r="K211" s="83" t="str">
        <f>IF(Data_BeeindigingsdatumNatVerloop188="","",Data_BeeindigingsdatumNatVerloop188)</f>
        <v/>
      </c>
      <c r="L211" s="41"/>
      <c r="M211" s="41"/>
      <c r="N211" s="82" t="str">
        <f>IF(Data_LoonkostenNatVerloop188="","",Data_LoonkostenNatVerloop188)</f>
        <v/>
      </c>
      <c r="O211" s="41"/>
      <c r="P211" s="276" t="s">
        <v>160</v>
      </c>
      <c r="Q211" s="41"/>
      <c r="R211" s="76" t="s">
        <v>160</v>
      </c>
      <c r="S211" s="41"/>
      <c r="T211" s="41"/>
      <c r="U211" s="41"/>
      <c r="V211" s="41"/>
      <c r="W211" s="41">
        <f t="shared" si="16"/>
        <v>0</v>
      </c>
      <c r="X211" s="77" t="str">
        <f t="shared" si="22"/>
        <v/>
      </c>
      <c r="AG211" s="81" t="str">
        <f>IF(Data_NaamPersoonTijd188="","",Data_NaamPersoonTijd188)</f>
        <v/>
      </c>
      <c r="AH211" s="41"/>
      <c r="AI211" s="41"/>
      <c r="AJ211" s="83" t="str">
        <f>IF(Data_BeeindigingsdatumTijd188="","",Data_BeeindigingsdatumTijd188)</f>
        <v/>
      </c>
      <c r="AK211" s="41"/>
      <c r="AL211" s="41"/>
      <c r="AM211" s="82" t="str">
        <f>IF(Data_LoonkostenTijd188="","",Data_LoonkostenTijd188)</f>
        <v/>
      </c>
      <c r="AN211" s="41"/>
      <c r="AO211" s="276" t="str">
        <f>IF(Data_PersoonAanUitTijd188=-1,"v","")</f>
        <v/>
      </c>
      <c r="AP211" s="41"/>
      <c r="AQ211" s="76" t="s">
        <v>160</v>
      </c>
      <c r="AR211" s="41"/>
      <c r="AS211" s="41"/>
      <c r="AT211" s="41"/>
      <c r="AU211" s="41"/>
      <c r="AV211" s="41">
        <f t="shared" si="17"/>
        <v>0</v>
      </c>
      <c r="AW211" s="77">
        <f t="shared" si="18"/>
        <v>0</v>
      </c>
      <c r="AX211" s="41"/>
      <c r="AY211" s="41"/>
      <c r="AZ211" s="41"/>
      <c r="BA211" s="81" t="str">
        <f>IF(Data_NaamPersoonVastVrij188="","",Data_NaamPersoonVastVrij188)</f>
        <v/>
      </c>
      <c r="BB211" s="41"/>
      <c r="BC211" s="41"/>
      <c r="BD211" s="83" t="str">
        <f>IF(Data_BeeindigingsdatumVastVrij188="","",Data_BeeindigingsdatumVastVrij188)</f>
        <v/>
      </c>
      <c r="BE211" s="41"/>
      <c r="BF211" s="41"/>
      <c r="BG211" s="82" t="str">
        <f>IF(Data_LoonkostenVastVrij188="","",Data_LoonkostenVastVrij188)</f>
        <v/>
      </c>
      <c r="BH211" s="41"/>
      <c r="BI211" s="76" t="str">
        <f>IF(Data_PersoonAanUitVastVrij188=-1,"v","")</f>
        <v/>
      </c>
      <c r="BJ211" s="41"/>
      <c r="BK211" s="76" t="s">
        <v>160</v>
      </c>
      <c r="BL211" s="41"/>
      <c r="BM211" s="41"/>
      <c r="BN211" s="41"/>
      <c r="BO211" s="41"/>
      <c r="BP211" s="41">
        <f t="shared" si="19"/>
        <v>0</v>
      </c>
      <c r="BQ211" s="77">
        <f t="shared" si="20"/>
        <v>0</v>
      </c>
      <c r="BS211" s="81" t="str">
        <f>IF(Data_NaamPersoonVastOntslag188="","",Data_NaamPersoonVastOntslag188)</f>
        <v/>
      </c>
      <c r="BV211" s="83" t="str">
        <f>IF(Data_BeeindigingsdatumVastOntslag188="","",Data_BeeindigingsdatumVastOntslag188)</f>
        <v/>
      </c>
      <c r="BY211" s="82" t="str">
        <f>IF(Data_LoonkostenVastOntslag188="","",Data_LoonkostenVastOntslag188)</f>
        <v/>
      </c>
      <c r="CA211" s="76" t="str">
        <f>IF(Data_PersoonAanUitVastOntslag188=-1,"v","")</f>
        <v/>
      </c>
      <c r="CB211" s="41"/>
      <c r="CC211" s="76" t="s">
        <v>160</v>
      </c>
      <c r="CD211" s="41"/>
      <c r="CE211" s="41"/>
      <c r="CF211" s="41"/>
      <c r="CG211" s="41"/>
      <c r="CH211" s="41">
        <f t="shared" si="23"/>
        <v>0</v>
      </c>
      <c r="CI211" s="41">
        <f t="shared" si="21"/>
        <v>0</v>
      </c>
    </row>
    <row r="212" spans="8:87" x14ac:dyDescent="0.25">
      <c r="H212" s="81" t="str">
        <f>IF(Data_NaamPersoonNatVerloop189="","",Data_NaamPersoonNatVerloop189)</f>
        <v/>
      </c>
      <c r="I212" s="41"/>
      <c r="J212" s="41"/>
      <c r="K212" s="83" t="str">
        <f>IF(Data_BeeindigingsdatumNatVerloop189="","",Data_BeeindigingsdatumNatVerloop189)</f>
        <v/>
      </c>
      <c r="L212" s="41"/>
      <c r="M212" s="41"/>
      <c r="N212" s="82" t="str">
        <f>IF(Data_LoonkostenNatVerloop189="","",Data_LoonkostenNatVerloop189)</f>
        <v/>
      </c>
      <c r="O212" s="41"/>
      <c r="P212" s="276" t="s">
        <v>160</v>
      </c>
      <c r="Q212" s="41"/>
      <c r="R212" s="76" t="s">
        <v>160</v>
      </c>
      <c r="S212" s="41"/>
      <c r="T212" s="41"/>
      <c r="U212" s="41"/>
      <c r="V212" s="41"/>
      <c r="W212" s="41">
        <f t="shared" si="16"/>
        <v>0</v>
      </c>
      <c r="X212" s="77" t="str">
        <f t="shared" si="22"/>
        <v/>
      </c>
      <c r="AG212" s="81" t="str">
        <f>IF(Data_NaamPersoonTijd189="","",Data_NaamPersoonTijd189)</f>
        <v/>
      </c>
      <c r="AH212" s="41"/>
      <c r="AI212" s="41"/>
      <c r="AJ212" s="83" t="str">
        <f>IF(Data_BeeindigingsdatumTijd189="","",Data_BeeindigingsdatumTijd189)</f>
        <v/>
      </c>
      <c r="AK212" s="41"/>
      <c r="AL212" s="41"/>
      <c r="AM212" s="82" t="str">
        <f>IF(Data_LoonkostenTijd189="","",Data_LoonkostenTijd189)</f>
        <v/>
      </c>
      <c r="AN212" s="41"/>
      <c r="AO212" s="276" t="str">
        <f>IF(Data_PersoonAanUitTijd189=-1,"v","")</f>
        <v/>
      </c>
      <c r="AP212" s="41"/>
      <c r="AQ212" s="76" t="s">
        <v>160</v>
      </c>
      <c r="AR212" s="41"/>
      <c r="AS212" s="41"/>
      <c r="AT212" s="41"/>
      <c r="AU212" s="41"/>
      <c r="AV212" s="41">
        <f t="shared" si="17"/>
        <v>0</v>
      </c>
      <c r="AW212" s="77">
        <f t="shared" si="18"/>
        <v>0</v>
      </c>
      <c r="AX212" s="41"/>
      <c r="AY212" s="41"/>
      <c r="AZ212" s="41"/>
      <c r="BA212" s="81" t="str">
        <f>IF(Data_NaamPersoonVastVrij189="","",Data_NaamPersoonVastVrij189)</f>
        <v/>
      </c>
      <c r="BB212" s="41"/>
      <c r="BC212" s="41"/>
      <c r="BD212" s="83" t="str">
        <f>IF(Data_BeeindigingsdatumVastVrij189="","",Data_BeeindigingsdatumVastVrij189)</f>
        <v/>
      </c>
      <c r="BE212" s="41"/>
      <c r="BF212" s="41"/>
      <c r="BG212" s="82" t="str">
        <f>IF(Data_LoonkostenVastVrij189="","",Data_LoonkostenVastVrij189)</f>
        <v/>
      </c>
      <c r="BH212" s="41"/>
      <c r="BI212" s="76" t="str">
        <f>IF(Data_PersoonAanUitVastVrij189=-1,"v","")</f>
        <v/>
      </c>
      <c r="BJ212" s="41"/>
      <c r="BK212" s="76" t="s">
        <v>160</v>
      </c>
      <c r="BL212" s="41"/>
      <c r="BM212" s="41"/>
      <c r="BN212" s="41"/>
      <c r="BO212" s="41"/>
      <c r="BP212" s="41">
        <f t="shared" si="19"/>
        <v>0</v>
      </c>
      <c r="BQ212" s="77">
        <f t="shared" si="20"/>
        <v>0</v>
      </c>
      <c r="BS212" s="81" t="str">
        <f>IF(Data_NaamPersoonVastOntslag189="","",Data_NaamPersoonVastOntslag189)</f>
        <v/>
      </c>
      <c r="BV212" s="83" t="str">
        <f>IF(Data_BeeindigingsdatumVastOntslag189="","",Data_BeeindigingsdatumVastOntslag189)</f>
        <v/>
      </c>
      <c r="BY212" s="82" t="str">
        <f>IF(Data_LoonkostenVastOntslag189="","",Data_LoonkostenVastOntslag189)</f>
        <v/>
      </c>
      <c r="CA212" s="76" t="str">
        <f>IF(Data_PersoonAanUitVastOntslag189=-1,"v","")</f>
        <v/>
      </c>
      <c r="CB212" s="41"/>
      <c r="CC212" s="76" t="s">
        <v>160</v>
      </c>
      <c r="CD212" s="41"/>
      <c r="CE212" s="41"/>
      <c r="CF212" s="41"/>
      <c r="CG212" s="41"/>
      <c r="CH212" s="41">
        <f t="shared" si="23"/>
        <v>0</v>
      </c>
      <c r="CI212" s="41">
        <f t="shared" si="21"/>
        <v>0</v>
      </c>
    </row>
    <row r="213" spans="8:87" x14ac:dyDescent="0.25">
      <c r="H213" s="81" t="str">
        <f>IF(Data_NaamPersoonNatVerloop190="","",Data_NaamPersoonNatVerloop190)</f>
        <v/>
      </c>
      <c r="I213" s="41"/>
      <c r="J213" s="41"/>
      <c r="K213" s="83" t="str">
        <f>IF(Data_BeeindigingsdatumNatVerloop190="","",Data_BeeindigingsdatumNatVerloop190)</f>
        <v/>
      </c>
      <c r="L213" s="41"/>
      <c r="M213" s="41"/>
      <c r="N213" s="82" t="str">
        <f>IF(Data_LoonkostenNatVerloop190="","",Data_LoonkostenNatVerloop190)</f>
        <v/>
      </c>
      <c r="O213" s="41"/>
      <c r="P213" s="276" t="s">
        <v>160</v>
      </c>
      <c r="Q213" s="41"/>
      <c r="R213" s="76" t="s">
        <v>160</v>
      </c>
      <c r="S213" s="41"/>
      <c r="T213" s="41"/>
      <c r="U213" s="41"/>
      <c r="V213" s="41"/>
      <c r="W213" s="41">
        <f t="shared" si="16"/>
        <v>0</v>
      </c>
      <c r="X213" s="77" t="str">
        <f t="shared" si="22"/>
        <v/>
      </c>
      <c r="AG213" s="81" t="str">
        <f>IF(Data_NaamPersoonTijd190="","",Data_NaamPersoonTijd190)</f>
        <v/>
      </c>
      <c r="AH213" s="41"/>
      <c r="AI213" s="41"/>
      <c r="AJ213" s="83" t="str">
        <f>IF(Data_BeeindigingsdatumTijd190="","",Data_BeeindigingsdatumTijd190)</f>
        <v/>
      </c>
      <c r="AK213" s="41"/>
      <c r="AL213" s="41"/>
      <c r="AM213" s="82" t="str">
        <f>IF(Data_LoonkostenTijd190="","",Data_LoonkostenTijd190)</f>
        <v/>
      </c>
      <c r="AN213" s="41"/>
      <c r="AO213" s="276" t="str">
        <f>IF(Data_PersoonAanUitTijd190=-1,"v","")</f>
        <v/>
      </c>
      <c r="AP213" s="41"/>
      <c r="AQ213" s="76" t="s">
        <v>160</v>
      </c>
      <c r="AR213" s="41"/>
      <c r="AS213" s="41"/>
      <c r="AT213" s="41"/>
      <c r="AU213" s="41"/>
      <c r="AV213" s="41">
        <f t="shared" si="17"/>
        <v>0</v>
      </c>
      <c r="AW213" s="77">
        <f t="shared" si="18"/>
        <v>0</v>
      </c>
      <c r="AX213" s="41"/>
      <c r="AY213" s="41"/>
      <c r="AZ213" s="41"/>
      <c r="BA213" s="81" t="str">
        <f>IF(Data_NaamPersoonVastVrij190="","",Data_NaamPersoonVastVrij190)</f>
        <v/>
      </c>
      <c r="BB213" s="41"/>
      <c r="BC213" s="41"/>
      <c r="BD213" s="83" t="str">
        <f>IF(Data_BeeindigingsdatumVastVrij190="","",Data_BeeindigingsdatumVastVrij190)</f>
        <v/>
      </c>
      <c r="BE213" s="41"/>
      <c r="BF213" s="41"/>
      <c r="BG213" s="82" t="str">
        <f>IF(Data_LoonkostenVastVrij190="","",Data_LoonkostenVastVrij190)</f>
        <v/>
      </c>
      <c r="BH213" s="41"/>
      <c r="BI213" s="76" t="str">
        <f>IF(Data_PersoonAanUitVastVrij190=-1,"v","")</f>
        <v/>
      </c>
      <c r="BJ213" s="41"/>
      <c r="BK213" s="76" t="s">
        <v>160</v>
      </c>
      <c r="BL213" s="41"/>
      <c r="BM213" s="41"/>
      <c r="BN213" s="41"/>
      <c r="BO213" s="41"/>
      <c r="BP213" s="41">
        <f t="shared" si="19"/>
        <v>0</v>
      </c>
      <c r="BQ213" s="77">
        <f t="shared" si="20"/>
        <v>0</v>
      </c>
      <c r="BS213" s="81" t="str">
        <f>IF(Data_NaamPersoonVastOntslag190="","",Data_NaamPersoonVastOntslag190)</f>
        <v/>
      </c>
      <c r="BV213" s="83" t="str">
        <f>IF(Data_BeeindigingsdatumVastOntslag190="","",Data_BeeindigingsdatumVastOntslag190)</f>
        <v/>
      </c>
      <c r="BY213" s="82" t="str">
        <f>IF(Data_LoonkostenVastOntslag190="","",Data_LoonkostenVastOntslag190)</f>
        <v/>
      </c>
      <c r="CA213" s="76" t="str">
        <f>IF(Data_PersoonAanUitVastOntslag190=-1,"v","")</f>
        <v/>
      </c>
      <c r="CB213" s="41"/>
      <c r="CC213" s="76" t="s">
        <v>160</v>
      </c>
      <c r="CD213" s="41"/>
      <c r="CE213" s="41"/>
      <c r="CF213" s="41"/>
      <c r="CG213" s="41"/>
      <c r="CH213" s="41">
        <f t="shared" si="23"/>
        <v>0</v>
      </c>
      <c r="CI213" s="41">
        <f t="shared" si="21"/>
        <v>0</v>
      </c>
    </row>
    <row r="214" spans="8:87" x14ac:dyDescent="0.25">
      <c r="H214" s="81" t="str">
        <f>IF(Data_NaamPersoonNatVerloop191="","",Data_NaamPersoonNatVerloop191)</f>
        <v/>
      </c>
      <c r="I214" s="41"/>
      <c r="J214" s="41"/>
      <c r="K214" s="83" t="str">
        <f>IF(Data_BeeindigingsdatumNatVerloop191="","",Data_BeeindigingsdatumNatVerloop191)</f>
        <v/>
      </c>
      <c r="L214" s="41"/>
      <c r="M214" s="41"/>
      <c r="N214" s="82" t="str">
        <f>IF(Data_LoonkostenNatVerloop191="","",Data_LoonkostenNatVerloop191)</f>
        <v/>
      </c>
      <c r="O214" s="41"/>
      <c r="P214" s="276" t="s">
        <v>160</v>
      </c>
      <c r="Q214" s="41"/>
      <c r="R214" s="76" t="s">
        <v>160</v>
      </c>
      <c r="S214" s="41"/>
      <c r="T214" s="41"/>
      <c r="U214" s="41"/>
      <c r="V214" s="41"/>
      <c r="W214" s="41">
        <f t="shared" si="16"/>
        <v>0</v>
      </c>
      <c r="X214" s="77" t="str">
        <f t="shared" si="22"/>
        <v/>
      </c>
      <c r="AG214" s="81" t="str">
        <f>IF(Data_NaamPersoonTijd191="","",Data_NaamPersoonTijd191)</f>
        <v/>
      </c>
      <c r="AH214" s="41"/>
      <c r="AI214" s="41"/>
      <c r="AJ214" s="83" t="str">
        <f>IF(Data_BeeindigingsdatumTijd191="","",Data_BeeindigingsdatumTijd191)</f>
        <v/>
      </c>
      <c r="AK214" s="41"/>
      <c r="AL214" s="41"/>
      <c r="AM214" s="82" t="str">
        <f>IF(Data_LoonkostenTijd191="","",Data_LoonkostenTijd191)</f>
        <v/>
      </c>
      <c r="AN214" s="41"/>
      <c r="AO214" s="276" t="str">
        <f>IF(Data_PersoonAanUitTijd191=-1,"v","")</f>
        <v/>
      </c>
      <c r="AP214" s="41"/>
      <c r="AQ214" s="76" t="s">
        <v>160</v>
      </c>
      <c r="AR214" s="41"/>
      <c r="AS214" s="41"/>
      <c r="AT214" s="41"/>
      <c r="AU214" s="41"/>
      <c r="AV214" s="41">
        <f t="shared" si="17"/>
        <v>0</v>
      </c>
      <c r="AW214" s="77">
        <f t="shared" si="18"/>
        <v>0</v>
      </c>
      <c r="AX214" s="41"/>
      <c r="AY214" s="41"/>
      <c r="AZ214" s="41"/>
      <c r="BA214" s="81" t="str">
        <f>IF(Data_NaamPersoonVastVrij191="","",Data_NaamPersoonVastVrij191)</f>
        <v/>
      </c>
      <c r="BB214" s="41"/>
      <c r="BC214" s="41"/>
      <c r="BD214" s="83" t="str">
        <f>IF(Data_BeeindigingsdatumVastVrij191="","",Data_BeeindigingsdatumVastVrij191)</f>
        <v/>
      </c>
      <c r="BE214" s="41"/>
      <c r="BF214" s="41"/>
      <c r="BG214" s="82" t="str">
        <f>IF(Data_LoonkostenVastVrij191="","",Data_LoonkostenVastVrij191)</f>
        <v/>
      </c>
      <c r="BH214" s="41"/>
      <c r="BI214" s="76" t="str">
        <f>IF(Data_PersoonAanUitVastVrij191=-1,"v","")</f>
        <v/>
      </c>
      <c r="BJ214" s="41"/>
      <c r="BK214" s="76" t="s">
        <v>160</v>
      </c>
      <c r="BL214" s="41"/>
      <c r="BM214" s="41"/>
      <c r="BN214" s="41"/>
      <c r="BO214" s="41"/>
      <c r="BP214" s="41">
        <f t="shared" si="19"/>
        <v>0</v>
      </c>
      <c r="BQ214" s="77">
        <f t="shared" si="20"/>
        <v>0</v>
      </c>
      <c r="BS214" s="81" t="str">
        <f>IF(Data_NaamPersoonVastOntslag191="","",Data_NaamPersoonVastOntslag191)</f>
        <v/>
      </c>
      <c r="BV214" s="83" t="str">
        <f>IF(Data_BeeindigingsdatumVastOntslag191="","",Data_BeeindigingsdatumVastOntslag191)</f>
        <v/>
      </c>
      <c r="BY214" s="82" t="str">
        <f>IF(Data_LoonkostenVastOntslag191="","",Data_LoonkostenVastOntslag191)</f>
        <v/>
      </c>
      <c r="CA214" s="76" t="str">
        <f>IF(Data_PersoonAanUitVastOntslag191=-1,"v","")</f>
        <v/>
      </c>
      <c r="CB214" s="41"/>
      <c r="CC214" s="76" t="s">
        <v>160</v>
      </c>
      <c r="CD214" s="41"/>
      <c r="CE214" s="41"/>
      <c r="CF214" s="41"/>
      <c r="CG214" s="41"/>
      <c r="CH214" s="41">
        <f t="shared" si="23"/>
        <v>0</v>
      </c>
      <c r="CI214" s="41">
        <f t="shared" si="21"/>
        <v>0</v>
      </c>
    </row>
    <row r="215" spans="8:87" x14ac:dyDescent="0.25">
      <c r="H215" s="81" t="str">
        <f>IF(Data_NaamPersoonNatVerloop192="","",Data_NaamPersoonNatVerloop192)</f>
        <v/>
      </c>
      <c r="I215" s="41"/>
      <c r="J215" s="41"/>
      <c r="K215" s="83" t="str">
        <f>IF(Data_BeeindigingsdatumNatVerloop192="","",Data_BeeindigingsdatumNatVerloop192)</f>
        <v/>
      </c>
      <c r="L215" s="41"/>
      <c r="M215" s="41"/>
      <c r="N215" s="82" t="str">
        <f>IF(Data_LoonkostenNatVerloop192="","",Data_LoonkostenNatVerloop192)</f>
        <v/>
      </c>
      <c r="O215" s="41"/>
      <c r="P215" s="276" t="s">
        <v>160</v>
      </c>
      <c r="Q215" s="41"/>
      <c r="R215" s="76" t="s">
        <v>160</v>
      </c>
      <c r="S215" s="41"/>
      <c r="T215" s="41"/>
      <c r="U215" s="41"/>
      <c r="V215" s="41"/>
      <c r="W215" s="41">
        <f t="shared" si="16"/>
        <v>0</v>
      </c>
      <c r="X215" s="77" t="str">
        <f t="shared" si="22"/>
        <v/>
      </c>
      <c r="AG215" s="81" t="str">
        <f>IF(Data_NaamPersoonTijd192="","",Data_NaamPersoonTijd192)</f>
        <v/>
      </c>
      <c r="AH215" s="41"/>
      <c r="AI215" s="41"/>
      <c r="AJ215" s="83" t="str">
        <f>IF(Data_BeeindigingsdatumTijd192="","",Data_BeeindigingsdatumTijd192)</f>
        <v/>
      </c>
      <c r="AK215" s="41"/>
      <c r="AL215" s="41"/>
      <c r="AM215" s="82" t="str">
        <f>IF(Data_LoonkostenTijd192="","",Data_LoonkostenTijd192)</f>
        <v/>
      </c>
      <c r="AN215" s="41"/>
      <c r="AO215" s="276" t="str">
        <f>IF(Data_PersoonAanUitTijd192=-1,"v","")</f>
        <v/>
      </c>
      <c r="AP215" s="41"/>
      <c r="AQ215" s="76" t="s">
        <v>160</v>
      </c>
      <c r="AR215" s="41"/>
      <c r="AS215" s="41"/>
      <c r="AT215" s="41"/>
      <c r="AU215" s="41"/>
      <c r="AV215" s="41">
        <f t="shared" si="17"/>
        <v>0</v>
      </c>
      <c r="AW215" s="77">
        <f t="shared" si="18"/>
        <v>0</v>
      </c>
      <c r="AX215" s="41"/>
      <c r="AY215" s="41"/>
      <c r="AZ215" s="41"/>
      <c r="BA215" s="81" t="str">
        <f>IF(Data_NaamPersoonVastVrij192="","",Data_NaamPersoonVastVrij192)</f>
        <v/>
      </c>
      <c r="BB215" s="41"/>
      <c r="BC215" s="41"/>
      <c r="BD215" s="83" t="str">
        <f>IF(Data_BeeindigingsdatumVastVrij192="","",Data_BeeindigingsdatumVastVrij192)</f>
        <v/>
      </c>
      <c r="BE215" s="41"/>
      <c r="BF215" s="41"/>
      <c r="BG215" s="82" t="str">
        <f>IF(Data_LoonkostenVastVrij192="","",Data_LoonkostenVastVrij192)</f>
        <v/>
      </c>
      <c r="BH215" s="41"/>
      <c r="BI215" s="76" t="str">
        <f>IF(Data_PersoonAanUitVastVrij192=-1,"v","")</f>
        <v/>
      </c>
      <c r="BJ215" s="41"/>
      <c r="BK215" s="76" t="s">
        <v>160</v>
      </c>
      <c r="BL215" s="41"/>
      <c r="BM215" s="41"/>
      <c r="BN215" s="41"/>
      <c r="BO215" s="41"/>
      <c r="BP215" s="41">
        <f t="shared" si="19"/>
        <v>0</v>
      </c>
      <c r="BQ215" s="77">
        <f t="shared" si="20"/>
        <v>0</v>
      </c>
      <c r="BS215" s="81" t="str">
        <f>IF(Data_NaamPersoonVastOntslag192="","",Data_NaamPersoonVastOntslag192)</f>
        <v/>
      </c>
      <c r="BV215" s="83" t="str">
        <f>IF(Data_BeeindigingsdatumVastOntslag192="","",Data_BeeindigingsdatumVastOntslag192)</f>
        <v/>
      </c>
      <c r="BY215" s="82" t="str">
        <f>IF(Data_LoonkostenVastOntslag192="","",Data_LoonkostenVastOntslag192)</f>
        <v/>
      </c>
      <c r="CA215" s="76" t="str">
        <f>IF(Data_PersoonAanUitVastOntslag192=-1,"v","")</f>
        <v/>
      </c>
      <c r="CB215" s="41"/>
      <c r="CC215" s="76" t="s">
        <v>160</v>
      </c>
      <c r="CD215" s="41"/>
      <c r="CE215" s="41"/>
      <c r="CF215" s="41"/>
      <c r="CG215" s="41"/>
      <c r="CH215" s="41">
        <f t="shared" si="23"/>
        <v>0</v>
      </c>
      <c r="CI215" s="41">
        <f t="shared" si="21"/>
        <v>0</v>
      </c>
    </row>
    <row r="216" spans="8:87" x14ac:dyDescent="0.25">
      <c r="H216" s="81" t="str">
        <f>IF(Data_NaamPersoonNatVerloop193="","",Data_NaamPersoonNatVerloop193)</f>
        <v/>
      </c>
      <c r="I216" s="41"/>
      <c r="J216" s="41"/>
      <c r="K216" s="83" t="str">
        <f>IF(Data_BeeindigingsdatumNatVerloop193="","",Data_BeeindigingsdatumNatVerloop193)</f>
        <v/>
      </c>
      <c r="L216" s="41"/>
      <c r="M216" s="41"/>
      <c r="N216" s="82" t="str">
        <f>IF(Data_LoonkostenNatVerloop193="","",Data_LoonkostenNatVerloop193)</f>
        <v/>
      </c>
      <c r="O216" s="41"/>
      <c r="P216" s="276" t="s">
        <v>160</v>
      </c>
      <c r="Q216" s="41"/>
      <c r="R216" s="76" t="s">
        <v>160</v>
      </c>
      <c r="S216" s="41"/>
      <c r="T216" s="41"/>
      <c r="U216" s="41"/>
      <c r="V216" s="41"/>
      <c r="W216" s="41">
        <f t="shared" ref="W216:W279" si="24">IF($AO216="v",M216,T216)</f>
        <v>0</v>
      </c>
      <c r="X216" s="77" t="str">
        <f t="shared" si="22"/>
        <v/>
      </c>
      <c r="AG216" s="81" t="str">
        <f>IF(Data_NaamPersoonTijd193="","",Data_NaamPersoonTijd193)</f>
        <v/>
      </c>
      <c r="AH216" s="41"/>
      <c r="AI216" s="41"/>
      <c r="AJ216" s="83" t="str">
        <f>IF(Data_BeeindigingsdatumTijd193="","",Data_BeeindigingsdatumTijd193)</f>
        <v/>
      </c>
      <c r="AK216" s="41"/>
      <c r="AL216" s="41"/>
      <c r="AM216" s="82" t="str">
        <f>IF(Data_LoonkostenTijd193="","",Data_LoonkostenTijd193)</f>
        <v/>
      </c>
      <c r="AN216" s="41"/>
      <c r="AO216" s="276" t="str">
        <f>IF(Data_PersoonAanUitTijd193=-1,"v","")</f>
        <v/>
      </c>
      <c r="AP216" s="41"/>
      <c r="AQ216" s="76" t="s">
        <v>160</v>
      </c>
      <c r="AR216" s="41"/>
      <c r="AS216" s="41"/>
      <c r="AT216" s="41"/>
      <c r="AU216" s="41"/>
      <c r="AV216" s="41">
        <f t="shared" ref="AV216:AV279" si="25">IF($AO216="v",AL216,AS216)</f>
        <v>0</v>
      </c>
      <c r="AW216" s="77">
        <f t="shared" ref="AW216:AW279" si="26">IF(AND($AO216="v",$AQ216="v"),AM216,IF(AND($AO216="v",$AQ216&lt;&gt;"v"),AT216,0))</f>
        <v>0</v>
      </c>
      <c r="AX216" s="41"/>
      <c r="AY216" s="41"/>
      <c r="AZ216" s="41"/>
      <c r="BA216" s="81" t="str">
        <f>IF(Data_NaamPersoonVastVrij193="","",Data_NaamPersoonVastVrij193)</f>
        <v/>
      </c>
      <c r="BB216" s="41"/>
      <c r="BC216" s="41"/>
      <c r="BD216" s="83" t="str">
        <f>IF(Data_BeeindigingsdatumVastVrij193="","",Data_BeeindigingsdatumVastVrij193)</f>
        <v/>
      </c>
      <c r="BE216" s="41"/>
      <c r="BF216" s="41"/>
      <c r="BG216" s="82" t="str">
        <f>IF(Data_LoonkostenVastVrij193="","",Data_LoonkostenVastVrij193)</f>
        <v/>
      </c>
      <c r="BH216" s="41"/>
      <c r="BI216" s="76" t="str">
        <f>IF(Data_PersoonAanUitVastVrij193=-1,"v","")</f>
        <v/>
      </c>
      <c r="BJ216" s="41"/>
      <c r="BK216" s="76" t="s">
        <v>160</v>
      </c>
      <c r="BL216" s="41"/>
      <c r="BM216" s="41"/>
      <c r="BN216" s="41"/>
      <c r="BO216" s="41"/>
      <c r="BP216" s="41">
        <f t="shared" ref="BP216:BP279" si="27">IF($BI216="v",BF216,BM216)</f>
        <v>0</v>
      </c>
      <c r="BQ216" s="77">
        <f t="shared" ref="BQ216:BQ279" si="28">IF(AND($BI216="v",$BK216="v"),BG216,IF(AND($BI216="v",$BK216&lt;&gt;"v"),BN216,0))</f>
        <v>0</v>
      </c>
      <c r="BS216" s="81" t="str">
        <f>IF(Data_NaamPersoonVastOntslag193="","",Data_NaamPersoonVastOntslag193)</f>
        <v/>
      </c>
      <c r="BV216" s="83" t="str">
        <f>IF(Data_BeeindigingsdatumVastOntslag193="","",Data_BeeindigingsdatumVastOntslag193)</f>
        <v/>
      </c>
      <c r="BY216" s="82" t="str">
        <f>IF(Data_LoonkostenVastOntslag193="","",Data_LoonkostenVastOntslag193)</f>
        <v/>
      </c>
      <c r="CA216" s="76" t="str">
        <f>IF(Data_PersoonAanUitVastOntslag193=-1,"v","")</f>
        <v/>
      </c>
      <c r="CB216" s="41"/>
      <c r="CC216" s="76" t="s">
        <v>160</v>
      </c>
      <c r="CD216" s="41"/>
      <c r="CE216" s="41"/>
      <c r="CF216" s="41"/>
      <c r="CG216" s="41"/>
      <c r="CH216" s="41">
        <f t="shared" si="23"/>
        <v>0</v>
      </c>
      <c r="CI216" s="41">
        <f t="shared" ref="CI216:CI279" si="29">IF(AND($CA216="v",$CC216="v"),BY216,IF(AND($CA216="v",$CC216&lt;&gt;"v"),CF215,0))</f>
        <v>0</v>
      </c>
    </row>
    <row r="217" spans="8:87" x14ac:dyDescent="0.25">
      <c r="H217" s="81" t="str">
        <f>IF(Data_NaamPersoonNatVerloop194="","",Data_NaamPersoonNatVerloop194)</f>
        <v/>
      </c>
      <c r="I217" s="41"/>
      <c r="J217" s="41"/>
      <c r="K217" s="83" t="str">
        <f>IF(Data_BeeindigingsdatumNatVerloop194="","",Data_BeeindigingsdatumNatVerloop194)</f>
        <v/>
      </c>
      <c r="L217" s="41"/>
      <c r="M217" s="41"/>
      <c r="N217" s="82" t="str">
        <f>IF(Data_LoonkostenNatVerloop194="","",Data_LoonkostenNatVerloop194)</f>
        <v/>
      </c>
      <c r="O217" s="41"/>
      <c r="P217" s="276" t="s">
        <v>160</v>
      </c>
      <c r="Q217" s="41"/>
      <c r="R217" s="76" t="s">
        <v>160</v>
      </c>
      <c r="S217" s="41"/>
      <c r="T217" s="41"/>
      <c r="U217" s="41"/>
      <c r="V217" s="41"/>
      <c r="W217" s="41">
        <f t="shared" si="24"/>
        <v>0</v>
      </c>
      <c r="X217" s="77" t="str">
        <f t="shared" ref="X217:X280" si="30">IF(AND($P217="v",$R217="v"),N217,IF(AND($P217="v",$R217&lt;&gt;"v"),U217,0))</f>
        <v/>
      </c>
      <c r="AG217" s="81" t="str">
        <f>IF(Data_NaamPersoonTijd194="","",Data_NaamPersoonTijd194)</f>
        <v/>
      </c>
      <c r="AH217" s="41"/>
      <c r="AI217" s="41"/>
      <c r="AJ217" s="83" t="str">
        <f>IF(Data_BeeindigingsdatumTijd194="","",Data_BeeindigingsdatumTijd194)</f>
        <v/>
      </c>
      <c r="AK217" s="41"/>
      <c r="AL217" s="41"/>
      <c r="AM217" s="82" t="str">
        <f>IF(Data_LoonkostenTijd194="","",Data_LoonkostenTijd194)</f>
        <v/>
      </c>
      <c r="AN217" s="41"/>
      <c r="AO217" s="276" t="str">
        <f>IF(Data_PersoonAanUitTijd194=-1,"v","")</f>
        <v/>
      </c>
      <c r="AP217" s="41"/>
      <c r="AQ217" s="76" t="s">
        <v>160</v>
      </c>
      <c r="AR217" s="41"/>
      <c r="AS217" s="41"/>
      <c r="AT217" s="41"/>
      <c r="AU217" s="41"/>
      <c r="AV217" s="41">
        <f t="shared" si="25"/>
        <v>0</v>
      </c>
      <c r="AW217" s="77">
        <f t="shared" si="26"/>
        <v>0</v>
      </c>
      <c r="AX217" s="41"/>
      <c r="AY217" s="41"/>
      <c r="AZ217" s="41"/>
      <c r="BA217" s="81" t="str">
        <f>IF(Data_NaamPersoonVastVrij194="","",Data_NaamPersoonVastVrij194)</f>
        <v/>
      </c>
      <c r="BB217" s="41"/>
      <c r="BC217" s="41"/>
      <c r="BD217" s="83" t="str">
        <f>IF(Data_BeeindigingsdatumVastVrij194="","",Data_BeeindigingsdatumVastVrij194)</f>
        <v/>
      </c>
      <c r="BE217" s="41"/>
      <c r="BF217" s="41"/>
      <c r="BG217" s="82" t="str">
        <f>IF(Data_LoonkostenVastVrij194="","",Data_LoonkostenVastVrij194)</f>
        <v/>
      </c>
      <c r="BH217" s="41"/>
      <c r="BI217" s="76" t="str">
        <f>IF(Data_PersoonAanUitVastVrij194=-1,"v","")</f>
        <v/>
      </c>
      <c r="BJ217" s="41"/>
      <c r="BK217" s="76" t="s">
        <v>160</v>
      </c>
      <c r="BL217" s="41"/>
      <c r="BM217" s="41"/>
      <c r="BN217" s="41"/>
      <c r="BO217" s="41"/>
      <c r="BP217" s="41">
        <f t="shared" si="27"/>
        <v>0</v>
      </c>
      <c r="BQ217" s="77">
        <f t="shared" si="28"/>
        <v>0</v>
      </c>
      <c r="BS217" s="81" t="str">
        <f>IF(Data_NaamPersoonVastOntslag194="","",Data_NaamPersoonVastOntslag194)</f>
        <v/>
      </c>
      <c r="BV217" s="83" t="str">
        <f>IF(Data_BeeindigingsdatumVastOntslag194="","",Data_BeeindigingsdatumVastOntslag194)</f>
        <v/>
      </c>
      <c r="BY217" s="82" t="str">
        <f>IF(Data_LoonkostenVastOntslag194="","",Data_LoonkostenVastOntslag194)</f>
        <v/>
      </c>
      <c r="CA217" s="76" t="str">
        <f>IF(Data_PersoonAanUitVastOntslag194=-1,"v","")</f>
        <v/>
      </c>
      <c r="CB217" s="41"/>
      <c r="CC217" s="76" t="s">
        <v>160</v>
      </c>
      <c r="CD217" s="41"/>
      <c r="CE217" s="41"/>
      <c r="CF217" s="41"/>
      <c r="CG217" s="41"/>
      <c r="CH217" s="41">
        <f t="shared" ref="CH217:CH280" si="31">IF($CA217="v",BX217,CE217)</f>
        <v>0</v>
      </c>
      <c r="CI217" s="41">
        <f t="shared" si="29"/>
        <v>0</v>
      </c>
    </row>
    <row r="218" spans="8:87" x14ac:dyDescent="0.25">
      <c r="H218" s="81" t="str">
        <f>IF(Data_NaamPersoonNatVerloop195="","",Data_NaamPersoonNatVerloop195)</f>
        <v/>
      </c>
      <c r="I218" s="41"/>
      <c r="J218" s="41"/>
      <c r="K218" s="83" t="str">
        <f>IF(Data_BeeindigingsdatumNatVerloop195="","",Data_BeeindigingsdatumNatVerloop195)</f>
        <v/>
      </c>
      <c r="L218" s="41"/>
      <c r="M218" s="41"/>
      <c r="N218" s="82" t="str">
        <f>IF(Data_LoonkostenNatVerloop195="","",Data_LoonkostenNatVerloop195)</f>
        <v/>
      </c>
      <c r="O218" s="41"/>
      <c r="P218" s="276" t="s">
        <v>160</v>
      </c>
      <c r="Q218" s="41"/>
      <c r="R218" s="76" t="s">
        <v>160</v>
      </c>
      <c r="S218" s="41"/>
      <c r="T218" s="41"/>
      <c r="U218" s="41"/>
      <c r="V218" s="41"/>
      <c r="W218" s="41">
        <f t="shared" si="24"/>
        <v>0</v>
      </c>
      <c r="X218" s="77" t="str">
        <f t="shared" si="30"/>
        <v/>
      </c>
      <c r="AG218" s="81" t="str">
        <f>IF(Data_NaamPersoonTijd195="","",Data_NaamPersoonTijd195)</f>
        <v/>
      </c>
      <c r="AH218" s="41"/>
      <c r="AI218" s="41"/>
      <c r="AJ218" s="83" t="str">
        <f>IF(Data_BeeindigingsdatumTijd195="","",Data_BeeindigingsdatumTijd195)</f>
        <v/>
      </c>
      <c r="AK218" s="41"/>
      <c r="AL218" s="41"/>
      <c r="AM218" s="82" t="str">
        <f>IF(Data_LoonkostenTijd195="","",Data_LoonkostenTijd195)</f>
        <v/>
      </c>
      <c r="AN218" s="41"/>
      <c r="AO218" s="276" t="str">
        <f>IF(Data_PersoonAanUitTijd195=-1,"v","")</f>
        <v/>
      </c>
      <c r="AP218" s="41"/>
      <c r="AQ218" s="76" t="s">
        <v>160</v>
      </c>
      <c r="AR218" s="41"/>
      <c r="AS218" s="41"/>
      <c r="AT218" s="41"/>
      <c r="AU218" s="41"/>
      <c r="AV218" s="41">
        <f t="shared" si="25"/>
        <v>0</v>
      </c>
      <c r="AW218" s="77">
        <f t="shared" si="26"/>
        <v>0</v>
      </c>
      <c r="AX218" s="41"/>
      <c r="AY218" s="41"/>
      <c r="AZ218" s="41"/>
      <c r="BA218" s="81" t="str">
        <f>IF(Data_NaamPersoonVastVrij195="","",Data_NaamPersoonVastVrij195)</f>
        <v/>
      </c>
      <c r="BB218" s="41"/>
      <c r="BC218" s="41"/>
      <c r="BD218" s="83" t="str">
        <f>IF(Data_BeeindigingsdatumVastVrij195="","",Data_BeeindigingsdatumVastVrij195)</f>
        <v/>
      </c>
      <c r="BE218" s="41"/>
      <c r="BF218" s="41"/>
      <c r="BG218" s="82" t="str">
        <f>IF(Data_LoonkostenVastVrij195="","",Data_LoonkostenVastVrij195)</f>
        <v/>
      </c>
      <c r="BH218" s="41"/>
      <c r="BI218" s="76" t="str">
        <f>IF(Data_PersoonAanUitVastVrij195=-1,"v","")</f>
        <v/>
      </c>
      <c r="BJ218" s="41"/>
      <c r="BK218" s="76" t="s">
        <v>160</v>
      </c>
      <c r="BL218" s="41"/>
      <c r="BM218" s="41"/>
      <c r="BN218" s="41"/>
      <c r="BO218" s="41"/>
      <c r="BP218" s="41">
        <f t="shared" si="27"/>
        <v>0</v>
      </c>
      <c r="BQ218" s="77">
        <f t="shared" si="28"/>
        <v>0</v>
      </c>
      <c r="BS218" s="81" t="str">
        <f>IF(Data_NaamPersoonVastOntslag195="","",Data_NaamPersoonVastOntslag195)</f>
        <v/>
      </c>
      <c r="BV218" s="83" t="str">
        <f>IF(Data_BeeindigingsdatumVastOntslag195="","",Data_BeeindigingsdatumVastOntslag195)</f>
        <v/>
      </c>
      <c r="BY218" s="82" t="str">
        <f>IF(Data_LoonkostenVastOntslag195="","",Data_LoonkostenVastOntslag195)</f>
        <v/>
      </c>
      <c r="CA218" s="76" t="str">
        <f>IF(Data_PersoonAanUitVastOntslag195=-1,"v","")</f>
        <v/>
      </c>
      <c r="CB218" s="41"/>
      <c r="CC218" s="76" t="s">
        <v>160</v>
      </c>
      <c r="CD218" s="41"/>
      <c r="CE218" s="41"/>
      <c r="CF218" s="41"/>
      <c r="CG218" s="41"/>
      <c r="CH218" s="41">
        <f t="shared" si="31"/>
        <v>0</v>
      </c>
      <c r="CI218" s="41">
        <f t="shared" si="29"/>
        <v>0</v>
      </c>
    </row>
    <row r="219" spans="8:87" x14ac:dyDescent="0.25">
      <c r="H219" s="81" t="str">
        <f>IF(Data_NaamPersoonNatVerloop196="","",Data_NaamPersoonNatVerloop196)</f>
        <v/>
      </c>
      <c r="I219" s="41"/>
      <c r="J219" s="41"/>
      <c r="K219" s="83" t="str">
        <f>IF(Data_BeeindigingsdatumNatVerloop196="","",Data_BeeindigingsdatumNatVerloop196)</f>
        <v/>
      </c>
      <c r="L219" s="41"/>
      <c r="M219" s="41"/>
      <c r="N219" s="82" t="str">
        <f>IF(Data_LoonkostenNatVerloop196="","",Data_LoonkostenNatVerloop196)</f>
        <v/>
      </c>
      <c r="O219" s="41"/>
      <c r="P219" s="276" t="s">
        <v>160</v>
      </c>
      <c r="Q219" s="41"/>
      <c r="R219" s="76" t="s">
        <v>160</v>
      </c>
      <c r="S219" s="41"/>
      <c r="T219" s="41"/>
      <c r="U219" s="41"/>
      <c r="V219" s="41"/>
      <c r="W219" s="41">
        <f t="shared" si="24"/>
        <v>0</v>
      </c>
      <c r="X219" s="77" t="str">
        <f t="shared" si="30"/>
        <v/>
      </c>
      <c r="AG219" s="81" t="str">
        <f>IF(Data_NaamPersoonTijd196="","",Data_NaamPersoonTijd196)</f>
        <v/>
      </c>
      <c r="AH219" s="41"/>
      <c r="AI219" s="41"/>
      <c r="AJ219" s="83" t="str">
        <f>IF(Data_BeeindigingsdatumTijd196="","",Data_BeeindigingsdatumTijd196)</f>
        <v/>
      </c>
      <c r="AK219" s="41"/>
      <c r="AL219" s="41"/>
      <c r="AM219" s="82" t="str">
        <f>IF(Data_LoonkostenTijd196="","",Data_LoonkostenTijd196)</f>
        <v/>
      </c>
      <c r="AN219" s="41"/>
      <c r="AO219" s="276" t="str">
        <f>IF(Data_PersoonAanUitTijd196=-1,"v","")</f>
        <v/>
      </c>
      <c r="AP219" s="41"/>
      <c r="AQ219" s="76" t="s">
        <v>160</v>
      </c>
      <c r="AR219" s="41"/>
      <c r="AS219" s="41"/>
      <c r="AT219" s="41"/>
      <c r="AU219" s="41"/>
      <c r="AV219" s="41">
        <f t="shared" si="25"/>
        <v>0</v>
      </c>
      <c r="AW219" s="77">
        <f t="shared" si="26"/>
        <v>0</v>
      </c>
      <c r="AX219" s="41"/>
      <c r="AY219" s="41"/>
      <c r="AZ219" s="41"/>
      <c r="BA219" s="81" t="str">
        <f>IF(Data_NaamPersoonVastVrij196="","",Data_NaamPersoonVastVrij196)</f>
        <v/>
      </c>
      <c r="BB219" s="41"/>
      <c r="BC219" s="41"/>
      <c r="BD219" s="83" t="str">
        <f>IF(Data_BeeindigingsdatumVastVrij196="","",Data_BeeindigingsdatumVastVrij196)</f>
        <v/>
      </c>
      <c r="BE219" s="41"/>
      <c r="BF219" s="41"/>
      <c r="BG219" s="82" t="str">
        <f>IF(Data_LoonkostenVastVrij196="","",Data_LoonkostenVastVrij196)</f>
        <v/>
      </c>
      <c r="BH219" s="41"/>
      <c r="BI219" s="76" t="str">
        <f>IF(Data_PersoonAanUitVastVrij196=-1,"v","")</f>
        <v/>
      </c>
      <c r="BJ219" s="41"/>
      <c r="BK219" s="76" t="s">
        <v>160</v>
      </c>
      <c r="BL219" s="41"/>
      <c r="BM219" s="41"/>
      <c r="BN219" s="41"/>
      <c r="BO219" s="41"/>
      <c r="BP219" s="41">
        <f t="shared" si="27"/>
        <v>0</v>
      </c>
      <c r="BQ219" s="77">
        <f t="shared" si="28"/>
        <v>0</v>
      </c>
      <c r="BS219" s="81" t="str">
        <f>IF(Data_NaamPersoonVastOntslag196="","",Data_NaamPersoonVastOntslag196)</f>
        <v/>
      </c>
      <c r="BV219" s="83" t="str">
        <f>IF(Data_BeeindigingsdatumVastOntslag196="","",Data_BeeindigingsdatumVastOntslag196)</f>
        <v/>
      </c>
      <c r="BY219" s="82" t="str">
        <f>IF(Data_LoonkostenVastOntslag196="","",Data_LoonkostenVastOntslag196)</f>
        <v/>
      </c>
      <c r="CA219" s="76" t="str">
        <f>IF(Data_PersoonAanUitVastOntslag196=-1,"v","")</f>
        <v/>
      </c>
      <c r="CB219" s="41"/>
      <c r="CC219" s="76" t="s">
        <v>160</v>
      </c>
      <c r="CD219" s="41"/>
      <c r="CE219" s="41"/>
      <c r="CF219" s="41"/>
      <c r="CG219" s="41"/>
      <c r="CH219" s="41">
        <f t="shared" si="31"/>
        <v>0</v>
      </c>
      <c r="CI219" s="41">
        <f t="shared" si="29"/>
        <v>0</v>
      </c>
    </row>
    <row r="220" spans="8:87" x14ac:dyDescent="0.25">
      <c r="H220" s="81" t="str">
        <f>IF(Data_NaamPersoonNatVerloop197="","",Data_NaamPersoonNatVerloop197)</f>
        <v/>
      </c>
      <c r="I220" s="41"/>
      <c r="J220" s="41"/>
      <c r="K220" s="83" t="str">
        <f>IF(Data_BeeindigingsdatumNatVerloop197="","",Data_BeeindigingsdatumNatVerloop197)</f>
        <v/>
      </c>
      <c r="L220" s="41"/>
      <c r="M220" s="41"/>
      <c r="N220" s="82" t="str">
        <f>IF(Data_LoonkostenNatVerloop197="","",Data_LoonkostenNatVerloop197)</f>
        <v/>
      </c>
      <c r="O220" s="41"/>
      <c r="P220" s="276" t="s">
        <v>160</v>
      </c>
      <c r="Q220" s="41"/>
      <c r="R220" s="76" t="s">
        <v>160</v>
      </c>
      <c r="S220" s="41"/>
      <c r="T220" s="41"/>
      <c r="U220" s="41"/>
      <c r="V220" s="41"/>
      <c r="W220" s="41">
        <f t="shared" si="24"/>
        <v>0</v>
      </c>
      <c r="X220" s="77" t="str">
        <f t="shared" si="30"/>
        <v/>
      </c>
      <c r="AG220" s="81" t="str">
        <f>IF(Data_NaamPersoonTijd197="","",Data_NaamPersoonTijd197)</f>
        <v/>
      </c>
      <c r="AH220" s="41"/>
      <c r="AI220" s="41"/>
      <c r="AJ220" s="83" t="str">
        <f>IF(Data_BeeindigingsdatumTijd197="","",Data_BeeindigingsdatumTijd197)</f>
        <v/>
      </c>
      <c r="AK220" s="41"/>
      <c r="AL220" s="41"/>
      <c r="AM220" s="82" t="str">
        <f>IF(Data_LoonkostenTijd197="","",Data_LoonkostenTijd197)</f>
        <v/>
      </c>
      <c r="AN220" s="41"/>
      <c r="AO220" s="276" t="str">
        <f>IF(Data_PersoonAanUitTijd197=-1,"v","")</f>
        <v/>
      </c>
      <c r="AP220" s="41"/>
      <c r="AQ220" s="76" t="s">
        <v>160</v>
      </c>
      <c r="AR220" s="41"/>
      <c r="AS220" s="41"/>
      <c r="AT220" s="41"/>
      <c r="AU220" s="41"/>
      <c r="AV220" s="41">
        <f t="shared" si="25"/>
        <v>0</v>
      </c>
      <c r="AW220" s="77">
        <f t="shared" si="26"/>
        <v>0</v>
      </c>
      <c r="AX220" s="41"/>
      <c r="AY220" s="41"/>
      <c r="AZ220" s="41"/>
      <c r="BA220" s="81" t="str">
        <f>IF(Data_NaamPersoonVastVrij197="","",Data_NaamPersoonVastVrij197)</f>
        <v/>
      </c>
      <c r="BB220" s="41"/>
      <c r="BC220" s="41"/>
      <c r="BD220" s="83" t="str">
        <f>IF(Data_BeeindigingsdatumVastVrij197="","",Data_BeeindigingsdatumVastVrij197)</f>
        <v/>
      </c>
      <c r="BE220" s="41"/>
      <c r="BF220" s="41"/>
      <c r="BG220" s="82" t="str">
        <f>IF(Data_LoonkostenVastVrij197="","",Data_LoonkostenVastVrij197)</f>
        <v/>
      </c>
      <c r="BH220" s="41"/>
      <c r="BI220" s="76" t="str">
        <f>IF(Data_PersoonAanUitVastVrij197=-1,"v","")</f>
        <v/>
      </c>
      <c r="BJ220" s="41"/>
      <c r="BK220" s="76" t="s">
        <v>160</v>
      </c>
      <c r="BL220" s="41"/>
      <c r="BM220" s="41"/>
      <c r="BN220" s="41"/>
      <c r="BO220" s="41"/>
      <c r="BP220" s="41">
        <f t="shared" si="27"/>
        <v>0</v>
      </c>
      <c r="BQ220" s="77">
        <f t="shared" si="28"/>
        <v>0</v>
      </c>
      <c r="BS220" s="81" t="str">
        <f>IF(Data_NaamPersoonVastOntslag197="","",Data_NaamPersoonVastOntslag197)</f>
        <v/>
      </c>
      <c r="BV220" s="83" t="str">
        <f>IF(Data_BeeindigingsdatumVastOntslag197="","",Data_BeeindigingsdatumVastOntslag197)</f>
        <v/>
      </c>
      <c r="BY220" s="82" t="str">
        <f>IF(Data_LoonkostenVastOntslag197="","",Data_LoonkostenVastOntslag197)</f>
        <v/>
      </c>
      <c r="CA220" s="76" t="str">
        <f>IF(Data_PersoonAanUitVastOntslag197=-1,"v","")</f>
        <v/>
      </c>
      <c r="CB220" s="41"/>
      <c r="CC220" s="76" t="s">
        <v>160</v>
      </c>
      <c r="CD220" s="41"/>
      <c r="CE220" s="41"/>
      <c r="CF220" s="41"/>
      <c r="CG220" s="41"/>
      <c r="CH220" s="41">
        <f t="shared" si="31"/>
        <v>0</v>
      </c>
      <c r="CI220" s="41">
        <f t="shared" si="29"/>
        <v>0</v>
      </c>
    </row>
    <row r="221" spans="8:87" x14ac:dyDescent="0.25">
      <c r="H221" s="81" t="str">
        <f>IF(Data_NaamPersoonNatVerloop198="","",Data_NaamPersoonNatVerloop198)</f>
        <v/>
      </c>
      <c r="I221" s="41"/>
      <c r="J221" s="41"/>
      <c r="K221" s="83" t="str">
        <f>IF(Data_BeeindigingsdatumNatVerloop198="","",Data_BeeindigingsdatumNatVerloop198)</f>
        <v/>
      </c>
      <c r="L221" s="41"/>
      <c r="M221" s="41"/>
      <c r="N221" s="82" t="str">
        <f>IF(Data_LoonkostenNatVerloop198="","",Data_LoonkostenNatVerloop198)</f>
        <v/>
      </c>
      <c r="O221" s="41"/>
      <c r="P221" s="276" t="s">
        <v>160</v>
      </c>
      <c r="Q221" s="41"/>
      <c r="R221" s="76" t="s">
        <v>160</v>
      </c>
      <c r="S221" s="41"/>
      <c r="T221" s="41"/>
      <c r="U221" s="41"/>
      <c r="V221" s="41"/>
      <c r="W221" s="41">
        <f t="shared" si="24"/>
        <v>0</v>
      </c>
      <c r="X221" s="77" t="str">
        <f t="shared" si="30"/>
        <v/>
      </c>
      <c r="AG221" s="81" t="str">
        <f>IF(Data_NaamPersoonTijd198="","",Data_NaamPersoonTijd198)</f>
        <v/>
      </c>
      <c r="AH221" s="41"/>
      <c r="AI221" s="41"/>
      <c r="AJ221" s="83" t="str">
        <f>IF(Data_BeeindigingsdatumTijd198="","",Data_BeeindigingsdatumTijd198)</f>
        <v/>
      </c>
      <c r="AK221" s="41"/>
      <c r="AL221" s="41"/>
      <c r="AM221" s="82" t="str">
        <f>IF(Data_LoonkostenTijd198="","",Data_LoonkostenTijd198)</f>
        <v/>
      </c>
      <c r="AN221" s="41"/>
      <c r="AO221" s="276" t="str">
        <f>IF(Data_PersoonAanUitTijd198=-1,"v","")</f>
        <v/>
      </c>
      <c r="AP221" s="41"/>
      <c r="AQ221" s="76" t="s">
        <v>160</v>
      </c>
      <c r="AR221" s="41"/>
      <c r="AS221" s="41"/>
      <c r="AT221" s="41"/>
      <c r="AU221" s="41"/>
      <c r="AV221" s="41">
        <f t="shared" si="25"/>
        <v>0</v>
      </c>
      <c r="AW221" s="77">
        <f t="shared" si="26"/>
        <v>0</v>
      </c>
      <c r="AX221" s="41"/>
      <c r="AY221" s="41"/>
      <c r="AZ221" s="41"/>
      <c r="BA221" s="81" t="str">
        <f>IF(Data_NaamPersoonVastVrij198="","",Data_NaamPersoonVastVrij198)</f>
        <v/>
      </c>
      <c r="BB221" s="41"/>
      <c r="BC221" s="41"/>
      <c r="BD221" s="83" t="str">
        <f>IF(Data_BeeindigingsdatumVastVrij198="","",Data_BeeindigingsdatumVastVrij198)</f>
        <v/>
      </c>
      <c r="BE221" s="41"/>
      <c r="BF221" s="41"/>
      <c r="BG221" s="82" t="str">
        <f>IF(Data_LoonkostenVastVrij198="","",Data_LoonkostenVastVrij198)</f>
        <v/>
      </c>
      <c r="BH221" s="41"/>
      <c r="BI221" s="76" t="str">
        <f>IF(Data_PersoonAanUitVastVrij198=-1,"v","")</f>
        <v/>
      </c>
      <c r="BJ221" s="41"/>
      <c r="BK221" s="76" t="s">
        <v>160</v>
      </c>
      <c r="BL221" s="41"/>
      <c r="BM221" s="41"/>
      <c r="BN221" s="41"/>
      <c r="BO221" s="41"/>
      <c r="BP221" s="41">
        <f t="shared" si="27"/>
        <v>0</v>
      </c>
      <c r="BQ221" s="77">
        <f t="shared" si="28"/>
        <v>0</v>
      </c>
      <c r="BS221" s="81" t="str">
        <f>IF(Data_NaamPersoonVastOntslag198="","",Data_NaamPersoonVastOntslag198)</f>
        <v/>
      </c>
      <c r="BV221" s="83" t="str">
        <f>IF(Data_BeeindigingsdatumVastOntslag198="","",Data_BeeindigingsdatumVastOntslag198)</f>
        <v/>
      </c>
      <c r="BY221" s="82" t="str">
        <f>IF(Data_LoonkostenVastOntslag198="","",Data_LoonkostenVastOntslag198)</f>
        <v/>
      </c>
      <c r="CA221" s="76" t="str">
        <f>IF(Data_PersoonAanUitVastOntslag198=-1,"v","")</f>
        <v/>
      </c>
      <c r="CB221" s="41"/>
      <c r="CC221" s="76" t="s">
        <v>160</v>
      </c>
      <c r="CD221" s="41"/>
      <c r="CE221" s="41"/>
      <c r="CF221" s="41"/>
      <c r="CG221" s="41"/>
      <c r="CH221" s="41">
        <f t="shared" si="31"/>
        <v>0</v>
      </c>
      <c r="CI221" s="41">
        <f t="shared" si="29"/>
        <v>0</v>
      </c>
    </row>
    <row r="222" spans="8:87" x14ac:dyDescent="0.25">
      <c r="H222" s="81" t="str">
        <f>IF(Data_NaamPersoonNatVerloop199="","",Data_NaamPersoonNatVerloop199)</f>
        <v/>
      </c>
      <c r="I222" s="41"/>
      <c r="J222" s="41"/>
      <c r="K222" s="83" t="str">
        <f>IF(Data_BeeindigingsdatumNatVerloop199="","",Data_BeeindigingsdatumNatVerloop199)</f>
        <v/>
      </c>
      <c r="L222" s="41"/>
      <c r="M222" s="41"/>
      <c r="N222" s="82" t="str">
        <f>IF(Data_LoonkostenNatVerloop199="","",Data_LoonkostenNatVerloop199)</f>
        <v/>
      </c>
      <c r="O222" s="41"/>
      <c r="P222" s="276" t="s">
        <v>160</v>
      </c>
      <c r="Q222" s="41"/>
      <c r="R222" s="76" t="s">
        <v>160</v>
      </c>
      <c r="S222" s="41"/>
      <c r="T222" s="41"/>
      <c r="U222" s="41"/>
      <c r="V222" s="41"/>
      <c r="W222" s="41">
        <f t="shared" si="24"/>
        <v>0</v>
      </c>
      <c r="X222" s="77" t="str">
        <f t="shared" si="30"/>
        <v/>
      </c>
      <c r="AG222" s="81" t="str">
        <f>IF(Data_NaamPersoonTijd199="","",Data_NaamPersoonTijd199)</f>
        <v/>
      </c>
      <c r="AH222" s="41"/>
      <c r="AI222" s="41"/>
      <c r="AJ222" s="83" t="str">
        <f>IF(Data_BeeindigingsdatumTijd199="","",Data_BeeindigingsdatumTijd199)</f>
        <v/>
      </c>
      <c r="AK222" s="41"/>
      <c r="AL222" s="41"/>
      <c r="AM222" s="82" t="str">
        <f>IF(Data_LoonkostenTijd199="","",Data_LoonkostenTijd199)</f>
        <v/>
      </c>
      <c r="AN222" s="41"/>
      <c r="AO222" s="276" t="str">
        <f>IF(Data_PersoonAanUitTijd199=-1,"v","")</f>
        <v/>
      </c>
      <c r="AP222" s="41"/>
      <c r="AQ222" s="76" t="s">
        <v>160</v>
      </c>
      <c r="AR222" s="41"/>
      <c r="AS222" s="41"/>
      <c r="AT222" s="41"/>
      <c r="AU222" s="41"/>
      <c r="AV222" s="41">
        <f t="shared" si="25"/>
        <v>0</v>
      </c>
      <c r="AW222" s="77">
        <f t="shared" si="26"/>
        <v>0</v>
      </c>
      <c r="AX222" s="41"/>
      <c r="AY222" s="41"/>
      <c r="AZ222" s="41"/>
      <c r="BA222" s="81" t="str">
        <f>IF(Data_NaamPersoonVastVrij199="","",Data_NaamPersoonVastVrij199)</f>
        <v/>
      </c>
      <c r="BB222" s="41"/>
      <c r="BC222" s="41"/>
      <c r="BD222" s="83" t="str">
        <f>IF(Data_BeeindigingsdatumVastVrij199="","",Data_BeeindigingsdatumVastVrij199)</f>
        <v/>
      </c>
      <c r="BE222" s="41"/>
      <c r="BF222" s="41"/>
      <c r="BG222" s="82" t="str">
        <f>IF(Data_LoonkostenVastVrij199="","",Data_LoonkostenVastVrij199)</f>
        <v/>
      </c>
      <c r="BH222" s="41"/>
      <c r="BI222" s="76" t="str">
        <f>IF(Data_PersoonAanUitVastVrij199=-1,"v","")</f>
        <v/>
      </c>
      <c r="BJ222" s="41"/>
      <c r="BK222" s="76" t="s">
        <v>160</v>
      </c>
      <c r="BL222" s="41"/>
      <c r="BM222" s="41"/>
      <c r="BN222" s="41"/>
      <c r="BO222" s="41"/>
      <c r="BP222" s="41">
        <f t="shared" si="27"/>
        <v>0</v>
      </c>
      <c r="BQ222" s="77">
        <f t="shared" si="28"/>
        <v>0</v>
      </c>
      <c r="BS222" s="81" t="str">
        <f>IF(Data_NaamPersoonVastOntslag199="","",Data_NaamPersoonVastOntslag199)</f>
        <v/>
      </c>
      <c r="BV222" s="83" t="str">
        <f>IF(Data_BeeindigingsdatumVastOntslag199="","",Data_BeeindigingsdatumVastOntslag199)</f>
        <v/>
      </c>
      <c r="BY222" s="82" t="str">
        <f>IF(Data_LoonkostenVastOntslag199="","",Data_LoonkostenVastOntslag199)</f>
        <v/>
      </c>
      <c r="CA222" s="76" t="str">
        <f>IF(Data_PersoonAanUitVastOntslag199=-1,"v","")</f>
        <v/>
      </c>
      <c r="CB222" s="41"/>
      <c r="CC222" s="76" t="s">
        <v>160</v>
      </c>
      <c r="CD222" s="41"/>
      <c r="CE222" s="41"/>
      <c r="CF222" s="41"/>
      <c r="CG222" s="41"/>
      <c r="CH222" s="41">
        <f t="shared" si="31"/>
        <v>0</v>
      </c>
      <c r="CI222" s="41">
        <f t="shared" si="29"/>
        <v>0</v>
      </c>
    </row>
    <row r="223" spans="8:87" x14ac:dyDescent="0.25">
      <c r="H223" s="81" t="str">
        <f>IF(Data_NaamPersoonNatVerloop200="","",Data_NaamPersoonNatVerloop200)</f>
        <v/>
      </c>
      <c r="I223" s="41"/>
      <c r="J223" s="41"/>
      <c r="K223" s="83" t="str">
        <f>IF(Data_BeeindigingsdatumNatVerloop200="","",Data_BeeindigingsdatumNatVerloop200)</f>
        <v/>
      </c>
      <c r="L223" s="41"/>
      <c r="M223" s="41"/>
      <c r="N223" s="82" t="str">
        <f>IF(Data_LoonkostenNatVerloop200="","",Data_LoonkostenNatVerloop200)</f>
        <v/>
      </c>
      <c r="O223" s="41"/>
      <c r="P223" s="276" t="s">
        <v>160</v>
      </c>
      <c r="Q223" s="41"/>
      <c r="R223" s="76" t="s">
        <v>160</v>
      </c>
      <c r="S223" s="41"/>
      <c r="T223" s="41"/>
      <c r="U223" s="41"/>
      <c r="V223" s="41"/>
      <c r="W223" s="41">
        <f t="shared" si="24"/>
        <v>0</v>
      </c>
      <c r="X223" s="77" t="str">
        <f t="shared" si="30"/>
        <v/>
      </c>
      <c r="AG223" s="81" t="str">
        <f>IF(Data_NaamPersoonTijd200="","",Data_NaamPersoonTijd200)</f>
        <v/>
      </c>
      <c r="AH223" s="41"/>
      <c r="AI223" s="41"/>
      <c r="AJ223" s="83" t="str">
        <f>IF(Data_BeeindigingsdatumTijd200="","",Data_BeeindigingsdatumTijd200)</f>
        <v/>
      </c>
      <c r="AK223" s="41"/>
      <c r="AL223" s="41"/>
      <c r="AM223" s="82" t="str">
        <f>IF(Data_LoonkostenTijd200="","",Data_LoonkostenTijd200)</f>
        <v/>
      </c>
      <c r="AN223" s="41"/>
      <c r="AO223" s="276" t="str">
        <f>IF(Data_PersoonAanUitTijd200=-1,"v","")</f>
        <v/>
      </c>
      <c r="AP223" s="41"/>
      <c r="AQ223" s="76" t="s">
        <v>160</v>
      </c>
      <c r="AR223" s="41"/>
      <c r="AS223" s="41"/>
      <c r="AT223" s="41"/>
      <c r="AU223" s="41"/>
      <c r="AV223" s="41">
        <f t="shared" si="25"/>
        <v>0</v>
      </c>
      <c r="AW223" s="77">
        <f t="shared" si="26"/>
        <v>0</v>
      </c>
      <c r="AX223" s="41"/>
      <c r="AY223" s="41"/>
      <c r="AZ223" s="41"/>
      <c r="BA223" s="81" t="str">
        <f>IF(Data_NaamPersoonVastVrij200="","",Data_NaamPersoonVastVrij200)</f>
        <v/>
      </c>
      <c r="BB223" s="41"/>
      <c r="BC223" s="41"/>
      <c r="BD223" s="83" t="str">
        <f>IF(Data_BeeindigingsdatumVastVrij200="","",Data_BeeindigingsdatumVastVrij200)</f>
        <v/>
      </c>
      <c r="BE223" s="41"/>
      <c r="BF223" s="41"/>
      <c r="BG223" s="82" t="str">
        <f>IF(Data_LoonkostenVastVrij200="","",Data_LoonkostenVastVrij200)</f>
        <v/>
      </c>
      <c r="BH223" s="41"/>
      <c r="BI223" s="76" t="str">
        <f>IF(Data_PersoonAanUitVastVrij200=-1,"v","")</f>
        <v/>
      </c>
      <c r="BJ223" s="41"/>
      <c r="BK223" s="76" t="s">
        <v>160</v>
      </c>
      <c r="BL223" s="41"/>
      <c r="BM223" s="41"/>
      <c r="BN223" s="41"/>
      <c r="BO223" s="41"/>
      <c r="BP223" s="41">
        <f t="shared" si="27"/>
        <v>0</v>
      </c>
      <c r="BQ223" s="77">
        <f t="shared" si="28"/>
        <v>0</v>
      </c>
      <c r="BS223" s="81" t="str">
        <f>IF(Data_NaamPersoonVastOntslag200="","",Data_NaamPersoonVastOntslag200)</f>
        <v/>
      </c>
      <c r="BV223" s="83" t="str">
        <f>IF(Data_BeeindigingsdatumVastOntslag200="","",Data_BeeindigingsdatumVastOntslag200)</f>
        <v/>
      </c>
      <c r="BY223" s="82" t="str">
        <f>IF(Data_LoonkostenVastOntslag200="","",Data_LoonkostenVastOntslag200)</f>
        <v/>
      </c>
      <c r="CA223" s="76" t="str">
        <f>IF(Data_PersoonAanUitVastOntslag200=-1,"v","")</f>
        <v/>
      </c>
      <c r="CB223" s="41"/>
      <c r="CC223" s="76" t="s">
        <v>160</v>
      </c>
      <c r="CD223" s="41"/>
      <c r="CE223" s="41"/>
      <c r="CF223" s="41"/>
      <c r="CG223" s="41"/>
      <c r="CH223" s="41">
        <f t="shared" si="31"/>
        <v>0</v>
      </c>
      <c r="CI223" s="41">
        <f t="shared" si="29"/>
        <v>0</v>
      </c>
    </row>
    <row r="224" spans="8:87" x14ac:dyDescent="0.25">
      <c r="H224" s="81" t="str">
        <f>IF(Data_NaamPersoonNatVerloop201="","",Data_NaamPersoonNatVerloop201)</f>
        <v/>
      </c>
      <c r="I224" s="41"/>
      <c r="J224" s="41"/>
      <c r="K224" s="83" t="str">
        <f>IF(Data_BeeindigingsdatumNatVerloop201="","",Data_BeeindigingsdatumNatVerloop201)</f>
        <v/>
      </c>
      <c r="L224" s="41"/>
      <c r="M224" s="41"/>
      <c r="N224" s="82" t="str">
        <f>IF(Data_LoonkostenNatVerloop201="","",Data_LoonkostenNatVerloop201)</f>
        <v/>
      </c>
      <c r="O224" s="41"/>
      <c r="P224" s="276" t="s">
        <v>160</v>
      </c>
      <c r="Q224" s="41"/>
      <c r="R224" s="76" t="s">
        <v>160</v>
      </c>
      <c r="S224" s="41"/>
      <c r="T224" s="41"/>
      <c r="U224" s="41"/>
      <c r="V224" s="41"/>
      <c r="W224" s="41">
        <f t="shared" si="24"/>
        <v>0</v>
      </c>
      <c r="X224" s="77" t="str">
        <f t="shared" si="30"/>
        <v/>
      </c>
      <c r="AG224" s="81" t="str">
        <f>IF(Data_NaamPersoonTijd201="","",Data_NaamPersoonTijd201)</f>
        <v/>
      </c>
      <c r="AH224" s="41"/>
      <c r="AI224" s="41"/>
      <c r="AJ224" s="83" t="str">
        <f>IF(Data_BeeindigingsdatumTijd201="","",Data_BeeindigingsdatumTijd201)</f>
        <v/>
      </c>
      <c r="AK224" s="41"/>
      <c r="AL224" s="41"/>
      <c r="AM224" s="82" t="str">
        <f>IF(Data_LoonkostenTijd201="","",Data_LoonkostenTijd201)</f>
        <v/>
      </c>
      <c r="AN224" s="41"/>
      <c r="AO224" s="276" t="str">
        <f>IF(Data_PersoonAanUitTijd201=-1,"v","")</f>
        <v/>
      </c>
      <c r="AP224" s="41"/>
      <c r="AQ224" s="76" t="s">
        <v>160</v>
      </c>
      <c r="AR224" s="41"/>
      <c r="AS224" s="41"/>
      <c r="AT224" s="41"/>
      <c r="AU224" s="41"/>
      <c r="AV224" s="41">
        <f t="shared" si="25"/>
        <v>0</v>
      </c>
      <c r="AW224" s="77">
        <f t="shared" si="26"/>
        <v>0</v>
      </c>
      <c r="AX224" s="41"/>
      <c r="AY224" s="41"/>
      <c r="AZ224" s="41"/>
      <c r="BA224" s="81" t="str">
        <f>IF(Data_NaamPersoonVastVrij201="","",Data_NaamPersoonVastVrij201)</f>
        <v/>
      </c>
      <c r="BB224" s="41"/>
      <c r="BC224" s="41"/>
      <c r="BD224" s="83" t="str">
        <f>IF(Data_BeeindigingsdatumVastVrij201="","",Data_BeeindigingsdatumVastVrij201)</f>
        <v/>
      </c>
      <c r="BE224" s="41"/>
      <c r="BF224" s="41"/>
      <c r="BG224" s="82" t="str">
        <f>IF(Data_LoonkostenVastVrij201="","",Data_LoonkostenVastVrij201)</f>
        <v/>
      </c>
      <c r="BH224" s="41"/>
      <c r="BI224" s="76" t="str">
        <f>IF(Data_PersoonAanUitVastVrij201=-1,"v","")</f>
        <v/>
      </c>
      <c r="BJ224" s="41"/>
      <c r="BK224" s="76" t="s">
        <v>160</v>
      </c>
      <c r="BL224" s="41"/>
      <c r="BM224" s="41"/>
      <c r="BN224" s="41"/>
      <c r="BO224" s="41"/>
      <c r="BP224" s="41">
        <f t="shared" si="27"/>
        <v>0</v>
      </c>
      <c r="BQ224" s="77">
        <f t="shared" si="28"/>
        <v>0</v>
      </c>
      <c r="BS224" s="81" t="str">
        <f>IF(Data_NaamPersoonVastOntslag201="","",Data_NaamPersoonVastOntslag201)</f>
        <v/>
      </c>
      <c r="BV224" s="83" t="str">
        <f>IF(Data_BeeindigingsdatumVastOntslag201="","",Data_BeeindigingsdatumVastOntslag201)</f>
        <v/>
      </c>
      <c r="BY224" s="82" t="str">
        <f>IF(Data_LoonkostenVastOntslag201="","",Data_LoonkostenVastOntslag201)</f>
        <v/>
      </c>
      <c r="CA224" s="76" t="str">
        <f>IF(Data_PersoonAanUitVastOntslag201=-1,"v","")</f>
        <v/>
      </c>
      <c r="CB224" s="41"/>
      <c r="CC224" s="76" t="s">
        <v>160</v>
      </c>
      <c r="CD224" s="41"/>
      <c r="CE224" s="41"/>
      <c r="CF224" s="41"/>
      <c r="CG224" s="41"/>
      <c r="CH224" s="41">
        <f t="shared" si="31"/>
        <v>0</v>
      </c>
      <c r="CI224" s="41">
        <f t="shared" si="29"/>
        <v>0</v>
      </c>
    </row>
    <row r="225" spans="8:87" x14ac:dyDescent="0.25">
      <c r="H225" s="81" t="str">
        <f>IF(Data_NaamPersoonNatVerloop202="","",Data_NaamPersoonNatVerloop202)</f>
        <v/>
      </c>
      <c r="I225" s="41"/>
      <c r="J225" s="41"/>
      <c r="K225" s="83" t="str">
        <f>IF(Data_BeeindigingsdatumNatVerloop202="","",Data_BeeindigingsdatumNatVerloop202)</f>
        <v/>
      </c>
      <c r="L225" s="41"/>
      <c r="M225" s="41"/>
      <c r="N225" s="82" t="str">
        <f>IF(Data_LoonkostenNatVerloop202="","",Data_LoonkostenNatVerloop202)</f>
        <v/>
      </c>
      <c r="O225" s="41"/>
      <c r="P225" s="276" t="s">
        <v>160</v>
      </c>
      <c r="Q225" s="41"/>
      <c r="R225" s="76" t="s">
        <v>160</v>
      </c>
      <c r="S225" s="41"/>
      <c r="T225" s="41"/>
      <c r="U225" s="41"/>
      <c r="V225" s="41"/>
      <c r="W225" s="41">
        <f t="shared" si="24"/>
        <v>0</v>
      </c>
      <c r="X225" s="77" t="str">
        <f t="shared" si="30"/>
        <v/>
      </c>
      <c r="AG225" s="81" t="str">
        <f>IF(Data_NaamPersoonTijd202="","",Data_NaamPersoonTijd202)</f>
        <v/>
      </c>
      <c r="AH225" s="41"/>
      <c r="AI225" s="41"/>
      <c r="AJ225" s="83" t="str">
        <f>IF(Data_BeeindigingsdatumTijd202="","",Data_BeeindigingsdatumTijd202)</f>
        <v/>
      </c>
      <c r="AK225" s="41"/>
      <c r="AL225" s="41"/>
      <c r="AM225" s="82" t="str">
        <f>IF(Data_LoonkostenTijd202="","",Data_LoonkostenTijd202)</f>
        <v/>
      </c>
      <c r="AN225" s="41"/>
      <c r="AO225" s="276" t="str">
        <f>IF(Data_PersoonAanUitTijd202=-1,"v","")</f>
        <v/>
      </c>
      <c r="AP225" s="41"/>
      <c r="AQ225" s="76" t="s">
        <v>160</v>
      </c>
      <c r="AR225" s="41"/>
      <c r="AS225" s="41"/>
      <c r="AT225" s="41"/>
      <c r="AU225" s="41"/>
      <c r="AV225" s="41">
        <f t="shared" si="25"/>
        <v>0</v>
      </c>
      <c r="AW225" s="77">
        <f t="shared" si="26"/>
        <v>0</v>
      </c>
      <c r="AX225" s="41"/>
      <c r="AY225" s="41"/>
      <c r="AZ225" s="41"/>
      <c r="BA225" s="81" t="str">
        <f>IF(Data_NaamPersoonVastVrij202="","",Data_NaamPersoonVastVrij202)</f>
        <v/>
      </c>
      <c r="BB225" s="41"/>
      <c r="BC225" s="41"/>
      <c r="BD225" s="83" t="str">
        <f>IF(Data_BeeindigingsdatumVastVrij202="","",Data_BeeindigingsdatumVastVrij202)</f>
        <v/>
      </c>
      <c r="BE225" s="41"/>
      <c r="BF225" s="41"/>
      <c r="BG225" s="82" t="str">
        <f>IF(Data_LoonkostenVastVrij202="","",Data_LoonkostenVastVrij202)</f>
        <v/>
      </c>
      <c r="BH225" s="41"/>
      <c r="BI225" s="76" t="str">
        <f>IF(Data_PersoonAanUitVastVrij202=-1,"v","")</f>
        <v/>
      </c>
      <c r="BJ225" s="41"/>
      <c r="BK225" s="76" t="s">
        <v>160</v>
      </c>
      <c r="BL225" s="41"/>
      <c r="BM225" s="41"/>
      <c r="BN225" s="41"/>
      <c r="BO225" s="41"/>
      <c r="BP225" s="41">
        <f t="shared" si="27"/>
        <v>0</v>
      </c>
      <c r="BQ225" s="77">
        <f t="shared" si="28"/>
        <v>0</v>
      </c>
      <c r="BS225" s="81" t="str">
        <f>IF(Data_NaamPersoonVastOntslag202="","",Data_NaamPersoonVastOntslag202)</f>
        <v/>
      </c>
      <c r="BV225" s="83" t="str">
        <f>IF(Data_BeeindigingsdatumVastOntslag202="","",Data_BeeindigingsdatumVastOntslag202)</f>
        <v/>
      </c>
      <c r="BY225" s="82" t="str">
        <f>IF(Data_LoonkostenVastOntslag202="","",Data_LoonkostenVastOntslag202)</f>
        <v/>
      </c>
      <c r="CA225" s="76" t="str">
        <f>IF(Data_PersoonAanUitVastOntslag202=-1,"v","")</f>
        <v/>
      </c>
      <c r="CB225" s="41"/>
      <c r="CC225" s="76" t="s">
        <v>160</v>
      </c>
      <c r="CD225" s="41"/>
      <c r="CE225" s="41"/>
      <c r="CF225" s="41"/>
      <c r="CG225" s="41"/>
      <c r="CH225" s="41">
        <f t="shared" si="31"/>
        <v>0</v>
      </c>
      <c r="CI225" s="41">
        <f t="shared" si="29"/>
        <v>0</v>
      </c>
    </row>
    <row r="226" spans="8:87" x14ac:dyDescent="0.25">
      <c r="H226" s="81" t="str">
        <f>IF(Data_NaamPersoonNatVerloop203="","",Data_NaamPersoonNatVerloop203)</f>
        <v/>
      </c>
      <c r="I226" s="41"/>
      <c r="J226" s="41"/>
      <c r="K226" s="83" t="str">
        <f>IF(Data_BeeindigingsdatumNatVerloop203="","",Data_BeeindigingsdatumNatVerloop203)</f>
        <v/>
      </c>
      <c r="L226" s="41"/>
      <c r="M226" s="41"/>
      <c r="N226" s="82" t="str">
        <f>IF(Data_LoonkostenNatVerloop203="","",Data_LoonkostenNatVerloop203)</f>
        <v/>
      </c>
      <c r="O226" s="41"/>
      <c r="P226" s="276" t="s">
        <v>160</v>
      </c>
      <c r="Q226" s="41"/>
      <c r="R226" s="76" t="s">
        <v>160</v>
      </c>
      <c r="S226" s="41"/>
      <c r="T226" s="41"/>
      <c r="U226" s="41"/>
      <c r="V226" s="41"/>
      <c r="W226" s="41">
        <f t="shared" si="24"/>
        <v>0</v>
      </c>
      <c r="X226" s="77" t="str">
        <f t="shared" si="30"/>
        <v/>
      </c>
      <c r="AG226" s="81" t="str">
        <f>IF(Data_NaamPersoonTijd203="","",Data_NaamPersoonTijd203)</f>
        <v/>
      </c>
      <c r="AH226" s="41"/>
      <c r="AI226" s="41"/>
      <c r="AJ226" s="83" t="str">
        <f>IF(Data_BeeindigingsdatumTijd203="","",Data_BeeindigingsdatumTijd203)</f>
        <v/>
      </c>
      <c r="AK226" s="41"/>
      <c r="AL226" s="41"/>
      <c r="AM226" s="82" t="str">
        <f>IF(Data_LoonkostenTijd203="","",Data_LoonkostenTijd203)</f>
        <v/>
      </c>
      <c r="AN226" s="41"/>
      <c r="AO226" s="276" t="str">
        <f>IF(Data_PersoonAanUitTijd203=-1,"v","")</f>
        <v/>
      </c>
      <c r="AP226" s="41"/>
      <c r="AQ226" s="76" t="s">
        <v>160</v>
      </c>
      <c r="AR226" s="41"/>
      <c r="AS226" s="41"/>
      <c r="AT226" s="41"/>
      <c r="AU226" s="41"/>
      <c r="AV226" s="41">
        <f t="shared" si="25"/>
        <v>0</v>
      </c>
      <c r="AW226" s="77">
        <f t="shared" si="26"/>
        <v>0</v>
      </c>
      <c r="AX226" s="41"/>
      <c r="AY226" s="41"/>
      <c r="AZ226" s="41"/>
      <c r="BA226" s="81" t="str">
        <f>IF(Data_NaamPersoonVastVrij203="","",Data_NaamPersoonVastVrij203)</f>
        <v/>
      </c>
      <c r="BB226" s="41"/>
      <c r="BC226" s="41"/>
      <c r="BD226" s="83" t="str">
        <f>IF(Data_BeeindigingsdatumVastVrij203="","",Data_BeeindigingsdatumVastVrij203)</f>
        <v/>
      </c>
      <c r="BE226" s="41"/>
      <c r="BF226" s="41"/>
      <c r="BG226" s="82" t="str">
        <f>IF(Data_LoonkostenVastVrij203="","",Data_LoonkostenVastVrij203)</f>
        <v/>
      </c>
      <c r="BH226" s="41"/>
      <c r="BI226" s="76" t="str">
        <f>IF(Data_PersoonAanUitVastVrij203=-1,"v","")</f>
        <v/>
      </c>
      <c r="BJ226" s="41"/>
      <c r="BK226" s="76" t="s">
        <v>160</v>
      </c>
      <c r="BL226" s="41"/>
      <c r="BM226" s="41"/>
      <c r="BN226" s="41"/>
      <c r="BO226" s="41"/>
      <c r="BP226" s="41">
        <f t="shared" si="27"/>
        <v>0</v>
      </c>
      <c r="BQ226" s="77">
        <f t="shared" si="28"/>
        <v>0</v>
      </c>
      <c r="BS226" s="81" t="str">
        <f>IF(Data_NaamPersoonVastOntslag203="","",Data_NaamPersoonVastOntslag203)</f>
        <v/>
      </c>
      <c r="BV226" s="83" t="str">
        <f>IF(Data_BeeindigingsdatumVastOntslag203="","",Data_BeeindigingsdatumVastOntslag203)</f>
        <v/>
      </c>
      <c r="BY226" s="82" t="str">
        <f>IF(Data_LoonkostenVastOntslag203="","",Data_LoonkostenVastOntslag203)</f>
        <v/>
      </c>
      <c r="CA226" s="76" t="str">
        <f>IF(Data_PersoonAanUitVastOntslag203=-1,"v","")</f>
        <v/>
      </c>
      <c r="CB226" s="41"/>
      <c r="CC226" s="76" t="s">
        <v>160</v>
      </c>
      <c r="CD226" s="41"/>
      <c r="CE226" s="41"/>
      <c r="CF226" s="41"/>
      <c r="CG226" s="41"/>
      <c r="CH226" s="41">
        <f t="shared" si="31"/>
        <v>0</v>
      </c>
      <c r="CI226" s="41">
        <f t="shared" si="29"/>
        <v>0</v>
      </c>
    </row>
    <row r="227" spans="8:87" x14ac:dyDescent="0.25">
      <c r="H227" s="81" t="str">
        <f>IF(Data_NaamPersoonNatVerloop204="","",Data_NaamPersoonNatVerloop204)</f>
        <v/>
      </c>
      <c r="I227" s="41"/>
      <c r="J227" s="41"/>
      <c r="K227" s="83" t="str">
        <f>IF(Data_BeeindigingsdatumNatVerloop204="","",Data_BeeindigingsdatumNatVerloop204)</f>
        <v/>
      </c>
      <c r="L227" s="41"/>
      <c r="M227" s="41"/>
      <c r="N227" s="82" t="str">
        <f>IF(Data_LoonkostenNatVerloop204="","",Data_LoonkostenNatVerloop204)</f>
        <v/>
      </c>
      <c r="O227" s="41"/>
      <c r="P227" s="276" t="s">
        <v>160</v>
      </c>
      <c r="Q227" s="41"/>
      <c r="R227" s="76" t="s">
        <v>160</v>
      </c>
      <c r="S227" s="41"/>
      <c r="T227" s="41"/>
      <c r="U227" s="41"/>
      <c r="V227" s="41"/>
      <c r="W227" s="41">
        <f t="shared" si="24"/>
        <v>0</v>
      </c>
      <c r="X227" s="77" t="str">
        <f t="shared" si="30"/>
        <v/>
      </c>
      <c r="AG227" s="81" t="str">
        <f>IF(Data_NaamPersoonTijd204="","",Data_NaamPersoonTijd204)</f>
        <v/>
      </c>
      <c r="AH227" s="41"/>
      <c r="AI227" s="41"/>
      <c r="AJ227" s="83" t="str">
        <f>IF(Data_BeeindigingsdatumTijd204="","",Data_BeeindigingsdatumTijd204)</f>
        <v/>
      </c>
      <c r="AK227" s="41"/>
      <c r="AL227" s="41"/>
      <c r="AM227" s="82" t="str">
        <f>IF(Data_LoonkostenTijd204="","",Data_LoonkostenTijd204)</f>
        <v/>
      </c>
      <c r="AN227" s="41"/>
      <c r="AO227" s="276" t="str">
        <f>IF(Data_PersoonAanUitTijd204=-1,"v","")</f>
        <v/>
      </c>
      <c r="AP227" s="41"/>
      <c r="AQ227" s="76" t="s">
        <v>160</v>
      </c>
      <c r="AR227" s="41"/>
      <c r="AS227" s="41"/>
      <c r="AT227" s="41"/>
      <c r="AU227" s="41"/>
      <c r="AV227" s="41">
        <f t="shared" si="25"/>
        <v>0</v>
      </c>
      <c r="AW227" s="77">
        <f t="shared" si="26"/>
        <v>0</v>
      </c>
      <c r="AX227" s="41"/>
      <c r="AY227" s="41"/>
      <c r="AZ227" s="41"/>
      <c r="BA227" s="81" t="str">
        <f>IF(Data_NaamPersoonVastVrij204="","",Data_NaamPersoonVastVrij204)</f>
        <v/>
      </c>
      <c r="BB227" s="41"/>
      <c r="BC227" s="41"/>
      <c r="BD227" s="83" t="str">
        <f>IF(Data_BeeindigingsdatumVastVrij204="","",Data_BeeindigingsdatumVastVrij204)</f>
        <v/>
      </c>
      <c r="BE227" s="41"/>
      <c r="BF227" s="41"/>
      <c r="BG227" s="82" t="str">
        <f>IF(Data_LoonkostenVastVrij204="","",Data_LoonkostenVastVrij204)</f>
        <v/>
      </c>
      <c r="BH227" s="41"/>
      <c r="BI227" s="76" t="str">
        <f>IF(Data_PersoonAanUitVastVrij204=-1,"v","")</f>
        <v/>
      </c>
      <c r="BJ227" s="41"/>
      <c r="BK227" s="76" t="s">
        <v>160</v>
      </c>
      <c r="BL227" s="41"/>
      <c r="BM227" s="41"/>
      <c r="BN227" s="41"/>
      <c r="BO227" s="41"/>
      <c r="BP227" s="41">
        <f t="shared" si="27"/>
        <v>0</v>
      </c>
      <c r="BQ227" s="77">
        <f t="shared" si="28"/>
        <v>0</v>
      </c>
      <c r="BS227" s="81" t="str">
        <f>IF(Data_NaamPersoonVastOntslag204="","",Data_NaamPersoonVastOntslag204)</f>
        <v/>
      </c>
      <c r="BV227" s="83" t="str">
        <f>IF(Data_BeeindigingsdatumVastOntslag204="","",Data_BeeindigingsdatumVastOntslag204)</f>
        <v/>
      </c>
      <c r="BY227" s="82" t="str">
        <f>IF(Data_LoonkostenVastOntslag204="","",Data_LoonkostenVastOntslag204)</f>
        <v/>
      </c>
      <c r="CA227" s="76" t="str">
        <f>IF(Data_PersoonAanUitVastOntslag204=-1,"v","")</f>
        <v/>
      </c>
      <c r="CB227" s="41"/>
      <c r="CC227" s="76" t="s">
        <v>160</v>
      </c>
      <c r="CD227" s="41"/>
      <c r="CE227" s="41"/>
      <c r="CF227" s="41"/>
      <c r="CG227" s="41"/>
      <c r="CH227" s="41">
        <f t="shared" si="31"/>
        <v>0</v>
      </c>
      <c r="CI227" s="41">
        <f t="shared" si="29"/>
        <v>0</v>
      </c>
    </row>
    <row r="228" spans="8:87" x14ac:dyDescent="0.25">
      <c r="H228" s="81" t="str">
        <f>IF(Data_NaamPersoonNatVerloop205="","",Data_NaamPersoonNatVerloop205)</f>
        <v/>
      </c>
      <c r="I228" s="41"/>
      <c r="J228" s="41"/>
      <c r="K228" s="83" t="str">
        <f>IF(Data_BeeindigingsdatumNatVerloop205="","",Data_BeeindigingsdatumNatVerloop205)</f>
        <v/>
      </c>
      <c r="L228" s="41"/>
      <c r="M228" s="41"/>
      <c r="N228" s="82" t="str">
        <f>IF(Data_LoonkostenNatVerloop205="","",Data_LoonkostenNatVerloop205)</f>
        <v/>
      </c>
      <c r="O228" s="41"/>
      <c r="P228" s="276" t="s">
        <v>160</v>
      </c>
      <c r="Q228" s="41"/>
      <c r="R228" s="76" t="s">
        <v>160</v>
      </c>
      <c r="S228" s="41"/>
      <c r="T228" s="41"/>
      <c r="U228" s="41"/>
      <c r="V228" s="41"/>
      <c r="W228" s="41">
        <f t="shared" si="24"/>
        <v>0</v>
      </c>
      <c r="X228" s="77" t="str">
        <f t="shared" si="30"/>
        <v/>
      </c>
      <c r="AG228" s="81" t="str">
        <f>IF(Data_NaamPersoonTijd205="","",Data_NaamPersoonTijd205)</f>
        <v/>
      </c>
      <c r="AH228" s="41"/>
      <c r="AI228" s="41"/>
      <c r="AJ228" s="83" t="str">
        <f>IF(Data_BeeindigingsdatumTijd205="","",Data_BeeindigingsdatumTijd205)</f>
        <v/>
      </c>
      <c r="AK228" s="41"/>
      <c r="AL228" s="41"/>
      <c r="AM228" s="82" t="str">
        <f>IF(Data_LoonkostenTijd205="","",Data_LoonkostenTijd205)</f>
        <v/>
      </c>
      <c r="AN228" s="41"/>
      <c r="AO228" s="276" t="str">
        <f>IF(Data_PersoonAanUitTijd205=-1,"v","")</f>
        <v/>
      </c>
      <c r="AP228" s="41"/>
      <c r="AQ228" s="76" t="s">
        <v>160</v>
      </c>
      <c r="AR228" s="41"/>
      <c r="AS228" s="41"/>
      <c r="AT228" s="41"/>
      <c r="AU228" s="41"/>
      <c r="AV228" s="41">
        <f t="shared" si="25"/>
        <v>0</v>
      </c>
      <c r="AW228" s="77">
        <f t="shared" si="26"/>
        <v>0</v>
      </c>
      <c r="AX228" s="41"/>
      <c r="AY228" s="41"/>
      <c r="AZ228" s="41"/>
      <c r="BA228" s="81" t="str">
        <f>IF(Data_NaamPersoonVastVrij205="","",Data_NaamPersoonVastVrij205)</f>
        <v/>
      </c>
      <c r="BB228" s="41"/>
      <c r="BC228" s="41"/>
      <c r="BD228" s="83" t="str">
        <f>IF(Data_BeeindigingsdatumVastVrij205="","",Data_BeeindigingsdatumVastVrij205)</f>
        <v/>
      </c>
      <c r="BE228" s="41"/>
      <c r="BF228" s="41"/>
      <c r="BG228" s="82" t="str">
        <f>IF(Data_LoonkostenVastVrij205="","",Data_LoonkostenVastVrij205)</f>
        <v/>
      </c>
      <c r="BH228" s="41"/>
      <c r="BI228" s="76" t="str">
        <f>IF(Data_PersoonAanUitVastVrij205=-1,"v","")</f>
        <v/>
      </c>
      <c r="BJ228" s="41"/>
      <c r="BK228" s="76" t="s">
        <v>160</v>
      </c>
      <c r="BL228" s="41"/>
      <c r="BM228" s="41"/>
      <c r="BN228" s="41"/>
      <c r="BO228" s="41"/>
      <c r="BP228" s="41">
        <f t="shared" si="27"/>
        <v>0</v>
      </c>
      <c r="BQ228" s="77">
        <f t="shared" si="28"/>
        <v>0</v>
      </c>
      <c r="BS228" s="81" t="str">
        <f>IF(Data_NaamPersoonVastOntslag205="","",Data_NaamPersoonVastOntslag205)</f>
        <v/>
      </c>
      <c r="BV228" s="83" t="str">
        <f>IF(Data_BeeindigingsdatumVastOntslag205="","",Data_BeeindigingsdatumVastOntslag205)</f>
        <v/>
      </c>
      <c r="BY228" s="82" t="str">
        <f>IF(Data_LoonkostenVastOntslag205="","",Data_LoonkostenVastOntslag205)</f>
        <v/>
      </c>
      <c r="CA228" s="76" t="str">
        <f>IF(Data_PersoonAanUitVastOntslag205=-1,"v","")</f>
        <v/>
      </c>
      <c r="CB228" s="41"/>
      <c r="CC228" s="76" t="s">
        <v>160</v>
      </c>
      <c r="CD228" s="41"/>
      <c r="CE228" s="41"/>
      <c r="CF228" s="41"/>
      <c r="CG228" s="41"/>
      <c r="CH228" s="41">
        <f t="shared" si="31"/>
        <v>0</v>
      </c>
      <c r="CI228" s="41">
        <f t="shared" si="29"/>
        <v>0</v>
      </c>
    </row>
    <row r="229" spans="8:87" x14ac:dyDescent="0.25">
      <c r="H229" s="81" t="str">
        <f>IF(Data_NaamPersoonNatVerloop206="","",Data_NaamPersoonNatVerloop206)</f>
        <v/>
      </c>
      <c r="I229" s="41"/>
      <c r="J229" s="41"/>
      <c r="K229" s="83" t="str">
        <f>IF(Data_BeeindigingsdatumNatVerloop206="","",Data_BeeindigingsdatumNatVerloop206)</f>
        <v/>
      </c>
      <c r="L229" s="41"/>
      <c r="M229" s="41"/>
      <c r="N229" s="82" t="str">
        <f>IF(Data_LoonkostenNatVerloop206="","",Data_LoonkostenNatVerloop206)</f>
        <v/>
      </c>
      <c r="O229" s="41"/>
      <c r="P229" s="276" t="s">
        <v>160</v>
      </c>
      <c r="Q229" s="41"/>
      <c r="R229" s="76" t="s">
        <v>160</v>
      </c>
      <c r="S229" s="41"/>
      <c r="T229" s="41"/>
      <c r="U229" s="41"/>
      <c r="V229" s="41"/>
      <c r="W229" s="41">
        <f t="shared" si="24"/>
        <v>0</v>
      </c>
      <c r="X229" s="77" t="str">
        <f t="shared" si="30"/>
        <v/>
      </c>
      <c r="AG229" s="81" t="str">
        <f>IF(Data_NaamPersoonTijd206="","",Data_NaamPersoonTijd206)</f>
        <v/>
      </c>
      <c r="AH229" s="41"/>
      <c r="AI229" s="41"/>
      <c r="AJ229" s="83" t="str">
        <f>IF(Data_BeeindigingsdatumTijd206="","",Data_BeeindigingsdatumTijd206)</f>
        <v/>
      </c>
      <c r="AK229" s="41"/>
      <c r="AL229" s="41"/>
      <c r="AM229" s="82" t="str">
        <f>IF(Data_LoonkostenTijd206="","",Data_LoonkostenTijd206)</f>
        <v/>
      </c>
      <c r="AN229" s="41"/>
      <c r="AO229" s="276" t="str">
        <f>IF(Data_PersoonAanUitTijd206=-1,"v","")</f>
        <v/>
      </c>
      <c r="AP229" s="41"/>
      <c r="AQ229" s="76" t="s">
        <v>160</v>
      </c>
      <c r="AR229" s="41"/>
      <c r="AS229" s="41"/>
      <c r="AT229" s="41"/>
      <c r="AU229" s="41"/>
      <c r="AV229" s="41">
        <f t="shared" si="25"/>
        <v>0</v>
      </c>
      <c r="AW229" s="77">
        <f t="shared" si="26"/>
        <v>0</v>
      </c>
      <c r="AX229" s="41"/>
      <c r="AY229" s="41"/>
      <c r="AZ229" s="41"/>
      <c r="BA229" s="81" t="str">
        <f>IF(Data_NaamPersoonVastVrij206="","",Data_NaamPersoonVastVrij206)</f>
        <v/>
      </c>
      <c r="BB229" s="41"/>
      <c r="BC229" s="41"/>
      <c r="BD229" s="83" t="str">
        <f>IF(Data_BeeindigingsdatumVastVrij206="","",Data_BeeindigingsdatumVastVrij206)</f>
        <v/>
      </c>
      <c r="BE229" s="41"/>
      <c r="BF229" s="41"/>
      <c r="BG229" s="82" t="str">
        <f>IF(Data_LoonkostenVastVrij206="","",Data_LoonkostenVastVrij206)</f>
        <v/>
      </c>
      <c r="BH229" s="41"/>
      <c r="BI229" s="76" t="str">
        <f>IF(Data_PersoonAanUitVastVrij206=-1,"v","")</f>
        <v/>
      </c>
      <c r="BJ229" s="41"/>
      <c r="BK229" s="76" t="s">
        <v>160</v>
      </c>
      <c r="BL229" s="41"/>
      <c r="BM229" s="41"/>
      <c r="BN229" s="41"/>
      <c r="BO229" s="41"/>
      <c r="BP229" s="41">
        <f t="shared" si="27"/>
        <v>0</v>
      </c>
      <c r="BQ229" s="77">
        <f t="shared" si="28"/>
        <v>0</v>
      </c>
      <c r="BS229" s="81" t="str">
        <f>IF(Data_NaamPersoonVastOntslag206="","",Data_NaamPersoonVastOntslag206)</f>
        <v/>
      </c>
      <c r="BV229" s="83" t="str">
        <f>IF(Data_BeeindigingsdatumVastOntslag206="","",Data_BeeindigingsdatumVastOntslag206)</f>
        <v/>
      </c>
      <c r="BY229" s="82" t="str">
        <f>IF(Data_LoonkostenVastOntslag206="","",Data_LoonkostenVastOntslag206)</f>
        <v/>
      </c>
      <c r="CA229" s="76" t="str">
        <f>IF(Data_PersoonAanUitVastOntslag206=-1,"v","")</f>
        <v/>
      </c>
      <c r="CB229" s="41"/>
      <c r="CC229" s="76" t="s">
        <v>160</v>
      </c>
      <c r="CD229" s="41"/>
      <c r="CE229" s="41"/>
      <c r="CF229" s="41"/>
      <c r="CG229" s="41"/>
      <c r="CH229" s="41">
        <f t="shared" si="31"/>
        <v>0</v>
      </c>
      <c r="CI229" s="41">
        <f t="shared" si="29"/>
        <v>0</v>
      </c>
    </row>
    <row r="230" spans="8:87" x14ac:dyDescent="0.25">
      <c r="H230" s="81" t="str">
        <f>IF(Data_NaamPersoonNatVerloop207="","",Data_NaamPersoonNatVerloop207)</f>
        <v/>
      </c>
      <c r="I230" s="41"/>
      <c r="J230" s="41"/>
      <c r="K230" s="83" t="str">
        <f>IF(Data_BeeindigingsdatumNatVerloop207="","",Data_BeeindigingsdatumNatVerloop207)</f>
        <v/>
      </c>
      <c r="L230" s="41"/>
      <c r="M230" s="41"/>
      <c r="N230" s="82" t="str">
        <f>IF(Data_LoonkostenNatVerloop207="","",Data_LoonkostenNatVerloop207)</f>
        <v/>
      </c>
      <c r="O230" s="41"/>
      <c r="P230" s="276" t="s">
        <v>160</v>
      </c>
      <c r="Q230" s="41"/>
      <c r="R230" s="76" t="s">
        <v>160</v>
      </c>
      <c r="S230" s="41"/>
      <c r="T230" s="41"/>
      <c r="U230" s="41"/>
      <c r="V230" s="41"/>
      <c r="W230" s="41">
        <f t="shared" si="24"/>
        <v>0</v>
      </c>
      <c r="X230" s="77" t="str">
        <f t="shared" si="30"/>
        <v/>
      </c>
      <c r="AG230" s="81" t="str">
        <f>IF(Data_NaamPersoonTijd207="","",Data_NaamPersoonTijd207)</f>
        <v/>
      </c>
      <c r="AH230" s="41"/>
      <c r="AI230" s="41"/>
      <c r="AJ230" s="83" t="str">
        <f>IF(Data_BeeindigingsdatumTijd207="","",Data_BeeindigingsdatumTijd207)</f>
        <v/>
      </c>
      <c r="AK230" s="41"/>
      <c r="AL230" s="41"/>
      <c r="AM230" s="82" t="str">
        <f>IF(Data_LoonkostenTijd207="","",Data_LoonkostenTijd207)</f>
        <v/>
      </c>
      <c r="AN230" s="41"/>
      <c r="AO230" s="276" t="str">
        <f>IF(Data_PersoonAanUitTijd207=-1,"v","")</f>
        <v/>
      </c>
      <c r="AP230" s="41"/>
      <c r="AQ230" s="76" t="s">
        <v>160</v>
      </c>
      <c r="AR230" s="41"/>
      <c r="AS230" s="41"/>
      <c r="AT230" s="41"/>
      <c r="AU230" s="41"/>
      <c r="AV230" s="41">
        <f t="shared" si="25"/>
        <v>0</v>
      </c>
      <c r="AW230" s="77">
        <f t="shared" si="26"/>
        <v>0</v>
      </c>
      <c r="AX230" s="41"/>
      <c r="AY230" s="41"/>
      <c r="AZ230" s="41"/>
      <c r="BA230" s="81" t="str">
        <f>IF(Data_NaamPersoonVastVrij207="","",Data_NaamPersoonVastVrij207)</f>
        <v/>
      </c>
      <c r="BB230" s="41"/>
      <c r="BC230" s="41"/>
      <c r="BD230" s="83" t="str">
        <f>IF(Data_BeeindigingsdatumVastVrij207="","",Data_BeeindigingsdatumVastVrij207)</f>
        <v/>
      </c>
      <c r="BE230" s="41"/>
      <c r="BF230" s="41"/>
      <c r="BG230" s="82" t="str">
        <f>IF(Data_LoonkostenVastVrij207="","",Data_LoonkostenVastVrij207)</f>
        <v/>
      </c>
      <c r="BH230" s="41"/>
      <c r="BI230" s="76" t="str">
        <f>IF(Data_PersoonAanUitVastVrij207=-1,"v","")</f>
        <v/>
      </c>
      <c r="BJ230" s="41"/>
      <c r="BK230" s="76" t="s">
        <v>160</v>
      </c>
      <c r="BL230" s="41"/>
      <c r="BM230" s="41"/>
      <c r="BN230" s="41"/>
      <c r="BO230" s="41"/>
      <c r="BP230" s="41">
        <f t="shared" si="27"/>
        <v>0</v>
      </c>
      <c r="BQ230" s="77">
        <f t="shared" si="28"/>
        <v>0</v>
      </c>
      <c r="BS230" s="81" t="str">
        <f>IF(Data_NaamPersoonVastOntslag207="","",Data_NaamPersoonVastOntslag207)</f>
        <v/>
      </c>
      <c r="BV230" s="83" t="str">
        <f>IF(Data_BeeindigingsdatumVastOntslag207="","",Data_BeeindigingsdatumVastOntslag207)</f>
        <v/>
      </c>
      <c r="BY230" s="82" t="str">
        <f>IF(Data_LoonkostenVastOntslag207="","",Data_LoonkostenVastOntslag207)</f>
        <v/>
      </c>
      <c r="CA230" s="76" t="str">
        <f>IF(Data_PersoonAanUitVastOntslag207=-1,"v","")</f>
        <v/>
      </c>
      <c r="CB230" s="41"/>
      <c r="CC230" s="76" t="s">
        <v>160</v>
      </c>
      <c r="CD230" s="41"/>
      <c r="CE230" s="41"/>
      <c r="CF230" s="41"/>
      <c r="CG230" s="41"/>
      <c r="CH230" s="41">
        <f t="shared" si="31"/>
        <v>0</v>
      </c>
      <c r="CI230" s="41">
        <f t="shared" si="29"/>
        <v>0</v>
      </c>
    </row>
    <row r="231" spans="8:87" x14ac:dyDescent="0.25">
      <c r="H231" s="81" t="str">
        <f>IF(Data_NaamPersoonNatVerloop208="","",Data_NaamPersoonNatVerloop208)</f>
        <v/>
      </c>
      <c r="I231" s="41"/>
      <c r="J231" s="41"/>
      <c r="K231" s="83" t="str">
        <f>IF(Data_BeeindigingsdatumNatVerloop208="","",Data_BeeindigingsdatumNatVerloop208)</f>
        <v/>
      </c>
      <c r="L231" s="41"/>
      <c r="M231" s="41"/>
      <c r="N231" s="82" t="str">
        <f>IF(Data_LoonkostenNatVerloop208="","",Data_LoonkostenNatVerloop208)</f>
        <v/>
      </c>
      <c r="O231" s="41"/>
      <c r="P231" s="276" t="s">
        <v>160</v>
      </c>
      <c r="Q231" s="41"/>
      <c r="R231" s="76" t="s">
        <v>160</v>
      </c>
      <c r="S231" s="41"/>
      <c r="T231" s="41"/>
      <c r="U231" s="41"/>
      <c r="V231" s="41"/>
      <c r="W231" s="41">
        <f t="shared" si="24"/>
        <v>0</v>
      </c>
      <c r="X231" s="77" t="str">
        <f t="shared" si="30"/>
        <v/>
      </c>
      <c r="AG231" s="81" t="str">
        <f>IF(Data_NaamPersoonTijd208="","",Data_NaamPersoonTijd208)</f>
        <v/>
      </c>
      <c r="AH231" s="41"/>
      <c r="AI231" s="41"/>
      <c r="AJ231" s="83" t="str">
        <f>IF(Data_BeeindigingsdatumTijd208="","",Data_BeeindigingsdatumTijd208)</f>
        <v/>
      </c>
      <c r="AK231" s="41"/>
      <c r="AL231" s="41"/>
      <c r="AM231" s="82" t="str">
        <f>IF(Data_LoonkostenTijd208="","",Data_LoonkostenTijd208)</f>
        <v/>
      </c>
      <c r="AN231" s="41"/>
      <c r="AO231" s="276" t="str">
        <f>IF(Data_PersoonAanUitTijd208=-1,"v","")</f>
        <v/>
      </c>
      <c r="AP231" s="41"/>
      <c r="AQ231" s="76" t="s">
        <v>160</v>
      </c>
      <c r="AR231" s="41"/>
      <c r="AS231" s="41"/>
      <c r="AT231" s="41"/>
      <c r="AU231" s="41"/>
      <c r="AV231" s="41">
        <f t="shared" si="25"/>
        <v>0</v>
      </c>
      <c r="AW231" s="77">
        <f t="shared" si="26"/>
        <v>0</v>
      </c>
      <c r="AX231" s="41"/>
      <c r="AY231" s="41"/>
      <c r="AZ231" s="41"/>
      <c r="BA231" s="81" t="str">
        <f>IF(Data_NaamPersoonVastVrij208="","",Data_NaamPersoonVastVrij208)</f>
        <v/>
      </c>
      <c r="BB231" s="41"/>
      <c r="BC231" s="41"/>
      <c r="BD231" s="83" t="str">
        <f>IF(Data_BeeindigingsdatumVastVrij208="","",Data_BeeindigingsdatumVastVrij208)</f>
        <v/>
      </c>
      <c r="BE231" s="41"/>
      <c r="BF231" s="41"/>
      <c r="BG231" s="82" t="str">
        <f>IF(Data_LoonkostenVastVrij208="","",Data_LoonkostenVastVrij208)</f>
        <v/>
      </c>
      <c r="BH231" s="41"/>
      <c r="BI231" s="76" t="str">
        <f>IF(Data_PersoonAanUitVastVrij208=-1,"v","")</f>
        <v/>
      </c>
      <c r="BJ231" s="41"/>
      <c r="BK231" s="76" t="s">
        <v>160</v>
      </c>
      <c r="BL231" s="41"/>
      <c r="BM231" s="41"/>
      <c r="BN231" s="41"/>
      <c r="BO231" s="41"/>
      <c r="BP231" s="41">
        <f t="shared" si="27"/>
        <v>0</v>
      </c>
      <c r="BQ231" s="77">
        <f t="shared" si="28"/>
        <v>0</v>
      </c>
      <c r="BS231" s="81" t="str">
        <f>IF(Data_NaamPersoonVastOntslag208="","",Data_NaamPersoonVastOntslag208)</f>
        <v/>
      </c>
      <c r="BV231" s="83" t="str">
        <f>IF(Data_BeeindigingsdatumVastOntslag208="","",Data_BeeindigingsdatumVastOntslag208)</f>
        <v/>
      </c>
      <c r="BY231" s="82" t="str">
        <f>IF(Data_LoonkostenVastOntslag208="","",Data_LoonkostenVastOntslag208)</f>
        <v/>
      </c>
      <c r="CA231" s="76" t="str">
        <f>IF(Data_PersoonAanUitVastOntslag208=-1,"v","")</f>
        <v/>
      </c>
      <c r="CB231" s="41"/>
      <c r="CC231" s="76" t="s">
        <v>160</v>
      </c>
      <c r="CD231" s="41"/>
      <c r="CE231" s="41"/>
      <c r="CF231" s="41"/>
      <c r="CG231" s="41"/>
      <c r="CH231" s="41">
        <f t="shared" si="31"/>
        <v>0</v>
      </c>
      <c r="CI231" s="41">
        <f t="shared" si="29"/>
        <v>0</v>
      </c>
    </row>
    <row r="232" spans="8:87" x14ac:dyDescent="0.25">
      <c r="H232" s="81" t="str">
        <f>IF(Data_NaamPersoonNatVerloop209="","",Data_NaamPersoonNatVerloop209)</f>
        <v/>
      </c>
      <c r="I232" s="41"/>
      <c r="J232" s="41"/>
      <c r="K232" s="83" t="str">
        <f>IF(Data_BeeindigingsdatumNatVerloop209="","",Data_BeeindigingsdatumNatVerloop209)</f>
        <v/>
      </c>
      <c r="L232" s="41"/>
      <c r="M232" s="41"/>
      <c r="N232" s="82" t="str">
        <f>IF(Data_LoonkostenNatVerloop209="","",Data_LoonkostenNatVerloop209)</f>
        <v/>
      </c>
      <c r="O232" s="41"/>
      <c r="P232" s="276" t="s">
        <v>160</v>
      </c>
      <c r="Q232" s="41"/>
      <c r="R232" s="76" t="s">
        <v>160</v>
      </c>
      <c r="S232" s="41"/>
      <c r="T232" s="41"/>
      <c r="U232" s="41"/>
      <c r="V232" s="41"/>
      <c r="W232" s="41">
        <f t="shared" si="24"/>
        <v>0</v>
      </c>
      <c r="X232" s="77" t="str">
        <f t="shared" si="30"/>
        <v/>
      </c>
      <c r="AG232" s="81" t="str">
        <f>IF(Data_NaamPersoonTijd209="","",Data_NaamPersoonTijd209)</f>
        <v/>
      </c>
      <c r="AH232" s="41"/>
      <c r="AI232" s="41"/>
      <c r="AJ232" s="83" t="str">
        <f>IF(Data_BeeindigingsdatumTijd209="","",Data_BeeindigingsdatumTijd209)</f>
        <v/>
      </c>
      <c r="AK232" s="41"/>
      <c r="AL232" s="41"/>
      <c r="AM232" s="82" t="str">
        <f>IF(Data_LoonkostenTijd209="","",Data_LoonkostenTijd209)</f>
        <v/>
      </c>
      <c r="AN232" s="41"/>
      <c r="AO232" s="276" t="str">
        <f>IF(Data_PersoonAanUitTijd209=-1,"v","")</f>
        <v/>
      </c>
      <c r="AP232" s="41"/>
      <c r="AQ232" s="76" t="s">
        <v>160</v>
      </c>
      <c r="AR232" s="41"/>
      <c r="AS232" s="41"/>
      <c r="AT232" s="41"/>
      <c r="AU232" s="41"/>
      <c r="AV232" s="41">
        <f t="shared" si="25"/>
        <v>0</v>
      </c>
      <c r="AW232" s="77">
        <f t="shared" si="26"/>
        <v>0</v>
      </c>
      <c r="AX232" s="41"/>
      <c r="AY232" s="41"/>
      <c r="AZ232" s="41"/>
      <c r="BA232" s="81" t="str">
        <f>IF(Data_NaamPersoonVastVrij209="","",Data_NaamPersoonVastVrij209)</f>
        <v/>
      </c>
      <c r="BB232" s="41"/>
      <c r="BC232" s="41"/>
      <c r="BD232" s="83" t="str">
        <f>IF(Data_BeeindigingsdatumVastVrij209="","",Data_BeeindigingsdatumVastVrij209)</f>
        <v/>
      </c>
      <c r="BE232" s="41"/>
      <c r="BF232" s="41"/>
      <c r="BG232" s="82" t="str">
        <f>IF(Data_LoonkostenVastVrij209="","",Data_LoonkostenVastVrij209)</f>
        <v/>
      </c>
      <c r="BH232" s="41"/>
      <c r="BI232" s="76" t="str">
        <f>IF(Data_PersoonAanUitVastVrij209=-1,"v","")</f>
        <v/>
      </c>
      <c r="BJ232" s="41"/>
      <c r="BK232" s="76" t="s">
        <v>160</v>
      </c>
      <c r="BL232" s="41"/>
      <c r="BM232" s="41"/>
      <c r="BN232" s="41"/>
      <c r="BO232" s="41"/>
      <c r="BP232" s="41">
        <f t="shared" si="27"/>
        <v>0</v>
      </c>
      <c r="BQ232" s="77">
        <f t="shared" si="28"/>
        <v>0</v>
      </c>
      <c r="BS232" s="81" t="str">
        <f>IF(Data_NaamPersoonVastOntslag209="","",Data_NaamPersoonVastOntslag209)</f>
        <v/>
      </c>
      <c r="BV232" s="83" t="str">
        <f>IF(Data_BeeindigingsdatumVastOntslag209="","",Data_BeeindigingsdatumVastOntslag209)</f>
        <v/>
      </c>
      <c r="BY232" s="82" t="str">
        <f>IF(Data_LoonkostenVastOntslag209="","",Data_LoonkostenVastOntslag209)</f>
        <v/>
      </c>
      <c r="CA232" s="76" t="str">
        <f>IF(Data_PersoonAanUitVastOntslag209=-1,"v","")</f>
        <v/>
      </c>
      <c r="CB232" s="41"/>
      <c r="CC232" s="76" t="s">
        <v>160</v>
      </c>
      <c r="CD232" s="41"/>
      <c r="CE232" s="41"/>
      <c r="CF232" s="41"/>
      <c r="CG232" s="41"/>
      <c r="CH232" s="41">
        <f t="shared" si="31"/>
        <v>0</v>
      </c>
      <c r="CI232" s="41">
        <f t="shared" si="29"/>
        <v>0</v>
      </c>
    </row>
    <row r="233" spans="8:87" x14ac:dyDescent="0.25">
      <c r="H233" s="81" t="str">
        <f>IF(Data_NaamPersoonNatVerloop210="","",Data_NaamPersoonNatVerloop210)</f>
        <v/>
      </c>
      <c r="I233" s="41"/>
      <c r="J233" s="41"/>
      <c r="K233" s="83" t="str">
        <f>IF(Data_BeeindigingsdatumNatVerloop210="","",Data_BeeindigingsdatumNatVerloop210)</f>
        <v/>
      </c>
      <c r="L233" s="41"/>
      <c r="M233" s="41"/>
      <c r="N233" s="82" t="str">
        <f>IF(Data_LoonkostenNatVerloop210="","",Data_LoonkostenNatVerloop210)</f>
        <v/>
      </c>
      <c r="O233" s="41"/>
      <c r="P233" s="276" t="s">
        <v>160</v>
      </c>
      <c r="Q233" s="41"/>
      <c r="R233" s="76" t="s">
        <v>160</v>
      </c>
      <c r="S233" s="41"/>
      <c r="T233" s="41"/>
      <c r="U233" s="41"/>
      <c r="V233" s="41"/>
      <c r="W233" s="41">
        <f t="shared" si="24"/>
        <v>0</v>
      </c>
      <c r="X233" s="77" t="str">
        <f t="shared" si="30"/>
        <v/>
      </c>
      <c r="AG233" s="81" t="str">
        <f>IF(Data_NaamPersoonTijd210="","",Data_NaamPersoonTijd210)</f>
        <v/>
      </c>
      <c r="AH233" s="41"/>
      <c r="AI233" s="41"/>
      <c r="AJ233" s="83" t="str">
        <f>IF(Data_BeeindigingsdatumTijd210="","",Data_BeeindigingsdatumTijd210)</f>
        <v/>
      </c>
      <c r="AK233" s="41"/>
      <c r="AL233" s="41"/>
      <c r="AM233" s="82" t="str">
        <f>IF(Data_LoonkostenTijd210="","",Data_LoonkostenTijd210)</f>
        <v/>
      </c>
      <c r="AN233" s="41"/>
      <c r="AO233" s="276" t="str">
        <f>IF(Data_PersoonAanUitTijd210=-1,"v","")</f>
        <v/>
      </c>
      <c r="AP233" s="41"/>
      <c r="AQ233" s="76" t="s">
        <v>160</v>
      </c>
      <c r="AR233" s="41"/>
      <c r="AS233" s="41"/>
      <c r="AT233" s="41"/>
      <c r="AU233" s="41"/>
      <c r="AV233" s="41">
        <f t="shared" si="25"/>
        <v>0</v>
      </c>
      <c r="AW233" s="77">
        <f t="shared" si="26"/>
        <v>0</v>
      </c>
      <c r="AX233" s="41"/>
      <c r="AY233" s="41"/>
      <c r="AZ233" s="41"/>
      <c r="BA233" s="81" t="str">
        <f>IF(Data_NaamPersoonVastVrij210="","",Data_NaamPersoonVastVrij210)</f>
        <v/>
      </c>
      <c r="BB233" s="41"/>
      <c r="BC233" s="41"/>
      <c r="BD233" s="83" t="str">
        <f>IF(Data_BeeindigingsdatumVastVrij210="","",Data_BeeindigingsdatumVastVrij210)</f>
        <v/>
      </c>
      <c r="BE233" s="41"/>
      <c r="BF233" s="41"/>
      <c r="BG233" s="82" t="str">
        <f>IF(Data_LoonkostenVastVrij210="","",Data_LoonkostenVastVrij210)</f>
        <v/>
      </c>
      <c r="BH233" s="41"/>
      <c r="BI233" s="76" t="str">
        <f>IF(Data_PersoonAanUitVastVrij210=-1,"v","")</f>
        <v/>
      </c>
      <c r="BJ233" s="41"/>
      <c r="BK233" s="76" t="s">
        <v>160</v>
      </c>
      <c r="BL233" s="41"/>
      <c r="BM233" s="41"/>
      <c r="BN233" s="41"/>
      <c r="BO233" s="41"/>
      <c r="BP233" s="41">
        <f t="shared" si="27"/>
        <v>0</v>
      </c>
      <c r="BQ233" s="77">
        <f t="shared" si="28"/>
        <v>0</v>
      </c>
      <c r="BS233" s="81" t="str">
        <f>IF(Data_NaamPersoonVastOntslag210="","",Data_NaamPersoonVastOntslag210)</f>
        <v/>
      </c>
      <c r="BV233" s="83" t="str">
        <f>IF(Data_BeeindigingsdatumVastOntslag210="","",Data_BeeindigingsdatumVastOntslag210)</f>
        <v/>
      </c>
      <c r="BY233" s="82" t="str">
        <f>IF(Data_LoonkostenVastOntslag210="","",Data_LoonkostenVastOntslag210)</f>
        <v/>
      </c>
      <c r="CA233" s="76" t="str">
        <f>IF(Data_PersoonAanUitVastOntslag210=-1,"v","")</f>
        <v/>
      </c>
      <c r="CB233" s="41"/>
      <c r="CC233" s="76" t="s">
        <v>160</v>
      </c>
      <c r="CD233" s="41"/>
      <c r="CE233" s="41"/>
      <c r="CF233" s="41"/>
      <c r="CG233" s="41"/>
      <c r="CH233" s="41">
        <f t="shared" si="31"/>
        <v>0</v>
      </c>
      <c r="CI233" s="41">
        <f t="shared" si="29"/>
        <v>0</v>
      </c>
    </row>
    <row r="234" spans="8:87" x14ac:dyDescent="0.25">
      <c r="H234" s="81" t="str">
        <f>IF(Data_NaamPersoonNatVerloop211="","",Data_NaamPersoonNatVerloop211)</f>
        <v/>
      </c>
      <c r="I234" s="41"/>
      <c r="J234" s="41"/>
      <c r="K234" s="83" t="str">
        <f>IF(Data_BeeindigingsdatumNatVerloop211="","",Data_BeeindigingsdatumNatVerloop211)</f>
        <v/>
      </c>
      <c r="L234" s="41"/>
      <c r="M234" s="41"/>
      <c r="N234" s="82" t="str">
        <f>IF(Data_LoonkostenNatVerloop211="","",Data_LoonkostenNatVerloop211)</f>
        <v/>
      </c>
      <c r="O234" s="41"/>
      <c r="P234" s="276" t="s">
        <v>160</v>
      </c>
      <c r="Q234" s="41"/>
      <c r="R234" s="76" t="s">
        <v>160</v>
      </c>
      <c r="S234" s="41"/>
      <c r="T234" s="41"/>
      <c r="U234" s="41"/>
      <c r="V234" s="41"/>
      <c r="W234" s="41">
        <f t="shared" si="24"/>
        <v>0</v>
      </c>
      <c r="X234" s="77" t="str">
        <f t="shared" si="30"/>
        <v/>
      </c>
      <c r="AG234" s="81" t="str">
        <f>IF(Data_NaamPersoonTijd211="","",Data_NaamPersoonTijd211)</f>
        <v/>
      </c>
      <c r="AH234" s="41"/>
      <c r="AI234" s="41"/>
      <c r="AJ234" s="83" t="str">
        <f>IF(Data_BeeindigingsdatumTijd211="","",Data_BeeindigingsdatumTijd211)</f>
        <v/>
      </c>
      <c r="AK234" s="41"/>
      <c r="AL234" s="41"/>
      <c r="AM234" s="82" t="str">
        <f>IF(Data_LoonkostenTijd211="","",Data_LoonkostenTijd211)</f>
        <v/>
      </c>
      <c r="AN234" s="41"/>
      <c r="AO234" s="276" t="str">
        <f>IF(Data_PersoonAanUitTijd211=-1,"v","")</f>
        <v/>
      </c>
      <c r="AP234" s="41"/>
      <c r="AQ234" s="76" t="s">
        <v>160</v>
      </c>
      <c r="AR234" s="41"/>
      <c r="AS234" s="41"/>
      <c r="AT234" s="41"/>
      <c r="AU234" s="41"/>
      <c r="AV234" s="41">
        <f t="shared" si="25"/>
        <v>0</v>
      </c>
      <c r="AW234" s="77">
        <f t="shared" si="26"/>
        <v>0</v>
      </c>
      <c r="AX234" s="41"/>
      <c r="AY234" s="41"/>
      <c r="AZ234" s="41"/>
      <c r="BA234" s="81" t="str">
        <f>IF(Data_NaamPersoonVastVrij211="","",Data_NaamPersoonVastVrij211)</f>
        <v/>
      </c>
      <c r="BB234" s="41"/>
      <c r="BC234" s="41"/>
      <c r="BD234" s="83" t="str">
        <f>IF(Data_BeeindigingsdatumVastVrij211="","",Data_BeeindigingsdatumVastVrij211)</f>
        <v/>
      </c>
      <c r="BE234" s="41"/>
      <c r="BF234" s="41"/>
      <c r="BG234" s="82" t="str">
        <f>IF(Data_LoonkostenVastVrij211="","",Data_LoonkostenVastVrij211)</f>
        <v/>
      </c>
      <c r="BH234" s="41"/>
      <c r="BI234" s="76" t="str">
        <f>IF(Data_PersoonAanUitVastVrij211=-1,"v","")</f>
        <v/>
      </c>
      <c r="BJ234" s="41"/>
      <c r="BK234" s="76" t="s">
        <v>160</v>
      </c>
      <c r="BL234" s="41"/>
      <c r="BM234" s="41"/>
      <c r="BN234" s="41"/>
      <c r="BO234" s="41"/>
      <c r="BP234" s="41">
        <f t="shared" si="27"/>
        <v>0</v>
      </c>
      <c r="BQ234" s="77">
        <f t="shared" si="28"/>
        <v>0</v>
      </c>
      <c r="BS234" s="81" t="str">
        <f>IF(Data_NaamPersoonVastOntslag211="","",Data_NaamPersoonVastOntslag211)</f>
        <v/>
      </c>
      <c r="BV234" s="83" t="str">
        <f>IF(Data_BeeindigingsdatumVastOntslag211="","",Data_BeeindigingsdatumVastOntslag211)</f>
        <v/>
      </c>
      <c r="BY234" s="82" t="str">
        <f>IF(Data_LoonkostenVastOntslag211="","",Data_LoonkostenVastOntslag211)</f>
        <v/>
      </c>
      <c r="CA234" s="76" t="str">
        <f>IF(Data_PersoonAanUitVastOntslag211=-1,"v","")</f>
        <v/>
      </c>
      <c r="CB234" s="41"/>
      <c r="CC234" s="76" t="s">
        <v>160</v>
      </c>
      <c r="CD234" s="41"/>
      <c r="CE234" s="41"/>
      <c r="CF234" s="41"/>
      <c r="CG234" s="41"/>
      <c r="CH234" s="41">
        <f t="shared" si="31"/>
        <v>0</v>
      </c>
      <c r="CI234" s="41">
        <f t="shared" si="29"/>
        <v>0</v>
      </c>
    </row>
    <row r="235" spans="8:87" x14ac:dyDescent="0.25">
      <c r="H235" s="81" t="str">
        <f>IF(Data_NaamPersoonNatVerloop212="","",Data_NaamPersoonNatVerloop212)</f>
        <v/>
      </c>
      <c r="I235" s="41"/>
      <c r="J235" s="41"/>
      <c r="K235" s="83" t="str">
        <f>IF(Data_BeeindigingsdatumNatVerloop212="","",Data_BeeindigingsdatumNatVerloop212)</f>
        <v/>
      </c>
      <c r="L235" s="41"/>
      <c r="M235" s="41"/>
      <c r="N235" s="82" t="str">
        <f>IF(Data_LoonkostenNatVerloop212="","",Data_LoonkostenNatVerloop212)</f>
        <v/>
      </c>
      <c r="O235" s="41"/>
      <c r="P235" s="276" t="s">
        <v>160</v>
      </c>
      <c r="Q235" s="41"/>
      <c r="R235" s="76" t="s">
        <v>160</v>
      </c>
      <c r="S235" s="41"/>
      <c r="T235" s="41"/>
      <c r="U235" s="41"/>
      <c r="V235" s="41"/>
      <c r="W235" s="41">
        <f t="shared" si="24"/>
        <v>0</v>
      </c>
      <c r="X235" s="77" t="str">
        <f t="shared" si="30"/>
        <v/>
      </c>
      <c r="AG235" s="81" t="str">
        <f>IF(Data_NaamPersoonTijd212="","",Data_NaamPersoonTijd212)</f>
        <v/>
      </c>
      <c r="AH235" s="41"/>
      <c r="AI235" s="41"/>
      <c r="AJ235" s="83" t="str">
        <f>IF(Data_BeeindigingsdatumTijd212="","",Data_BeeindigingsdatumTijd212)</f>
        <v/>
      </c>
      <c r="AK235" s="41"/>
      <c r="AL235" s="41"/>
      <c r="AM235" s="82" t="str">
        <f>IF(Data_LoonkostenTijd212="","",Data_LoonkostenTijd212)</f>
        <v/>
      </c>
      <c r="AN235" s="41"/>
      <c r="AO235" s="276" t="str">
        <f>IF(Data_PersoonAanUitTijd212=-1,"v","")</f>
        <v/>
      </c>
      <c r="AP235" s="41"/>
      <c r="AQ235" s="76" t="s">
        <v>160</v>
      </c>
      <c r="AR235" s="41"/>
      <c r="AS235" s="41"/>
      <c r="AT235" s="41"/>
      <c r="AU235" s="41"/>
      <c r="AV235" s="41">
        <f t="shared" si="25"/>
        <v>0</v>
      </c>
      <c r="AW235" s="77">
        <f t="shared" si="26"/>
        <v>0</v>
      </c>
      <c r="AX235" s="41"/>
      <c r="AY235" s="41"/>
      <c r="AZ235" s="41"/>
      <c r="BA235" s="81" t="str">
        <f>IF(Data_NaamPersoonVastVrij212="","",Data_NaamPersoonVastVrij212)</f>
        <v/>
      </c>
      <c r="BB235" s="41"/>
      <c r="BC235" s="41"/>
      <c r="BD235" s="83" t="str">
        <f>IF(Data_BeeindigingsdatumVastVrij212="","",Data_BeeindigingsdatumVastVrij212)</f>
        <v/>
      </c>
      <c r="BE235" s="41"/>
      <c r="BF235" s="41"/>
      <c r="BG235" s="82" t="str">
        <f>IF(Data_LoonkostenVastVrij212="","",Data_LoonkostenVastVrij212)</f>
        <v/>
      </c>
      <c r="BH235" s="41"/>
      <c r="BI235" s="76" t="str">
        <f>IF(Data_PersoonAanUitVastVrij212=-1,"v","")</f>
        <v/>
      </c>
      <c r="BJ235" s="41"/>
      <c r="BK235" s="76" t="s">
        <v>160</v>
      </c>
      <c r="BL235" s="41"/>
      <c r="BM235" s="41"/>
      <c r="BN235" s="41"/>
      <c r="BO235" s="41"/>
      <c r="BP235" s="41">
        <f t="shared" si="27"/>
        <v>0</v>
      </c>
      <c r="BQ235" s="77">
        <f t="shared" si="28"/>
        <v>0</v>
      </c>
      <c r="BS235" s="81" t="str">
        <f>IF(Data_NaamPersoonVastOntslag212="","",Data_NaamPersoonVastOntslag212)</f>
        <v/>
      </c>
      <c r="BV235" s="83" t="str">
        <f>IF(Data_BeeindigingsdatumVastOntslag212="","",Data_BeeindigingsdatumVastOntslag212)</f>
        <v/>
      </c>
      <c r="BY235" s="82" t="str">
        <f>IF(Data_LoonkostenVastOntslag212="","",Data_LoonkostenVastOntslag212)</f>
        <v/>
      </c>
      <c r="CA235" s="76" t="str">
        <f>IF(Data_PersoonAanUitVastOntslag212=-1,"v","")</f>
        <v/>
      </c>
      <c r="CB235" s="41"/>
      <c r="CC235" s="76" t="s">
        <v>160</v>
      </c>
      <c r="CD235" s="41"/>
      <c r="CE235" s="41"/>
      <c r="CF235" s="41"/>
      <c r="CG235" s="41"/>
      <c r="CH235" s="41">
        <f t="shared" si="31"/>
        <v>0</v>
      </c>
      <c r="CI235" s="41">
        <f t="shared" si="29"/>
        <v>0</v>
      </c>
    </row>
    <row r="236" spans="8:87" x14ac:dyDescent="0.25">
      <c r="H236" s="81" t="str">
        <f>IF(Data_NaamPersoonNatVerloop213="","",Data_NaamPersoonNatVerloop213)</f>
        <v/>
      </c>
      <c r="I236" s="41"/>
      <c r="J236" s="41"/>
      <c r="K236" s="83" t="str">
        <f>IF(Data_BeeindigingsdatumNatVerloop213="","",Data_BeeindigingsdatumNatVerloop213)</f>
        <v/>
      </c>
      <c r="L236" s="41"/>
      <c r="M236" s="41"/>
      <c r="N236" s="82" t="str">
        <f>IF(Data_LoonkostenNatVerloop213="","",Data_LoonkostenNatVerloop213)</f>
        <v/>
      </c>
      <c r="O236" s="41"/>
      <c r="P236" s="276" t="s">
        <v>160</v>
      </c>
      <c r="Q236" s="41"/>
      <c r="R236" s="76" t="s">
        <v>160</v>
      </c>
      <c r="S236" s="41"/>
      <c r="T236" s="41"/>
      <c r="U236" s="41"/>
      <c r="V236" s="41"/>
      <c r="W236" s="41">
        <f t="shared" si="24"/>
        <v>0</v>
      </c>
      <c r="X236" s="77" t="str">
        <f t="shared" si="30"/>
        <v/>
      </c>
      <c r="AG236" s="81" t="str">
        <f>IF(Data_NaamPersoonTijd213="","",Data_NaamPersoonTijd213)</f>
        <v/>
      </c>
      <c r="AH236" s="41"/>
      <c r="AI236" s="41"/>
      <c r="AJ236" s="83" t="str">
        <f>IF(Data_BeeindigingsdatumTijd213="","",Data_BeeindigingsdatumTijd213)</f>
        <v/>
      </c>
      <c r="AK236" s="41"/>
      <c r="AL236" s="41"/>
      <c r="AM236" s="82" t="str">
        <f>IF(Data_LoonkostenTijd213="","",Data_LoonkostenTijd213)</f>
        <v/>
      </c>
      <c r="AN236" s="41"/>
      <c r="AO236" s="276" t="str">
        <f>IF(Data_PersoonAanUitTijd213=-1,"v","")</f>
        <v/>
      </c>
      <c r="AP236" s="41"/>
      <c r="AQ236" s="76" t="s">
        <v>160</v>
      </c>
      <c r="AR236" s="41"/>
      <c r="AS236" s="41"/>
      <c r="AT236" s="41"/>
      <c r="AU236" s="41"/>
      <c r="AV236" s="41">
        <f t="shared" si="25"/>
        <v>0</v>
      </c>
      <c r="AW236" s="77">
        <f t="shared" si="26"/>
        <v>0</v>
      </c>
      <c r="AX236" s="41"/>
      <c r="AY236" s="41"/>
      <c r="AZ236" s="41"/>
      <c r="BA236" s="81" t="str">
        <f>IF(Data_NaamPersoonVastVrij213="","",Data_NaamPersoonVastVrij213)</f>
        <v/>
      </c>
      <c r="BB236" s="41"/>
      <c r="BC236" s="41"/>
      <c r="BD236" s="83" t="str">
        <f>IF(Data_BeeindigingsdatumVastVrij213="","",Data_BeeindigingsdatumVastVrij213)</f>
        <v/>
      </c>
      <c r="BE236" s="41"/>
      <c r="BF236" s="41"/>
      <c r="BG236" s="82" t="str">
        <f>IF(Data_LoonkostenVastVrij213="","",Data_LoonkostenVastVrij213)</f>
        <v/>
      </c>
      <c r="BH236" s="41"/>
      <c r="BI236" s="76" t="str">
        <f>IF(Data_PersoonAanUitVastVrij213=-1,"v","")</f>
        <v/>
      </c>
      <c r="BJ236" s="41"/>
      <c r="BK236" s="76" t="s">
        <v>160</v>
      </c>
      <c r="BL236" s="41"/>
      <c r="BM236" s="41"/>
      <c r="BN236" s="41"/>
      <c r="BO236" s="41"/>
      <c r="BP236" s="41">
        <f t="shared" si="27"/>
        <v>0</v>
      </c>
      <c r="BQ236" s="77">
        <f t="shared" si="28"/>
        <v>0</v>
      </c>
      <c r="BS236" s="81" t="str">
        <f>IF(Data_NaamPersoonVastOntslag213="","",Data_NaamPersoonVastOntslag213)</f>
        <v/>
      </c>
      <c r="BV236" s="83" t="str">
        <f>IF(Data_BeeindigingsdatumVastOntslag213="","",Data_BeeindigingsdatumVastOntslag213)</f>
        <v/>
      </c>
      <c r="BY236" s="82" t="str">
        <f>IF(Data_LoonkostenVastOntslag213="","",Data_LoonkostenVastOntslag213)</f>
        <v/>
      </c>
      <c r="CA236" s="76" t="str">
        <f>IF(Data_PersoonAanUitVastOntslag213=-1,"v","")</f>
        <v/>
      </c>
      <c r="CB236" s="41"/>
      <c r="CC236" s="76" t="s">
        <v>160</v>
      </c>
      <c r="CD236" s="41"/>
      <c r="CE236" s="41"/>
      <c r="CF236" s="41"/>
      <c r="CG236" s="41"/>
      <c r="CH236" s="41">
        <f t="shared" si="31"/>
        <v>0</v>
      </c>
      <c r="CI236" s="41">
        <f t="shared" si="29"/>
        <v>0</v>
      </c>
    </row>
    <row r="237" spans="8:87" x14ac:dyDescent="0.25">
      <c r="H237" s="81" t="str">
        <f>IF(Data_NaamPersoonNatVerloop214="","",Data_NaamPersoonNatVerloop214)</f>
        <v/>
      </c>
      <c r="I237" s="41"/>
      <c r="J237" s="41"/>
      <c r="K237" s="83" t="str">
        <f>IF(Data_BeeindigingsdatumNatVerloop214="","",Data_BeeindigingsdatumNatVerloop214)</f>
        <v/>
      </c>
      <c r="L237" s="41"/>
      <c r="M237" s="41"/>
      <c r="N237" s="82" t="str">
        <f>IF(Data_LoonkostenNatVerloop214="","",Data_LoonkostenNatVerloop214)</f>
        <v/>
      </c>
      <c r="O237" s="41"/>
      <c r="P237" s="276" t="s">
        <v>160</v>
      </c>
      <c r="Q237" s="41"/>
      <c r="R237" s="76" t="s">
        <v>160</v>
      </c>
      <c r="S237" s="41"/>
      <c r="T237" s="41"/>
      <c r="U237" s="41"/>
      <c r="V237" s="41"/>
      <c r="W237" s="41">
        <f t="shared" si="24"/>
        <v>0</v>
      </c>
      <c r="X237" s="77" t="str">
        <f t="shared" si="30"/>
        <v/>
      </c>
      <c r="AG237" s="81" t="str">
        <f>IF(Data_NaamPersoonTijd214="","",Data_NaamPersoonTijd214)</f>
        <v/>
      </c>
      <c r="AH237" s="41"/>
      <c r="AI237" s="41"/>
      <c r="AJ237" s="83" t="str">
        <f>IF(Data_BeeindigingsdatumTijd214="","",Data_BeeindigingsdatumTijd214)</f>
        <v/>
      </c>
      <c r="AK237" s="41"/>
      <c r="AL237" s="41"/>
      <c r="AM237" s="82" t="str">
        <f>IF(Data_LoonkostenTijd214="","",Data_LoonkostenTijd214)</f>
        <v/>
      </c>
      <c r="AN237" s="41"/>
      <c r="AO237" s="276" t="str">
        <f>IF(Data_PersoonAanUitTijd214=-1,"v","")</f>
        <v/>
      </c>
      <c r="AP237" s="41"/>
      <c r="AQ237" s="76" t="s">
        <v>160</v>
      </c>
      <c r="AR237" s="41"/>
      <c r="AS237" s="41"/>
      <c r="AT237" s="41"/>
      <c r="AU237" s="41"/>
      <c r="AV237" s="41">
        <f t="shared" si="25"/>
        <v>0</v>
      </c>
      <c r="AW237" s="77">
        <f t="shared" si="26"/>
        <v>0</v>
      </c>
      <c r="AX237" s="41"/>
      <c r="AY237" s="41"/>
      <c r="AZ237" s="41"/>
      <c r="BA237" s="81" t="str">
        <f>IF(Data_NaamPersoonVastVrij214="","",Data_NaamPersoonVastVrij214)</f>
        <v/>
      </c>
      <c r="BB237" s="41"/>
      <c r="BC237" s="41"/>
      <c r="BD237" s="83" t="str">
        <f>IF(Data_BeeindigingsdatumVastVrij214="","",Data_BeeindigingsdatumVastVrij214)</f>
        <v/>
      </c>
      <c r="BE237" s="41"/>
      <c r="BF237" s="41"/>
      <c r="BG237" s="82" t="str">
        <f>IF(Data_LoonkostenVastVrij214="","",Data_LoonkostenVastVrij214)</f>
        <v/>
      </c>
      <c r="BH237" s="41"/>
      <c r="BI237" s="76" t="str">
        <f>IF(Data_PersoonAanUitVastVrij214=-1,"v","")</f>
        <v/>
      </c>
      <c r="BJ237" s="41"/>
      <c r="BK237" s="76" t="s">
        <v>160</v>
      </c>
      <c r="BL237" s="41"/>
      <c r="BM237" s="41"/>
      <c r="BN237" s="41"/>
      <c r="BO237" s="41"/>
      <c r="BP237" s="41">
        <f t="shared" si="27"/>
        <v>0</v>
      </c>
      <c r="BQ237" s="77">
        <f t="shared" si="28"/>
        <v>0</v>
      </c>
      <c r="BS237" s="81" t="str">
        <f>IF(Data_NaamPersoonVastOntslag214="","",Data_NaamPersoonVastOntslag214)</f>
        <v/>
      </c>
      <c r="BV237" s="83" t="str">
        <f>IF(Data_BeeindigingsdatumVastOntslag214="","",Data_BeeindigingsdatumVastOntslag214)</f>
        <v/>
      </c>
      <c r="BY237" s="82" t="str">
        <f>IF(Data_LoonkostenVastOntslag214="","",Data_LoonkostenVastOntslag214)</f>
        <v/>
      </c>
      <c r="CA237" s="76" t="str">
        <f>IF(Data_PersoonAanUitVastOntslag214=-1,"v","")</f>
        <v/>
      </c>
      <c r="CB237" s="41"/>
      <c r="CC237" s="76" t="s">
        <v>160</v>
      </c>
      <c r="CD237" s="41"/>
      <c r="CE237" s="41"/>
      <c r="CF237" s="41"/>
      <c r="CG237" s="41"/>
      <c r="CH237" s="41">
        <f t="shared" si="31"/>
        <v>0</v>
      </c>
      <c r="CI237" s="41">
        <f t="shared" si="29"/>
        <v>0</v>
      </c>
    </row>
    <row r="238" spans="8:87" x14ac:dyDescent="0.25">
      <c r="H238" s="81" t="str">
        <f>IF(Data_NaamPersoonNatVerloop215="","",Data_NaamPersoonNatVerloop215)</f>
        <v/>
      </c>
      <c r="I238" s="41"/>
      <c r="J238" s="41"/>
      <c r="K238" s="83" t="str">
        <f>IF(Data_BeeindigingsdatumNatVerloop215="","",Data_BeeindigingsdatumNatVerloop215)</f>
        <v/>
      </c>
      <c r="L238" s="41"/>
      <c r="M238" s="41"/>
      <c r="N238" s="82" t="str">
        <f>IF(Data_LoonkostenNatVerloop215="","",Data_LoonkostenNatVerloop215)</f>
        <v/>
      </c>
      <c r="O238" s="41"/>
      <c r="P238" s="276" t="s">
        <v>160</v>
      </c>
      <c r="Q238" s="41"/>
      <c r="R238" s="76" t="s">
        <v>160</v>
      </c>
      <c r="S238" s="41"/>
      <c r="T238" s="41"/>
      <c r="U238" s="41"/>
      <c r="V238" s="41"/>
      <c r="W238" s="41">
        <f t="shared" si="24"/>
        <v>0</v>
      </c>
      <c r="X238" s="77" t="str">
        <f t="shared" si="30"/>
        <v/>
      </c>
      <c r="AG238" s="81" t="str">
        <f>IF(Data_NaamPersoonTijd215="","",Data_NaamPersoonTijd215)</f>
        <v/>
      </c>
      <c r="AH238" s="41"/>
      <c r="AI238" s="41"/>
      <c r="AJ238" s="83" t="str">
        <f>IF(Data_BeeindigingsdatumTijd215="","",Data_BeeindigingsdatumTijd215)</f>
        <v/>
      </c>
      <c r="AK238" s="41"/>
      <c r="AL238" s="41"/>
      <c r="AM238" s="82" t="str">
        <f>IF(Data_LoonkostenTijd215="","",Data_LoonkostenTijd215)</f>
        <v/>
      </c>
      <c r="AN238" s="41"/>
      <c r="AO238" s="276" t="str">
        <f>IF(Data_PersoonAanUitTijd215=-1,"v","")</f>
        <v/>
      </c>
      <c r="AP238" s="41"/>
      <c r="AQ238" s="76" t="s">
        <v>160</v>
      </c>
      <c r="AR238" s="41"/>
      <c r="AS238" s="41"/>
      <c r="AT238" s="41"/>
      <c r="AU238" s="41"/>
      <c r="AV238" s="41">
        <f t="shared" si="25"/>
        <v>0</v>
      </c>
      <c r="AW238" s="77">
        <f t="shared" si="26"/>
        <v>0</v>
      </c>
      <c r="AX238" s="41"/>
      <c r="AY238" s="41"/>
      <c r="AZ238" s="41"/>
      <c r="BA238" s="81" t="str">
        <f>IF(Data_NaamPersoonVastVrij215="","",Data_NaamPersoonVastVrij215)</f>
        <v/>
      </c>
      <c r="BB238" s="41"/>
      <c r="BC238" s="41"/>
      <c r="BD238" s="83" t="str">
        <f>IF(Data_BeeindigingsdatumVastVrij215="","",Data_BeeindigingsdatumVastVrij215)</f>
        <v/>
      </c>
      <c r="BE238" s="41"/>
      <c r="BF238" s="41"/>
      <c r="BG238" s="82" t="str">
        <f>IF(Data_LoonkostenVastVrij215="","",Data_LoonkostenVastVrij215)</f>
        <v/>
      </c>
      <c r="BH238" s="41"/>
      <c r="BI238" s="76" t="str">
        <f>IF(Data_PersoonAanUitVastVrij215=-1,"v","")</f>
        <v/>
      </c>
      <c r="BJ238" s="41"/>
      <c r="BK238" s="76" t="s">
        <v>160</v>
      </c>
      <c r="BL238" s="41"/>
      <c r="BM238" s="41"/>
      <c r="BN238" s="41"/>
      <c r="BO238" s="41"/>
      <c r="BP238" s="41">
        <f t="shared" si="27"/>
        <v>0</v>
      </c>
      <c r="BQ238" s="77">
        <f t="shared" si="28"/>
        <v>0</v>
      </c>
      <c r="BS238" s="81" t="str">
        <f>IF(Data_NaamPersoonVastOntslag215="","",Data_NaamPersoonVastOntslag215)</f>
        <v/>
      </c>
      <c r="BV238" s="83" t="str">
        <f>IF(Data_BeeindigingsdatumVastOntslag215="","",Data_BeeindigingsdatumVastOntslag215)</f>
        <v/>
      </c>
      <c r="BY238" s="82" t="str">
        <f>IF(Data_LoonkostenVastOntslag215="","",Data_LoonkostenVastOntslag215)</f>
        <v/>
      </c>
      <c r="CA238" s="76" t="str">
        <f>IF(Data_PersoonAanUitVastOntslag215=-1,"v","")</f>
        <v/>
      </c>
      <c r="CB238" s="41"/>
      <c r="CC238" s="76" t="s">
        <v>160</v>
      </c>
      <c r="CD238" s="41"/>
      <c r="CE238" s="41"/>
      <c r="CF238" s="41"/>
      <c r="CG238" s="41"/>
      <c r="CH238" s="41">
        <f t="shared" si="31"/>
        <v>0</v>
      </c>
      <c r="CI238" s="41">
        <f t="shared" si="29"/>
        <v>0</v>
      </c>
    </row>
    <row r="239" spans="8:87" x14ac:dyDescent="0.25">
      <c r="H239" s="81" t="str">
        <f>IF(Data_NaamPersoonNatVerloop216="","",Data_NaamPersoonNatVerloop216)</f>
        <v/>
      </c>
      <c r="I239" s="41"/>
      <c r="J239" s="41"/>
      <c r="K239" s="83" t="str">
        <f>IF(Data_BeeindigingsdatumNatVerloop216="","",Data_BeeindigingsdatumNatVerloop216)</f>
        <v/>
      </c>
      <c r="L239" s="41"/>
      <c r="M239" s="41"/>
      <c r="N239" s="82" t="str">
        <f>IF(Data_LoonkostenNatVerloop216="","",Data_LoonkostenNatVerloop216)</f>
        <v/>
      </c>
      <c r="O239" s="41"/>
      <c r="P239" s="276" t="s">
        <v>160</v>
      </c>
      <c r="Q239" s="41"/>
      <c r="R239" s="76" t="s">
        <v>160</v>
      </c>
      <c r="S239" s="41"/>
      <c r="T239" s="41"/>
      <c r="U239" s="41"/>
      <c r="V239" s="41"/>
      <c r="W239" s="41">
        <f t="shared" si="24"/>
        <v>0</v>
      </c>
      <c r="X239" s="77" t="str">
        <f t="shared" si="30"/>
        <v/>
      </c>
      <c r="AG239" s="81" t="str">
        <f>IF(Data_NaamPersoonTijd216="","",Data_NaamPersoonTijd216)</f>
        <v/>
      </c>
      <c r="AH239" s="41"/>
      <c r="AI239" s="41"/>
      <c r="AJ239" s="83" t="str">
        <f>IF(Data_BeeindigingsdatumTijd216="","",Data_BeeindigingsdatumTijd216)</f>
        <v/>
      </c>
      <c r="AK239" s="41"/>
      <c r="AL239" s="41"/>
      <c r="AM239" s="82" t="str">
        <f>IF(Data_LoonkostenTijd216="","",Data_LoonkostenTijd216)</f>
        <v/>
      </c>
      <c r="AN239" s="41"/>
      <c r="AO239" s="276" t="str">
        <f>IF(Data_PersoonAanUitTijd216=-1,"v","")</f>
        <v/>
      </c>
      <c r="AP239" s="41"/>
      <c r="AQ239" s="76" t="s">
        <v>160</v>
      </c>
      <c r="AR239" s="41"/>
      <c r="AS239" s="41"/>
      <c r="AT239" s="41"/>
      <c r="AU239" s="41"/>
      <c r="AV239" s="41">
        <f t="shared" si="25"/>
        <v>0</v>
      </c>
      <c r="AW239" s="77">
        <f t="shared" si="26"/>
        <v>0</v>
      </c>
      <c r="AX239" s="41"/>
      <c r="AY239" s="41"/>
      <c r="AZ239" s="41"/>
      <c r="BA239" s="81" t="str">
        <f>IF(Data_NaamPersoonVastVrij216="","",Data_NaamPersoonVastVrij216)</f>
        <v/>
      </c>
      <c r="BB239" s="41"/>
      <c r="BC239" s="41"/>
      <c r="BD239" s="83" t="str">
        <f>IF(Data_BeeindigingsdatumVastVrij216="","",Data_BeeindigingsdatumVastVrij216)</f>
        <v/>
      </c>
      <c r="BE239" s="41"/>
      <c r="BF239" s="41"/>
      <c r="BG239" s="82" t="str">
        <f>IF(Data_LoonkostenVastVrij216="","",Data_LoonkostenVastVrij216)</f>
        <v/>
      </c>
      <c r="BH239" s="41"/>
      <c r="BI239" s="76" t="str">
        <f>IF(Data_PersoonAanUitVastVrij216=-1,"v","")</f>
        <v/>
      </c>
      <c r="BJ239" s="41"/>
      <c r="BK239" s="76" t="s">
        <v>160</v>
      </c>
      <c r="BL239" s="41"/>
      <c r="BM239" s="41"/>
      <c r="BN239" s="41"/>
      <c r="BO239" s="41"/>
      <c r="BP239" s="41">
        <f t="shared" si="27"/>
        <v>0</v>
      </c>
      <c r="BQ239" s="77">
        <f t="shared" si="28"/>
        <v>0</v>
      </c>
      <c r="BS239" s="81" t="str">
        <f>IF(Data_NaamPersoonVastOntslag216="","",Data_NaamPersoonVastOntslag216)</f>
        <v/>
      </c>
      <c r="BV239" s="83" t="str">
        <f>IF(Data_BeeindigingsdatumVastOntslag216="","",Data_BeeindigingsdatumVastOntslag216)</f>
        <v/>
      </c>
      <c r="BY239" s="82" t="str">
        <f>IF(Data_LoonkostenVastOntslag216="","",Data_LoonkostenVastOntslag216)</f>
        <v/>
      </c>
      <c r="CA239" s="76" t="str">
        <f>IF(Data_PersoonAanUitVastOntslag216=-1,"v","")</f>
        <v/>
      </c>
      <c r="CB239" s="41"/>
      <c r="CC239" s="76" t="s">
        <v>160</v>
      </c>
      <c r="CD239" s="41"/>
      <c r="CE239" s="41"/>
      <c r="CF239" s="41"/>
      <c r="CG239" s="41"/>
      <c r="CH239" s="41">
        <f t="shared" si="31"/>
        <v>0</v>
      </c>
      <c r="CI239" s="41">
        <f t="shared" si="29"/>
        <v>0</v>
      </c>
    </row>
    <row r="240" spans="8:87" x14ac:dyDescent="0.25">
      <c r="H240" s="81" t="str">
        <f>IF(Data_NaamPersoonNatVerloop217="","",Data_NaamPersoonNatVerloop217)</f>
        <v/>
      </c>
      <c r="I240" s="41"/>
      <c r="J240" s="41"/>
      <c r="K240" s="83" t="str">
        <f>IF(Data_BeeindigingsdatumNatVerloop217="","",Data_BeeindigingsdatumNatVerloop217)</f>
        <v/>
      </c>
      <c r="L240" s="41"/>
      <c r="M240" s="41"/>
      <c r="N240" s="82" t="str">
        <f>IF(Data_LoonkostenNatVerloop217="","",Data_LoonkostenNatVerloop217)</f>
        <v/>
      </c>
      <c r="O240" s="41"/>
      <c r="P240" s="276" t="s">
        <v>160</v>
      </c>
      <c r="Q240" s="41"/>
      <c r="R240" s="76" t="s">
        <v>160</v>
      </c>
      <c r="S240" s="41"/>
      <c r="T240" s="41"/>
      <c r="U240" s="41"/>
      <c r="V240" s="41"/>
      <c r="W240" s="41">
        <f t="shared" si="24"/>
        <v>0</v>
      </c>
      <c r="X240" s="77" t="str">
        <f t="shared" si="30"/>
        <v/>
      </c>
      <c r="AG240" s="81" t="str">
        <f>IF(Data_NaamPersoonTijd217="","",Data_NaamPersoonTijd217)</f>
        <v/>
      </c>
      <c r="AH240" s="41"/>
      <c r="AI240" s="41"/>
      <c r="AJ240" s="83" t="str">
        <f>IF(Data_BeeindigingsdatumTijd217="","",Data_BeeindigingsdatumTijd217)</f>
        <v/>
      </c>
      <c r="AK240" s="41"/>
      <c r="AL240" s="41"/>
      <c r="AM240" s="82" t="str">
        <f>IF(Data_LoonkostenTijd217="","",Data_LoonkostenTijd217)</f>
        <v/>
      </c>
      <c r="AN240" s="41"/>
      <c r="AO240" s="276" t="str">
        <f>IF(Data_PersoonAanUitTijd217=-1,"v","")</f>
        <v/>
      </c>
      <c r="AP240" s="41"/>
      <c r="AQ240" s="76" t="s">
        <v>160</v>
      </c>
      <c r="AR240" s="41"/>
      <c r="AS240" s="41"/>
      <c r="AT240" s="41"/>
      <c r="AU240" s="41"/>
      <c r="AV240" s="41">
        <f t="shared" si="25"/>
        <v>0</v>
      </c>
      <c r="AW240" s="77">
        <f t="shared" si="26"/>
        <v>0</v>
      </c>
      <c r="AX240" s="41"/>
      <c r="AY240" s="41"/>
      <c r="AZ240" s="41"/>
      <c r="BA240" s="81" t="str">
        <f>IF(Data_NaamPersoonVastVrij217="","",Data_NaamPersoonVastVrij217)</f>
        <v/>
      </c>
      <c r="BB240" s="41"/>
      <c r="BC240" s="41"/>
      <c r="BD240" s="83" t="str">
        <f>IF(Data_BeeindigingsdatumVastVrij217="","",Data_BeeindigingsdatumVastVrij217)</f>
        <v/>
      </c>
      <c r="BE240" s="41"/>
      <c r="BF240" s="41"/>
      <c r="BG240" s="82" t="str">
        <f>IF(Data_LoonkostenVastVrij217="","",Data_LoonkostenVastVrij217)</f>
        <v/>
      </c>
      <c r="BH240" s="41"/>
      <c r="BI240" s="76" t="str">
        <f>IF(Data_PersoonAanUitVastVrij217=-1,"v","")</f>
        <v/>
      </c>
      <c r="BJ240" s="41"/>
      <c r="BK240" s="76" t="s">
        <v>160</v>
      </c>
      <c r="BL240" s="41"/>
      <c r="BM240" s="41"/>
      <c r="BN240" s="41"/>
      <c r="BO240" s="41"/>
      <c r="BP240" s="41">
        <f t="shared" si="27"/>
        <v>0</v>
      </c>
      <c r="BQ240" s="77">
        <f t="shared" si="28"/>
        <v>0</v>
      </c>
      <c r="BS240" s="81" t="str">
        <f>IF(Data_NaamPersoonVastOntslag217="","",Data_NaamPersoonVastOntslag217)</f>
        <v/>
      </c>
      <c r="BV240" s="83" t="str">
        <f>IF(Data_BeeindigingsdatumVastOntslag217="","",Data_BeeindigingsdatumVastOntslag217)</f>
        <v/>
      </c>
      <c r="BY240" s="82" t="str">
        <f>IF(Data_LoonkostenVastOntslag217="","",Data_LoonkostenVastOntslag217)</f>
        <v/>
      </c>
      <c r="CA240" s="76" t="str">
        <f>IF(Data_PersoonAanUitVastOntslag217=-1,"v","")</f>
        <v/>
      </c>
      <c r="CB240" s="41"/>
      <c r="CC240" s="76" t="s">
        <v>160</v>
      </c>
      <c r="CD240" s="41"/>
      <c r="CE240" s="41"/>
      <c r="CF240" s="41"/>
      <c r="CG240" s="41"/>
      <c r="CH240" s="41">
        <f t="shared" si="31"/>
        <v>0</v>
      </c>
      <c r="CI240" s="41">
        <f t="shared" si="29"/>
        <v>0</v>
      </c>
    </row>
    <row r="241" spans="8:87" x14ac:dyDescent="0.25">
      <c r="H241" s="81" t="str">
        <f>IF(Data_NaamPersoonNatVerloop218="","",Data_NaamPersoonNatVerloop218)</f>
        <v/>
      </c>
      <c r="I241" s="41"/>
      <c r="J241" s="41"/>
      <c r="K241" s="83" t="str">
        <f>IF(Data_BeeindigingsdatumNatVerloop218="","",Data_BeeindigingsdatumNatVerloop218)</f>
        <v/>
      </c>
      <c r="L241" s="41"/>
      <c r="M241" s="41"/>
      <c r="N241" s="82" t="str">
        <f>IF(Data_LoonkostenNatVerloop218="","",Data_LoonkostenNatVerloop218)</f>
        <v/>
      </c>
      <c r="O241" s="41"/>
      <c r="P241" s="276" t="s">
        <v>160</v>
      </c>
      <c r="Q241" s="41"/>
      <c r="R241" s="76" t="s">
        <v>160</v>
      </c>
      <c r="S241" s="41"/>
      <c r="T241" s="41"/>
      <c r="U241" s="41"/>
      <c r="V241" s="41"/>
      <c r="W241" s="41">
        <f t="shared" si="24"/>
        <v>0</v>
      </c>
      <c r="X241" s="77" t="str">
        <f t="shared" si="30"/>
        <v/>
      </c>
      <c r="AG241" s="81" t="str">
        <f>IF(Data_NaamPersoonTijd218="","",Data_NaamPersoonTijd218)</f>
        <v/>
      </c>
      <c r="AH241" s="41"/>
      <c r="AI241" s="41"/>
      <c r="AJ241" s="83" t="str">
        <f>IF(Data_BeeindigingsdatumTijd218="","",Data_BeeindigingsdatumTijd218)</f>
        <v/>
      </c>
      <c r="AK241" s="41"/>
      <c r="AL241" s="41"/>
      <c r="AM241" s="82" t="str">
        <f>IF(Data_LoonkostenTijd218="","",Data_LoonkostenTijd218)</f>
        <v/>
      </c>
      <c r="AN241" s="41"/>
      <c r="AO241" s="276" t="str">
        <f>IF(Data_PersoonAanUitTijd218=-1,"v","")</f>
        <v/>
      </c>
      <c r="AP241" s="41"/>
      <c r="AQ241" s="76" t="s">
        <v>160</v>
      </c>
      <c r="AR241" s="41"/>
      <c r="AS241" s="41"/>
      <c r="AT241" s="41"/>
      <c r="AU241" s="41"/>
      <c r="AV241" s="41">
        <f t="shared" si="25"/>
        <v>0</v>
      </c>
      <c r="AW241" s="77">
        <f t="shared" si="26"/>
        <v>0</v>
      </c>
      <c r="AX241" s="41"/>
      <c r="AY241" s="41"/>
      <c r="AZ241" s="41"/>
      <c r="BA241" s="81" t="str">
        <f>IF(Data_NaamPersoonVastVrij218="","",Data_NaamPersoonVastVrij218)</f>
        <v/>
      </c>
      <c r="BB241" s="41"/>
      <c r="BC241" s="41"/>
      <c r="BD241" s="83" t="str">
        <f>IF(Data_BeeindigingsdatumVastVrij218="","",Data_BeeindigingsdatumVastVrij218)</f>
        <v/>
      </c>
      <c r="BE241" s="41"/>
      <c r="BF241" s="41"/>
      <c r="BG241" s="82" t="str">
        <f>IF(Data_LoonkostenVastVrij218="","",Data_LoonkostenVastVrij218)</f>
        <v/>
      </c>
      <c r="BH241" s="41"/>
      <c r="BI241" s="76" t="str">
        <f>IF(Data_PersoonAanUitVastVrij218=-1,"v","")</f>
        <v/>
      </c>
      <c r="BJ241" s="41"/>
      <c r="BK241" s="76" t="s">
        <v>160</v>
      </c>
      <c r="BL241" s="41"/>
      <c r="BM241" s="41"/>
      <c r="BN241" s="41"/>
      <c r="BO241" s="41"/>
      <c r="BP241" s="41">
        <f t="shared" si="27"/>
        <v>0</v>
      </c>
      <c r="BQ241" s="77">
        <f t="shared" si="28"/>
        <v>0</v>
      </c>
      <c r="BS241" s="81" t="str">
        <f>IF(Data_NaamPersoonVastOntslag218="","",Data_NaamPersoonVastOntslag218)</f>
        <v/>
      </c>
      <c r="BV241" s="83" t="str">
        <f>IF(Data_BeeindigingsdatumVastOntslag218="","",Data_BeeindigingsdatumVastOntslag218)</f>
        <v/>
      </c>
      <c r="BY241" s="82" t="str">
        <f>IF(Data_LoonkostenVastOntslag218="","",Data_LoonkostenVastOntslag218)</f>
        <v/>
      </c>
      <c r="CA241" s="76" t="str">
        <f>IF(Data_PersoonAanUitVastOntslag218=-1,"v","")</f>
        <v/>
      </c>
      <c r="CB241" s="41"/>
      <c r="CC241" s="76" t="s">
        <v>160</v>
      </c>
      <c r="CD241" s="41"/>
      <c r="CE241" s="41"/>
      <c r="CF241" s="41"/>
      <c r="CG241" s="41"/>
      <c r="CH241" s="41">
        <f t="shared" si="31"/>
        <v>0</v>
      </c>
      <c r="CI241" s="41">
        <f t="shared" si="29"/>
        <v>0</v>
      </c>
    </row>
    <row r="242" spans="8:87" x14ac:dyDescent="0.25">
      <c r="H242" s="81" t="str">
        <f>IF(Data_NaamPersoonNatVerloop219="","",Data_NaamPersoonNatVerloop219)</f>
        <v/>
      </c>
      <c r="I242" s="41"/>
      <c r="J242" s="41"/>
      <c r="K242" s="83" t="str">
        <f>IF(Data_BeeindigingsdatumNatVerloop219="","",Data_BeeindigingsdatumNatVerloop219)</f>
        <v/>
      </c>
      <c r="L242" s="41"/>
      <c r="M242" s="41"/>
      <c r="N242" s="82" t="str">
        <f>IF(Data_LoonkostenNatVerloop219="","",Data_LoonkostenNatVerloop219)</f>
        <v/>
      </c>
      <c r="O242" s="41"/>
      <c r="P242" s="276" t="s">
        <v>160</v>
      </c>
      <c r="Q242" s="41"/>
      <c r="R242" s="76" t="s">
        <v>160</v>
      </c>
      <c r="S242" s="41"/>
      <c r="T242" s="41"/>
      <c r="U242" s="41"/>
      <c r="V242" s="41"/>
      <c r="W242" s="41">
        <f t="shared" si="24"/>
        <v>0</v>
      </c>
      <c r="X242" s="77" t="str">
        <f t="shared" si="30"/>
        <v/>
      </c>
      <c r="AG242" s="81" t="str">
        <f>IF(Data_NaamPersoonTijd219="","",Data_NaamPersoonTijd219)</f>
        <v/>
      </c>
      <c r="AH242" s="41"/>
      <c r="AI242" s="41"/>
      <c r="AJ242" s="83" t="str">
        <f>IF(Data_BeeindigingsdatumTijd219="","",Data_BeeindigingsdatumTijd219)</f>
        <v/>
      </c>
      <c r="AK242" s="41"/>
      <c r="AL242" s="41"/>
      <c r="AM242" s="82" t="str">
        <f>IF(Data_LoonkostenTijd219="","",Data_LoonkostenTijd219)</f>
        <v/>
      </c>
      <c r="AN242" s="41"/>
      <c r="AO242" s="276" t="str">
        <f>IF(Data_PersoonAanUitTijd219=-1,"v","")</f>
        <v/>
      </c>
      <c r="AP242" s="41"/>
      <c r="AQ242" s="76" t="s">
        <v>160</v>
      </c>
      <c r="AR242" s="41"/>
      <c r="AS242" s="41"/>
      <c r="AT242" s="41"/>
      <c r="AU242" s="41"/>
      <c r="AV242" s="41">
        <f t="shared" si="25"/>
        <v>0</v>
      </c>
      <c r="AW242" s="77">
        <f t="shared" si="26"/>
        <v>0</v>
      </c>
      <c r="AX242" s="41"/>
      <c r="AY242" s="41"/>
      <c r="AZ242" s="41"/>
      <c r="BA242" s="81" t="str">
        <f>IF(Data_NaamPersoonVastVrij219="","",Data_NaamPersoonVastVrij219)</f>
        <v/>
      </c>
      <c r="BB242" s="41"/>
      <c r="BC242" s="41"/>
      <c r="BD242" s="83" t="str">
        <f>IF(Data_BeeindigingsdatumVastVrij219="","",Data_BeeindigingsdatumVastVrij219)</f>
        <v/>
      </c>
      <c r="BE242" s="41"/>
      <c r="BF242" s="41"/>
      <c r="BG242" s="82" t="str">
        <f>IF(Data_LoonkostenVastVrij219="","",Data_LoonkostenVastVrij219)</f>
        <v/>
      </c>
      <c r="BH242" s="41"/>
      <c r="BI242" s="76" t="str">
        <f>IF(Data_PersoonAanUitVastVrij219=-1,"v","")</f>
        <v/>
      </c>
      <c r="BJ242" s="41"/>
      <c r="BK242" s="76" t="s">
        <v>160</v>
      </c>
      <c r="BL242" s="41"/>
      <c r="BM242" s="41"/>
      <c r="BN242" s="41"/>
      <c r="BO242" s="41"/>
      <c r="BP242" s="41">
        <f t="shared" si="27"/>
        <v>0</v>
      </c>
      <c r="BQ242" s="77">
        <f t="shared" si="28"/>
        <v>0</v>
      </c>
      <c r="BS242" s="81" t="str">
        <f>IF(Data_NaamPersoonVastOntslag219="","",Data_NaamPersoonVastOntslag219)</f>
        <v/>
      </c>
      <c r="BV242" s="83" t="str">
        <f>IF(Data_BeeindigingsdatumVastOntslag219="","",Data_BeeindigingsdatumVastOntslag219)</f>
        <v/>
      </c>
      <c r="BY242" s="82" t="str">
        <f>IF(Data_LoonkostenVastOntslag219="","",Data_LoonkostenVastOntslag219)</f>
        <v/>
      </c>
      <c r="CA242" s="76" t="str">
        <f>IF(Data_PersoonAanUitVastOntslag219=-1,"v","")</f>
        <v/>
      </c>
      <c r="CB242" s="41"/>
      <c r="CC242" s="76" t="s">
        <v>160</v>
      </c>
      <c r="CD242" s="41"/>
      <c r="CE242" s="41"/>
      <c r="CF242" s="41"/>
      <c r="CG242" s="41"/>
      <c r="CH242" s="41">
        <f t="shared" si="31"/>
        <v>0</v>
      </c>
      <c r="CI242" s="41">
        <f t="shared" si="29"/>
        <v>0</v>
      </c>
    </row>
    <row r="243" spans="8:87" x14ac:dyDescent="0.25">
      <c r="H243" s="81" t="str">
        <f>IF(Data_NaamPersoonNatVerloop220="","",Data_NaamPersoonNatVerloop220)</f>
        <v/>
      </c>
      <c r="I243" s="41"/>
      <c r="J243" s="41"/>
      <c r="K243" s="83" t="str">
        <f>IF(Data_BeeindigingsdatumNatVerloop220="","",Data_BeeindigingsdatumNatVerloop220)</f>
        <v/>
      </c>
      <c r="L243" s="41"/>
      <c r="M243" s="41"/>
      <c r="N243" s="82" t="str">
        <f>IF(Data_LoonkostenNatVerloop220="","",Data_LoonkostenNatVerloop220)</f>
        <v/>
      </c>
      <c r="O243" s="41"/>
      <c r="P243" s="276" t="s">
        <v>160</v>
      </c>
      <c r="Q243" s="41"/>
      <c r="R243" s="76" t="s">
        <v>160</v>
      </c>
      <c r="S243" s="41"/>
      <c r="T243" s="41"/>
      <c r="U243" s="41"/>
      <c r="V243" s="41"/>
      <c r="W243" s="41">
        <f t="shared" si="24"/>
        <v>0</v>
      </c>
      <c r="X243" s="77" t="str">
        <f t="shared" si="30"/>
        <v/>
      </c>
      <c r="AG243" s="81" t="str">
        <f>IF(Data_NaamPersoonTijd220="","",Data_NaamPersoonTijd220)</f>
        <v/>
      </c>
      <c r="AH243" s="41"/>
      <c r="AI243" s="41"/>
      <c r="AJ243" s="83" t="str">
        <f>IF(Data_BeeindigingsdatumTijd220="","",Data_BeeindigingsdatumTijd220)</f>
        <v/>
      </c>
      <c r="AK243" s="41"/>
      <c r="AL243" s="41"/>
      <c r="AM243" s="82" t="str">
        <f>IF(Data_LoonkostenTijd220="","",Data_LoonkostenTijd220)</f>
        <v/>
      </c>
      <c r="AN243" s="41"/>
      <c r="AO243" s="276" t="str">
        <f>IF(Data_PersoonAanUitTijd220=-1,"v","")</f>
        <v/>
      </c>
      <c r="AP243" s="41"/>
      <c r="AQ243" s="76" t="s">
        <v>160</v>
      </c>
      <c r="AR243" s="41"/>
      <c r="AS243" s="41"/>
      <c r="AT243" s="41"/>
      <c r="AU243" s="41"/>
      <c r="AV243" s="41">
        <f t="shared" si="25"/>
        <v>0</v>
      </c>
      <c r="AW243" s="77">
        <f t="shared" si="26"/>
        <v>0</v>
      </c>
      <c r="AX243" s="41"/>
      <c r="AY243" s="41"/>
      <c r="AZ243" s="41"/>
      <c r="BA243" s="81" t="str">
        <f>IF(Data_NaamPersoonVastVrij220="","",Data_NaamPersoonVastVrij220)</f>
        <v/>
      </c>
      <c r="BB243" s="41"/>
      <c r="BC243" s="41"/>
      <c r="BD243" s="83" t="str">
        <f>IF(Data_BeeindigingsdatumVastVrij220="","",Data_BeeindigingsdatumVastVrij220)</f>
        <v/>
      </c>
      <c r="BE243" s="41"/>
      <c r="BF243" s="41"/>
      <c r="BG243" s="82" t="str">
        <f>IF(Data_LoonkostenVastVrij220="","",Data_LoonkostenVastVrij220)</f>
        <v/>
      </c>
      <c r="BH243" s="41"/>
      <c r="BI243" s="76" t="str">
        <f>IF(Data_PersoonAanUitVastVrij220=-1,"v","")</f>
        <v/>
      </c>
      <c r="BJ243" s="41"/>
      <c r="BK243" s="76" t="s">
        <v>160</v>
      </c>
      <c r="BL243" s="41"/>
      <c r="BM243" s="41"/>
      <c r="BN243" s="41"/>
      <c r="BO243" s="41"/>
      <c r="BP243" s="41">
        <f t="shared" si="27"/>
        <v>0</v>
      </c>
      <c r="BQ243" s="77">
        <f t="shared" si="28"/>
        <v>0</v>
      </c>
      <c r="BS243" s="81" t="str">
        <f>IF(Data_NaamPersoonVastOntslag220="","",Data_NaamPersoonVastOntslag220)</f>
        <v/>
      </c>
      <c r="BV243" s="83" t="str">
        <f>IF(Data_BeeindigingsdatumVastOntslag220="","",Data_BeeindigingsdatumVastOntslag220)</f>
        <v/>
      </c>
      <c r="BY243" s="82" t="str">
        <f>IF(Data_LoonkostenVastOntslag220="","",Data_LoonkostenVastOntslag220)</f>
        <v/>
      </c>
      <c r="CA243" s="76" t="str">
        <f>IF(Data_PersoonAanUitVastOntslag220=-1,"v","")</f>
        <v/>
      </c>
      <c r="CB243" s="41"/>
      <c r="CC243" s="76" t="s">
        <v>160</v>
      </c>
      <c r="CD243" s="41"/>
      <c r="CE243" s="41"/>
      <c r="CF243" s="41"/>
      <c r="CG243" s="41"/>
      <c r="CH243" s="41">
        <f t="shared" si="31"/>
        <v>0</v>
      </c>
      <c r="CI243" s="41">
        <f t="shared" si="29"/>
        <v>0</v>
      </c>
    </row>
    <row r="244" spans="8:87" x14ac:dyDescent="0.25">
      <c r="H244" s="81" t="str">
        <f>IF(Data_NaamPersoonNatVerloop221="","",Data_NaamPersoonNatVerloop221)</f>
        <v/>
      </c>
      <c r="I244" s="41"/>
      <c r="J244" s="41"/>
      <c r="K244" s="83" t="str">
        <f>IF(Data_BeeindigingsdatumNatVerloop221="","",Data_BeeindigingsdatumNatVerloop221)</f>
        <v/>
      </c>
      <c r="L244" s="41"/>
      <c r="M244" s="41"/>
      <c r="N244" s="82" t="str">
        <f>IF(Data_LoonkostenNatVerloop221="","",Data_LoonkostenNatVerloop221)</f>
        <v/>
      </c>
      <c r="O244" s="41"/>
      <c r="P244" s="276" t="s">
        <v>160</v>
      </c>
      <c r="Q244" s="41"/>
      <c r="R244" s="76" t="s">
        <v>160</v>
      </c>
      <c r="S244" s="41"/>
      <c r="T244" s="41"/>
      <c r="U244" s="41"/>
      <c r="V244" s="41"/>
      <c r="W244" s="41">
        <f t="shared" si="24"/>
        <v>0</v>
      </c>
      <c r="X244" s="77" t="str">
        <f t="shared" si="30"/>
        <v/>
      </c>
      <c r="AG244" s="81" t="str">
        <f>IF(Data_NaamPersoonTijd221="","",Data_NaamPersoonTijd221)</f>
        <v/>
      </c>
      <c r="AH244" s="41"/>
      <c r="AI244" s="41"/>
      <c r="AJ244" s="83" t="str">
        <f>IF(Data_BeeindigingsdatumTijd221="","",Data_BeeindigingsdatumTijd221)</f>
        <v/>
      </c>
      <c r="AK244" s="41"/>
      <c r="AL244" s="41"/>
      <c r="AM244" s="82" t="str">
        <f>IF(Data_LoonkostenTijd221="","",Data_LoonkostenTijd221)</f>
        <v/>
      </c>
      <c r="AN244" s="41"/>
      <c r="AO244" s="276" t="str">
        <f>IF(Data_PersoonAanUitTijd221=-1,"v","")</f>
        <v/>
      </c>
      <c r="AP244" s="41"/>
      <c r="AQ244" s="76" t="s">
        <v>160</v>
      </c>
      <c r="AR244" s="41"/>
      <c r="AS244" s="41"/>
      <c r="AT244" s="41"/>
      <c r="AU244" s="41"/>
      <c r="AV244" s="41">
        <f t="shared" si="25"/>
        <v>0</v>
      </c>
      <c r="AW244" s="77">
        <f t="shared" si="26"/>
        <v>0</v>
      </c>
      <c r="AX244" s="41"/>
      <c r="AY244" s="41"/>
      <c r="AZ244" s="41"/>
      <c r="BA244" s="81" t="str">
        <f>IF(Data_NaamPersoonVastVrij221="","",Data_NaamPersoonVastVrij221)</f>
        <v/>
      </c>
      <c r="BB244" s="41"/>
      <c r="BC244" s="41"/>
      <c r="BD244" s="83" t="str">
        <f>IF(Data_BeeindigingsdatumVastVrij221="","",Data_BeeindigingsdatumVastVrij221)</f>
        <v/>
      </c>
      <c r="BE244" s="41"/>
      <c r="BF244" s="41"/>
      <c r="BG244" s="82" t="str">
        <f>IF(Data_LoonkostenVastVrij221="","",Data_LoonkostenVastVrij221)</f>
        <v/>
      </c>
      <c r="BH244" s="41"/>
      <c r="BI244" s="76" t="str">
        <f>IF(Data_PersoonAanUitVastVrij221=-1,"v","")</f>
        <v/>
      </c>
      <c r="BJ244" s="41"/>
      <c r="BK244" s="76" t="s">
        <v>160</v>
      </c>
      <c r="BL244" s="41"/>
      <c r="BM244" s="41"/>
      <c r="BN244" s="41"/>
      <c r="BO244" s="41"/>
      <c r="BP244" s="41">
        <f t="shared" si="27"/>
        <v>0</v>
      </c>
      <c r="BQ244" s="77">
        <f t="shared" si="28"/>
        <v>0</v>
      </c>
      <c r="BS244" s="81" t="str">
        <f>IF(Data_NaamPersoonVastOntslag221="","",Data_NaamPersoonVastOntslag221)</f>
        <v/>
      </c>
      <c r="BV244" s="83" t="str">
        <f>IF(Data_BeeindigingsdatumVastOntslag221="","",Data_BeeindigingsdatumVastOntslag221)</f>
        <v/>
      </c>
      <c r="BY244" s="82" t="str">
        <f>IF(Data_LoonkostenVastOntslag221="","",Data_LoonkostenVastOntslag221)</f>
        <v/>
      </c>
      <c r="CA244" s="76" t="str">
        <f>IF(Data_PersoonAanUitVastOntslag221=-1,"v","")</f>
        <v/>
      </c>
      <c r="CB244" s="41"/>
      <c r="CC244" s="76" t="s">
        <v>160</v>
      </c>
      <c r="CD244" s="41"/>
      <c r="CE244" s="41"/>
      <c r="CF244" s="41"/>
      <c r="CG244" s="41"/>
      <c r="CH244" s="41">
        <f t="shared" si="31"/>
        <v>0</v>
      </c>
      <c r="CI244" s="41">
        <f t="shared" si="29"/>
        <v>0</v>
      </c>
    </row>
    <row r="245" spans="8:87" x14ac:dyDescent="0.25">
      <c r="H245" s="81" t="str">
        <f>IF(Data_NaamPersoonNatVerloop222="","",Data_NaamPersoonNatVerloop222)</f>
        <v/>
      </c>
      <c r="I245" s="41"/>
      <c r="J245" s="41"/>
      <c r="K245" s="83" t="str">
        <f>IF(Data_BeeindigingsdatumNatVerloop222="","",Data_BeeindigingsdatumNatVerloop222)</f>
        <v/>
      </c>
      <c r="L245" s="41"/>
      <c r="M245" s="41"/>
      <c r="N245" s="82" t="str">
        <f>IF(Data_LoonkostenNatVerloop222="","",Data_LoonkostenNatVerloop222)</f>
        <v/>
      </c>
      <c r="O245" s="41"/>
      <c r="P245" s="276" t="s">
        <v>160</v>
      </c>
      <c r="Q245" s="41"/>
      <c r="R245" s="76" t="s">
        <v>160</v>
      </c>
      <c r="S245" s="41"/>
      <c r="T245" s="41"/>
      <c r="U245" s="41"/>
      <c r="V245" s="41"/>
      <c r="W245" s="41">
        <f t="shared" si="24"/>
        <v>0</v>
      </c>
      <c r="X245" s="77" t="str">
        <f t="shared" si="30"/>
        <v/>
      </c>
      <c r="AG245" s="81" t="str">
        <f>IF(Data_NaamPersoonTijd222="","",Data_NaamPersoonTijd222)</f>
        <v/>
      </c>
      <c r="AH245" s="41"/>
      <c r="AI245" s="41"/>
      <c r="AJ245" s="83" t="str">
        <f>IF(Data_BeeindigingsdatumTijd222="","",Data_BeeindigingsdatumTijd222)</f>
        <v/>
      </c>
      <c r="AK245" s="41"/>
      <c r="AL245" s="41"/>
      <c r="AM245" s="82" t="str">
        <f>IF(Data_LoonkostenTijd222="","",Data_LoonkostenTijd222)</f>
        <v/>
      </c>
      <c r="AN245" s="41"/>
      <c r="AO245" s="276" t="str">
        <f>IF(Data_PersoonAanUitTijd222=-1,"v","")</f>
        <v/>
      </c>
      <c r="AP245" s="41"/>
      <c r="AQ245" s="76" t="s">
        <v>160</v>
      </c>
      <c r="AR245" s="41"/>
      <c r="AS245" s="41"/>
      <c r="AT245" s="41"/>
      <c r="AU245" s="41"/>
      <c r="AV245" s="41">
        <f t="shared" si="25"/>
        <v>0</v>
      </c>
      <c r="AW245" s="77">
        <f t="shared" si="26"/>
        <v>0</v>
      </c>
      <c r="AX245" s="41"/>
      <c r="AY245" s="41"/>
      <c r="AZ245" s="41"/>
      <c r="BA245" s="81" t="str">
        <f>IF(Data_NaamPersoonVastVrij222="","",Data_NaamPersoonVastVrij222)</f>
        <v/>
      </c>
      <c r="BB245" s="41"/>
      <c r="BC245" s="41"/>
      <c r="BD245" s="83" t="str">
        <f>IF(Data_BeeindigingsdatumVastVrij222="","",Data_BeeindigingsdatumVastVrij222)</f>
        <v/>
      </c>
      <c r="BE245" s="41"/>
      <c r="BF245" s="41"/>
      <c r="BG245" s="82" t="str">
        <f>IF(Data_LoonkostenVastVrij222="","",Data_LoonkostenVastVrij222)</f>
        <v/>
      </c>
      <c r="BH245" s="41"/>
      <c r="BI245" s="76" t="str">
        <f>IF(Data_PersoonAanUitVastVrij222=-1,"v","")</f>
        <v/>
      </c>
      <c r="BJ245" s="41"/>
      <c r="BK245" s="76" t="s">
        <v>160</v>
      </c>
      <c r="BL245" s="41"/>
      <c r="BM245" s="41"/>
      <c r="BN245" s="41"/>
      <c r="BO245" s="41"/>
      <c r="BP245" s="41">
        <f t="shared" si="27"/>
        <v>0</v>
      </c>
      <c r="BQ245" s="77">
        <f t="shared" si="28"/>
        <v>0</v>
      </c>
      <c r="BS245" s="81" t="str">
        <f>IF(Data_NaamPersoonVastOntslag222="","",Data_NaamPersoonVastOntslag222)</f>
        <v/>
      </c>
      <c r="BV245" s="83" t="str">
        <f>IF(Data_BeeindigingsdatumVastOntslag222="","",Data_BeeindigingsdatumVastOntslag222)</f>
        <v/>
      </c>
      <c r="BY245" s="82" t="str">
        <f>IF(Data_LoonkostenVastOntslag222="","",Data_LoonkostenVastOntslag222)</f>
        <v/>
      </c>
      <c r="CA245" s="76" t="str">
        <f>IF(Data_PersoonAanUitVastOntslag222=-1,"v","")</f>
        <v/>
      </c>
      <c r="CB245" s="41"/>
      <c r="CC245" s="76" t="s">
        <v>160</v>
      </c>
      <c r="CD245" s="41"/>
      <c r="CE245" s="41"/>
      <c r="CF245" s="41"/>
      <c r="CG245" s="41"/>
      <c r="CH245" s="41">
        <f t="shared" si="31"/>
        <v>0</v>
      </c>
      <c r="CI245" s="41">
        <f t="shared" si="29"/>
        <v>0</v>
      </c>
    </row>
    <row r="246" spans="8:87" x14ac:dyDescent="0.25">
      <c r="H246" s="81" t="str">
        <f>IF(Data_NaamPersoonNatVerloop223="","",Data_NaamPersoonNatVerloop223)</f>
        <v/>
      </c>
      <c r="I246" s="41"/>
      <c r="J246" s="41"/>
      <c r="K246" s="83" t="str">
        <f>IF(Data_BeeindigingsdatumNatVerloop223="","",Data_BeeindigingsdatumNatVerloop223)</f>
        <v/>
      </c>
      <c r="L246" s="41"/>
      <c r="M246" s="41"/>
      <c r="N246" s="82" t="str">
        <f>IF(Data_LoonkostenNatVerloop223="","",Data_LoonkostenNatVerloop223)</f>
        <v/>
      </c>
      <c r="O246" s="41"/>
      <c r="P246" s="276" t="s">
        <v>160</v>
      </c>
      <c r="Q246" s="41"/>
      <c r="R246" s="76" t="s">
        <v>160</v>
      </c>
      <c r="S246" s="41"/>
      <c r="T246" s="41"/>
      <c r="U246" s="41"/>
      <c r="V246" s="41"/>
      <c r="W246" s="41">
        <f t="shared" si="24"/>
        <v>0</v>
      </c>
      <c r="X246" s="77" t="str">
        <f t="shared" si="30"/>
        <v/>
      </c>
      <c r="AG246" s="81" t="str">
        <f>IF(Data_NaamPersoonTijd223="","",Data_NaamPersoonTijd223)</f>
        <v/>
      </c>
      <c r="AH246" s="41"/>
      <c r="AI246" s="41"/>
      <c r="AJ246" s="83" t="str">
        <f>IF(Data_BeeindigingsdatumTijd223="","",Data_BeeindigingsdatumTijd223)</f>
        <v/>
      </c>
      <c r="AK246" s="41"/>
      <c r="AL246" s="41"/>
      <c r="AM246" s="82" t="str">
        <f>IF(Data_LoonkostenTijd223="","",Data_LoonkostenTijd223)</f>
        <v/>
      </c>
      <c r="AN246" s="41"/>
      <c r="AO246" s="276" t="str">
        <f>IF(Data_PersoonAanUitTijd223=-1,"v","")</f>
        <v/>
      </c>
      <c r="AP246" s="41"/>
      <c r="AQ246" s="76" t="s">
        <v>160</v>
      </c>
      <c r="AR246" s="41"/>
      <c r="AS246" s="41"/>
      <c r="AT246" s="41"/>
      <c r="AU246" s="41"/>
      <c r="AV246" s="41">
        <f t="shared" si="25"/>
        <v>0</v>
      </c>
      <c r="AW246" s="77">
        <f t="shared" si="26"/>
        <v>0</v>
      </c>
      <c r="AX246" s="41"/>
      <c r="AY246" s="41"/>
      <c r="AZ246" s="41"/>
      <c r="BA246" s="81" t="str">
        <f>IF(Data_NaamPersoonVastVrij223="","",Data_NaamPersoonVastVrij223)</f>
        <v/>
      </c>
      <c r="BB246" s="41"/>
      <c r="BC246" s="41"/>
      <c r="BD246" s="83" t="str">
        <f>IF(Data_BeeindigingsdatumVastVrij223="","",Data_BeeindigingsdatumVastVrij223)</f>
        <v/>
      </c>
      <c r="BE246" s="41"/>
      <c r="BF246" s="41"/>
      <c r="BG246" s="82" t="str">
        <f>IF(Data_LoonkostenVastVrij223="","",Data_LoonkostenVastVrij223)</f>
        <v/>
      </c>
      <c r="BH246" s="41"/>
      <c r="BI246" s="76" t="str">
        <f>IF(Data_PersoonAanUitVastVrij223=-1,"v","")</f>
        <v/>
      </c>
      <c r="BJ246" s="41"/>
      <c r="BK246" s="76" t="s">
        <v>160</v>
      </c>
      <c r="BL246" s="41"/>
      <c r="BM246" s="41"/>
      <c r="BN246" s="41"/>
      <c r="BO246" s="41"/>
      <c r="BP246" s="41">
        <f t="shared" si="27"/>
        <v>0</v>
      </c>
      <c r="BQ246" s="77">
        <f t="shared" si="28"/>
        <v>0</v>
      </c>
      <c r="BS246" s="81" t="str">
        <f>IF(Data_NaamPersoonVastOntslag223="","",Data_NaamPersoonVastOntslag223)</f>
        <v/>
      </c>
      <c r="BV246" s="83" t="str">
        <f>IF(Data_BeeindigingsdatumVastOntslag223="","",Data_BeeindigingsdatumVastOntslag223)</f>
        <v/>
      </c>
      <c r="BY246" s="82" t="str">
        <f>IF(Data_LoonkostenVastOntslag223="","",Data_LoonkostenVastOntslag223)</f>
        <v/>
      </c>
      <c r="CA246" s="76" t="str">
        <f>IF(Data_PersoonAanUitVastOntslag223=-1,"v","")</f>
        <v/>
      </c>
      <c r="CB246" s="41"/>
      <c r="CC246" s="76" t="s">
        <v>160</v>
      </c>
      <c r="CD246" s="41"/>
      <c r="CE246" s="41"/>
      <c r="CF246" s="41"/>
      <c r="CG246" s="41"/>
      <c r="CH246" s="41">
        <f t="shared" si="31"/>
        <v>0</v>
      </c>
      <c r="CI246" s="41">
        <f t="shared" si="29"/>
        <v>0</v>
      </c>
    </row>
    <row r="247" spans="8:87" x14ac:dyDescent="0.25">
      <c r="H247" s="81" t="str">
        <f>IF(Data_NaamPersoonNatVerloop224="","",Data_NaamPersoonNatVerloop224)</f>
        <v/>
      </c>
      <c r="I247" s="41"/>
      <c r="J247" s="41"/>
      <c r="K247" s="83" t="str">
        <f>IF(Data_BeeindigingsdatumNatVerloop224="","",Data_BeeindigingsdatumNatVerloop224)</f>
        <v/>
      </c>
      <c r="L247" s="41"/>
      <c r="M247" s="41"/>
      <c r="N247" s="82" t="str">
        <f>IF(Data_LoonkostenNatVerloop224="","",Data_LoonkostenNatVerloop224)</f>
        <v/>
      </c>
      <c r="O247" s="41"/>
      <c r="P247" s="276" t="s">
        <v>160</v>
      </c>
      <c r="Q247" s="41"/>
      <c r="R247" s="76" t="s">
        <v>160</v>
      </c>
      <c r="S247" s="41"/>
      <c r="T247" s="41"/>
      <c r="U247" s="41"/>
      <c r="V247" s="41"/>
      <c r="W247" s="41">
        <f t="shared" si="24"/>
        <v>0</v>
      </c>
      <c r="X247" s="77" t="str">
        <f t="shared" si="30"/>
        <v/>
      </c>
      <c r="AG247" s="81" t="str">
        <f>IF(Data_NaamPersoonTijd224="","",Data_NaamPersoonTijd224)</f>
        <v/>
      </c>
      <c r="AH247" s="41"/>
      <c r="AI247" s="41"/>
      <c r="AJ247" s="83" t="str">
        <f>IF(Data_BeeindigingsdatumTijd224="","",Data_BeeindigingsdatumTijd224)</f>
        <v/>
      </c>
      <c r="AK247" s="41"/>
      <c r="AL247" s="41"/>
      <c r="AM247" s="82" t="str">
        <f>IF(Data_LoonkostenTijd224="","",Data_LoonkostenTijd224)</f>
        <v/>
      </c>
      <c r="AN247" s="41"/>
      <c r="AO247" s="276" t="str">
        <f>IF(Data_PersoonAanUitTijd224=-1,"v","")</f>
        <v/>
      </c>
      <c r="AP247" s="41"/>
      <c r="AQ247" s="76" t="s">
        <v>160</v>
      </c>
      <c r="AR247" s="41"/>
      <c r="AS247" s="41"/>
      <c r="AT247" s="41"/>
      <c r="AU247" s="41"/>
      <c r="AV247" s="41">
        <f t="shared" si="25"/>
        <v>0</v>
      </c>
      <c r="AW247" s="77">
        <f t="shared" si="26"/>
        <v>0</v>
      </c>
      <c r="AX247" s="41"/>
      <c r="AY247" s="41"/>
      <c r="AZ247" s="41"/>
      <c r="BA247" s="81" t="str">
        <f>IF(Data_NaamPersoonVastVrij224="","",Data_NaamPersoonVastVrij224)</f>
        <v/>
      </c>
      <c r="BB247" s="41"/>
      <c r="BC247" s="41"/>
      <c r="BD247" s="83" t="str">
        <f>IF(Data_BeeindigingsdatumVastVrij224="","",Data_BeeindigingsdatumVastVrij224)</f>
        <v/>
      </c>
      <c r="BE247" s="41"/>
      <c r="BF247" s="41"/>
      <c r="BG247" s="82" t="str">
        <f>IF(Data_LoonkostenVastVrij224="","",Data_LoonkostenVastVrij224)</f>
        <v/>
      </c>
      <c r="BH247" s="41"/>
      <c r="BI247" s="76" t="str">
        <f>IF(Data_PersoonAanUitVastVrij224=-1,"v","")</f>
        <v/>
      </c>
      <c r="BJ247" s="41"/>
      <c r="BK247" s="76" t="s">
        <v>160</v>
      </c>
      <c r="BL247" s="41"/>
      <c r="BM247" s="41"/>
      <c r="BN247" s="41"/>
      <c r="BO247" s="41"/>
      <c r="BP247" s="41">
        <f t="shared" si="27"/>
        <v>0</v>
      </c>
      <c r="BQ247" s="77">
        <f t="shared" si="28"/>
        <v>0</v>
      </c>
      <c r="BS247" s="81" t="str">
        <f>IF(Data_NaamPersoonVastOntslag224="","",Data_NaamPersoonVastOntslag224)</f>
        <v/>
      </c>
      <c r="BV247" s="83" t="str">
        <f>IF(Data_BeeindigingsdatumVastOntslag224="","",Data_BeeindigingsdatumVastOntslag224)</f>
        <v/>
      </c>
      <c r="BY247" s="82" t="str">
        <f>IF(Data_LoonkostenVastOntslag224="","",Data_LoonkostenVastOntslag224)</f>
        <v/>
      </c>
      <c r="CA247" s="76" t="str">
        <f>IF(Data_PersoonAanUitVastOntslag224=-1,"v","")</f>
        <v/>
      </c>
      <c r="CB247" s="41"/>
      <c r="CC247" s="76" t="s">
        <v>160</v>
      </c>
      <c r="CD247" s="41"/>
      <c r="CE247" s="41"/>
      <c r="CF247" s="41"/>
      <c r="CG247" s="41"/>
      <c r="CH247" s="41">
        <f t="shared" si="31"/>
        <v>0</v>
      </c>
      <c r="CI247" s="41">
        <f t="shared" si="29"/>
        <v>0</v>
      </c>
    </row>
    <row r="248" spans="8:87" x14ac:dyDescent="0.25">
      <c r="H248" s="81" t="str">
        <f>IF(Data_NaamPersoonNatVerloop225="","",Data_NaamPersoonNatVerloop225)</f>
        <v/>
      </c>
      <c r="I248" s="41"/>
      <c r="J248" s="41"/>
      <c r="K248" s="83" t="str">
        <f>IF(Data_BeeindigingsdatumNatVerloop225="","",Data_BeeindigingsdatumNatVerloop225)</f>
        <v/>
      </c>
      <c r="L248" s="41"/>
      <c r="M248" s="41"/>
      <c r="N248" s="82" t="str">
        <f>IF(Data_LoonkostenNatVerloop225="","",Data_LoonkostenNatVerloop225)</f>
        <v/>
      </c>
      <c r="O248" s="41"/>
      <c r="P248" s="276" t="s">
        <v>160</v>
      </c>
      <c r="Q248" s="41"/>
      <c r="R248" s="76" t="s">
        <v>160</v>
      </c>
      <c r="S248" s="41"/>
      <c r="T248" s="41"/>
      <c r="U248" s="41"/>
      <c r="V248" s="41"/>
      <c r="W248" s="41">
        <f t="shared" si="24"/>
        <v>0</v>
      </c>
      <c r="X248" s="77" t="str">
        <f t="shared" si="30"/>
        <v/>
      </c>
      <c r="AG248" s="81" t="str">
        <f>IF(Data_NaamPersoonTijd225="","",Data_NaamPersoonTijd225)</f>
        <v/>
      </c>
      <c r="AH248" s="41"/>
      <c r="AI248" s="41"/>
      <c r="AJ248" s="83" t="str">
        <f>IF(Data_BeeindigingsdatumTijd225="","",Data_BeeindigingsdatumTijd225)</f>
        <v/>
      </c>
      <c r="AK248" s="41"/>
      <c r="AL248" s="41"/>
      <c r="AM248" s="82" t="str">
        <f>IF(Data_LoonkostenTijd225="","",Data_LoonkostenTijd225)</f>
        <v/>
      </c>
      <c r="AN248" s="41"/>
      <c r="AO248" s="276" t="str">
        <f>IF(Data_PersoonAanUitTijd225=-1,"v","")</f>
        <v/>
      </c>
      <c r="AP248" s="41"/>
      <c r="AQ248" s="76" t="s">
        <v>160</v>
      </c>
      <c r="AR248" s="41"/>
      <c r="AS248" s="41"/>
      <c r="AT248" s="41"/>
      <c r="AU248" s="41"/>
      <c r="AV248" s="41">
        <f t="shared" si="25"/>
        <v>0</v>
      </c>
      <c r="AW248" s="77">
        <f t="shared" si="26"/>
        <v>0</v>
      </c>
      <c r="AX248" s="41"/>
      <c r="AY248" s="41"/>
      <c r="AZ248" s="41"/>
      <c r="BA248" s="81" t="str">
        <f>IF(Data_NaamPersoonVastVrij225="","",Data_NaamPersoonVastVrij225)</f>
        <v/>
      </c>
      <c r="BB248" s="41"/>
      <c r="BC248" s="41"/>
      <c r="BD248" s="83" t="str">
        <f>IF(Data_BeeindigingsdatumVastVrij225="","",Data_BeeindigingsdatumVastVrij225)</f>
        <v/>
      </c>
      <c r="BE248" s="41"/>
      <c r="BF248" s="41"/>
      <c r="BG248" s="82" t="str">
        <f>IF(Data_LoonkostenVastVrij225="","",Data_LoonkostenVastVrij225)</f>
        <v/>
      </c>
      <c r="BH248" s="41"/>
      <c r="BI248" s="76" t="str">
        <f>IF(Data_PersoonAanUitVastVrij225=-1,"v","")</f>
        <v/>
      </c>
      <c r="BJ248" s="41"/>
      <c r="BK248" s="76" t="s">
        <v>160</v>
      </c>
      <c r="BL248" s="41"/>
      <c r="BM248" s="41"/>
      <c r="BN248" s="41"/>
      <c r="BO248" s="41"/>
      <c r="BP248" s="41">
        <f t="shared" si="27"/>
        <v>0</v>
      </c>
      <c r="BQ248" s="77">
        <f t="shared" si="28"/>
        <v>0</v>
      </c>
      <c r="BS248" s="81" t="str">
        <f>IF(Data_NaamPersoonVastOntslag225="","",Data_NaamPersoonVastOntslag225)</f>
        <v/>
      </c>
      <c r="BV248" s="83" t="str">
        <f>IF(Data_BeeindigingsdatumVastOntslag225="","",Data_BeeindigingsdatumVastOntslag225)</f>
        <v/>
      </c>
      <c r="BY248" s="82" t="str">
        <f>IF(Data_LoonkostenVastOntslag225="","",Data_LoonkostenVastOntslag225)</f>
        <v/>
      </c>
      <c r="CA248" s="76" t="str">
        <f>IF(Data_PersoonAanUitVastOntslag225=-1,"v","")</f>
        <v/>
      </c>
      <c r="CB248" s="41"/>
      <c r="CC248" s="76" t="s">
        <v>160</v>
      </c>
      <c r="CD248" s="41"/>
      <c r="CE248" s="41"/>
      <c r="CF248" s="41"/>
      <c r="CG248" s="41"/>
      <c r="CH248" s="41">
        <f t="shared" si="31"/>
        <v>0</v>
      </c>
      <c r="CI248" s="41">
        <f t="shared" si="29"/>
        <v>0</v>
      </c>
    </row>
    <row r="249" spans="8:87" x14ac:dyDescent="0.25">
      <c r="H249" s="81" t="str">
        <f>IF(Data_NaamPersoonNatVerloop226="","",Data_NaamPersoonNatVerloop226)</f>
        <v/>
      </c>
      <c r="I249" s="41"/>
      <c r="J249" s="41"/>
      <c r="K249" s="83" t="str">
        <f>IF(Data_BeeindigingsdatumNatVerloop226="","",Data_BeeindigingsdatumNatVerloop226)</f>
        <v/>
      </c>
      <c r="L249" s="41"/>
      <c r="M249" s="41"/>
      <c r="N249" s="82" t="str">
        <f>IF(Data_LoonkostenNatVerloop226="","",Data_LoonkostenNatVerloop226)</f>
        <v/>
      </c>
      <c r="O249" s="41"/>
      <c r="P249" s="276" t="s">
        <v>160</v>
      </c>
      <c r="Q249" s="41"/>
      <c r="R249" s="76" t="s">
        <v>160</v>
      </c>
      <c r="S249" s="41"/>
      <c r="T249" s="41"/>
      <c r="U249" s="41"/>
      <c r="V249" s="41"/>
      <c r="W249" s="41">
        <f t="shared" si="24"/>
        <v>0</v>
      </c>
      <c r="X249" s="77" t="str">
        <f t="shared" si="30"/>
        <v/>
      </c>
      <c r="AG249" s="81" t="str">
        <f>IF(Data_NaamPersoonTijd226="","",Data_NaamPersoonTijd226)</f>
        <v/>
      </c>
      <c r="AH249" s="41"/>
      <c r="AI249" s="41"/>
      <c r="AJ249" s="83" t="str">
        <f>IF(Data_BeeindigingsdatumTijd226="","",Data_BeeindigingsdatumTijd226)</f>
        <v/>
      </c>
      <c r="AK249" s="41"/>
      <c r="AL249" s="41"/>
      <c r="AM249" s="82" t="str">
        <f>IF(Data_LoonkostenTijd226="","",Data_LoonkostenTijd226)</f>
        <v/>
      </c>
      <c r="AN249" s="41"/>
      <c r="AO249" s="276" t="str">
        <f>IF(Data_PersoonAanUitTijd226=-1,"v","")</f>
        <v/>
      </c>
      <c r="AP249" s="41"/>
      <c r="AQ249" s="76" t="s">
        <v>160</v>
      </c>
      <c r="AR249" s="41"/>
      <c r="AS249" s="41"/>
      <c r="AT249" s="41"/>
      <c r="AU249" s="41"/>
      <c r="AV249" s="41">
        <f t="shared" si="25"/>
        <v>0</v>
      </c>
      <c r="AW249" s="77">
        <f t="shared" si="26"/>
        <v>0</v>
      </c>
      <c r="AX249" s="41"/>
      <c r="AY249" s="41"/>
      <c r="AZ249" s="41"/>
      <c r="BA249" s="81" t="str">
        <f>IF(Data_NaamPersoonVastVrij226="","",Data_NaamPersoonVastVrij226)</f>
        <v/>
      </c>
      <c r="BB249" s="41"/>
      <c r="BC249" s="41"/>
      <c r="BD249" s="83" t="str">
        <f>IF(Data_BeeindigingsdatumVastVrij226="","",Data_BeeindigingsdatumVastVrij226)</f>
        <v/>
      </c>
      <c r="BE249" s="41"/>
      <c r="BF249" s="41"/>
      <c r="BG249" s="82" t="str">
        <f>IF(Data_LoonkostenVastVrij226="","",Data_LoonkostenVastVrij226)</f>
        <v/>
      </c>
      <c r="BH249" s="41"/>
      <c r="BI249" s="76" t="str">
        <f>IF(Data_PersoonAanUitVastVrij226=-1,"v","")</f>
        <v/>
      </c>
      <c r="BJ249" s="41"/>
      <c r="BK249" s="76" t="s">
        <v>160</v>
      </c>
      <c r="BL249" s="41"/>
      <c r="BM249" s="41"/>
      <c r="BN249" s="41"/>
      <c r="BO249" s="41"/>
      <c r="BP249" s="41">
        <f t="shared" si="27"/>
        <v>0</v>
      </c>
      <c r="BQ249" s="77">
        <f t="shared" si="28"/>
        <v>0</v>
      </c>
      <c r="BS249" s="81" t="str">
        <f>IF(Data_NaamPersoonVastOntslag226="","",Data_NaamPersoonVastOntslag226)</f>
        <v/>
      </c>
      <c r="BV249" s="83" t="str">
        <f>IF(Data_BeeindigingsdatumVastOntslag226="","",Data_BeeindigingsdatumVastOntslag226)</f>
        <v/>
      </c>
      <c r="BY249" s="82" t="str">
        <f>IF(Data_LoonkostenVastOntslag226="","",Data_LoonkostenVastOntslag226)</f>
        <v/>
      </c>
      <c r="CA249" s="76" t="str">
        <f>IF(Data_PersoonAanUitVastOntslag226=-1,"v","")</f>
        <v/>
      </c>
      <c r="CB249" s="41"/>
      <c r="CC249" s="76" t="s">
        <v>160</v>
      </c>
      <c r="CD249" s="41"/>
      <c r="CE249" s="41"/>
      <c r="CF249" s="41"/>
      <c r="CG249" s="41"/>
      <c r="CH249" s="41">
        <f t="shared" si="31"/>
        <v>0</v>
      </c>
      <c r="CI249" s="41">
        <f t="shared" si="29"/>
        <v>0</v>
      </c>
    </row>
    <row r="250" spans="8:87" x14ac:dyDescent="0.25">
      <c r="H250" s="81" t="str">
        <f>IF(Data_NaamPersoonNatVerloop227="","",Data_NaamPersoonNatVerloop227)</f>
        <v/>
      </c>
      <c r="I250" s="41"/>
      <c r="J250" s="41"/>
      <c r="K250" s="83" t="str">
        <f>IF(Data_BeeindigingsdatumNatVerloop227="","",Data_BeeindigingsdatumNatVerloop227)</f>
        <v/>
      </c>
      <c r="L250" s="41"/>
      <c r="M250" s="41"/>
      <c r="N250" s="82" t="str">
        <f>IF(Data_LoonkostenNatVerloop227="","",Data_LoonkostenNatVerloop227)</f>
        <v/>
      </c>
      <c r="O250" s="41"/>
      <c r="P250" s="276" t="s">
        <v>160</v>
      </c>
      <c r="Q250" s="41"/>
      <c r="R250" s="76" t="s">
        <v>160</v>
      </c>
      <c r="S250" s="41"/>
      <c r="T250" s="41"/>
      <c r="U250" s="41"/>
      <c r="V250" s="41"/>
      <c r="W250" s="41">
        <f t="shared" si="24"/>
        <v>0</v>
      </c>
      <c r="X250" s="77" t="str">
        <f t="shared" si="30"/>
        <v/>
      </c>
      <c r="AG250" s="81" t="str">
        <f>IF(Data_NaamPersoonTijd227="","",Data_NaamPersoonTijd227)</f>
        <v/>
      </c>
      <c r="AH250" s="41"/>
      <c r="AI250" s="41"/>
      <c r="AJ250" s="83" t="str">
        <f>IF(Data_BeeindigingsdatumTijd227="","",Data_BeeindigingsdatumTijd227)</f>
        <v/>
      </c>
      <c r="AK250" s="41"/>
      <c r="AL250" s="41"/>
      <c r="AM250" s="82" t="str">
        <f>IF(Data_LoonkostenTijd227="","",Data_LoonkostenTijd227)</f>
        <v/>
      </c>
      <c r="AN250" s="41"/>
      <c r="AO250" s="276" t="str">
        <f>IF(Data_PersoonAanUitTijd227=-1,"v","")</f>
        <v/>
      </c>
      <c r="AP250" s="41"/>
      <c r="AQ250" s="76" t="s">
        <v>160</v>
      </c>
      <c r="AR250" s="41"/>
      <c r="AS250" s="41"/>
      <c r="AT250" s="41"/>
      <c r="AU250" s="41"/>
      <c r="AV250" s="41">
        <f t="shared" si="25"/>
        <v>0</v>
      </c>
      <c r="AW250" s="77">
        <f t="shared" si="26"/>
        <v>0</v>
      </c>
      <c r="AX250" s="41"/>
      <c r="AY250" s="41"/>
      <c r="AZ250" s="41"/>
      <c r="BA250" s="81" t="str">
        <f>IF(Data_NaamPersoonVastVrij227="","",Data_NaamPersoonVastVrij227)</f>
        <v/>
      </c>
      <c r="BB250" s="41"/>
      <c r="BC250" s="41"/>
      <c r="BD250" s="83" t="str">
        <f>IF(Data_BeeindigingsdatumVastVrij227="","",Data_BeeindigingsdatumVastVrij227)</f>
        <v/>
      </c>
      <c r="BE250" s="41"/>
      <c r="BF250" s="41"/>
      <c r="BG250" s="82" t="str">
        <f>IF(Data_LoonkostenVastVrij227="","",Data_LoonkostenVastVrij227)</f>
        <v/>
      </c>
      <c r="BH250" s="41"/>
      <c r="BI250" s="76" t="str">
        <f>IF(Data_PersoonAanUitVastVrij227=-1,"v","")</f>
        <v/>
      </c>
      <c r="BJ250" s="41"/>
      <c r="BK250" s="76" t="s">
        <v>160</v>
      </c>
      <c r="BL250" s="41"/>
      <c r="BM250" s="41"/>
      <c r="BN250" s="41"/>
      <c r="BO250" s="41"/>
      <c r="BP250" s="41">
        <f t="shared" si="27"/>
        <v>0</v>
      </c>
      <c r="BQ250" s="77">
        <f t="shared" si="28"/>
        <v>0</v>
      </c>
      <c r="BS250" s="81" t="str">
        <f>IF(Data_NaamPersoonVastOntslag227="","",Data_NaamPersoonVastOntslag227)</f>
        <v/>
      </c>
      <c r="BV250" s="83" t="str">
        <f>IF(Data_BeeindigingsdatumVastOntslag227="","",Data_BeeindigingsdatumVastOntslag227)</f>
        <v/>
      </c>
      <c r="BY250" s="82" t="str">
        <f>IF(Data_LoonkostenVastOntslag227="","",Data_LoonkostenVastOntslag227)</f>
        <v/>
      </c>
      <c r="CA250" s="76" t="str">
        <f>IF(Data_PersoonAanUitVastOntslag227=-1,"v","")</f>
        <v/>
      </c>
      <c r="CB250" s="41"/>
      <c r="CC250" s="76" t="s">
        <v>160</v>
      </c>
      <c r="CD250" s="41"/>
      <c r="CE250" s="41"/>
      <c r="CF250" s="41"/>
      <c r="CG250" s="41"/>
      <c r="CH250" s="41">
        <f t="shared" si="31"/>
        <v>0</v>
      </c>
      <c r="CI250" s="41">
        <f t="shared" si="29"/>
        <v>0</v>
      </c>
    </row>
    <row r="251" spans="8:87" x14ac:dyDescent="0.25">
      <c r="H251" s="81" t="str">
        <f>IF(Data_NaamPersoonNatVerloop228="","",Data_NaamPersoonNatVerloop228)</f>
        <v/>
      </c>
      <c r="I251" s="41"/>
      <c r="J251" s="41"/>
      <c r="K251" s="83" t="str">
        <f>IF(Data_BeeindigingsdatumNatVerloop228="","",Data_BeeindigingsdatumNatVerloop228)</f>
        <v/>
      </c>
      <c r="L251" s="41"/>
      <c r="M251" s="41"/>
      <c r="N251" s="82" t="str">
        <f>IF(Data_LoonkostenNatVerloop228="","",Data_LoonkostenNatVerloop228)</f>
        <v/>
      </c>
      <c r="O251" s="41"/>
      <c r="P251" s="276" t="s">
        <v>160</v>
      </c>
      <c r="Q251" s="41"/>
      <c r="R251" s="76" t="s">
        <v>160</v>
      </c>
      <c r="S251" s="41"/>
      <c r="T251" s="41"/>
      <c r="U251" s="41"/>
      <c r="V251" s="41"/>
      <c r="W251" s="41">
        <f t="shared" si="24"/>
        <v>0</v>
      </c>
      <c r="X251" s="77" t="str">
        <f t="shared" si="30"/>
        <v/>
      </c>
      <c r="AG251" s="81" t="str">
        <f>IF(Data_NaamPersoonTijd228="","",Data_NaamPersoonTijd228)</f>
        <v/>
      </c>
      <c r="AH251" s="41"/>
      <c r="AI251" s="41"/>
      <c r="AJ251" s="83" t="str">
        <f>IF(Data_BeeindigingsdatumTijd228="","",Data_BeeindigingsdatumTijd228)</f>
        <v/>
      </c>
      <c r="AK251" s="41"/>
      <c r="AL251" s="41"/>
      <c r="AM251" s="82" t="str">
        <f>IF(Data_LoonkostenTijd228="","",Data_LoonkostenTijd228)</f>
        <v/>
      </c>
      <c r="AN251" s="41"/>
      <c r="AO251" s="276" t="str">
        <f>IF(Data_PersoonAanUitTijd228=-1,"v","")</f>
        <v/>
      </c>
      <c r="AP251" s="41"/>
      <c r="AQ251" s="76" t="s">
        <v>160</v>
      </c>
      <c r="AR251" s="41"/>
      <c r="AS251" s="41"/>
      <c r="AT251" s="41"/>
      <c r="AU251" s="41"/>
      <c r="AV251" s="41">
        <f t="shared" si="25"/>
        <v>0</v>
      </c>
      <c r="AW251" s="77">
        <f t="shared" si="26"/>
        <v>0</v>
      </c>
      <c r="AX251" s="41"/>
      <c r="AY251" s="41"/>
      <c r="AZ251" s="41"/>
      <c r="BA251" s="81" t="str">
        <f>IF(Data_NaamPersoonVastVrij228="","",Data_NaamPersoonVastVrij228)</f>
        <v/>
      </c>
      <c r="BB251" s="41"/>
      <c r="BC251" s="41"/>
      <c r="BD251" s="83" t="str">
        <f>IF(Data_BeeindigingsdatumVastVrij228="","",Data_BeeindigingsdatumVastVrij228)</f>
        <v/>
      </c>
      <c r="BE251" s="41"/>
      <c r="BF251" s="41"/>
      <c r="BG251" s="82" t="str">
        <f>IF(Data_LoonkostenVastVrij228="","",Data_LoonkostenVastVrij228)</f>
        <v/>
      </c>
      <c r="BH251" s="41"/>
      <c r="BI251" s="76" t="str">
        <f>IF(Data_PersoonAanUitVastVrij228=-1,"v","")</f>
        <v/>
      </c>
      <c r="BJ251" s="41"/>
      <c r="BK251" s="76" t="s">
        <v>160</v>
      </c>
      <c r="BL251" s="41"/>
      <c r="BM251" s="41"/>
      <c r="BN251" s="41"/>
      <c r="BO251" s="41"/>
      <c r="BP251" s="41">
        <f t="shared" si="27"/>
        <v>0</v>
      </c>
      <c r="BQ251" s="77">
        <f t="shared" si="28"/>
        <v>0</v>
      </c>
      <c r="BS251" s="81" t="str">
        <f>IF(Data_NaamPersoonVastOntslag228="","",Data_NaamPersoonVastOntslag228)</f>
        <v/>
      </c>
      <c r="BV251" s="83" t="str">
        <f>IF(Data_BeeindigingsdatumVastOntslag228="","",Data_BeeindigingsdatumVastOntslag228)</f>
        <v/>
      </c>
      <c r="BY251" s="82" t="str">
        <f>IF(Data_LoonkostenVastOntslag228="","",Data_LoonkostenVastOntslag228)</f>
        <v/>
      </c>
      <c r="CA251" s="76" t="str">
        <f>IF(Data_PersoonAanUitVastOntslag228=-1,"v","")</f>
        <v/>
      </c>
      <c r="CB251" s="41"/>
      <c r="CC251" s="76" t="s">
        <v>160</v>
      </c>
      <c r="CD251" s="41"/>
      <c r="CE251" s="41"/>
      <c r="CF251" s="41"/>
      <c r="CG251" s="41"/>
      <c r="CH251" s="41">
        <f t="shared" si="31"/>
        <v>0</v>
      </c>
      <c r="CI251" s="41">
        <f t="shared" si="29"/>
        <v>0</v>
      </c>
    </row>
    <row r="252" spans="8:87" x14ac:dyDescent="0.25">
      <c r="H252" s="81" t="str">
        <f>IF(Data_NaamPersoonNatVerloop229="","",Data_NaamPersoonNatVerloop229)</f>
        <v/>
      </c>
      <c r="I252" s="41"/>
      <c r="J252" s="41"/>
      <c r="K252" s="83" t="str">
        <f>IF(Data_BeeindigingsdatumNatVerloop229="","",Data_BeeindigingsdatumNatVerloop229)</f>
        <v/>
      </c>
      <c r="L252" s="41"/>
      <c r="M252" s="41"/>
      <c r="N252" s="82" t="str">
        <f>IF(Data_LoonkostenNatVerloop229="","",Data_LoonkostenNatVerloop229)</f>
        <v/>
      </c>
      <c r="O252" s="41"/>
      <c r="P252" s="276" t="s">
        <v>160</v>
      </c>
      <c r="Q252" s="41"/>
      <c r="R252" s="76" t="s">
        <v>160</v>
      </c>
      <c r="S252" s="41"/>
      <c r="T252" s="41"/>
      <c r="U252" s="41"/>
      <c r="V252" s="41"/>
      <c r="W252" s="41">
        <f t="shared" si="24"/>
        <v>0</v>
      </c>
      <c r="X252" s="77" t="str">
        <f t="shared" si="30"/>
        <v/>
      </c>
      <c r="AG252" s="81" t="str">
        <f>IF(Data_NaamPersoonTijd229="","",Data_NaamPersoonTijd229)</f>
        <v/>
      </c>
      <c r="AH252" s="41"/>
      <c r="AI252" s="41"/>
      <c r="AJ252" s="83" t="str">
        <f>IF(Data_BeeindigingsdatumTijd229="","",Data_BeeindigingsdatumTijd229)</f>
        <v/>
      </c>
      <c r="AK252" s="41"/>
      <c r="AL252" s="41"/>
      <c r="AM252" s="82" t="str">
        <f>IF(Data_LoonkostenTijd229="","",Data_LoonkostenTijd229)</f>
        <v/>
      </c>
      <c r="AN252" s="41"/>
      <c r="AO252" s="276" t="str">
        <f>IF(Data_PersoonAanUitTijd229=-1,"v","")</f>
        <v/>
      </c>
      <c r="AP252" s="41"/>
      <c r="AQ252" s="76" t="s">
        <v>160</v>
      </c>
      <c r="AR252" s="41"/>
      <c r="AS252" s="41"/>
      <c r="AT252" s="41"/>
      <c r="AU252" s="41"/>
      <c r="AV252" s="41">
        <f t="shared" si="25"/>
        <v>0</v>
      </c>
      <c r="AW252" s="77">
        <f t="shared" si="26"/>
        <v>0</v>
      </c>
      <c r="AX252" s="41"/>
      <c r="AY252" s="41"/>
      <c r="AZ252" s="41"/>
      <c r="BA252" s="81" t="str">
        <f>IF(Data_NaamPersoonVastVrij229="","",Data_NaamPersoonVastVrij229)</f>
        <v/>
      </c>
      <c r="BB252" s="41"/>
      <c r="BC252" s="41"/>
      <c r="BD252" s="83" t="str">
        <f>IF(Data_BeeindigingsdatumVastVrij229="","",Data_BeeindigingsdatumVastVrij229)</f>
        <v/>
      </c>
      <c r="BE252" s="41"/>
      <c r="BF252" s="41"/>
      <c r="BG252" s="82" t="str">
        <f>IF(Data_LoonkostenVastVrij229="","",Data_LoonkostenVastVrij229)</f>
        <v/>
      </c>
      <c r="BH252" s="41"/>
      <c r="BI252" s="76" t="str">
        <f>IF(Data_PersoonAanUitVastVrij229=-1,"v","")</f>
        <v/>
      </c>
      <c r="BJ252" s="41"/>
      <c r="BK252" s="76" t="s">
        <v>160</v>
      </c>
      <c r="BL252" s="41"/>
      <c r="BM252" s="41"/>
      <c r="BN252" s="41"/>
      <c r="BO252" s="41"/>
      <c r="BP252" s="41">
        <f t="shared" si="27"/>
        <v>0</v>
      </c>
      <c r="BQ252" s="77">
        <f t="shared" si="28"/>
        <v>0</v>
      </c>
      <c r="BS252" s="81" t="str">
        <f>IF(Data_NaamPersoonVastOntslag229="","",Data_NaamPersoonVastOntslag229)</f>
        <v/>
      </c>
      <c r="BV252" s="83" t="str">
        <f>IF(Data_BeeindigingsdatumVastOntslag229="","",Data_BeeindigingsdatumVastOntslag229)</f>
        <v/>
      </c>
      <c r="BY252" s="82" t="str">
        <f>IF(Data_LoonkostenVastOntslag229="","",Data_LoonkostenVastOntslag229)</f>
        <v/>
      </c>
      <c r="CA252" s="76" t="str">
        <f>IF(Data_PersoonAanUitVastOntslag229=-1,"v","")</f>
        <v/>
      </c>
      <c r="CB252" s="41"/>
      <c r="CC252" s="76" t="s">
        <v>160</v>
      </c>
      <c r="CD252" s="41"/>
      <c r="CE252" s="41"/>
      <c r="CF252" s="41"/>
      <c r="CG252" s="41"/>
      <c r="CH252" s="41">
        <f t="shared" si="31"/>
        <v>0</v>
      </c>
      <c r="CI252" s="41">
        <f t="shared" si="29"/>
        <v>0</v>
      </c>
    </row>
    <row r="253" spans="8:87" x14ac:dyDescent="0.25">
      <c r="H253" s="81" t="str">
        <f>IF(Data_NaamPersoonNatVerloop230="","",Data_NaamPersoonNatVerloop230)</f>
        <v/>
      </c>
      <c r="I253" s="41"/>
      <c r="J253" s="41"/>
      <c r="K253" s="83" t="str">
        <f>IF(Data_BeeindigingsdatumNatVerloop230="","",Data_BeeindigingsdatumNatVerloop230)</f>
        <v/>
      </c>
      <c r="L253" s="41"/>
      <c r="M253" s="41"/>
      <c r="N253" s="82" t="str">
        <f>IF(Data_LoonkostenNatVerloop230="","",Data_LoonkostenNatVerloop230)</f>
        <v/>
      </c>
      <c r="O253" s="41"/>
      <c r="P253" s="276" t="s">
        <v>160</v>
      </c>
      <c r="Q253" s="41"/>
      <c r="R253" s="76" t="s">
        <v>160</v>
      </c>
      <c r="S253" s="41"/>
      <c r="T253" s="41"/>
      <c r="U253" s="41"/>
      <c r="V253" s="41"/>
      <c r="W253" s="41">
        <f t="shared" si="24"/>
        <v>0</v>
      </c>
      <c r="X253" s="77" t="str">
        <f t="shared" si="30"/>
        <v/>
      </c>
      <c r="AG253" s="81" t="str">
        <f>IF(Data_NaamPersoonTijd230="","",Data_NaamPersoonTijd230)</f>
        <v/>
      </c>
      <c r="AH253" s="41"/>
      <c r="AI253" s="41"/>
      <c r="AJ253" s="83" t="str">
        <f>IF(Data_BeeindigingsdatumTijd230="","",Data_BeeindigingsdatumTijd230)</f>
        <v/>
      </c>
      <c r="AK253" s="41"/>
      <c r="AL253" s="41"/>
      <c r="AM253" s="82" t="str">
        <f>IF(Data_LoonkostenTijd230="","",Data_LoonkostenTijd230)</f>
        <v/>
      </c>
      <c r="AN253" s="41"/>
      <c r="AO253" s="276" t="str">
        <f>IF(Data_PersoonAanUitTijd230=-1,"v","")</f>
        <v/>
      </c>
      <c r="AP253" s="41"/>
      <c r="AQ253" s="76" t="s">
        <v>160</v>
      </c>
      <c r="AR253" s="41"/>
      <c r="AS253" s="41"/>
      <c r="AT253" s="41"/>
      <c r="AU253" s="41"/>
      <c r="AV253" s="41">
        <f t="shared" si="25"/>
        <v>0</v>
      </c>
      <c r="AW253" s="77">
        <f t="shared" si="26"/>
        <v>0</v>
      </c>
      <c r="AX253" s="41"/>
      <c r="AY253" s="41"/>
      <c r="AZ253" s="41"/>
      <c r="BA253" s="81" t="str">
        <f>IF(Data_NaamPersoonVastVrij230="","",Data_NaamPersoonVastVrij230)</f>
        <v/>
      </c>
      <c r="BB253" s="41"/>
      <c r="BC253" s="41"/>
      <c r="BD253" s="83" t="str">
        <f>IF(Data_BeeindigingsdatumVastVrij230="","",Data_BeeindigingsdatumVastVrij230)</f>
        <v/>
      </c>
      <c r="BE253" s="41"/>
      <c r="BF253" s="41"/>
      <c r="BG253" s="82" t="str">
        <f>IF(Data_LoonkostenVastVrij230="","",Data_LoonkostenVastVrij230)</f>
        <v/>
      </c>
      <c r="BH253" s="41"/>
      <c r="BI253" s="76" t="str">
        <f>IF(Data_PersoonAanUitVastVrij230=-1,"v","")</f>
        <v/>
      </c>
      <c r="BJ253" s="41"/>
      <c r="BK253" s="76" t="s">
        <v>160</v>
      </c>
      <c r="BL253" s="41"/>
      <c r="BM253" s="41"/>
      <c r="BN253" s="41"/>
      <c r="BO253" s="41"/>
      <c r="BP253" s="41">
        <f t="shared" si="27"/>
        <v>0</v>
      </c>
      <c r="BQ253" s="77">
        <f t="shared" si="28"/>
        <v>0</v>
      </c>
      <c r="BS253" s="81" t="str">
        <f>IF(Data_NaamPersoonVastOntslag230="","",Data_NaamPersoonVastOntslag230)</f>
        <v/>
      </c>
      <c r="BV253" s="83" t="str">
        <f>IF(Data_BeeindigingsdatumVastOntslag230="","",Data_BeeindigingsdatumVastOntslag230)</f>
        <v/>
      </c>
      <c r="BY253" s="82" t="str">
        <f>IF(Data_LoonkostenVastOntslag230="","",Data_LoonkostenVastOntslag230)</f>
        <v/>
      </c>
      <c r="CA253" s="76" t="str">
        <f>IF(Data_PersoonAanUitVastOntslag230=-1,"v","")</f>
        <v/>
      </c>
      <c r="CB253" s="41"/>
      <c r="CC253" s="76" t="s">
        <v>160</v>
      </c>
      <c r="CD253" s="41"/>
      <c r="CE253" s="41"/>
      <c r="CF253" s="41"/>
      <c r="CG253" s="41"/>
      <c r="CH253" s="41">
        <f t="shared" si="31"/>
        <v>0</v>
      </c>
      <c r="CI253" s="41">
        <f t="shared" si="29"/>
        <v>0</v>
      </c>
    </row>
    <row r="254" spans="8:87" x14ac:dyDescent="0.25">
      <c r="H254" s="81" t="str">
        <f>IF(Data_NaamPersoonNatVerloop231="","",Data_NaamPersoonNatVerloop231)</f>
        <v/>
      </c>
      <c r="I254" s="41"/>
      <c r="J254" s="41"/>
      <c r="K254" s="83" t="str">
        <f>IF(Data_BeeindigingsdatumNatVerloop231="","",Data_BeeindigingsdatumNatVerloop231)</f>
        <v/>
      </c>
      <c r="L254" s="41"/>
      <c r="M254" s="41"/>
      <c r="N254" s="82" t="str">
        <f>IF(Data_LoonkostenNatVerloop231="","",Data_LoonkostenNatVerloop231)</f>
        <v/>
      </c>
      <c r="O254" s="41"/>
      <c r="P254" s="276" t="s">
        <v>160</v>
      </c>
      <c r="Q254" s="41"/>
      <c r="R254" s="76" t="s">
        <v>160</v>
      </c>
      <c r="S254" s="41"/>
      <c r="T254" s="41"/>
      <c r="U254" s="41"/>
      <c r="V254" s="41"/>
      <c r="W254" s="41">
        <f t="shared" si="24"/>
        <v>0</v>
      </c>
      <c r="X254" s="77" t="str">
        <f t="shared" si="30"/>
        <v/>
      </c>
      <c r="AG254" s="81" t="str">
        <f>IF(Data_NaamPersoonTijd231="","",Data_NaamPersoonTijd231)</f>
        <v/>
      </c>
      <c r="AH254" s="41"/>
      <c r="AI254" s="41"/>
      <c r="AJ254" s="83" t="str">
        <f>IF(Data_BeeindigingsdatumTijd231="","",Data_BeeindigingsdatumTijd231)</f>
        <v/>
      </c>
      <c r="AK254" s="41"/>
      <c r="AL254" s="41"/>
      <c r="AM254" s="82" t="str">
        <f>IF(Data_LoonkostenTijd231="","",Data_LoonkostenTijd231)</f>
        <v/>
      </c>
      <c r="AN254" s="41"/>
      <c r="AO254" s="276" t="str">
        <f>IF(Data_PersoonAanUitTijd231=-1,"v","")</f>
        <v/>
      </c>
      <c r="AP254" s="41"/>
      <c r="AQ254" s="76" t="s">
        <v>160</v>
      </c>
      <c r="AR254" s="41"/>
      <c r="AS254" s="41"/>
      <c r="AT254" s="41"/>
      <c r="AU254" s="41"/>
      <c r="AV254" s="41">
        <f t="shared" si="25"/>
        <v>0</v>
      </c>
      <c r="AW254" s="77">
        <f t="shared" si="26"/>
        <v>0</v>
      </c>
      <c r="AX254" s="41"/>
      <c r="AY254" s="41"/>
      <c r="AZ254" s="41"/>
      <c r="BA254" s="81" t="str">
        <f>IF(Data_NaamPersoonVastVrij231="","",Data_NaamPersoonVastVrij231)</f>
        <v/>
      </c>
      <c r="BB254" s="41"/>
      <c r="BC254" s="41"/>
      <c r="BD254" s="83" t="str">
        <f>IF(Data_BeeindigingsdatumVastVrij231="","",Data_BeeindigingsdatumVastVrij231)</f>
        <v/>
      </c>
      <c r="BE254" s="41"/>
      <c r="BF254" s="41"/>
      <c r="BG254" s="82" t="str">
        <f>IF(Data_LoonkostenVastVrij231="","",Data_LoonkostenVastVrij231)</f>
        <v/>
      </c>
      <c r="BH254" s="41"/>
      <c r="BI254" s="76" t="str">
        <f>IF(Data_PersoonAanUitVastVrij231=-1,"v","")</f>
        <v/>
      </c>
      <c r="BJ254" s="41"/>
      <c r="BK254" s="76" t="s">
        <v>160</v>
      </c>
      <c r="BL254" s="41"/>
      <c r="BM254" s="41"/>
      <c r="BN254" s="41"/>
      <c r="BO254" s="41"/>
      <c r="BP254" s="41">
        <f t="shared" si="27"/>
        <v>0</v>
      </c>
      <c r="BQ254" s="77">
        <f t="shared" si="28"/>
        <v>0</v>
      </c>
      <c r="BS254" s="81" t="str">
        <f>IF(Data_NaamPersoonVastOntslag231="","",Data_NaamPersoonVastOntslag231)</f>
        <v/>
      </c>
      <c r="BV254" s="83" t="str">
        <f>IF(Data_BeeindigingsdatumVastOntslag231="","",Data_BeeindigingsdatumVastOntslag231)</f>
        <v/>
      </c>
      <c r="BY254" s="82" t="str">
        <f>IF(Data_LoonkostenVastOntslag231="","",Data_LoonkostenVastOntslag231)</f>
        <v/>
      </c>
      <c r="CA254" s="76" t="str">
        <f>IF(Data_PersoonAanUitVastOntslag231=-1,"v","")</f>
        <v/>
      </c>
      <c r="CB254" s="41"/>
      <c r="CC254" s="76" t="s">
        <v>160</v>
      </c>
      <c r="CD254" s="41"/>
      <c r="CE254" s="41"/>
      <c r="CF254" s="41"/>
      <c r="CG254" s="41"/>
      <c r="CH254" s="41">
        <f t="shared" si="31"/>
        <v>0</v>
      </c>
      <c r="CI254" s="41">
        <f t="shared" si="29"/>
        <v>0</v>
      </c>
    </row>
    <row r="255" spans="8:87" x14ac:dyDescent="0.25">
      <c r="H255" s="81" t="str">
        <f>IF(Data_NaamPersoonNatVerloop232="","",Data_NaamPersoonNatVerloop232)</f>
        <v/>
      </c>
      <c r="I255" s="41"/>
      <c r="J255" s="41"/>
      <c r="K255" s="83" t="str">
        <f>IF(Data_BeeindigingsdatumNatVerloop232="","",Data_BeeindigingsdatumNatVerloop232)</f>
        <v/>
      </c>
      <c r="L255" s="41"/>
      <c r="M255" s="41"/>
      <c r="N255" s="82" t="str">
        <f>IF(Data_LoonkostenNatVerloop232="","",Data_LoonkostenNatVerloop232)</f>
        <v/>
      </c>
      <c r="O255" s="41"/>
      <c r="P255" s="276" t="s">
        <v>160</v>
      </c>
      <c r="Q255" s="41"/>
      <c r="R255" s="76" t="s">
        <v>160</v>
      </c>
      <c r="S255" s="41"/>
      <c r="T255" s="41"/>
      <c r="U255" s="41"/>
      <c r="V255" s="41"/>
      <c r="W255" s="41">
        <f t="shared" si="24"/>
        <v>0</v>
      </c>
      <c r="X255" s="77" t="str">
        <f t="shared" si="30"/>
        <v/>
      </c>
      <c r="AG255" s="81" t="str">
        <f>IF(Data_NaamPersoonTijd232="","",Data_NaamPersoonTijd232)</f>
        <v/>
      </c>
      <c r="AH255" s="41"/>
      <c r="AI255" s="41"/>
      <c r="AJ255" s="83" t="str">
        <f>IF(Data_BeeindigingsdatumTijd232="","",Data_BeeindigingsdatumTijd232)</f>
        <v/>
      </c>
      <c r="AK255" s="41"/>
      <c r="AL255" s="41"/>
      <c r="AM255" s="82" t="str">
        <f>IF(Data_LoonkostenTijd232="","",Data_LoonkostenTijd232)</f>
        <v/>
      </c>
      <c r="AN255" s="41"/>
      <c r="AO255" s="276" t="str">
        <f>IF(Data_PersoonAanUitTijd232=-1,"v","")</f>
        <v/>
      </c>
      <c r="AP255" s="41"/>
      <c r="AQ255" s="76" t="s">
        <v>160</v>
      </c>
      <c r="AR255" s="41"/>
      <c r="AS255" s="41"/>
      <c r="AT255" s="41"/>
      <c r="AU255" s="41"/>
      <c r="AV255" s="41">
        <f t="shared" si="25"/>
        <v>0</v>
      </c>
      <c r="AW255" s="77">
        <f t="shared" si="26"/>
        <v>0</v>
      </c>
      <c r="AX255" s="41"/>
      <c r="AY255" s="41"/>
      <c r="AZ255" s="41"/>
      <c r="BA255" s="81" t="str">
        <f>IF(Data_NaamPersoonVastVrij232="","",Data_NaamPersoonVastVrij232)</f>
        <v/>
      </c>
      <c r="BB255" s="41"/>
      <c r="BC255" s="41"/>
      <c r="BD255" s="83" t="str">
        <f>IF(Data_BeeindigingsdatumVastVrij232="","",Data_BeeindigingsdatumVastVrij232)</f>
        <v/>
      </c>
      <c r="BE255" s="41"/>
      <c r="BF255" s="41"/>
      <c r="BG255" s="82" t="str">
        <f>IF(Data_LoonkostenVastVrij232="","",Data_LoonkostenVastVrij232)</f>
        <v/>
      </c>
      <c r="BH255" s="41"/>
      <c r="BI255" s="76" t="str">
        <f>IF(Data_PersoonAanUitVastVrij232=-1,"v","")</f>
        <v/>
      </c>
      <c r="BJ255" s="41"/>
      <c r="BK255" s="76" t="s">
        <v>160</v>
      </c>
      <c r="BL255" s="41"/>
      <c r="BM255" s="41"/>
      <c r="BN255" s="41"/>
      <c r="BO255" s="41"/>
      <c r="BP255" s="41">
        <f t="shared" si="27"/>
        <v>0</v>
      </c>
      <c r="BQ255" s="77">
        <f t="shared" si="28"/>
        <v>0</v>
      </c>
      <c r="BS255" s="81" t="str">
        <f>IF(Data_NaamPersoonVastOntslag232="","",Data_NaamPersoonVastOntslag232)</f>
        <v/>
      </c>
      <c r="BV255" s="83" t="str">
        <f>IF(Data_BeeindigingsdatumVastOntslag232="","",Data_BeeindigingsdatumVastOntslag232)</f>
        <v/>
      </c>
      <c r="BY255" s="82" t="str">
        <f>IF(Data_LoonkostenVastOntslag232="","",Data_LoonkostenVastOntslag232)</f>
        <v/>
      </c>
      <c r="CA255" s="76" t="str">
        <f>IF(Data_PersoonAanUitVastOntslag232=-1,"v","")</f>
        <v/>
      </c>
      <c r="CB255" s="41"/>
      <c r="CC255" s="76" t="s">
        <v>160</v>
      </c>
      <c r="CD255" s="41"/>
      <c r="CE255" s="41"/>
      <c r="CF255" s="41"/>
      <c r="CG255" s="41"/>
      <c r="CH255" s="41">
        <f t="shared" si="31"/>
        <v>0</v>
      </c>
      <c r="CI255" s="41">
        <f t="shared" si="29"/>
        <v>0</v>
      </c>
    </row>
    <row r="256" spans="8:87" x14ac:dyDescent="0.25">
      <c r="H256" s="81" t="str">
        <f>IF(Data_NaamPersoonNatVerloop233="","",Data_NaamPersoonNatVerloop233)</f>
        <v/>
      </c>
      <c r="I256" s="41"/>
      <c r="J256" s="41"/>
      <c r="K256" s="83" t="str">
        <f>IF(Data_BeeindigingsdatumNatVerloop233="","",Data_BeeindigingsdatumNatVerloop233)</f>
        <v/>
      </c>
      <c r="L256" s="41"/>
      <c r="M256" s="41"/>
      <c r="N256" s="82" t="str">
        <f>IF(Data_LoonkostenNatVerloop233="","",Data_LoonkostenNatVerloop233)</f>
        <v/>
      </c>
      <c r="O256" s="41"/>
      <c r="P256" s="276" t="s">
        <v>160</v>
      </c>
      <c r="Q256" s="41"/>
      <c r="R256" s="76" t="s">
        <v>160</v>
      </c>
      <c r="S256" s="41"/>
      <c r="T256" s="41"/>
      <c r="U256" s="41"/>
      <c r="V256" s="41"/>
      <c r="W256" s="41">
        <f t="shared" si="24"/>
        <v>0</v>
      </c>
      <c r="X256" s="77" t="str">
        <f t="shared" si="30"/>
        <v/>
      </c>
      <c r="AG256" s="81" t="str">
        <f>IF(Data_NaamPersoonTijd233="","",Data_NaamPersoonTijd233)</f>
        <v/>
      </c>
      <c r="AH256" s="41"/>
      <c r="AI256" s="41"/>
      <c r="AJ256" s="83" t="str">
        <f>IF(Data_BeeindigingsdatumTijd233="","",Data_BeeindigingsdatumTijd233)</f>
        <v/>
      </c>
      <c r="AK256" s="41"/>
      <c r="AL256" s="41"/>
      <c r="AM256" s="82" t="str">
        <f>IF(Data_LoonkostenTijd233="","",Data_LoonkostenTijd233)</f>
        <v/>
      </c>
      <c r="AN256" s="41"/>
      <c r="AO256" s="276" t="str">
        <f>IF(Data_PersoonAanUitTijd233=-1,"v","")</f>
        <v/>
      </c>
      <c r="AP256" s="41"/>
      <c r="AQ256" s="76" t="s">
        <v>160</v>
      </c>
      <c r="AR256" s="41"/>
      <c r="AS256" s="41"/>
      <c r="AT256" s="41"/>
      <c r="AU256" s="41"/>
      <c r="AV256" s="41">
        <f t="shared" si="25"/>
        <v>0</v>
      </c>
      <c r="AW256" s="77">
        <f t="shared" si="26"/>
        <v>0</v>
      </c>
      <c r="AX256" s="41"/>
      <c r="AY256" s="41"/>
      <c r="AZ256" s="41"/>
      <c r="BA256" s="81" t="str">
        <f>IF(Data_NaamPersoonVastVrij233="","",Data_NaamPersoonVastVrij233)</f>
        <v/>
      </c>
      <c r="BB256" s="41"/>
      <c r="BC256" s="41"/>
      <c r="BD256" s="83" t="str">
        <f>IF(Data_BeeindigingsdatumVastVrij233="","",Data_BeeindigingsdatumVastVrij233)</f>
        <v/>
      </c>
      <c r="BE256" s="41"/>
      <c r="BF256" s="41"/>
      <c r="BG256" s="82" t="str">
        <f>IF(Data_LoonkostenVastVrij233="","",Data_LoonkostenVastVrij233)</f>
        <v/>
      </c>
      <c r="BH256" s="41"/>
      <c r="BI256" s="76" t="str">
        <f>IF(Data_PersoonAanUitVastVrij233=-1,"v","")</f>
        <v/>
      </c>
      <c r="BJ256" s="41"/>
      <c r="BK256" s="76" t="s">
        <v>160</v>
      </c>
      <c r="BL256" s="41"/>
      <c r="BM256" s="41"/>
      <c r="BN256" s="41"/>
      <c r="BO256" s="41"/>
      <c r="BP256" s="41">
        <f t="shared" si="27"/>
        <v>0</v>
      </c>
      <c r="BQ256" s="77">
        <f t="shared" si="28"/>
        <v>0</v>
      </c>
      <c r="BS256" s="81" t="str">
        <f>IF(Data_NaamPersoonVastOntslag233="","",Data_NaamPersoonVastOntslag233)</f>
        <v/>
      </c>
      <c r="BV256" s="83" t="str">
        <f>IF(Data_BeeindigingsdatumVastOntslag233="","",Data_BeeindigingsdatumVastOntslag233)</f>
        <v/>
      </c>
      <c r="BY256" s="82" t="str">
        <f>IF(Data_LoonkostenVastOntslag233="","",Data_LoonkostenVastOntslag233)</f>
        <v/>
      </c>
      <c r="CA256" s="76" t="str">
        <f>IF(Data_PersoonAanUitVastOntslag233=-1,"v","")</f>
        <v/>
      </c>
      <c r="CB256" s="41"/>
      <c r="CC256" s="76" t="s">
        <v>160</v>
      </c>
      <c r="CD256" s="41"/>
      <c r="CE256" s="41"/>
      <c r="CF256" s="41"/>
      <c r="CG256" s="41"/>
      <c r="CH256" s="41">
        <f t="shared" si="31"/>
        <v>0</v>
      </c>
      <c r="CI256" s="41">
        <f t="shared" si="29"/>
        <v>0</v>
      </c>
    </row>
    <row r="257" spans="8:87" x14ac:dyDescent="0.25">
      <c r="H257" s="81" t="str">
        <f>IF(Data_NaamPersoonNatVerloop234="","",Data_NaamPersoonNatVerloop234)</f>
        <v/>
      </c>
      <c r="I257" s="41"/>
      <c r="J257" s="41"/>
      <c r="K257" s="83" t="str">
        <f>IF(Data_BeeindigingsdatumNatVerloop234="","",Data_BeeindigingsdatumNatVerloop234)</f>
        <v/>
      </c>
      <c r="L257" s="41"/>
      <c r="M257" s="41"/>
      <c r="N257" s="82" t="str">
        <f>IF(Data_LoonkostenNatVerloop234="","",Data_LoonkostenNatVerloop234)</f>
        <v/>
      </c>
      <c r="O257" s="41"/>
      <c r="P257" s="276" t="s">
        <v>160</v>
      </c>
      <c r="Q257" s="41"/>
      <c r="R257" s="76" t="s">
        <v>160</v>
      </c>
      <c r="S257" s="41"/>
      <c r="T257" s="41"/>
      <c r="U257" s="41"/>
      <c r="V257" s="41"/>
      <c r="W257" s="41">
        <f t="shared" si="24"/>
        <v>0</v>
      </c>
      <c r="X257" s="77" t="str">
        <f t="shared" si="30"/>
        <v/>
      </c>
      <c r="AG257" s="81" t="str">
        <f>IF(Data_NaamPersoonTijd234="","",Data_NaamPersoonTijd234)</f>
        <v/>
      </c>
      <c r="AH257" s="41"/>
      <c r="AI257" s="41"/>
      <c r="AJ257" s="83" t="str">
        <f>IF(Data_BeeindigingsdatumTijd234="","",Data_BeeindigingsdatumTijd234)</f>
        <v/>
      </c>
      <c r="AK257" s="41"/>
      <c r="AL257" s="41"/>
      <c r="AM257" s="82" t="str">
        <f>IF(Data_LoonkostenTijd234="","",Data_LoonkostenTijd234)</f>
        <v/>
      </c>
      <c r="AN257" s="41"/>
      <c r="AO257" s="276" t="str">
        <f>IF(Data_PersoonAanUitTijd234=-1,"v","")</f>
        <v/>
      </c>
      <c r="AP257" s="41"/>
      <c r="AQ257" s="76" t="s">
        <v>160</v>
      </c>
      <c r="AR257" s="41"/>
      <c r="AS257" s="41"/>
      <c r="AT257" s="41"/>
      <c r="AU257" s="41"/>
      <c r="AV257" s="41">
        <f t="shared" si="25"/>
        <v>0</v>
      </c>
      <c r="AW257" s="77">
        <f t="shared" si="26"/>
        <v>0</v>
      </c>
      <c r="AX257" s="41"/>
      <c r="AY257" s="41"/>
      <c r="AZ257" s="41"/>
      <c r="BA257" s="81" t="str">
        <f>IF(Data_NaamPersoonVastVrij234="","",Data_NaamPersoonVastVrij234)</f>
        <v/>
      </c>
      <c r="BB257" s="41"/>
      <c r="BC257" s="41"/>
      <c r="BD257" s="83" t="str">
        <f>IF(Data_BeeindigingsdatumVastVrij234="","",Data_BeeindigingsdatumVastVrij234)</f>
        <v/>
      </c>
      <c r="BE257" s="41"/>
      <c r="BF257" s="41"/>
      <c r="BG257" s="82" t="str">
        <f>IF(Data_LoonkostenVastVrij234="","",Data_LoonkostenVastVrij234)</f>
        <v/>
      </c>
      <c r="BH257" s="41"/>
      <c r="BI257" s="76" t="str">
        <f>IF(Data_PersoonAanUitVastVrij234=-1,"v","")</f>
        <v/>
      </c>
      <c r="BJ257" s="41"/>
      <c r="BK257" s="76" t="s">
        <v>160</v>
      </c>
      <c r="BL257" s="41"/>
      <c r="BM257" s="41"/>
      <c r="BN257" s="41"/>
      <c r="BO257" s="41"/>
      <c r="BP257" s="41">
        <f t="shared" si="27"/>
        <v>0</v>
      </c>
      <c r="BQ257" s="77">
        <f t="shared" si="28"/>
        <v>0</v>
      </c>
      <c r="BS257" s="81" t="str">
        <f>IF(Data_NaamPersoonVastOntslag234="","",Data_NaamPersoonVastOntslag234)</f>
        <v/>
      </c>
      <c r="BV257" s="83" t="str">
        <f>IF(Data_BeeindigingsdatumVastOntslag234="","",Data_BeeindigingsdatumVastOntslag234)</f>
        <v/>
      </c>
      <c r="BY257" s="82" t="str">
        <f>IF(Data_LoonkostenVastOntslag234="","",Data_LoonkostenVastOntslag234)</f>
        <v/>
      </c>
      <c r="CA257" s="76" t="str">
        <f>IF(Data_PersoonAanUitVastOntslag234=-1,"v","")</f>
        <v/>
      </c>
      <c r="CB257" s="41"/>
      <c r="CC257" s="76" t="s">
        <v>160</v>
      </c>
      <c r="CD257" s="41"/>
      <c r="CE257" s="41"/>
      <c r="CF257" s="41"/>
      <c r="CG257" s="41"/>
      <c r="CH257" s="41">
        <f t="shared" si="31"/>
        <v>0</v>
      </c>
      <c r="CI257" s="41">
        <f t="shared" si="29"/>
        <v>0</v>
      </c>
    </row>
    <row r="258" spans="8:87" x14ac:dyDescent="0.25">
      <c r="H258" s="81" t="str">
        <f>IF(Data_NaamPersoonNatVerloop235="","",Data_NaamPersoonNatVerloop235)</f>
        <v/>
      </c>
      <c r="I258" s="41"/>
      <c r="J258" s="41"/>
      <c r="K258" s="83" t="str">
        <f>IF(Data_BeeindigingsdatumNatVerloop235="","",Data_BeeindigingsdatumNatVerloop235)</f>
        <v/>
      </c>
      <c r="L258" s="41"/>
      <c r="M258" s="41"/>
      <c r="N258" s="82" t="str">
        <f>IF(Data_LoonkostenNatVerloop235="","",Data_LoonkostenNatVerloop235)</f>
        <v/>
      </c>
      <c r="O258" s="41"/>
      <c r="P258" s="276" t="s">
        <v>160</v>
      </c>
      <c r="Q258" s="41"/>
      <c r="R258" s="76" t="s">
        <v>160</v>
      </c>
      <c r="S258" s="41"/>
      <c r="T258" s="41"/>
      <c r="U258" s="41"/>
      <c r="V258" s="41"/>
      <c r="W258" s="41">
        <f t="shared" si="24"/>
        <v>0</v>
      </c>
      <c r="X258" s="77" t="str">
        <f t="shared" si="30"/>
        <v/>
      </c>
      <c r="AG258" s="81" t="str">
        <f>IF(Data_NaamPersoonTijd235="","",Data_NaamPersoonTijd235)</f>
        <v/>
      </c>
      <c r="AH258" s="41"/>
      <c r="AI258" s="41"/>
      <c r="AJ258" s="83" t="str">
        <f>IF(Data_BeeindigingsdatumTijd235="","",Data_BeeindigingsdatumTijd235)</f>
        <v/>
      </c>
      <c r="AK258" s="41"/>
      <c r="AL258" s="41"/>
      <c r="AM258" s="82" t="str">
        <f>IF(Data_LoonkostenTijd235="","",Data_LoonkostenTijd235)</f>
        <v/>
      </c>
      <c r="AN258" s="41"/>
      <c r="AO258" s="276" t="str">
        <f>IF(Data_PersoonAanUitTijd235=-1,"v","")</f>
        <v/>
      </c>
      <c r="AP258" s="41"/>
      <c r="AQ258" s="76" t="s">
        <v>160</v>
      </c>
      <c r="AR258" s="41"/>
      <c r="AS258" s="41"/>
      <c r="AT258" s="41"/>
      <c r="AU258" s="41"/>
      <c r="AV258" s="41">
        <f t="shared" si="25"/>
        <v>0</v>
      </c>
      <c r="AW258" s="77">
        <f t="shared" si="26"/>
        <v>0</v>
      </c>
      <c r="AX258" s="41"/>
      <c r="AY258" s="41"/>
      <c r="AZ258" s="41"/>
      <c r="BA258" s="81" t="str">
        <f>IF(Data_NaamPersoonVastVrij235="","",Data_NaamPersoonVastVrij235)</f>
        <v/>
      </c>
      <c r="BB258" s="41"/>
      <c r="BC258" s="41"/>
      <c r="BD258" s="83" t="str">
        <f>IF(Data_BeeindigingsdatumVastVrij235="","",Data_BeeindigingsdatumVastVrij235)</f>
        <v/>
      </c>
      <c r="BE258" s="41"/>
      <c r="BF258" s="41"/>
      <c r="BG258" s="82" t="str">
        <f>IF(Data_LoonkostenVastVrij235="","",Data_LoonkostenVastVrij235)</f>
        <v/>
      </c>
      <c r="BH258" s="41"/>
      <c r="BI258" s="76" t="str">
        <f>IF(Data_PersoonAanUitVastVrij235=-1,"v","")</f>
        <v/>
      </c>
      <c r="BJ258" s="41"/>
      <c r="BK258" s="76" t="s">
        <v>160</v>
      </c>
      <c r="BL258" s="41"/>
      <c r="BM258" s="41"/>
      <c r="BN258" s="41"/>
      <c r="BO258" s="41"/>
      <c r="BP258" s="41">
        <f t="shared" si="27"/>
        <v>0</v>
      </c>
      <c r="BQ258" s="77">
        <f t="shared" si="28"/>
        <v>0</v>
      </c>
      <c r="BS258" s="81" t="str">
        <f>IF(Data_NaamPersoonVastOntslag235="","",Data_NaamPersoonVastOntslag235)</f>
        <v/>
      </c>
      <c r="BV258" s="83" t="str">
        <f>IF(Data_BeeindigingsdatumVastOntslag235="","",Data_BeeindigingsdatumVastOntslag235)</f>
        <v/>
      </c>
      <c r="BY258" s="82" t="str">
        <f>IF(Data_LoonkostenVastOntslag235="","",Data_LoonkostenVastOntslag235)</f>
        <v/>
      </c>
      <c r="CA258" s="76" t="str">
        <f>IF(Data_PersoonAanUitVastOntslag235=-1,"v","")</f>
        <v/>
      </c>
      <c r="CB258" s="41"/>
      <c r="CC258" s="76" t="s">
        <v>160</v>
      </c>
      <c r="CD258" s="41"/>
      <c r="CE258" s="41"/>
      <c r="CF258" s="41"/>
      <c r="CG258" s="41"/>
      <c r="CH258" s="41">
        <f t="shared" si="31"/>
        <v>0</v>
      </c>
      <c r="CI258" s="41">
        <f t="shared" si="29"/>
        <v>0</v>
      </c>
    </row>
    <row r="259" spans="8:87" x14ac:dyDescent="0.25">
      <c r="H259" s="81" t="str">
        <f>IF(Data_NaamPersoonNatVerloop236="","",Data_NaamPersoonNatVerloop236)</f>
        <v/>
      </c>
      <c r="I259" s="41"/>
      <c r="J259" s="41"/>
      <c r="K259" s="83" t="str">
        <f>IF(Data_BeeindigingsdatumNatVerloop236="","",Data_BeeindigingsdatumNatVerloop236)</f>
        <v/>
      </c>
      <c r="L259" s="41"/>
      <c r="M259" s="41"/>
      <c r="N259" s="82" t="str">
        <f>IF(Data_LoonkostenNatVerloop236="","",Data_LoonkostenNatVerloop236)</f>
        <v/>
      </c>
      <c r="O259" s="41"/>
      <c r="P259" s="276" t="s">
        <v>160</v>
      </c>
      <c r="Q259" s="41"/>
      <c r="R259" s="76" t="s">
        <v>160</v>
      </c>
      <c r="S259" s="41"/>
      <c r="T259" s="41"/>
      <c r="U259" s="41"/>
      <c r="V259" s="41"/>
      <c r="W259" s="41">
        <f t="shared" si="24"/>
        <v>0</v>
      </c>
      <c r="X259" s="77" t="str">
        <f t="shared" si="30"/>
        <v/>
      </c>
      <c r="AG259" s="81" t="str">
        <f>IF(Data_NaamPersoonTijd236="","",Data_NaamPersoonTijd236)</f>
        <v/>
      </c>
      <c r="AH259" s="41"/>
      <c r="AI259" s="41"/>
      <c r="AJ259" s="83" t="str">
        <f>IF(Data_BeeindigingsdatumTijd236="","",Data_BeeindigingsdatumTijd236)</f>
        <v/>
      </c>
      <c r="AK259" s="41"/>
      <c r="AL259" s="41"/>
      <c r="AM259" s="82" t="str">
        <f>IF(Data_LoonkostenTijd236="","",Data_LoonkostenTijd236)</f>
        <v/>
      </c>
      <c r="AN259" s="41"/>
      <c r="AO259" s="276" t="str">
        <f>IF(Data_PersoonAanUitTijd236=-1,"v","")</f>
        <v/>
      </c>
      <c r="AP259" s="41"/>
      <c r="AQ259" s="76" t="s">
        <v>160</v>
      </c>
      <c r="AR259" s="41"/>
      <c r="AS259" s="41"/>
      <c r="AT259" s="41"/>
      <c r="AU259" s="41"/>
      <c r="AV259" s="41">
        <f t="shared" si="25"/>
        <v>0</v>
      </c>
      <c r="AW259" s="77">
        <f t="shared" si="26"/>
        <v>0</v>
      </c>
      <c r="AX259" s="41"/>
      <c r="AY259" s="41"/>
      <c r="AZ259" s="41"/>
      <c r="BA259" s="81" t="str">
        <f>IF(Data_NaamPersoonVastVrij236="","",Data_NaamPersoonVastVrij236)</f>
        <v/>
      </c>
      <c r="BB259" s="41"/>
      <c r="BC259" s="41"/>
      <c r="BD259" s="83" t="str">
        <f>IF(Data_BeeindigingsdatumVastVrij236="","",Data_BeeindigingsdatumVastVrij236)</f>
        <v/>
      </c>
      <c r="BE259" s="41"/>
      <c r="BF259" s="41"/>
      <c r="BG259" s="82" t="str">
        <f>IF(Data_LoonkostenVastVrij236="","",Data_LoonkostenVastVrij236)</f>
        <v/>
      </c>
      <c r="BH259" s="41"/>
      <c r="BI259" s="76" t="str">
        <f>IF(Data_PersoonAanUitVastVrij236=-1,"v","")</f>
        <v/>
      </c>
      <c r="BJ259" s="41"/>
      <c r="BK259" s="76" t="s">
        <v>160</v>
      </c>
      <c r="BL259" s="41"/>
      <c r="BM259" s="41"/>
      <c r="BN259" s="41"/>
      <c r="BO259" s="41"/>
      <c r="BP259" s="41">
        <f t="shared" si="27"/>
        <v>0</v>
      </c>
      <c r="BQ259" s="77">
        <f t="shared" si="28"/>
        <v>0</v>
      </c>
      <c r="BS259" s="81" t="str">
        <f>IF(Data_NaamPersoonVastOntslag236="","",Data_NaamPersoonVastOntslag236)</f>
        <v/>
      </c>
      <c r="BV259" s="83" t="str">
        <f>IF(Data_BeeindigingsdatumVastOntslag236="","",Data_BeeindigingsdatumVastOntslag236)</f>
        <v/>
      </c>
      <c r="BY259" s="82" t="str">
        <f>IF(Data_LoonkostenVastOntslag236="","",Data_LoonkostenVastOntslag236)</f>
        <v/>
      </c>
      <c r="CA259" s="76" t="str">
        <f>IF(Data_PersoonAanUitVastOntslag236=-1,"v","")</f>
        <v/>
      </c>
      <c r="CB259" s="41"/>
      <c r="CC259" s="76" t="s">
        <v>160</v>
      </c>
      <c r="CD259" s="41"/>
      <c r="CE259" s="41"/>
      <c r="CF259" s="41"/>
      <c r="CG259" s="41"/>
      <c r="CH259" s="41">
        <f t="shared" si="31"/>
        <v>0</v>
      </c>
      <c r="CI259" s="41">
        <f t="shared" si="29"/>
        <v>0</v>
      </c>
    </row>
    <row r="260" spans="8:87" x14ac:dyDescent="0.25">
      <c r="H260" s="81" t="str">
        <f>IF(Data_NaamPersoonNatVerloop237="","",Data_NaamPersoonNatVerloop237)</f>
        <v/>
      </c>
      <c r="I260" s="41"/>
      <c r="J260" s="41"/>
      <c r="K260" s="83" t="str">
        <f>IF(Data_BeeindigingsdatumNatVerloop237="","",Data_BeeindigingsdatumNatVerloop237)</f>
        <v/>
      </c>
      <c r="L260" s="41"/>
      <c r="M260" s="41"/>
      <c r="N260" s="82" t="str">
        <f>IF(Data_LoonkostenNatVerloop237="","",Data_LoonkostenNatVerloop237)</f>
        <v/>
      </c>
      <c r="O260" s="41"/>
      <c r="P260" s="276" t="s">
        <v>160</v>
      </c>
      <c r="Q260" s="41"/>
      <c r="R260" s="76" t="s">
        <v>160</v>
      </c>
      <c r="S260" s="41"/>
      <c r="T260" s="41"/>
      <c r="U260" s="41"/>
      <c r="V260" s="41"/>
      <c r="W260" s="41">
        <f t="shared" si="24"/>
        <v>0</v>
      </c>
      <c r="X260" s="77" t="str">
        <f t="shared" si="30"/>
        <v/>
      </c>
      <c r="AG260" s="81" t="str">
        <f>IF(Data_NaamPersoonTijd237="","",Data_NaamPersoonTijd237)</f>
        <v/>
      </c>
      <c r="AH260" s="41"/>
      <c r="AI260" s="41"/>
      <c r="AJ260" s="83" t="str">
        <f>IF(Data_BeeindigingsdatumTijd237="","",Data_BeeindigingsdatumTijd237)</f>
        <v/>
      </c>
      <c r="AK260" s="41"/>
      <c r="AL260" s="41"/>
      <c r="AM260" s="82" t="str">
        <f>IF(Data_LoonkostenTijd237="","",Data_LoonkostenTijd237)</f>
        <v/>
      </c>
      <c r="AN260" s="41"/>
      <c r="AO260" s="276" t="str">
        <f>IF(Data_PersoonAanUitTijd237=-1,"v","")</f>
        <v/>
      </c>
      <c r="AP260" s="41"/>
      <c r="AQ260" s="76" t="s">
        <v>160</v>
      </c>
      <c r="AR260" s="41"/>
      <c r="AS260" s="41"/>
      <c r="AT260" s="41"/>
      <c r="AU260" s="41"/>
      <c r="AV260" s="41">
        <f t="shared" si="25"/>
        <v>0</v>
      </c>
      <c r="AW260" s="77">
        <f t="shared" si="26"/>
        <v>0</v>
      </c>
      <c r="AX260" s="41"/>
      <c r="AY260" s="41"/>
      <c r="AZ260" s="41"/>
      <c r="BA260" s="81" t="str">
        <f>IF(Data_NaamPersoonVastVrij237="","",Data_NaamPersoonVastVrij237)</f>
        <v/>
      </c>
      <c r="BB260" s="41"/>
      <c r="BC260" s="41"/>
      <c r="BD260" s="83" t="str">
        <f>IF(Data_BeeindigingsdatumVastVrij237="","",Data_BeeindigingsdatumVastVrij237)</f>
        <v/>
      </c>
      <c r="BE260" s="41"/>
      <c r="BF260" s="41"/>
      <c r="BG260" s="82" t="str">
        <f>IF(Data_LoonkostenVastVrij237="","",Data_LoonkostenVastVrij237)</f>
        <v/>
      </c>
      <c r="BH260" s="41"/>
      <c r="BI260" s="76" t="str">
        <f>IF(Data_PersoonAanUitVastVrij237=-1,"v","")</f>
        <v/>
      </c>
      <c r="BJ260" s="41"/>
      <c r="BK260" s="76" t="s">
        <v>160</v>
      </c>
      <c r="BL260" s="41"/>
      <c r="BM260" s="41"/>
      <c r="BN260" s="41"/>
      <c r="BO260" s="41"/>
      <c r="BP260" s="41">
        <f t="shared" si="27"/>
        <v>0</v>
      </c>
      <c r="BQ260" s="77">
        <f t="shared" si="28"/>
        <v>0</v>
      </c>
      <c r="BS260" s="81" t="str">
        <f>IF(Data_NaamPersoonVastOntslag237="","",Data_NaamPersoonVastOntslag237)</f>
        <v/>
      </c>
      <c r="BV260" s="83" t="str">
        <f>IF(Data_BeeindigingsdatumVastOntslag237="","",Data_BeeindigingsdatumVastOntslag237)</f>
        <v/>
      </c>
      <c r="BY260" s="82" t="str">
        <f>IF(Data_LoonkostenVastOntslag237="","",Data_LoonkostenVastOntslag237)</f>
        <v/>
      </c>
      <c r="CA260" s="76" t="str">
        <f>IF(Data_PersoonAanUitVastOntslag237=-1,"v","")</f>
        <v/>
      </c>
      <c r="CB260" s="41"/>
      <c r="CC260" s="76" t="s">
        <v>160</v>
      </c>
      <c r="CD260" s="41"/>
      <c r="CE260" s="41"/>
      <c r="CF260" s="41"/>
      <c r="CG260" s="41"/>
      <c r="CH260" s="41">
        <f t="shared" si="31"/>
        <v>0</v>
      </c>
      <c r="CI260" s="41">
        <f t="shared" si="29"/>
        <v>0</v>
      </c>
    </row>
    <row r="261" spans="8:87" x14ac:dyDescent="0.25">
      <c r="H261" s="81" t="str">
        <f>IF(Data_NaamPersoonNatVerloop238="","",Data_NaamPersoonNatVerloop238)</f>
        <v/>
      </c>
      <c r="I261" s="41"/>
      <c r="J261" s="41"/>
      <c r="K261" s="83" t="str">
        <f>IF(Data_BeeindigingsdatumNatVerloop238="","",Data_BeeindigingsdatumNatVerloop238)</f>
        <v/>
      </c>
      <c r="L261" s="41"/>
      <c r="M261" s="41"/>
      <c r="N261" s="82" t="str">
        <f>IF(Data_LoonkostenNatVerloop238="","",Data_LoonkostenNatVerloop238)</f>
        <v/>
      </c>
      <c r="O261" s="41"/>
      <c r="P261" s="276" t="s">
        <v>160</v>
      </c>
      <c r="Q261" s="41"/>
      <c r="R261" s="76" t="s">
        <v>160</v>
      </c>
      <c r="S261" s="41"/>
      <c r="T261" s="41"/>
      <c r="U261" s="41"/>
      <c r="V261" s="41"/>
      <c r="W261" s="41">
        <f t="shared" si="24"/>
        <v>0</v>
      </c>
      <c r="X261" s="77" t="str">
        <f t="shared" si="30"/>
        <v/>
      </c>
      <c r="AG261" s="81" t="str">
        <f>IF(Data_NaamPersoonTijd238="","",Data_NaamPersoonTijd238)</f>
        <v/>
      </c>
      <c r="AH261" s="41"/>
      <c r="AI261" s="41"/>
      <c r="AJ261" s="83" t="str">
        <f>IF(Data_BeeindigingsdatumTijd238="","",Data_BeeindigingsdatumTijd238)</f>
        <v/>
      </c>
      <c r="AK261" s="41"/>
      <c r="AL261" s="41"/>
      <c r="AM261" s="82" t="str">
        <f>IF(Data_LoonkostenTijd238="","",Data_LoonkostenTijd238)</f>
        <v/>
      </c>
      <c r="AN261" s="41"/>
      <c r="AO261" s="276" t="str">
        <f>IF(Data_PersoonAanUitTijd238=-1,"v","")</f>
        <v/>
      </c>
      <c r="AP261" s="41"/>
      <c r="AQ261" s="76" t="s">
        <v>160</v>
      </c>
      <c r="AR261" s="41"/>
      <c r="AS261" s="41"/>
      <c r="AT261" s="41"/>
      <c r="AU261" s="41"/>
      <c r="AV261" s="41">
        <f t="shared" si="25"/>
        <v>0</v>
      </c>
      <c r="AW261" s="77">
        <f t="shared" si="26"/>
        <v>0</v>
      </c>
      <c r="AX261" s="41"/>
      <c r="AY261" s="41"/>
      <c r="AZ261" s="41"/>
      <c r="BA261" s="81" t="str">
        <f>IF(Data_NaamPersoonVastVrij238="","",Data_NaamPersoonVastVrij238)</f>
        <v/>
      </c>
      <c r="BB261" s="41"/>
      <c r="BC261" s="41"/>
      <c r="BD261" s="83" t="str">
        <f>IF(Data_BeeindigingsdatumVastVrij238="","",Data_BeeindigingsdatumVastVrij238)</f>
        <v/>
      </c>
      <c r="BE261" s="41"/>
      <c r="BF261" s="41"/>
      <c r="BG261" s="82" t="str">
        <f>IF(Data_LoonkostenVastVrij238="","",Data_LoonkostenVastVrij238)</f>
        <v/>
      </c>
      <c r="BH261" s="41"/>
      <c r="BI261" s="76" t="str">
        <f>IF(Data_PersoonAanUitVastVrij238=-1,"v","")</f>
        <v/>
      </c>
      <c r="BJ261" s="41"/>
      <c r="BK261" s="76" t="s">
        <v>160</v>
      </c>
      <c r="BL261" s="41"/>
      <c r="BM261" s="41"/>
      <c r="BN261" s="41"/>
      <c r="BO261" s="41"/>
      <c r="BP261" s="41">
        <f t="shared" si="27"/>
        <v>0</v>
      </c>
      <c r="BQ261" s="77">
        <f t="shared" si="28"/>
        <v>0</v>
      </c>
      <c r="BS261" s="81" t="str">
        <f>IF(Data_NaamPersoonVastOntslag238="","",Data_NaamPersoonVastOntslag238)</f>
        <v/>
      </c>
      <c r="BV261" s="83" t="str">
        <f>IF(Data_BeeindigingsdatumVastOntslag238="","",Data_BeeindigingsdatumVastOntslag238)</f>
        <v/>
      </c>
      <c r="BY261" s="82" t="str">
        <f>IF(Data_LoonkostenVastOntslag238="","",Data_LoonkostenVastOntslag238)</f>
        <v/>
      </c>
      <c r="CA261" s="76" t="str">
        <f>IF(Data_PersoonAanUitVastOntslag238=-1,"v","")</f>
        <v/>
      </c>
      <c r="CB261" s="41"/>
      <c r="CC261" s="76" t="s">
        <v>160</v>
      </c>
      <c r="CD261" s="41"/>
      <c r="CE261" s="41"/>
      <c r="CF261" s="41"/>
      <c r="CG261" s="41"/>
      <c r="CH261" s="41">
        <f t="shared" si="31"/>
        <v>0</v>
      </c>
      <c r="CI261" s="41">
        <f t="shared" si="29"/>
        <v>0</v>
      </c>
    </row>
    <row r="262" spans="8:87" x14ac:dyDescent="0.25">
      <c r="H262" s="81" t="str">
        <f>IF(Data_NaamPersoonNatVerloop239="","",Data_NaamPersoonNatVerloop239)</f>
        <v/>
      </c>
      <c r="I262" s="41"/>
      <c r="J262" s="41"/>
      <c r="K262" s="83" t="str">
        <f>IF(Data_BeeindigingsdatumNatVerloop239="","",Data_BeeindigingsdatumNatVerloop239)</f>
        <v/>
      </c>
      <c r="L262" s="41"/>
      <c r="M262" s="41"/>
      <c r="N262" s="82" t="str">
        <f>IF(Data_LoonkostenNatVerloop239="","",Data_LoonkostenNatVerloop239)</f>
        <v/>
      </c>
      <c r="O262" s="41"/>
      <c r="P262" s="276" t="s">
        <v>160</v>
      </c>
      <c r="Q262" s="41"/>
      <c r="R262" s="76" t="s">
        <v>160</v>
      </c>
      <c r="S262" s="41"/>
      <c r="T262" s="41"/>
      <c r="U262" s="41"/>
      <c r="V262" s="41"/>
      <c r="W262" s="41">
        <f t="shared" si="24"/>
        <v>0</v>
      </c>
      <c r="X262" s="77" t="str">
        <f t="shared" si="30"/>
        <v/>
      </c>
      <c r="AG262" s="81" t="str">
        <f>IF(Data_NaamPersoonTijd239="","",Data_NaamPersoonTijd239)</f>
        <v/>
      </c>
      <c r="AH262" s="41"/>
      <c r="AI262" s="41"/>
      <c r="AJ262" s="83" t="str">
        <f>IF(Data_BeeindigingsdatumTijd239="","",Data_BeeindigingsdatumTijd239)</f>
        <v/>
      </c>
      <c r="AK262" s="41"/>
      <c r="AL262" s="41"/>
      <c r="AM262" s="82" t="str">
        <f>IF(Data_LoonkostenTijd239="","",Data_LoonkostenTijd239)</f>
        <v/>
      </c>
      <c r="AN262" s="41"/>
      <c r="AO262" s="276" t="str">
        <f>IF(Data_PersoonAanUitTijd239=-1,"v","")</f>
        <v/>
      </c>
      <c r="AP262" s="41"/>
      <c r="AQ262" s="76" t="s">
        <v>160</v>
      </c>
      <c r="AR262" s="41"/>
      <c r="AS262" s="41"/>
      <c r="AT262" s="41"/>
      <c r="AU262" s="41"/>
      <c r="AV262" s="41">
        <f t="shared" si="25"/>
        <v>0</v>
      </c>
      <c r="AW262" s="77">
        <f t="shared" si="26"/>
        <v>0</v>
      </c>
      <c r="AX262" s="41"/>
      <c r="AY262" s="41"/>
      <c r="AZ262" s="41"/>
      <c r="BA262" s="81" t="str">
        <f>IF(Data_NaamPersoonVastVrij239="","",Data_NaamPersoonVastVrij239)</f>
        <v/>
      </c>
      <c r="BB262" s="41"/>
      <c r="BC262" s="41"/>
      <c r="BD262" s="83" t="str">
        <f>IF(Data_BeeindigingsdatumVastVrij239="","",Data_BeeindigingsdatumVastVrij239)</f>
        <v/>
      </c>
      <c r="BE262" s="41"/>
      <c r="BF262" s="41"/>
      <c r="BG262" s="82" t="str">
        <f>IF(Data_LoonkostenVastVrij239="","",Data_LoonkostenVastVrij239)</f>
        <v/>
      </c>
      <c r="BH262" s="41"/>
      <c r="BI262" s="76" t="str">
        <f>IF(Data_PersoonAanUitVastVrij239=-1,"v","")</f>
        <v/>
      </c>
      <c r="BJ262" s="41"/>
      <c r="BK262" s="76" t="s">
        <v>160</v>
      </c>
      <c r="BL262" s="41"/>
      <c r="BM262" s="41"/>
      <c r="BN262" s="41"/>
      <c r="BO262" s="41"/>
      <c r="BP262" s="41">
        <f t="shared" si="27"/>
        <v>0</v>
      </c>
      <c r="BQ262" s="77">
        <f t="shared" si="28"/>
        <v>0</v>
      </c>
      <c r="BS262" s="81" t="str">
        <f>IF(Data_NaamPersoonVastOntslag239="","",Data_NaamPersoonVastOntslag239)</f>
        <v/>
      </c>
      <c r="BV262" s="83" t="str">
        <f>IF(Data_BeeindigingsdatumVastOntslag239="","",Data_BeeindigingsdatumVastOntslag239)</f>
        <v/>
      </c>
      <c r="BY262" s="82" t="str">
        <f>IF(Data_LoonkostenVastOntslag239="","",Data_LoonkostenVastOntslag239)</f>
        <v/>
      </c>
      <c r="CA262" s="76" t="str">
        <f>IF(Data_PersoonAanUitVastOntslag239=-1,"v","")</f>
        <v/>
      </c>
      <c r="CB262" s="41"/>
      <c r="CC262" s="76" t="s">
        <v>160</v>
      </c>
      <c r="CD262" s="41"/>
      <c r="CE262" s="41"/>
      <c r="CF262" s="41"/>
      <c r="CG262" s="41"/>
      <c r="CH262" s="41">
        <f t="shared" si="31"/>
        <v>0</v>
      </c>
      <c r="CI262" s="41">
        <f t="shared" si="29"/>
        <v>0</v>
      </c>
    </row>
    <row r="263" spans="8:87" x14ac:dyDescent="0.25">
      <c r="H263" s="81" t="str">
        <f>IF(Data_NaamPersoonNatVerloop240="","",Data_NaamPersoonNatVerloop240)</f>
        <v/>
      </c>
      <c r="I263" s="41"/>
      <c r="J263" s="41"/>
      <c r="K263" s="83" t="str">
        <f>IF(Data_BeeindigingsdatumNatVerloop240="","",Data_BeeindigingsdatumNatVerloop240)</f>
        <v/>
      </c>
      <c r="L263" s="41"/>
      <c r="M263" s="41"/>
      <c r="N263" s="82" t="str">
        <f>IF(Data_LoonkostenNatVerloop240="","",Data_LoonkostenNatVerloop240)</f>
        <v/>
      </c>
      <c r="O263" s="41"/>
      <c r="P263" s="276" t="s">
        <v>160</v>
      </c>
      <c r="Q263" s="41"/>
      <c r="R263" s="76" t="s">
        <v>160</v>
      </c>
      <c r="S263" s="41"/>
      <c r="T263" s="41"/>
      <c r="U263" s="41"/>
      <c r="V263" s="41"/>
      <c r="W263" s="41">
        <f t="shared" si="24"/>
        <v>0</v>
      </c>
      <c r="X263" s="77" t="str">
        <f t="shared" si="30"/>
        <v/>
      </c>
      <c r="AG263" s="81" t="str">
        <f>IF(Data_NaamPersoonTijd240="","",Data_NaamPersoonTijd240)</f>
        <v/>
      </c>
      <c r="AH263" s="41"/>
      <c r="AI263" s="41"/>
      <c r="AJ263" s="83" t="str">
        <f>IF(Data_BeeindigingsdatumTijd240="","",Data_BeeindigingsdatumTijd240)</f>
        <v/>
      </c>
      <c r="AK263" s="41"/>
      <c r="AL263" s="41"/>
      <c r="AM263" s="82" t="str">
        <f>IF(Data_LoonkostenTijd240="","",Data_LoonkostenTijd240)</f>
        <v/>
      </c>
      <c r="AN263" s="41"/>
      <c r="AO263" s="276" t="str">
        <f>IF(Data_PersoonAanUitTijd240=-1,"v","")</f>
        <v/>
      </c>
      <c r="AP263" s="41"/>
      <c r="AQ263" s="76" t="s">
        <v>160</v>
      </c>
      <c r="AR263" s="41"/>
      <c r="AS263" s="41"/>
      <c r="AT263" s="41"/>
      <c r="AU263" s="41"/>
      <c r="AV263" s="41">
        <f t="shared" si="25"/>
        <v>0</v>
      </c>
      <c r="AW263" s="77">
        <f t="shared" si="26"/>
        <v>0</v>
      </c>
      <c r="AX263" s="41"/>
      <c r="AY263" s="41"/>
      <c r="AZ263" s="41"/>
      <c r="BA263" s="81" t="str">
        <f>IF(Data_NaamPersoonVastVrij240="","",Data_NaamPersoonVastVrij240)</f>
        <v/>
      </c>
      <c r="BB263" s="41"/>
      <c r="BC263" s="41"/>
      <c r="BD263" s="83" t="str">
        <f>IF(Data_BeeindigingsdatumVastVrij240="","",Data_BeeindigingsdatumVastVrij240)</f>
        <v/>
      </c>
      <c r="BE263" s="41"/>
      <c r="BF263" s="41"/>
      <c r="BG263" s="82" t="str">
        <f>IF(Data_LoonkostenVastVrij240="","",Data_LoonkostenVastVrij240)</f>
        <v/>
      </c>
      <c r="BH263" s="41"/>
      <c r="BI263" s="76" t="str">
        <f>IF(Data_PersoonAanUitVastVrij240=-1,"v","")</f>
        <v/>
      </c>
      <c r="BJ263" s="41"/>
      <c r="BK263" s="76" t="s">
        <v>160</v>
      </c>
      <c r="BL263" s="41"/>
      <c r="BM263" s="41"/>
      <c r="BN263" s="41"/>
      <c r="BO263" s="41"/>
      <c r="BP263" s="41">
        <f t="shared" si="27"/>
        <v>0</v>
      </c>
      <c r="BQ263" s="77">
        <f t="shared" si="28"/>
        <v>0</v>
      </c>
      <c r="BS263" s="81" t="str">
        <f>IF(Data_NaamPersoonVastOntslag240="","",Data_NaamPersoonVastOntslag240)</f>
        <v/>
      </c>
      <c r="BV263" s="83" t="str">
        <f>IF(Data_BeeindigingsdatumVastOntslag240="","",Data_BeeindigingsdatumVastOntslag240)</f>
        <v/>
      </c>
      <c r="BY263" s="82" t="str">
        <f>IF(Data_LoonkostenVastOntslag240="","",Data_LoonkostenVastOntslag240)</f>
        <v/>
      </c>
      <c r="CA263" s="76" t="str">
        <f>IF(Data_PersoonAanUitVastOntslag240=-1,"v","")</f>
        <v/>
      </c>
      <c r="CB263" s="41"/>
      <c r="CC263" s="76" t="s">
        <v>160</v>
      </c>
      <c r="CD263" s="41"/>
      <c r="CE263" s="41"/>
      <c r="CF263" s="41"/>
      <c r="CG263" s="41"/>
      <c r="CH263" s="41">
        <f t="shared" si="31"/>
        <v>0</v>
      </c>
      <c r="CI263" s="41">
        <f t="shared" si="29"/>
        <v>0</v>
      </c>
    </row>
    <row r="264" spans="8:87" x14ac:dyDescent="0.25">
      <c r="H264" s="81" t="str">
        <f>IF(Data_NaamPersoonNatVerloop241="","",Data_NaamPersoonNatVerloop241)</f>
        <v/>
      </c>
      <c r="I264" s="41"/>
      <c r="J264" s="41"/>
      <c r="K264" s="83" t="str">
        <f>IF(Data_BeeindigingsdatumNatVerloop241="","",Data_BeeindigingsdatumNatVerloop241)</f>
        <v/>
      </c>
      <c r="L264" s="41"/>
      <c r="M264" s="41"/>
      <c r="N264" s="82" t="str">
        <f>IF(Data_LoonkostenNatVerloop241="","",Data_LoonkostenNatVerloop241)</f>
        <v/>
      </c>
      <c r="O264" s="41"/>
      <c r="P264" s="276" t="s">
        <v>160</v>
      </c>
      <c r="Q264" s="41"/>
      <c r="R264" s="76" t="s">
        <v>160</v>
      </c>
      <c r="S264" s="41"/>
      <c r="T264" s="41"/>
      <c r="U264" s="41"/>
      <c r="V264" s="41"/>
      <c r="W264" s="41">
        <f t="shared" si="24"/>
        <v>0</v>
      </c>
      <c r="X264" s="77" t="str">
        <f t="shared" si="30"/>
        <v/>
      </c>
      <c r="AG264" s="81" t="str">
        <f>IF(Data_NaamPersoonTijd241="","",Data_NaamPersoonTijd241)</f>
        <v/>
      </c>
      <c r="AH264" s="41"/>
      <c r="AI264" s="41"/>
      <c r="AJ264" s="83" t="str">
        <f>IF(Data_BeeindigingsdatumTijd241="","",Data_BeeindigingsdatumTijd241)</f>
        <v/>
      </c>
      <c r="AK264" s="41"/>
      <c r="AL264" s="41"/>
      <c r="AM264" s="82" t="str">
        <f>IF(Data_LoonkostenTijd241="","",Data_LoonkostenTijd241)</f>
        <v/>
      </c>
      <c r="AN264" s="41"/>
      <c r="AO264" s="276" t="str">
        <f>IF(Data_PersoonAanUitTijd241=-1,"v","")</f>
        <v/>
      </c>
      <c r="AP264" s="41"/>
      <c r="AQ264" s="76" t="s">
        <v>160</v>
      </c>
      <c r="AR264" s="41"/>
      <c r="AS264" s="41"/>
      <c r="AT264" s="41"/>
      <c r="AU264" s="41"/>
      <c r="AV264" s="41">
        <f t="shared" si="25"/>
        <v>0</v>
      </c>
      <c r="AW264" s="77">
        <f t="shared" si="26"/>
        <v>0</v>
      </c>
      <c r="AX264" s="41"/>
      <c r="AY264" s="41"/>
      <c r="AZ264" s="41"/>
      <c r="BA264" s="81" t="str">
        <f>IF(Data_NaamPersoonVastVrij241="","",Data_NaamPersoonVastVrij241)</f>
        <v/>
      </c>
      <c r="BB264" s="41"/>
      <c r="BC264" s="41"/>
      <c r="BD264" s="83" t="str">
        <f>IF(Data_BeeindigingsdatumVastVrij241="","",Data_BeeindigingsdatumVastVrij241)</f>
        <v/>
      </c>
      <c r="BE264" s="41"/>
      <c r="BF264" s="41"/>
      <c r="BG264" s="82" t="str">
        <f>IF(Data_LoonkostenVastVrij241="","",Data_LoonkostenVastVrij241)</f>
        <v/>
      </c>
      <c r="BH264" s="41"/>
      <c r="BI264" s="76" t="str">
        <f>IF(Data_PersoonAanUitVastVrij241=-1,"v","")</f>
        <v/>
      </c>
      <c r="BJ264" s="41"/>
      <c r="BK264" s="76" t="s">
        <v>160</v>
      </c>
      <c r="BL264" s="41"/>
      <c r="BM264" s="41"/>
      <c r="BN264" s="41"/>
      <c r="BO264" s="41"/>
      <c r="BP264" s="41">
        <f t="shared" si="27"/>
        <v>0</v>
      </c>
      <c r="BQ264" s="77">
        <f t="shared" si="28"/>
        <v>0</v>
      </c>
      <c r="BS264" s="81" t="str">
        <f>IF(Data_NaamPersoonVastOntslag241="","",Data_NaamPersoonVastOntslag241)</f>
        <v/>
      </c>
      <c r="BV264" s="83" t="str">
        <f>IF(Data_BeeindigingsdatumVastOntslag241="","",Data_BeeindigingsdatumVastOntslag241)</f>
        <v/>
      </c>
      <c r="BY264" s="82" t="str">
        <f>IF(Data_LoonkostenVastOntslag241="","",Data_LoonkostenVastOntslag241)</f>
        <v/>
      </c>
      <c r="CA264" s="76" t="str">
        <f>IF(Data_PersoonAanUitVastOntslag241=-1,"v","")</f>
        <v/>
      </c>
      <c r="CB264" s="41"/>
      <c r="CC264" s="76" t="s">
        <v>160</v>
      </c>
      <c r="CD264" s="41"/>
      <c r="CE264" s="41"/>
      <c r="CF264" s="41"/>
      <c r="CG264" s="41"/>
      <c r="CH264" s="41">
        <f t="shared" si="31"/>
        <v>0</v>
      </c>
      <c r="CI264" s="41">
        <f t="shared" si="29"/>
        <v>0</v>
      </c>
    </row>
    <row r="265" spans="8:87" x14ac:dyDescent="0.25">
      <c r="H265" s="81" t="str">
        <f>IF(Data_NaamPersoonNatVerloop242="","",Data_NaamPersoonNatVerloop242)</f>
        <v/>
      </c>
      <c r="I265" s="41"/>
      <c r="J265" s="41"/>
      <c r="K265" s="83" t="str">
        <f>IF(Data_BeeindigingsdatumNatVerloop242="","",Data_BeeindigingsdatumNatVerloop242)</f>
        <v/>
      </c>
      <c r="L265" s="41"/>
      <c r="M265" s="41"/>
      <c r="N265" s="82" t="str">
        <f>IF(Data_LoonkostenNatVerloop242="","",Data_LoonkostenNatVerloop242)</f>
        <v/>
      </c>
      <c r="O265" s="41"/>
      <c r="P265" s="276" t="s">
        <v>160</v>
      </c>
      <c r="Q265" s="41"/>
      <c r="R265" s="76" t="s">
        <v>160</v>
      </c>
      <c r="S265" s="41"/>
      <c r="T265" s="41"/>
      <c r="U265" s="41"/>
      <c r="V265" s="41"/>
      <c r="W265" s="41">
        <f t="shared" si="24"/>
        <v>0</v>
      </c>
      <c r="X265" s="77" t="str">
        <f t="shared" si="30"/>
        <v/>
      </c>
      <c r="AG265" s="81" t="str">
        <f>IF(Data_NaamPersoonTijd242="","",Data_NaamPersoonTijd242)</f>
        <v/>
      </c>
      <c r="AH265" s="41"/>
      <c r="AI265" s="41"/>
      <c r="AJ265" s="83" t="str">
        <f>IF(Data_BeeindigingsdatumTijd242="","",Data_BeeindigingsdatumTijd242)</f>
        <v/>
      </c>
      <c r="AK265" s="41"/>
      <c r="AL265" s="41"/>
      <c r="AM265" s="82" t="str">
        <f>IF(Data_LoonkostenTijd242="","",Data_LoonkostenTijd242)</f>
        <v/>
      </c>
      <c r="AN265" s="41"/>
      <c r="AO265" s="276" t="str">
        <f>IF(Data_PersoonAanUitTijd242=-1,"v","")</f>
        <v/>
      </c>
      <c r="AP265" s="41"/>
      <c r="AQ265" s="76" t="s">
        <v>160</v>
      </c>
      <c r="AR265" s="41"/>
      <c r="AS265" s="41"/>
      <c r="AT265" s="41"/>
      <c r="AU265" s="41"/>
      <c r="AV265" s="41">
        <f t="shared" si="25"/>
        <v>0</v>
      </c>
      <c r="AW265" s="77">
        <f t="shared" si="26"/>
        <v>0</v>
      </c>
      <c r="AX265" s="41"/>
      <c r="AY265" s="41"/>
      <c r="AZ265" s="41"/>
      <c r="BA265" s="81" t="str">
        <f>IF(Data_NaamPersoonVastVrij242="","",Data_NaamPersoonVastVrij242)</f>
        <v/>
      </c>
      <c r="BB265" s="41"/>
      <c r="BC265" s="41"/>
      <c r="BD265" s="83" t="str">
        <f>IF(Data_BeeindigingsdatumVastVrij242="","",Data_BeeindigingsdatumVastVrij242)</f>
        <v/>
      </c>
      <c r="BE265" s="41"/>
      <c r="BF265" s="41"/>
      <c r="BG265" s="82" t="str">
        <f>IF(Data_LoonkostenVastVrij242="","",Data_LoonkostenVastVrij242)</f>
        <v/>
      </c>
      <c r="BH265" s="41"/>
      <c r="BI265" s="76" t="str">
        <f>IF(Data_PersoonAanUitVastVrij242=-1,"v","")</f>
        <v/>
      </c>
      <c r="BJ265" s="41"/>
      <c r="BK265" s="76" t="s">
        <v>160</v>
      </c>
      <c r="BL265" s="41"/>
      <c r="BM265" s="41"/>
      <c r="BN265" s="41"/>
      <c r="BO265" s="41"/>
      <c r="BP265" s="41">
        <f t="shared" si="27"/>
        <v>0</v>
      </c>
      <c r="BQ265" s="77">
        <f t="shared" si="28"/>
        <v>0</v>
      </c>
      <c r="BS265" s="81" t="str">
        <f>IF(Data_NaamPersoonVastOntslag242="","",Data_NaamPersoonVastOntslag242)</f>
        <v/>
      </c>
      <c r="BV265" s="83" t="str">
        <f>IF(Data_BeeindigingsdatumVastOntslag242="","",Data_BeeindigingsdatumVastOntslag242)</f>
        <v/>
      </c>
      <c r="BY265" s="82" t="str">
        <f>IF(Data_LoonkostenVastOntslag242="","",Data_LoonkostenVastOntslag242)</f>
        <v/>
      </c>
      <c r="CA265" s="76" t="str">
        <f>IF(Data_PersoonAanUitVastOntslag242=-1,"v","")</f>
        <v/>
      </c>
      <c r="CB265" s="41"/>
      <c r="CC265" s="76" t="s">
        <v>160</v>
      </c>
      <c r="CD265" s="41"/>
      <c r="CE265" s="41"/>
      <c r="CF265" s="41"/>
      <c r="CG265" s="41"/>
      <c r="CH265" s="41">
        <f t="shared" si="31"/>
        <v>0</v>
      </c>
      <c r="CI265" s="41">
        <f t="shared" si="29"/>
        <v>0</v>
      </c>
    </row>
    <row r="266" spans="8:87" x14ac:dyDescent="0.25">
      <c r="H266" s="81" t="str">
        <f>IF(Data_NaamPersoonNatVerloop243="","",Data_NaamPersoonNatVerloop243)</f>
        <v/>
      </c>
      <c r="I266" s="41"/>
      <c r="J266" s="41"/>
      <c r="K266" s="83" t="str">
        <f>IF(Data_BeeindigingsdatumNatVerloop243="","",Data_BeeindigingsdatumNatVerloop243)</f>
        <v/>
      </c>
      <c r="L266" s="41"/>
      <c r="M266" s="41"/>
      <c r="N266" s="82" t="str">
        <f>IF(Data_LoonkostenNatVerloop243="","",Data_LoonkostenNatVerloop243)</f>
        <v/>
      </c>
      <c r="O266" s="41"/>
      <c r="P266" s="276" t="s">
        <v>160</v>
      </c>
      <c r="Q266" s="41"/>
      <c r="R266" s="76" t="s">
        <v>160</v>
      </c>
      <c r="S266" s="41"/>
      <c r="T266" s="41"/>
      <c r="U266" s="41"/>
      <c r="V266" s="41"/>
      <c r="W266" s="41">
        <f t="shared" si="24"/>
        <v>0</v>
      </c>
      <c r="X266" s="77" t="str">
        <f t="shared" si="30"/>
        <v/>
      </c>
      <c r="AG266" s="81" t="str">
        <f>IF(Data_NaamPersoonTijd243="","",Data_NaamPersoonTijd243)</f>
        <v/>
      </c>
      <c r="AH266" s="41"/>
      <c r="AI266" s="41"/>
      <c r="AJ266" s="83" t="str">
        <f>IF(Data_BeeindigingsdatumTijd243="","",Data_BeeindigingsdatumTijd243)</f>
        <v/>
      </c>
      <c r="AK266" s="41"/>
      <c r="AL266" s="41"/>
      <c r="AM266" s="82" t="str">
        <f>IF(Data_LoonkostenTijd243="","",Data_LoonkostenTijd243)</f>
        <v/>
      </c>
      <c r="AN266" s="41"/>
      <c r="AO266" s="276" t="str">
        <f>IF(Data_PersoonAanUitTijd243=-1,"v","")</f>
        <v/>
      </c>
      <c r="AP266" s="41"/>
      <c r="AQ266" s="76" t="s">
        <v>160</v>
      </c>
      <c r="AR266" s="41"/>
      <c r="AS266" s="41"/>
      <c r="AT266" s="41"/>
      <c r="AU266" s="41"/>
      <c r="AV266" s="41">
        <f t="shared" si="25"/>
        <v>0</v>
      </c>
      <c r="AW266" s="77">
        <f t="shared" si="26"/>
        <v>0</v>
      </c>
      <c r="AX266" s="41"/>
      <c r="AY266" s="41"/>
      <c r="AZ266" s="41"/>
      <c r="BA266" s="81" t="str">
        <f>IF(Data_NaamPersoonVastVrij243="","",Data_NaamPersoonVastVrij243)</f>
        <v/>
      </c>
      <c r="BB266" s="41"/>
      <c r="BC266" s="41"/>
      <c r="BD266" s="83" t="str">
        <f>IF(Data_BeeindigingsdatumVastVrij243="","",Data_BeeindigingsdatumVastVrij243)</f>
        <v/>
      </c>
      <c r="BE266" s="41"/>
      <c r="BF266" s="41"/>
      <c r="BG266" s="82" t="str">
        <f>IF(Data_LoonkostenVastVrij243="","",Data_LoonkostenVastVrij243)</f>
        <v/>
      </c>
      <c r="BH266" s="41"/>
      <c r="BI266" s="76" t="str">
        <f>IF(Data_PersoonAanUitVastVrij243=-1,"v","")</f>
        <v/>
      </c>
      <c r="BJ266" s="41"/>
      <c r="BK266" s="76" t="s">
        <v>160</v>
      </c>
      <c r="BL266" s="41"/>
      <c r="BM266" s="41"/>
      <c r="BN266" s="41"/>
      <c r="BO266" s="41"/>
      <c r="BP266" s="41">
        <f t="shared" si="27"/>
        <v>0</v>
      </c>
      <c r="BQ266" s="77">
        <f t="shared" si="28"/>
        <v>0</v>
      </c>
      <c r="BS266" s="81" t="str">
        <f>IF(Data_NaamPersoonVastOntslag243="","",Data_NaamPersoonVastOntslag243)</f>
        <v/>
      </c>
      <c r="BV266" s="83" t="str">
        <f>IF(Data_BeeindigingsdatumVastOntslag243="","",Data_BeeindigingsdatumVastOntslag243)</f>
        <v/>
      </c>
      <c r="BY266" s="82" t="str">
        <f>IF(Data_LoonkostenVastOntslag243="","",Data_LoonkostenVastOntslag243)</f>
        <v/>
      </c>
      <c r="CA266" s="76" t="str">
        <f>IF(Data_PersoonAanUitVastOntslag243=-1,"v","")</f>
        <v/>
      </c>
      <c r="CB266" s="41"/>
      <c r="CC266" s="76" t="s">
        <v>160</v>
      </c>
      <c r="CD266" s="41"/>
      <c r="CE266" s="41"/>
      <c r="CF266" s="41"/>
      <c r="CG266" s="41"/>
      <c r="CH266" s="41">
        <f t="shared" si="31"/>
        <v>0</v>
      </c>
      <c r="CI266" s="41">
        <f t="shared" si="29"/>
        <v>0</v>
      </c>
    </row>
    <row r="267" spans="8:87" x14ac:dyDescent="0.25">
      <c r="H267" s="81" t="str">
        <f>IF(Data_NaamPersoonNatVerloop244="","",Data_NaamPersoonNatVerloop244)</f>
        <v/>
      </c>
      <c r="I267" s="41"/>
      <c r="J267" s="41"/>
      <c r="K267" s="83" t="str">
        <f>IF(Data_BeeindigingsdatumNatVerloop244="","",Data_BeeindigingsdatumNatVerloop244)</f>
        <v/>
      </c>
      <c r="L267" s="41"/>
      <c r="M267" s="41"/>
      <c r="N267" s="82" t="str">
        <f>IF(Data_LoonkostenNatVerloop244="","",Data_LoonkostenNatVerloop244)</f>
        <v/>
      </c>
      <c r="O267" s="41"/>
      <c r="P267" s="276" t="s">
        <v>160</v>
      </c>
      <c r="Q267" s="41"/>
      <c r="R267" s="76" t="s">
        <v>160</v>
      </c>
      <c r="S267" s="41"/>
      <c r="T267" s="41"/>
      <c r="U267" s="41"/>
      <c r="V267" s="41"/>
      <c r="W267" s="41">
        <f t="shared" si="24"/>
        <v>0</v>
      </c>
      <c r="X267" s="77" t="str">
        <f t="shared" si="30"/>
        <v/>
      </c>
      <c r="AG267" s="81" t="str">
        <f>IF(Data_NaamPersoonTijd244="","",Data_NaamPersoonTijd244)</f>
        <v/>
      </c>
      <c r="AH267" s="41"/>
      <c r="AI267" s="41"/>
      <c r="AJ267" s="83" t="str">
        <f>IF(Data_BeeindigingsdatumTijd244="","",Data_BeeindigingsdatumTijd244)</f>
        <v/>
      </c>
      <c r="AK267" s="41"/>
      <c r="AL267" s="41"/>
      <c r="AM267" s="82" t="str">
        <f>IF(Data_LoonkostenTijd244="","",Data_LoonkostenTijd244)</f>
        <v/>
      </c>
      <c r="AN267" s="41"/>
      <c r="AO267" s="276" t="str">
        <f>IF(Data_PersoonAanUitTijd244=-1,"v","")</f>
        <v/>
      </c>
      <c r="AP267" s="41"/>
      <c r="AQ267" s="76" t="s">
        <v>160</v>
      </c>
      <c r="AR267" s="41"/>
      <c r="AS267" s="41"/>
      <c r="AT267" s="41"/>
      <c r="AU267" s="41"/>
      <c r="AV267" s="41">
        <f t="shared" si="25"/>
        <v>0</v>
      </c>
      <c r="AW267" s="77">
        <f t="shared" si="26"/>
        <v>0</v>
      </c>
      <c r="AX267" s="41"/>
      <c r="AY267" s="41"/>
      <c r="AZ267" s="41"/>
      <c r="BA267" s="81" t="str">
        <f>IF(Data_NaamPersoonVastVrij244="","",Data_NaamPersoonVastVrij244)</f>
        <v/>
      </c>
      <c r="BB267" s="41"/>
      <c r="BC267" s="41"/>
      <c r="BD267" s="83" t="str">
        <f>IF(Data_BeeindigingsdatumVastVrij244="","",Data_BeeindigingsdatumVastVrij244)</f>
        <v/>
      </c>
      <c r="BE267" s="41"/>
      <c r="BF267" s="41"/>
      <c r="BG267" s="82" t="str">
        <f>IF(Data_LoonkostenVastVrij244="","",Data_LoonkostenVastVrij244)</f>
        <v/>
      </c>
      <c r="BH267" s="41"/>
      <c r="BI267" s="76" t="str">
        <f>IF(Data_PersoonAanUitVastVrij244=-1,"v","")</f>
        <v/>
      </c>
      <c r="BJ267" s="41"/>
      <c r="BK267" s="76" t="s">
        <v>160</v>
      </c>
      <c r="BL267" s="41"/>
      <c r="BM267" s="41"/>
      <c r="BN267" s="41"/>
      <c r="BO267" s="41"/>
      <c r="BP267" s="41">
        <f t="shared" si="27"/>
        <v>0</v>
      </c>
      <c r="BQ267" s="77">
        <f t="shared" si="28"/>
        <v>0</v>
      </c>
      <c r="BS267" s="81" t="str">
        <f>IF(Data_NaamPersoonVastOntslag244="","",Data_NaamPersoonVastOntslag244)</f>
        <v/>
      </c>
      <c r="BV267" s="83" t="str">
        <f>IF(Data_BeeindigingsdatumVastOntslag244="","",Data_BeeindigingsdatumVastOntslag244)</f>
        <v/>
      </c>
      <c r="BY267" s="82" t="str">
        <f>IF(Data_LoonkostenVastOntslag244="","",Data_LoonkostenVastOntslag244)</f>
        <v/>
      </c>
      <c r="CA267" s="76" t="str">
        <f>IF(Data_PersoonAanUitVastOntslag244=-1,"v","")</f>
        <v/>
      </c>
      <c r="CB267" s="41"/>
      <c r="CC267" s="76" t="s">
        <v>160</v>
      </c>
      <c r="CD267" s="41"/>
      <c r="CE267" s="41"/>
      <c r="CF267" s="41"/>
      <c r="CG267" s="41"/>
      <c r="CH267" s="41">
        <f t="shared" si="31"/>
        <v>0</v>
      </c>
      <c r="CI267" s="41">
        <f t="shared" si="29"/>
        <v>0</v>
      </c>
    </row>
    <row r="268" spans="8:87" x14ac:dyDescent="0.25">
      <c r="H268" s="81" t="str">
        <f>IF(Data_NaamPersoonNatVerloop245="","",Data_NaamPersoonNatVerloop245)</f>
        <v/>
      </c>
      <c r="I268" s="41"/>
      <c r="J268" s="41"/>
      <c r="K268" s="83" t="str">
        <f>IF(Data_BeeindigingsdatumNatVerloop245="","",Data_BeeindigingsdatumNatVerloop245)</f>
        <v/>
      </c>
      <c r="L268" s="41"/>
      <c r="M268" s="41"/>
      <c r="N268" s="82" t="str">
        <f>IF(Data_LoonkostenNatVerloop245="","",Data_LoonkostenNatVerloop245)</f>
        <v/>
      </c>
      <c r="O268" s="41"/>
      <c r="P268" s="276" t="s">
        <v>160</v>
      </c>
      <c r="Q268" s="41"/>
      <c r="R268" s="76" t="s">
        <v>160</v>
      </c>
      <c r="S268" s="41"/>
      <c r="T268" s="41"/>
      <c r="U268" s="41"/>
      <c r="V268" s="41"/>
      <c r="W268" s="41">
        <f t="shared" si="24"/>
        <v>0</v>
      </c>
      <c r="X268" s="77" t="str">
        <f t="shared" si="30"/>
        <v/>
      </c>
      <c r="AG268" s="81" t="str">
        <f>IF(Data_NaamPersoonTijd245="","",Data_NaamPersoonTijd245)</f>
        <v/>
      </c>
      <c r="AH268" s="41"/>
      <c r="AI268" s="41"/>
      <c r="AJ268" s="83" t="str">
        <f>IF(Data_BeeindigingsdatumTijd245="","",Data_BeeindigingsdatumTijd245)</f>
        <v/>
      </c>
      <c r="AK268" s="41"/>
      <c r="AL268" s="41"/>
      <c r="AM268" s="82" t="str">
        <f>IF(Data_LoonkostenTijd245="","",Data_LoonkostenTijd245)</f>
        <v/>
      </c>
      <c r="AN268" s="41"/>
      <c r="AO268" s="276" t="str">
        <f>IF(Data_PersoonAanUitTijd245=-1,"v","")</f>
        <v/>
      </c>
      <c r="AP268" s="41"/>
      <c r="AQ268" s="76" t="s">
        <v>160</v>
      </c>
      <c r="AR268" s="41"/>
      <c r="AS268" s="41"/>
      <c r="AT268" s="41"/>
      <c r="AU268" s="41"/>
      <c r="AV268" s="41">
        <f t="shared" si="25"/>
        <v>0</v>
      </c>
      <c r="AW268" s="77">
        <f t="shared" si="26"/>
        <v>0</v>
      </c>
      <c r="AX268" s="41"/>
      <c r="AY268" s="41"/>
      <c r="AZ268" s="41"/>
      <c r="BA268" s="81" t="str">
        <f>IF(Data_NaamPersoonVastVrij245="","",Data_NaamPersoonVastVrij245)</f>
        <v/>
      </c>
      <c r="BB268" s="41"/>
      <c r="BC268" s="41"/>
      <c r="BD268" s="83" t="str">
        <f>IF(Data_BeeindigingsdatumVastVrij245="","",Data_BeeindigingsdatumVastVrij245)</f>
        <v/>
      </c>
      <c r="BE268" s="41"/>
      <c r="BF268" s="41"/>
      <c r="BG268" s="82" t="str">
        <f>IF(Data_LoonkostenVastVrij245="","",Data_LoonkostenVastVrij245)</f>
        <v/>
      </c>
      <c r="BH268" s="41"/>
      <c r="BI268" s="76" t="str">
        <f>IF(Data_PersoonAanUitVastVrij245=-1,"v","")</f>
        <v/>
      </c>
      <c r="BJ268" s="41"/>
      <c r="BK268" s="76" t="s">
        <v>160</v>
      </c>
      <c r="BL268" s="41"/>
      <c r="BM268" s="41"/>
      <c r="BN268" s="41"/>
      <c r="BO268" s="41"/>
      <c r="BP268" s="41">
        <f t="shared" si="27"/>
        <v>0</v>
      </c>
      <c r="BQ268" s="77">
        <f t="shared" si="28"/>
        <v>0</v>
      </c>
      <c r="BS268" s="81" t="str">
        <f>IF(Data_NaamPersoonVastOntslag245="","",Data_NaamPersoonVastOntslag245)</f>
        <v/>
      </c>
      <c r="BV268" s="83" t="str">
        <f>IF(Data_BeeindigingsdatumVastOntslag245="","",Data_BeeindigingsdatumVastOntslag245)</f>
        <v/>
      </c>
      <c r="BY268" s="82" t="str">
        <f>IF(Data_LoonkostenVastOntslag245="","",Data_LoonkostenVastOntslag245)</f>
        <v/>
      </c>
      <c r="CA268" s="76" t="str">
        <f>IF(Data_PersoonAanUitVastOntslag245=-1,"v","")</f>
        <v/>
      </c>
      <c r="CB268" s="41"/>
      <c r="CC268" s="76" t="s">
        <v>160</v>
      </c>
      <c r="CD268" s="41"/>
      <c r="CE268" s="41"/>
      <c r="CF268" s="41"/>
      <c r="CG268" s="41"/>
      <c r="CH268" s="41">
        <f t="shared" si="31"/>
        <v>0</v>
      </c>
      <c r="CI268" s="41">
        <f t="shared" si="29"/>
        <v>0</v>
      </c>
    </row>
    <row r="269" spans="8:87" x14ac:dyDescent="0.25">
      <c r="H269" s="81" t="str">
        <f>IF(Data_NaamPersoonNatVerloop246="","",Data_NaamPersoonNatVerloop246)</f>
        <v/>
      </c>
      <c r="I269" s="41"/>
      <c r="J269" s="41"/>
      <c r="K269" s="83" t="str">
        <f>IF(Data_BeeindigingsdatumNatVerloop246="","",Data_BeeindigingsdatumNatVerloop246)</f>
        <v/>
      </c>
      <c r="L269" s="41"/>
      <c r="M269" s="41"/>
      <c r="N269" s="82" t="str">
        <f>IF(Data_LoonkostenNatVerloop246="","",Data_LoonkostenNatVerloop246)</f>
        <v/>
      </c>
      <c r="O269" s="41"/>
      <c r="P269" s="276" t="s">
        <v>160</v>
      </c>
      <c r="Q269" s="41"/>
      <c r="R269" s="76" t="s">
        <v>160</v>
      </c>
      <c r="S269" s="41"/>
      <c r="T269" s="41"/>
      <c r="U269" s="41"/>
      <c r="V269" s="41"/>
      <c r="W269" s="41">
        <f t="shared" si="24"/>
        <v>0</v>
      </c>
      <c r="X269" s="77" t="str">
        <f t="shared" si="30"/>
        <v/>
      </c>
      <c r="AG269" s="81" t="str">
        <f>IF(Data_NaamPersoonTijd246="","",Data_NaamPersoonTijd246)</f>
        <v/>
      </c>
      <c r="AH269" s="41"/>
      <c r="AI269" s="41"/>
      <c r="AJ269" s="83" t="str">
        <f>IF(Data_BeeindigingsdatumTijd246="","",Data_BeeindigingsdatumTijd246)</f>
        <v/>
      </c>
      <c r="AK269" s="41"/>
      <c r="AL269" s="41"/>
      <c r="AM269" s="82" t="str">
        <f>IF(Data_LoonkostenTijd246="","",Data_LoonkostenTijd246)</f>
        <v/>
      </c>
      <c r="AN269" s="41"/>
      <c r="AO269" s="276" t="str">
        <f>IF(Data_PersoonAanUitTijd246=-1,"v","")</f>
        <v/>
      </c>
      <c r="AP269" s="41"/>
      <c r="AQ269" s="76" t="s">
        <v>160</v>
      </c>
      <c r="AR269" s="41"/>
      <c r="AS269" s="41"/>
      <c r="AT269" s="41"/>
      <c r="AU269" s="41"/>
      <c r="AV269" s="41">
        <f t="shared" si="25"/>
        <v>0</v>
      </c>
      <c r="AW269" s="77">
        <f t="shared" si="26"/>
        <v>0</v>
      </c>
      <c r="AX269" s="41"/>
      <c r="AY269" s="41"/>
      <c r="AZ269" s="41"/>
      <c r="BA269" s="81" t="str">
        <f>IF(Data_NaamPersoonVastVrij246="","",Data_NaamPersoonVastVrij246)</f>
        <v/>
      </c>
      <c r="BB269" s="41"/>
      <c r="BC269" s="41"/>
      <c r="BD269" s="83" t="str">
        <f>IF(Data_BeeindigingsdatumVastVrij246="","",Data_BeeindigingsdatumVastVrij246)</f>
        <v/>
      </c>
      <c r="BE269" s="41"/>
      <c r="BF269" s="41"/>
      <c r="BG269" s="82" t="str">
        <f>IF(Data_LoonkostenVastVrij246="","",Data_LoonkostenVastVrij246)</f>
        <v/>
      </c>
      <c r="BH269" s="41"/>
      <c r="BI269" s="76" t="str">
        <f>IF(Data_PersoonAanUitVastVrij246=-1,"v","")</f>
        <v/>
      </c>
      <c r="BJ269" s="41"/>
      <c r="BK269" s="76" t="s">
        <v>160</v>
      </c>
      <c r="BL269" s="41"/>
      <c r="BM269" s="41"/>
      <c r="BN269" s="41"/>
      <c r="BO269" s="41"/>
      <c r="BP269" s="41">
        <f t="shared" si="27"/>
        <v>0</v>
      </c>
      <c r="BQ269" s="77">
        <f t="shared" si="28"/>
        <v>0</v>
      </c>
      <c r="BS269" s="81" t="str">
        <f>IF(Data_NaamPersoonVastOntslag246="","",Data_NaamPersoonVastOntslag246)</f>
        <v/>
      </c>
      <c r="BV269" s="83" t="str">
        <f>IF(Data_BeeindigingsdatumVastOntslag246="","",Data_BeeindigingsdatumVastOntslag246)</f>
        <v/>
      </c>
      <c r="BY269" s="82" t="str">
        <f>IF(Data_LoonkostenVastOntslag246="","",Data_LoonkostenVastOntslag246)</f>
        <v/>
      </c>
      <c r="CA269" s="76" t="str">
        <f>IF(Data_PersoonAanUitVastOntslag246=-1,"v","")</f>
        <v/>
      </c>
      <c r="CB269" s="41"/>
      <c r="CC269" s="76" t="s">
        <v>160</v>
      </c>
      <c r="CD269" s="41"/>
      <c r="CE269" s="41"/>
      <c r="CF269" s="41"/>
      <c r="CG269" s="41"/>
      <c r="CH269" s="41">
        <f t="shared" si="31"/>
        <v>0</v>
      </c>
      <c r="CI269" s="41">
        <f t="shared" si="29"/>
        <v>0</v>
      </c>
    </row>
    <row r="270" spans="8:87" x14ac:dyDescent="0.25">
      <c r="H270" s="81" t="str">
        <f>IF(Data_NaamPersoonNatVerloop247="","",Data_NaamPersoonNatVerloop247)</f>
        <v/>
      </c>
      <c r="I270" s="41"/>
      <c r="J270" s="41"/>
      <c r="K270" s="83" t="str">
        <f>IF(Data_BeeindigingsdatumNatVerloop247="","",Data_BeeindigingsdatumNatVerloop247)</f>
        <v/>
      </c>
      <c r="L270" s="41"/>
      <c r="M270" s="41"/>
      <c r="N270" s="82" t="str">
        <f>IF(Data_LoonkostenNatVerloop247="","",Data_LoonkostenNatVerloop247)</f>
        <v/>
      </c>
      <c r="O270" s="41"/>
      <c r="P270" s="276" t="s">
        <v>160</v>
      </c>
      <c r="Q270" s="41"/>
      <c r="R270" s="76" t="s">
        <v>160</v>
      </c>
      <c r="S270" s="41"/>
      <c r="T270" s="41"/>
      <c r="U270" s="41"/>
      <c r="V270" s="41"/>
      <c r="W270" s="41">
        <f t="shared" si="24"/>
        <v>0</v>
      </c>
      <c r="X270" s="77" t="str">
        <f t="shared" si="30"/>
        <v/>
      </c>
      <c r="AG270" s="81" t="str">
        <f>IF(Data_NaamPersoonTijd247="","",Data_NaamPersoonTijd247)</f>
        <v/>
      </c>
      <c r="AH270" s="41"/>
      <c r="AI270" s="41"/>
      <c r="AJ270" s="83" t="str">
        <f>IF(Data_BeeindigingsdatumTijd247="","",Data_BeeindigingsdatumTijd247)</f>
        <v/>
      </c>
      <c r="AK270" s="41"/>
      <c r="AL270" s="41"/>
      <c r="AM270" s="82" t="str">
        <f>IF(Data_LoonkostenTijd247="","",Data_LoonkostenTijd247)</f>
        <v/>
      </c>
      <c r="AN270" s="41"/>
      <c r="AO270" s="276" t="str">
        <f>IF(Data_PersoonAanUitTijd247=-1,"v","")</f>
        <v/>
      </c>
      <c r="AP270" s="41"/>
      <c r="AQ270" s="76" t="s">
        <v>160</v>
      </c>
      <c r="AR270" s="41"/>
      <c r="AS270" s="41"/>
      <c r="AT270" s="41"/>
      <c r="AU270" s="41"/>
      <c r="AV270" s="41">
        <f t="shared" si="25"/>
        <v>0</v>
      </c>
      <c r="AW270" s="77">
        <f t="shared" si="26"/>
        <v>0</v>
      </c>
      <c r="AX270" s="41"/>
      <c r="AY270" s="41"/>
      <c r="AZ270" s="41"/>
      <c r="BA270" s="81" t="str">
        <f>IF(Data_NaamPersoonVastVrij247="","",Data_NaamPersoonVastVrij247)</f>
        <v/>
      </c>
      <c r="BB270" s="41"/>
      <c r="BC270" s="41"/>
      <c r="BD270" s="83" t="str">
        <f>IF(Data_BeeindigingsdatumVastVrij247="","",Data_BeeindigingsdatumVastVrij247)</f>
        <v/>
      </c>
      <c r="BE270" s="41"/>
      <c r="BF270" s="41"/>
      <c r="BG270" s="82" t="str">
        <f>IF(Data_LoonkostenVastVrij247="","",Data_LoonkostenVastVrij247)</f>
        <v/>
      </c>
      <c r="BH270" s="41"/>
      <c r="BI270" s="76" t="str">
        <f>IF(Data_PersoonAanUitVastVrij247=-1,"v","")</f>
        <v/>
      </c>
      <c r="BJ270" s="41"/>
      <c r="BK270" s="76" t="s">
        <v>160</v>
      </c>
      <c r="BL270" s="41"/>
      <c r="BM270" s="41"/>
      <c r="BN270" s="41"/>
      <c r="BO270" s="41"/>
      <c r="BP270" s="41">
        <f t="shared" si="27"/>
        <v>0</v>
      </c>
      <c r="BQ270" s="77">
        <f t="shared" si="28"/>
        <v>0</v>
      </c>
      <c r="BS270" s="81" t="str">
        <f>IF(Data_NaamPersoonVastOntslag247="","",Data_NaamPersoonVastOntslag247)</f>
        <v/>
      </c>
      <c r="BV270" s="83" t="str">
        <f>IF(Data_BeeindigingsdatumVastOntslag247="","",Data_BeeindigingsdatumVastOntslag247)</f>
        <v/>
      </c>
      <c r="BY270" s="82" t="str">
        <f>IF(Data_LoonkostenVastOntslag247="","",Data_LoonkostenVastOntslag247)</f>
        <v/>
      </c>
      <c r="CA270" s="76" t="str">
        <f>IF(Data_PersoonAanUitVastOntslag247=-1,"v","")</f>
        <v/>
      </c>
      <c r="CB270" s="41"/>
      <c r="CC270" s="76" t="s">
        <v>160</v>
      </c>
      <c r="CD270" s="41"/>
      <c r="CE270" s="41"/>
      <c r="CF270" s="41"/>
      <c r="CG270" s="41"/>
      <c r="CH270" s="41">
        <f t="shared" si="31"/>
        <v>0</v>
      </c>
      <c r="CI270" s="41">
        <f t="shared" si="29"/>
        <v>0</v>
      </c>
    </row>
    <row r="271" spans="8:87" x14ac:dyDescent="0.25">
      <c r="H271" s="81" t="str">
        <f>IF(Data_NaamPersoonNatVerloop248="","",Data_NaamPersoonNatVerloop248)</f>
        <v/>
      </c>
      <c r="I271" s="41"/>
      <c r="J271" s="41"/>
      <c r="K271" s="83" t="str">
        <f>IF(Data_BeeindigingsdatumNatVerloop248="","",Data_BeeindigingsdatumNatVerloop248)</f>
        <v/>
      </c>
      <c r="L271" s="41"/>
      <c r="M271" s="41"/>
      <c r="N271" s="82" t="str">
        <f>IF(Data_LoonkostenNatVerloop248="","",Data_LoonkostenNatVerloop248)</f>
        <v/>
      </c>
      <c r="O271" s="41"/>
      <c r="P271" s="276" t="s">
        <v>160</v>
      </c>
      <c r="Q271" s="41"/>
      <c r="R271" s="76" t="s">
        <v>160</v>
      </c>
      <c r="S271" s="41"/>
      <c r="T271" s="41"/>
      <c r="U271" s="41"/>
      <c r="V271" s="41"/>
      <c r="W271" s="41">
        <f t="shared" si="24"/>
        <v>0</v>
      </c>
      <c r="X271" s="77" t="str">
        <f t="shared" si="30"/>
        <v/>
      </c>
      <c r="AG271" s="81" t="str">
        <f>IF(Data_NaamPersoonTijd248="","",Data_NaamPersoonTijd248)</f>
        <v/>
      </c>
      <c r="AH271" s="41"/>
      <c r="AI271" s="41"/>
      <c r="AJ271" s="83" t="str">
        <f>IF(Data_BeeindigingsdatumTijd248="","",Data_BeeindigingsdatumTijd248)</f>
        <v/>
      </c>
      <c r="AK271" s="41"/>
      <c r="AL271" s="41"/>
      <c r="AM271" s="82" t="str">
        <f>IF(Data_LoonkostenTijd248="","",Data_LoonkostenTijd248)</f>
        <v/>
      </c>
      <c r="AN271" s="41"/>
      <c r="AO271" s="276" t="str">
        <f>IF(Data_PersoonAanUitTijd248=-1,"v","")</f>
        <v/>
      </c>
      <c r="AP271" s="41"/>
      <c r="AQ271" s="76" t="s">
        <v>160</v>
      </c>
      <c r="AR271" s="41"/>
      <c r="AS271" s="41"/>
      <c r="AT271" s="41"/>
      <c r="AU271" s="41"/>
      <c r="AV271" s="41">
        <f t="shared" si="25"/>
        <v>0</v>
      </c>
      <c r="AW271" s="77">
        <f t="shared" si="26"/>
        <v>0</v>
      </c>
      <c r="AX271" s="41"/>
      <c r="AY271" s="41"/>
      <c r="AZ271" s="41"/>
      <c r="BA271" s="81" t="str">
        <f>IF(Data_NaamPersoonVastVrij248="","",Data_NaamPersoonVastVrij248)</f>
        <v/>
      </c>
      <c r="BB271" s="41"/>
      <c r="BC271" s="41"/>
      <c r="BD271" s="83" t="str">
        <f>IF(Data_BeeindigingsdatumVastVrij248="","",Data_BeeindigingsdatumVastVrij248)</f>
        <v/>
      </c>
      <c r="BE271" s="41"/>
      <c r="BF271" s="41"/>
      <c r="BG271" s="82" t="str">
        <f>IF(Data_LoonkostenVastVrij248="","",Data_LoonkostenVastVrij248)</f>
        <v/>
      </c>
      <c r="BH271" s="41"/>
      <c r="BI271" s="76" t="str">
        <f>IF(Data_PersoonAanUitVastVrij248=-1,"v","")</f>
        <v/>
      </c>
      <c r="BJ271" s="41"/>
      <c r="BK271" s="76" t="s">
        <v>160</v>
      </c>
      <c r="BL271" s="41"/>
      <c r="BM271" s="41"/>
      <c r="BN271" s="41"/>
      <c r="BO271" s="41"/>
      <c r="BP271" s="41">
        <f t="shared" si="27"/>
        <v>0</v>
      </c>
      <c r="BQ271" s="77">
        <f t="shared" si="28"/>
        <v>0</v>
      </c>
      <c r="BS271" s="81" t="str">
        <f>IF(Data_NaamPersoonVastOntslag248="","",Data_NaamPersoonVastOntslag248)</f>
        <v/>
      </c>
      <c r="BV271" s="83" t="str">
        <f>IF(Data_BeeindigingsdatumVastOntslag248="","",Data_BeeindigingsdatumVastOntslag248)</f>
        <v/>
      </c>
      <c r="BY271" s="82" t="str">
        <f>IF(Data_LoonkostenVastOntslag248="","",Data_LoonkostenVastOntslag248)</f>
        <v/>
      </c>
      <c r="CA271" s="76" t="str">
        <f>IF(Data_PersoonAanUitVastOntslag248=-1,"v","")</f>
        <v/>
      </c>
      <c r="CB271" s="41"/>
      <c r="CC271" s="76" t="s">
        <v>160</v>
      </c>
      <c r="CD271" s="41"/>
      <c r="CE271" s="41"/>
      <c r="CF271" s="41"/>
      <c r="CG271" s="41"/>
      <c r="CH271" s="41">
        <f t="shared" si="31"/>
        <v>0</v>
      </c>
      <c r="CI271" s="41">
        <f t="shared" si="29"/>
        <v>0</v>
      </c>
    </row>
    <row r="272" spans="8:87" x14ac:dyDescent="0.25">
      <c r="H272" s="81" t="str">
        <f>IF(Data_NaamPersoonNatVerloop249="","",Data_NaamPersoonNatVerloop249)</f>
        <v/>
      </c>
      <c r="I272" s="41"/>
      <c r="J272" s="41"/>
      <c r="K272" s="83" t="str">
        <f>IF(Data_BeeindigingsdatumNatVerloop249="","",Data_BeeindigingsdatumNatVerloop249)</f>
        <v/>
      </c>
      <c r="L272" s="41"/>
      <c r="M272" s="41"/>
      <c r="N272" s="82" t="str">
        <f>IF(Data_LoonkostenNatVerloop249="","",Data_LoonkostenNatVerloop249)</f>
        <v/>
      </c>
      <c r="O272" s="41"/>
      <c r="P272" s="276" t="s">
        <v>160</v>
      </c>
      <c r="Q272" s="41"/>
      <c r="R272" s="76" t="s">
        <v>160</v>
      </c>
      <c r="S272" s="41"/>
      <c r="T272" s="41"/>
      <c r="U272" s="41"/>
      <c r="V272" s="41"/>
      <c r="W272" s="41">
        <f t="shared" si="24"/>
        <v>0</v>
      </c>
      <c r="X272" s="77" t="str">
        <f t="shared" si="30"/>
        <v/>
      </c>
      <c r="AG272" s="81" t="str">
        <f>IF(Data_NaamPersoonTijd249="","",Data_NaamPersoonTijd249)</f>
        <v/>
      </c>
      <c r="AH272" s="41"/>
      <c r="AI272" s="41"/>
      <c r="AJ272" s="83" t="str">
        <f>IF(Data_BeeindigingsdatumTijd249="","",Data_BeeindigingsdatumTijd249)</f>
        <v/>
      </c>
      <c r="AK272" s="41"/>
      <c r="AL272" s="41"/>
      <c r="AM272" s="82" t="str">
        <f>IF(Data_LoonkostenTijd249="","",Data_LoonkostenTijd249)</f>
        <v/>
      </c>
      <c r="AN272" s="41"/>
      <c r="AO272" s="276" t="str">
        <f>IF(Data_PersoonAanUitTijd249=-1,"v","")</f>
        <v/>
      </c>
      <c r="AP272" s="41"/>
      <c r="AQ272" s="76" t="s">
        <v>160</v>
      </c>
      <c r="AR272" s="41"/>
      <c r="AS272" s="41"/>
      <c r="AT272" s="41"/>
      <c r="AU272" s="41"/>
      <c r="AV272" s="41">
        <f t="shared" si="25"/>
        <v>0</v>
      </c>
      <c r="AW272" s="77">
        <f t="shared" si="26"/>
        <v>0</v>
      </c>
      <c r="AX272" s="41"/>
      <c r="AY272" s="41"/>
      <c r="AZ272" s="41"/>
      <c r="BA272" s="81" t="str">
        <f>IF(Data_NaamPersoonVastVrij249="","",Data_NaamPersoonVastVrij249)</f>
        <v/>
      </c>
      <c r="BB272" s="41"/>
      <c r="BC272" s="41"/>
      <c r="BD272" s="83" t="str">
        <f>IF(Data_BeeindigingsdatumVastVrij249="","",Data_BeeindigingsdatumVastVrij249)</f>
        <v/>
      </c>
      <c r="BE272" s="41"/>
      <c r="BF272" s="41"/>
      <c r="BG272" s="82" t="str">
        <f>IF(Data_LoonkostenVastVrij249="","",Data_LoonkostenVastVrij249)</f>
        <v/>
      </c>
      <c r="BH272" s="41"/>
      <c r="BI272" s="76" t="str">
        <f>IF(Data_PersoonAanUitVastVrij249=-1,"v","")</f>
        <v/>
      </c>
      <c r="BJ272" s="41"/>
      <c r="BK272" s="76" t="s">
        <v>160</v>
      </c>
      <c r="BL272" s="41"/>
      <c r="BM272" s="41"/>
      <c r="BN272" s="41"/>
      <c r="BO272" s="41"/>
      <c r="BP272" s="41">
        <f t="shared" si="27"/>
        <v>0</v>
      </c>
      <c r="BQ272" s="77">
        <f t="shared" si="28"/>
        <v>0</v>
      </c>
      <c r="BS272" s="81" t="str">
        <f>IF(Data_NaamPersoonVastOntslag249="","",Data_NaamPersoonVastOntslag249)</f>
        <v/>
      </c>
      <c r="BV272" s="83" t="str">
        <f>IF(Data_BeeindigingsdatumVastOntslag249="","",Data_BeeindigingsdatumVastOntslag249)</f>
        <v/>
      </c>
      <c r="BY272" s="82" t="str">
        <f>IF(Data_LoonkostenVastOntslag249="","",Data_LoonkostenVastOntslag249)</f>
        <v/>
      </c>
      <c r="CA272" s="76" t="str">
        <f>IF(Data_PersoonAanUitVastOntslag249=-1,"v","")</f>
        <v/>
      </c>
      <c r="CB272" s="41"/>
      <c r="CC272" s="76" t="s">
        <v>160</v>
      </c>
      <c r="CD272" s="41"/>
      <c r="CE272" s="41"/>
      <c r="CF272" s="41"/>
      <c r="CG272" s="41"/>
      <c r="CH272" s="41">
        <f t="shared" si="31"/>
        <v>0</v>
      </c>
      <c r="CI272" s="41">
        <f t="shared" si="29"/>
        <v>0</v>
      </c>
    </row>
    <row r="273" spans="8:87" x14ac:dyDescent="0.25">
      <c r="H273" s="81" t="str">
        <f>IF(Data_NaamPersoonNatVerloop250="","",Data_NaamPersoonNatVerloop250)</f>
        <v/>
      </c>
      <c r="I273" s="41"/>
      <c r="J273" s="41"/>
      <c r="K273" s="83" t="str">
        <f>IF(Data_BeeindigingsdatumNatVerloop250="","",Data_BeeindigingsdatumNatVerloop250)</f>
        <v/>
      </c>
      <c r="L273" s="41"/>
      <c r="M273" s="41"/>
      <c r="N273" s="82" t="str">
        <f>IF(Data_LoonkostenNatVerloop250="","",Data_LoonkostenNatVerloop250)</f>
        <v/>
      </c>
      <c r="O273" s="41"/>
      <c r="P273" s="276" t="s">
        <v>160</v>
      </c>
      <c r="Q273" s="41"/>
      <c r="R273" s="76" t="s">
        <v>160</v>
      </c>
      <c r="S273" s="41"/>
      <c r="T273" s="41"/>
      <c r="U273" s="41"/>
      <c r="V273" s="41"/>
      <c r="W273" s="41">
        <f t="shared" si="24"/>
        <v>0</v>
      </c>
      <c r="X273" s="77" t="str">
        <f t="shared" si="30"/>
        <v/>
      </c>
      <c r="AG273" s="81" t="str">
        <f>IF(Data_NaamPersoonTijd250="","",Data_NaamPersoonTijd250)</f>
        <v/>
      </c>
      <c r="AH273" s="41"/>
      <c r="AI273" s="41"/>
      <c r="AJ273" s="83" t="str">
        <f>IF(Data_BeeindigingsdatumTijd250="","",Data_BeeindigingsdatumTijd250)</f>
        <v/>
      </c>
      <c r="AK273" s="41"/>
      <c r="AL273" s="41"/>
      <c r="AM273" s="82" t="str">
        <f>IF(Data_LoonkostenTijd250="","",Data_LoonkostenTijd250)</f>
        <v/>
      </c>
      <c r="AN273" s="41"/>
      <c r="AO273" s="276" t="str">
        <f>IF(Data_PersoonAanUitTijd250=-1,"v","")</f>
        <v/>
      </c>
      <c r="AP273" s="41"/>
      <c r="AQ273" s="76" t="s">
        <v>160</v>
      </c>
      <c r="AR273" s="41"/>
      <c r="AS273" s="41"/>
      <c r="AT273" s="41"/>
      <c r="AU273" s="41"/>
      <c r="AV273" s="41">
        <f t="shared" si="25"/>
        <v>0</v>
      </c>
      <c r="AW273" s="77">
        <f t="shared" si="26"/>
        <v>0</v>
      </c>
      <c r="AX273" s="41"/>
      <c r="AY273" s="41"/>
      <c r="AZ273" s="41"/>
      <c r="BA273" s="81" t="str">
        <f>IF(Data_NaamPersoonVastVrij250="","",Data_NaamPersoonVastVrij250)</f>
        <v/>
      </c>
      <c r="BB273" s="41"/>
      <c r="BC273" s="41"/>
      <c r="BD273" s="83" t="str">
        <f>IF(Data_BeeindigingsdatumVastVrij250="","",Data_BeeindigingsdatumVastVrij250)</f>
        <v/>
      </c>
      <c r="BE273" s="41"/>
      <c r="BF273" s="41"/>
      <c r="BG273" s="82" t="str">
        <f>IF(Data_LoonkostenVastVrij250="","",Data_LoonkostenVastVrij250)</f>
        <v/>
      </c>
      <c r="BH273" s="41"/>
      <c r="BI273" s="76" t="str">
        <f>IF(Data_PersoonAanUitVastVrij250=-1,"v","")</f>
        <v/>
      </c>
      <c r="BJ273" s="41"/>
      <c r="BK273" s="76" t="s">
        <v>160</v>
      </c>
      <c r="BL273" s="41"/>
      <c r="BM273" s="41"/>
      <c r="BN273" s="41"/>
      <c r="BO273" s="41"/>
      <c r="BP273" s="41">
        <f t="shared" si="27"/>
        <v>0</v>
      </c>
      <c r="BQ273" s="77">
        <f t="shared" si="28"/>
        <v>0</v>
      </c>
      <c r="BS273" s="81" t="str">
        <f>IF(Data_NaamPersoonVastOntslag250="","",Data_NaamPersoonVastOntslag250)</f>
        <v/>
      </c>
      <c r="BV273" s="83" t="str">
        <f>IF(Data_BeeindigingsdatumVastOntslag250="","",Data_BeeindigingsdatumVastOntslag250)</f>
        <v/>
      </c>
      <c r="BY273" s="82" t="str">
        <f>IF(Data_LoonkostenVastOntslag250="","",Data_LoonkostenVastOntslag250)</f>
        <v/>
      </c>
      <c r="CA273" s="76" t="str">
        <f>IF(Data_PersoonAanUitVastOntslag250=-1,"v","")</f>
        <v/>
      </c>
      <c r="CB273" s="41"/>
      <c r="CC273" s="76" t="s">
        <v>160</v>
      </c>
      <c r="CD273" s="41"/>
      <c r="CE273" s="41"/>
      <c r="CF273" s="41"/>
      <c r="CG273" s="41"/>
      <c r="CH273" s="41">
        <f t="shared" si="31"/>
        <v>0</v>
      </c>
      <c r="CI273" s="41">
        <f t="shared" si="29"/>
        <v>0</v>
      </c>
    </row>
    <row r="274" spans="8:87" x14ac:dyDescent="0.25">
      <c r="H274" s="81" t="str">
        <f>IF(Data_NaamPersoonNatVerloop251="","",Data_NaamPersoonNatVerloop251)</f>
        <v/>
      </c>
      <c r="I274" s="41"/>
      <c r="J274" s="41"/>
      <c r="K274" s="83" t="str">
        <f>IF(Data_BeeindigingsdatumNatVerloop251="","",Data_BeeindigingsdatumNatVerloop251)</f>
        <v/>
      </c>
      <c r="L274" s="41"/>
      <c r="M274" s="41"/>
      <c r="N274" s="82" t="str">
        <f>IF(Data_LoonkostenNatVerloop251="","",Data_LoonkostenNatVerloop251)</f>
        <v/>
      </c>
      <c r="O274" s="41"/>
      <c r="P274" s="276" t="s">
        <v>160</v>
      </c>
      <c r="Q274" s="41"/>
      <c r="R274" s="76" t="s">
        <v>160</v>
      </c>
      <c r="S274" s="41"/>
      <c r="T274" s="41"/>
      <c r="U274" s="41"/>
      <c r="V274" s="41"/>
      <c r="W274" s="41">
        <f t="shared" si="24"/>
        <v>0</v>
      </c>
      <c r="X274" s="77" t="str">
        <f t="shared" si="30"/>
        <v/>
      </c>
      <c r="AG274" s="81" t="str">
        <f>IF(Data_NaamPersoonTijd251="","",Data_NaamPersoonTijd251)</f>
        <v/>
      </c>
      <c r="AH274" s="41"/>
      <c r="AI274" s="41"/>
      <c r="AJ274" s="83" t="str">
        <f>IF(Data_BeeindigingsdatumTijd251="","",Data_BeeindigingsdatumTijd251)</f>
        <v/>
      </c>
      <c r="AK274" s="41"/>
      <c r="AL274" s="41"/>
      <c r="AM274" s="82" t="str">
        <f>IF(Data_LoonkostenTijd251="","",Data_LoonkostenTijd251)</f>
        <v/>
      </c>
      <c r="AN274" s="41"/>
      <c r="AO274" s="276" t="str">
        <f>IF(Data_PersoonAanUitTijd251=-1,"v","")</f>
        <v/>
      </c>
      <c r="AP274" s="41"/>
      <c r="AQ274" s="76" t="s">
        <v>160</v>
      </c>
      <c r="AR274" s="41"/>
      <c r="AS274" s="41"/>
      <c r="AT274" s="41"/>
      <c r="AU274" s="41"/>
      <c r="AV274" s="41">
        <f t="shared" si="25"/>
        <v>0</v>
      </c>
      <c r="AW274" s="77">
        <f t="shared" si="26"/>
        <v>0</v>
      </c>
      <c r="AX274" s="41"/>
      <c r="AY274" s="41"/>
      <c r="AZ274" s="41"/>
      <c r="BA274" s="81" t="str">
        <f>IF(Data_NaamPersoonVastVrij251="","",Data_NaamPersoonVastVrij251)</f>
        <v/>
      </c>
      <c r="BB274" s="41"/>
      <c r="BC274" s="41"/>
      <c r="BD274" s="83" t="str">
        <f>IF(Data_BeeindigingsdatumVastVrij251="","",Data_BeeindigingsdatumVastVrij251)</f>
        <v/>
      </c>
      <c r="BE274" s="41"/>
      <c r="BF274" s="41"/>
      <c r="BG274" s="82" t="str">
        <f>IF(Data_LoonkostenVastVrij251="","",Data_LoonkostenVastVrij251)</f>
        <v/>
      </c>
      <c r="BH274" s="41"/>
      <c r="BI274" s="76" t="str">
        <f>IF(Data_PersoonAanUitVastVrij251=-1,"v","")</f>
        <v/>
      </c>
      <c r="BJ274" s="41"/>
      <c r="BK274" s="76" t="s">
        <v>160</v>
      </c>
      <c r="BL274" s="41"/>
      <c r="BM274" s="41"/>
      <c r="BN274" s="41"/>
      <c r="BO274" s="41"/>
      <c r="BP274" s="41">
        <f t="shared" si="27"/>
        <v>0</v>
      </c>
      <c r="BQ274" s="77">
        <f t="shared" si="28"/>
        <v>0</v>
      </c>
      <c r="BS274" s="81" t="str">
        <f>IF(Data_NaamPersoonVastOntslag251="","",Data_NaamPersoonVastOntslag251)</f>
        <v/>
      </c>
      <c r="BV274" s="83" t="str">
        <f>IF(Data_BeeindigingsdatumVastOntslag251="","",Data_BeeindigingsdatumVastOntslag251)</f>
        <v/>
      </c>
      <c r="BY274" s="82" t="str">
        <f>IF(Data_LoonkostenVastOntslag251="","",Data_LoonkostenVastOntslag251)</f>
        <v/>
      </c>
      <c r="CA274" s="76" t="str">
        <f>IF(Data_PersoonAanUitVastOntslag251=-1,"v","")</f>
        <v/>
      </c>
      <c r="CB274" s="41"/>
      <c r="CC274" s="76" t="s">
        <v>160</v>
      </c>
      <c r="CD274" s="41"/>
      <c r="CE274" s="41"/>
      <c r="CF274" s="41"/>
      <c r="CG274" s="41"/>
      <c r="CH274" s="41">
        <f t="shared" si="31"/>
        <v>0</v>
      </c>
      <c r="CI274" s="41">
        <f t="shared" si="29"/>
        <v>0</v>
      </c>
    </row>
    <row r="275" spans="8:87" x14ac:dyDescent="0.25">
      <c r="H275" s="81" t="str">
        <f>IF(Data_NaamPersoonNatVerloop252="","",Data_NaamPersoonNatVerloop252)</f>
        <v/>
      </c>
      <c r="I275" s="41"/>
      <c r="J275" s="41"/>
      <c r="K275" s="83" t="str">
        <f>IF(Data_BeeindigingsdatumNatVerloop252="","",Data_BeeindigingsdatumNatVerloop252)</f>
        <v/>
      </c>
      <c r="L275" s="41"/>
      <c r="M275" s="41"/>
      <c r="N275" s="82" t="str">
        <f>IF(Data_LoonkostenNatVerloop252="","",Data_LoonkostenNatVerloop252)</f>
        <v/>
      </c>
      <c r="O275" s="41"/>
      <c r="P275" s="276" t="s">
        <v>160</v>
      </c>
      <c r="Q275" s="41"/>
      <c r="R275" s="76" t="s">
        <v>160</v>
      </c>
      <c r="S275" s="41"/>
      <c r="T275" s="41"/>
      <c r="U275" s="41"/>
      <c r="V275" s="41"/>
      <c r="W275" s="41">
        <f t="shared" si="24"/>
        <v>0</v>
      </c>
      <c r="X275" s="77" t="str">
        <f t="shared" si="30"/>
        <v/>
      </c>
      <c r="AG275" s="81" t="str">
        <f>IF(Data_NaamPersoonTijd252="","",Data_NaamPersoonTijd252)</f>
        <v/>
      </c>
      <c r="AH275" s="41"/>
      <c r="AI275" s="41"/>
      <c r="AJ275" s="83" t="str">
        <f>IF(Data_BeeindigingsdatumTijd252="","",Data_BeeindigingsdatumTijd252)</f>
        <v/>
      </c>
      <c r="AK275" s="41"/>
      <c r="AL275" s="41"/>
      <c r="AM275" s="82" t="str">
        <f>IF(Data_LoonkostenTijd252="","",Data_LoonkostenTijd252)</f>
        <v/>
      </c>
      <c r="AN275" s="41"/>
      <c r="AO275" s="276" t="str">
        <f>IF(Data_PersoonAanUitTijd252=-1,"v","")</f>
        <v/>
      </c>
      <c r="AP275" s="41"/>
      <c r="AQ275" s="76" t="s">
        <v>160</v>
      </c>
      <c r="AR275" s="41"/>
      <c r="AS275" s="41"/>
      <c r="AT275" s="41"/>
      <c r="AU275" s="41"/>
      <c r="AV275" s="41">
        <f t="shared" si="25"/>
        <v>0</v>
      </c>
      <c r="AW275" s="77">
        <f t="shared" si="26"/>
        <v>0</v>
      </c>
      <c r="AX275" s="41"/>
      <c r="AY275" s="41"/>
      <c r="AZ275" s="41"/>
      <c r="BA275" s="81" t="str">
        <f>IF(Data_NaamPersoonVastVrij252="","",Data_NaamPersoonVastVrij252)</f>
        <v/>
      </c>
      <c r="BB275" s="41"/>
      <c r="BC275" s="41"/>
      <c r="BD275" s="83" t="str">
        <f>IF(Data_BeeindigingsdatumVastVrij252="","",Data_BeeindigingsdatumVastVrij252)</f>
        <v/>
      </c>
      <c r="BE275" s="41"/>
      <c r="BF275" s="41"/>
      <c r="BG275" s="82" t="str">
        <f>IF(Data_LoonkostenVastVrij252="","",Data_LoonkostenVastVrij252)</f>
        <v/>
      </c>
      <c r="BH275" s="41"/>
      <c r="BI275" s="76" t="str">
        <f>IF(Data_PersoonAanUitVastVrij252=-1,"v","")</f>
        <v/>
      </c>
      <c r="BJ275" s="41"/>
      <c r="BK275" s="76" t="s">
        <v>160</v>
      </c>
      <c r="BL275" s="41"/>
      <c r="BM275" s="41"/>
      <c r="BN275" s="41"/>
      <c r="BO275" s="41"/>
      <c r="BP275" s="41">
        <f t="shared" si="27"/>
        <v>0</v>
      </c>
      <c r="BQ275" s="77">
        <f t="shared" si="28"/>
        <v>0</v>
      </c>
      <c r="BS275" s="81" t="str">
        <f>IF(Data_NaamPersoonVastOntslag252="","",Data_NaamPersoonVastOntslag252)</f>
        <v/>
      </c>
      <c r="BV275" s="83" t="str">
        <f>IF(Data_BeeindigingsdatumVastOntslag252="","",Data_BeeindigingsdatumVastOntslag252)</f>
        <v/>
      </c>
      <c r="BY275" s="82" t="str">
        <f>IF(Data_LoonkostenVastOntslag252="","",Data_LoonkostenVastOntslag252)</f>
        <v/>
      </c>
      <c r="CA275" s="76" t="str">
        <f>IF(Data_PersoonAanUitVastOntslag252=-1,"v","")</f>
        <v/>
      </c>
      <c r="CB275" s="41"/>
      <c r="CC275" s="76" t="s">
        <v>160</v>
      </c>
      <c r="CD275" s="41"/>
      <c r="CE275" s="41"/>
      <c r="CF275" s="41"/>
      <c r="CG275" s="41"/>
      <c r="CH275" s="41">
        <f t="shared" si="31"/>
        <v>0</v>
      </c>
      <c r="CI275" s="41">
        <f t="shared" si="29"/>
        <v>0</v>
      </c>
    </row>
    <row r="276" spans="8:87" x14ac:dyDescent="0.25">
      <c r="H276" s="81" t="str">
        <f>IF(Data_NaamPersoonNatVerloop253="","",Data_NaamPersoonNatVerloop253)</f>
        <v/>
      </c>
      <c r="I276" s="41"/>
      <c r="J276" s="41"/>
      <c r="K276" s="83" t="str">
        <f>IF(Data_BeeindigingsdatumNatVerloop253="","",Data_BeeindigingsdatumNatVerloop253)</f>
        <v/>
      </c>
      <c r="L276" s="41"/>
      <c r="M276" s="41"/>
      <c r="N276" s="82" t="str">
        <f>IF(Data_LoonkostenNatVerloop253="","",Data_LoonkostenNatVerloop253)</f>
        <v/>
      </c>
      <c r="O276" s="41"/>
      <c r="P276" s="276" t="s">
        <v>160</v>
      </c>
      <c r="Q276" s="41"/>
      <c r="R276" s="76" t="s">
        <v>160</v>
      </c>
      <c r="S276" s="41"/>
      <c r="T276" s="41"/>
      <c r="U276" s="41"/>
      <c r="V276" s="41"/>
      <c r="W276" s="41">
        <f t="shared" si="24"/>
        <v>0</v>
      </c>
      <c r="X276" s="77" t="str">
        <f t="shared" si="30"/>
        <v/>
      </c>
      <c r="AG276" s="81" t="str">
        <f>IF(Data_NaamPersoonTijd253="","",Data_NaamPersoonTijd253)</f>
        <v/>
      </c>
      <c r="AH276" s="41"/>
      <c r="AI276" s="41"/>
      <c r="AJ276" s="83" t="str">
        <f>IF(Data_BeeindigingsdatumTijd253="","",Data_BeeindigingsdatumTijd253)</f>
        <v/>
      </c>
      <c r="AK276" s="41"/>
      <c r="AL276" s="41"/>
      <c r="AM276" s="82" t="str">
        <f>IF(Data_LoonkostenTijd253="","",Data_LoonkostenTijd253)</f>
        <v/>
      </c>
      <c r="AN276" s="41"/>
      <c r="AO276" s="276" t="str">
        <f>IF(Data_PersoonAanUitTijd253=-1,"v","")</f>
        <v/>
      </c>
      <c r="AP276" s="41"/>
      <c r="AQ276" s="76" t="s">
        <v>160</v>
      </c>
      <c r="AR276" s="41"/>
      <c r="AS276" s="41"/>
      <c r="AT276" s="41"/>
      <c r="AU276" s="41"/>
      <c r="AV276" s="41">
        <f t="shared" si="25"/>
        <v>0</v>
      </c>
      <c r="AW276" s="77">
        <f t="shared" si="26"/>
        <v>0</v>
      </c>
      <c r="AX276" s="41"/>
      <c r="AY276" s="41"/>
      <c r="AZ276" s="41"/>
      <c r="BA276" s="81" t="str">
        <f>IF(Data_NaamPersoonVastVrij253="","",Data_NaamPersoonVastVrij253)</f>
        <v/>
      </c>
      <c r="BB276" s="41"/>
      <c r="BC276" s="41"/>
      <c r="BD276" s="83" t="str">
        <f>IF(Data_BeeindigingsdatumVastVrij253="","",Data_BeeindigingsdatumVastVrij253)</f>
        <v/>
      </c>
      <c r="BE276" s="41"/>
      <c r="BF276" s="41"/>
      <c r="BG276" s="82" t="str">
        <f>IF(Data_LoonkostenVastVrij253="","",Data_LoonkostenVastVrij253)</f>
        <v/>
      </c>
      <c r="BH276" s="41"/>
      <c r="BI276" s="76" t="str">
        <f>IF(Data_PersoonAanUitVastVrij253=-1,"v","")</f>
        <v/>
      </c>
      <c r="BJ276" s="41"/>
      <c r="BK276" s="76" t="s">
        <v>160</v>
      </c>
      <c r="BL276" s="41"/>
      <c r="BM276" s="41"/>
      <c r="BN276" s="41"/>
      <c r="BO276" s="41"/>
      <c r="BP276" s="41">
        <f t="shared" si="27"/>
        <v>0</v>
      </c>
      <c r="BQ276" s="77">
        <f t="shared" si="28"/>
        <v>0</v>
      </c>
      <c r="BS276" s="81" t="str">
        <f>IF(Data_NaamPersoonVastOntslag253="","",Data_NaamPersoonVastOntslag253)</f>
        <v/>
      </c>
      <c r="BV276" s="83" t="str">
        <f>IF(Data_BeeindigingsdatumVastOntslag253="","",Data_BeeindigingsdatumVastOntslag253)</f>
        <v/>
      </c>
      <c r="BY276" s="82" t="str">
        <f>IF(Data_LoonkostenVastOntslag253="","",Data_LoonkostenVastOntslag253)</f>
        <v/>
      </c>
      <c r="CA276" s="76" t="str">
        <f>IF(Data_PersoonAanUitVastOntslag253=-1,"v","")</f>
        <v/>
      </c>
      <c r="CB276" s="41"/>
      <c r="CC276" s="76" t="s">
        <v>160</v>
      </c>
      <c r="CD276" s="41"/>
      <c r="CE276" s="41"/>
      <c r="CF276" s="41"/>
      <c r="CG276" s="41"/>
      <c r="CH276" s="41">
        <f t="shared" si="31"/>
        <v>0</v>
      </c>
      <c r="CI276" s="41">
        <f t="shared" si="29"/>
        <v>0</v>
      </c>
    </row>
    <row r="277" spans="8:87" x14ac:dyDescent="0.25">
      <c r="H277" s="81" t="str">
        <f>IF(Data_NaamPersoonNatVerloop254="","",Data_NaamPersoonNatVerloop254)</f>
        <v/>
      </c>
      <c r="I277" s="41"/>
      <c r="J277" s="41"/>
      <c r="K277" s="83" t="str">
        <f>IF(Data_BeeindigingsdatumNatVerloop254="","",Data_BeeindigingsdatumNatVerloop254)</f>
        <v/>
      </c>
      <c r="L277" s="41"/>
      <c r="M277" s="41"/>
      <c r="N277" s="82" t="str">
        <f>IF(Data_LoonkostenNatVerloop254="","",Data_LoonkostenNatVerloop254)</f>
        <v/>
      </c>
      <c r="O277" s="41"/>
      <c r="P277" s="276" t="s">
        <v>160</v>
      </c>
      <c r="Q277" s="41"/>
      <c r="R277" s="76" t="s">
        <v>160</v>
      </c>
      <c r="S277" s="41"/>
      <c r="T277" s="41"/>
      <c r="U277" s="41"/>
      <c r="V277" s="41"/>
      <c r="W277" s="41">
        <f t="shared" si="24"/>
        <v>0</v>
      </c>
      <c r="X277" s="77" t="str">
        <f t="shared" si="30"/>
        <v/>
      </c>
      <c r="AG277" s="81" t="str">
        <f>IF(Data_NaamPersoonTijd254="","",Data_NaamPersoonTijd254)</f>
        <v/>
      </c>
      <c r="AH277" s="41"/>
      <c r="AI277" s="41"/>
      <c r="AJ277" s="83" t="str">
        <f>IF(Data_BeeindigingsdatumTijd254="","",Data_BeeindigingsdatumTijd254)</f>
        <v/>
      </c>
      <c r="AK277" s="41"/>
      <c r="AL277" s="41"/>
      <c r="AM277" s="82" t="str">
        <f>IF(Data_LoonkostenTijd254="","",Data_LoonkostenTijd254)</f>
        <v/>
      </c>
      <c r="AN277" s="41"/>
      <c r="AO277" s="276" t="str">
        <f>IF(Data_PersoonAanUitTijd254=-1,"v","")</f>
        <v/>
      </c>
      <c r="AP277" s="41"/>
      <c r="AQ277" s="76" t="s">
        <v>160</v>
      </c>
      <c r="AR277" s="41"/>
      <c r="AS277" s="41"/>
      <c r="AT277" s="41"/>
      <c r="AU277" s="41"/>
      <c r="AV277" s="41">
        <f t="shared" si="25"/>
        <v>0</v>
      </c>
      <c r="AW277" s="77">
        <f t="shared" si="26"/>
        <v>0</v>
      </c>
      <c r="AX277" s="41"/>
      <c r="AY277" s="41"/>
      <c r="AZ277" s="41"/>
      <c r="BA277" s="81" t="str">
        <f>IF(Data_NaamPersoonVastVrij254="","",Data_NaamPersoonVastVrij254)</f>
        <v/>
      </c>
      <c r="BB277" s="41"/>
      <c r="BC277" s="41"/>
      <c r="BD277" s="83" t="str">
        <f>IF(Data_BeeindigingsdatumVastVrij254="","",Data_BeeindigingsdatumVastVrij254)</f>
        <v/>
      </c>
      <c r="BE277" s="41"/>
      <c r="BF277" s="41"/>
      <c r="BG277" s="82" t="str">
        <f>IF(Data_LoonkostenVastVrij254="","",Data_LoonkostenVastVrij254)</f>
        <v/>
      </c>
      <c r="BH277" s="41"/>
      <c r="BI277" s="76" t="str">
        <f>IF(Data_PersoonAanUitVastVrij254=-1,"v","")</f>
        <v/>
      </c>
      <c r="BJ277" s="41"/>
      <c r="BK277" s="76" t="s">
        <v>160</v>
      </c>
      <c r="BL277" s="41"/>
      <c r="BM277" s="41"/>
      <c r="BN277" s="41"/>
      <c r="BO277" s="41"/>
      <c r="BP277" s="41">
        <f t="shared" si="27"/>
        <v>0</v>
      </c>
      <c r="BQ277" s="77">
        <f t="shared" si="28"/>
        <v>0</v>
      </c>
      <c r="BS277" s="81" t="str">
        <f>IF(Data_NaamPersoonVastOntslag254="","",Data_NaamPersoonVastOntslag254)</f>
        <v/>
      </c>
      <c r="BV277" s="83" t="str">
        <f>IF(Data_BeeindigingsdatumVastOntslag254="","",Data_BeeindigingsdatumVastOntslag254)</f>
        <v/>
      </c>
      <c r="BY277" s="82" t="str">
        <f>IF(Data_LoonkostenVastOntslag254="","",Data_LoonkostenVastOntslag254)</f>
        <v/>
      </c>
      <c r="CA277" s="76" t="str">
        <f>IF(Data_PersoonAanUitVastOntslag254=-1,"v","")</f>
        <v/>
      </c>
      <c r="CB277" s="41"/>
      <c r="CC277" s="76" t="s">
        <v>160</v>
      </c>
      <c r="CD277" s="41"/>
      <c r="CE277" s="41"/>
      <c r="CF277" s="41"/>
      <c r="CG277" s="41"/>
      <c r="CH277" s="41">
        <f t="shared" si="31"/>
        <v>0</v>
      </c>
      <c r="CI277" s="41">
        <f t="shared" si="29"/>
        <v>0</v>
      </c>
    </row>
    <row r="278" spans="8:87" x14ac:dyDescent="0.25">
      <c r="H278" s="81" t="str">
        <f>IF(Data_NaamPersoonNatVerloop255="","",Data_NaamPersoonNatVerloop255)</f>
        <v/>
      </c>
      <c r="I278" s="41"/>
      <c r="J278" s="41"/>
      <c r="K278" s="83" t="str">
        <f>IF(Data_BeeindigingsdatumNatVerloop255="","",Data_BeeindigingsdatumNatVerloop255)</f>
        <v/>
      </c>
      <c r="L278" s="41"/>
      <c r="M278" s="41"/>
      <c r="N278" s="82" t="str">
        <f>IF(Data_LoonkostenNatVerloop255="","",Data_LoonkostenNatVerloop255)</f>
        <v/>
      </c>
      <c r="O278" s="41"/>
      <c r="P278" s="276" t="s">
        <v>160</v>
      </c>
      <c r="Q278" s="41"/>
      <c r="R278" s="76" t="s">
        <v>160</v>
      </c>
      <c r="S278" s="41"/>
      <c r="T278" s="41"/>
      <c r="U278" s="41"/>
      <c r="V278" s="41"/>
      <c r="W278" s="41">
        <f t="shared" si="24"/>
        <v>0</v>
      </c>
      <c r="X278" s="77" t="str">
        <f t="shared" si="30"/>
        <v/>
      </c>
      <c r="AG278" s="81" t="str">
        <f>IF(Data_NaamPersoonTijd255="","",Data_NaamPersoonTijd255)</f>
        <v/>
      </c>
      <c r="AH278" s="41"/>
      <c r="AI278" s="41"/>
      <c r="AJ278" s="83" t="str">
        <f>IF(Data_BeeindigingsdatumTijd255="","",Data_BeeindigingsdatumTijd255)</f>
        <v/>
      </c>
      <c r="AK278" s="41"/>
      <c r="AL278" s="41"/>
      <c r="AM278" s="82" t="str">
        <f>IF(Data_LoonkostenTijd255="","",Data_LoonkostenTijd255)</f>
        <v/>
      </c>
      <c r="AN278" s="41"/>
      <c r="AO278" s="276" t="str">
        <f>IF(Data_PersoonAanUitTijd255=-1,"v","")</f>
        <v/>
      </c>
      <c r="AP278" s="41"/>
      <c r="AQ278" s="76" t="s">
        <v>160</v>
      </c>
      <c r="AR278" s="41"/>
      <c r="AS278" s="41"/>
      <c r="AT278" s="41"/>
      <c r="AU278" s="41"/>
      <c r="AV278" s="41">
        <f t="shared" si="25"/>
        <v>0</v>
      </c>
      <c r="AW278" s="77">
        <f t="shared" si="26"/>
        <v>0</v>
      </c>
      <c r="AX278" s="41"/>
      <c r="AY278" s="41"/>
      <c r="AZ278" s="41"/>
      <c r="BA278" s="81" t="str">
        <f>IF(Data_NaamPersoonVastVrij255="","",Data_NaamPersoonVastVrij255)</f>
        <v/>
      </c>
      <c r="BB278" s="41"/>
      <c r="BC278" s="41"/>
      <c r="BD278" s="83" t="str">
        <f>IF(Data_BeeindigingsdatumVastVrij255="","",Data_BeeindigingsdatumVastVrij255)</f>
        <v/>
      </c>
      <c r="BE278" s="41"/>
      <c r="BF278" s="41"/>
      <c r="BG278" s="82" t="str">
        <f>IF(Data_LoonkostenVastVrij255="","",Data_LoonkostenVastVrij255)</f>
        <v/>
      </c>
      <c r="BH278" s="41"/>
      <c r="BI278" s="76" t="str">
        <f>IF(Data_PersoonAanUitVastVrij255=-1,"v","")</f>
        <v/>
      </c>
      <c r="BJ278" s="41"/>
      <c r="BK278" s="76" t="s">
        <v>160</v>
      </c>
      <c r="BL278" s="41"/>
      <c r="BM278" s="41"/>
      <c r="BN278" s="41"/>
      <c r="BO278" s="41"/>
      <c r="BP278" s="41">
        <f t="shared" si="27"/>
        <v>0</v>
      </c>
      <c r="BQ278" s="77">
        <f t="shared" si="28"/>
        <v>0</v>
      </c>
      <c r="BS278" s="81" t="str">
        <f>IF(Data_NaamPersoonVastOntslag255="","",Data_NaamPersoonVastOntslag255)</f>
        <v/>
      </c>
      <c r="BV278" s="83" t="str">
        <f>IF(Data_BeeindigingsdatumVastOntslag255="","",Data_BeeindigingsdatumVastOntslag255)</f>
        <v/>
      </c>
      <c r="BY278" s="82" t="str">
        <f>IF(Data_LoonkostenVastOntslag255="","",Data_LoonkostenVastOntslag255)</f>
        <v/>
      </c>
      <c r="CA278" s="76" t="str">
        <f>IF(Data_PersoonAanUitVastOntslag255=-1,"v","")</f>
        <v/>
      </c>
      <c r="CB278" s="41"/>
      <c r="CC278" s="76" t="s">
        <v>160</v>
      </c>
      <c r="CD278" s="41"/>
      <c r="CE278" s="41"/>
      <c r="CF278" s="41"/>
      <c r="CG278" s="41"/>
      <c r="CH278" s="41">
        <f t="shared" si="31"/>
        <v>0</v>
      </c>
      <c r="CI278" s="41">
        <f t="shared" si="29"/>
        <v>0</v>
      </c>
    </row>
    <row r="279" spans="8:87" x14ac:dyDescent="0.25">
      <c r="H279" s="81" t="str">
        <f>IF(Data_NaamPersoonNatVerloop256="","",Data_NaamPersoonNatVerloop256)</f>
        <v/>
      </c>
      <c r="I279" s="41"/>
      <c r="J279" s="41"/>
      <c r="K279" s="83" t="str">
        <f>IF(Data_BeeindigingsdatumNatVerloop256="","",Data_BeeindigingsdatumNatVerloop256)</f>
        <v/>
      </c>
      <c r="L279" s="41"/>
      <c r="M279" s="41"/>
      <c r="N279" s="82" t="str">
        <f>IF(Data_LoonkostenNatVerloop256="","",Data_LoonkostenNatVerloop256)</f>
        <v/>
      </c>
      <c r="O279" s="41"/>
      <c r="P279" s="276" t="s">
        <v>160</v>
      </c>
      <c r="Q279" s="41"/>
      <c r="R279" s="76" t="s">
        <v>160</v>
      </c>
      <c r="S279" s="41"/>
      <c r="T279" s="41"/>
      <c r="U279" s="41"/>
      <c r="V279" s="41"/>
      <c r="W279" s="41">
        <f t="shared" si="24"/>
        <v>0</v>
      </c>
      <c r="X279" s="77" t="str">
        <f t="shared" si="30"/>
        <v/>
      </c>
      <c r="AG279" s="81" t="str">
        <f>IF(Data_NaamPersoonTijd256="","",Data_NaamPersoonTijd256)</f>
        <v/>
      </c>
      <c r="AH279" s="41"/>
      <c r="AI279" s="41"/>
      <c r="AJ279" s="83" t="str">
        <f>IF(Data_BeeindigingsdatumTijd256="","",Data_BeeindigingsdatumTijd256)</f>
        <v/>
      </c>
      <c r="AK279" s="41"/>
      <c r="AL279" s="41"/>
      <c r="AM279" s="82" t="str">
        <f>IF(Data_LoonkostenTijd256="","",Data_LoonkostenTijd256)</f>
        <v/>
      </c>
      <c r="AN279" s="41"/>
      <c r="AO279" s="276" t="str">
        <f>IF(Data_PersoonAanUitTijd256=-1,"v","")</f>
        <v/>
      </c>
      <c r="AP279" s="41"/>
      <c r="AQ279" s="76" t="s">
        <v>160</v>
      </c>
      <c r="AR279" s="41"/>
      <c r="AS279" s="41"/>
      <c r="AT279" s="41"/>
      <c r="AU279" s="41"/>
      <c r="AV279" s="41">
        <f t="shared" si="25"/>
        <v>0</v>
      </c>
      <c r="AW279" s="77">
        <f t="shared" si="26"/>
        <v>0</v>
      </c>
      <c r="AX279" s="41"/>
      <c r="AY279" s="41"/>
      <c r="AZ279" s="41"/>
      <c r="BA279" s="81" t="str">
        <f>IF(Data_NaamPersoonVastVrij256="","",Data_NaamPersoonVastVrij256)</f>
        <v/>
      </c>
      <c r="BB279" s="41"/>
      <c r="BC279" s="41"/>
      <c r="BD279" s="83" t="str">
        <f>IF(Data_BeeindigingsdatumVastVrij256="","",Data_BeeindigingsdatumVastVrij256)</f>
        <v/>
      </c>
      <c r="BE279" s="41"/>
      <c r="BF279" s="41"/>
      <c r="BG279" s="82" t="str">
        <f>IF(Data_LoonkostenVastVrij256="","",Data_LoonkostenVastVrij256)</f>
        <v/>
      </c>
      <c r="BH279" s="41"/>
      <c r="BI279" s="76" t="str">
        <f>IF(Data_PersoonAanUitVastVrij256=-1,"v","")</f>
        <v/>
      </c>
      <c r="BJ279" s="41"/>
      <c r="BK279" s="76" t="s">
        <v>160</v>
      </c>
      <c r="BL279" s="41"/>
      <c r="BM279" s="41"/>
      <c r="BN279" s="41"/>
      <c r="BO279" s="41"/>
      <c r="BP279" s="41">
        <f t="shared" si="27"/>
        <v>0</v>
      </c>
      <c r="BQ279" s="77">
        <f t="shared" si="28"/>
        <v>0</v>
      </c>
      <c r="BS279" s="81" t="str">
        <f>IF(Data_NaamPersoonVastOntslag256="","",Data_NaamPersoonVastOntslag256)</f>
        <v/>
      </c>
      <c r="BV279" s="83" t="str">
        <f>IF(Data_BeeindigingsdatumVastOntslag256="","",Data_BeeindigingsdatumVastOntslag256)</f>
        <v/>
      </c>
      <c r="BY279" s="82" t="str">
        <f>IF(Data_LoonkostenVastOntslag256="","",Data_LoonkostenVastOntslag256)</f>
        <v/>
      </c>
      <c r="CA279" s="76" t="str">
        <f>IF(Data_PersoonAanUitVastOntslag256=-1,"v","")</f>
        <v/>
      </c>
      <c r="CB279" s="41"/>
      <c r="CC279" s="76" t="s">
        <v>160</v>
      </c>
      <c r="CD279" s="41"/>
      <c r="CE279" s="41"/>
      <c r="CF279" s="41"/>
      <c r="CG279" s="41"/>
      <c r="CH279" s="41">
        <f t="shared" si="31"/>
        <v>0</v>
      </c>
      <c r="CI279" s="41">
        <f t="shared" si="29"/>
        <v>0</v>
      </c>
    </row>
    <row r="280" spans="8:87" x14ac:dyDescent="0.25">
      <c r="H280" s="81" t="str">
        <f>IF(Data_NaamPersoonNatVerloop257="","",Data_NaamPersoonNatVerloop257)</f>
        <v/>
      </c>
      <c r="I280" s="41"/>
      <c r="J280" s="41"/>
      <c r="K280" s="83" t="str">
        <f>IF(Data_BeeindigingsdatumNatVerloop257="","",Data_BeeindigingsdatumNatVerloop257)</f>
        <v/>
      </c>
      <c r="L280" s="41"/>
      <c r="M280" s="41"/>
      <c r="N280" s="82" t="str">
        <f>IF(Data_LoonkostenNatVerloop257="","",Data_LoonkostenNatVerloop257)</f>
        <v/>
      </c>
      <c r="O280" s="41"/>
      <c r="P280" s="276" t="s">
        <v>160</v>
      </c>
      <c r="Q280" s="41"/>
      <c r="R280" s="76" t="s">
        <v>160</v>
      </c>
      <c r="S280" s="41"/>
      <c r="T280" s="41"/>
      <c r="U280" s="41"/>
      <c r="V280" s="41"/>
      <c r="W280" s="41">
        <f t="shared" ref="W280:W343" si="32">IF($AO280="v",M280,T280)</f>
        <v>0</v>
      </c>
      <c r="X280" s="77" t="str">
        <f t="shared" si="30"/>
        <v/>
      </c>
      <c r="AG280" s="81" t="str">
        <f>IF(Data_NaamPersoonTijd257="","",Data_NaamPersoonTijd257)</f>
        <v/>
      </c>
      <c r="AH280" s="41"/>
      <c r="AI280" s="41"/>
      <c r="AJ280" s="83" t="str">
        <f>IF(Data_BeeindigingsdatumTijd257="","",Data_BeeindigingsdatumTijd257)</f>
        <v/>
      </c>
      <c r="AK280" s="41"/>
      <c r="AL280" s="41"/>
      <c r="AM280" s="82" t="str">
        <f>IF(Data_LoonkostenTijd257="","",Data_LoonkostenTijd257)</f>
        <v/>
      </c>
      <c r="AN280" s="41"/>
      <c r="AO280" s="276" t="str">
        <f>IF(Data_PersoonAanUitTijd257=-1,"v","")</f>
        <v/>
      </c>
      <c r="AP280" s="41"/>
      <c r="AQ280" s="76" t="s">
        <v>160</v>
      </c>
      <c r="AR280" s="41"/>
      <c r="AS280" s="41"/>
      <c r="AT280" s="41"/>
      <c r="AU280" s="41"/>
      <c r="AV280" s="41">
        <f t="shared" ref="AV280:AV343" si="33">IF($AO280="v",AL280,AS280)</f>
        <v>0</v>
      </c>
      <c r="AW280" s="77">
        <f t="shared" ref="AW280:AW343" si="34">IF(AND($AO280="v",$AQ280="v"),AM280,IF(AND($AO280="v",$AQ280&lt;&gt;"v"),AT280,0))</f>
        <v>0</v>
      </c>
      <c r="AX280" s="41"/>
      <c r="AY280" s="41"/>
      <c r="AZ280" s="41"/>
      <c r="BA280" s="81" t="str">
        <f>IF(Data_NaamPersoonVastVrij257="","",Data_NaamPersoonVastVrij257)</f>
        <v/>
      </c>
      <c r="BB280" s="41"/>
      <c r="BC280" s="41"/>
      <c r="BD280" s="83" t="str">
        <f>IF(Data_BeeindigingsdatumVastVrij257="","",Data_BeeindigingsdatumVastVrij257)</f>
        <v/>
      </c>
      <c r="BE280" s="41"/>
      <c r="BF280" s="41"/>
      <c r="BG280" s="82" t="str">
        <f>IF(Data_LoonkostenVastVrij257="","",Data_LoonkostenVastVrij257)</f>
        <v/>
      </c>
      <c r="BH280" s="41"/>
      <c r="BI280" s="76" t="str">
        <f>IF(Data_PersoonAanUitVastVrij257=-1,"v","")</f>
        <v/>
      </c>
      <c r="BJ280" s="41"/>
      <c r="BK280" s="76" t="s">
        <v>160</v>
      </c>
      <c r="BL280" s="41"/>
      <c r="BM280" s="41"/>
      <c r="BN280" s="41"/>
      <c r="BO280" s="41"/>
      <c r="BP280" s="41">
        <f t="shared" ref="BP280:BP343" si="35">IF($BI280="v",BF280,BM280)</f>
        <v>0</v>
      </c>
      <c r="BQ280" s="77">
        <f t="shared" ref="BQ280:BQ343" si="36">IF(AND($BI280="v",$BK280="v"),BG280,IF(AND($BI280="v",$BK280&lt;&gt;"v"),BN280,0))</f>
        <v>0</v>
      </c>
      <c r="BS280" s="81" t="str">
        <f>IF(Data_NaamPersoonVastOntslag257="","",Data_NaamPersoonVastOntslag257)</f>
        <v/>
      </c>
      <c r="BV280" s="83" t="str">
        <f>IF(Data_BeeindigingsdatumVastOntslag257="","",Data_BeeindigingsdatumVastOntslag257)</f>
        <v/>
      </c>
      <c r="BY280" s="82" t="str">
        <f>IF(Data_LoonkostenVastOntslag257="","",Data_LoonkostenVastOntslag257)</f>
        <v/>
      </c>
      <c r="CA280" s="76" t="str">
        <f>IF(Data_PersoonAanUitVastOntslag257=-1,"v","")</f>
        <v/>
      </c>
      <c r="CB280" s="41"/>
      <c r="CC280" s="76" t="s">
        <v>160</v>
      </c>
      <c r="CD280" s="41"/>
      <c r="CE280" s="41"/>
      <c r="CF280" s="41"/>
      <c r="CG280" s="41"/>
      <c r="CH280" s="41">
        <f t="shared" si="31"/>
        <v>0</v>
      </c>
      <c r="CI280" s="41">
        <f t="shared" ref="CI280:CI343" si="37">IF(AND($CA280="v",$CC280="v"),BY280,IF(AND($CA280="v",$CC280&lt;&gt;"v"),CF279,0))</f>
        <v>0</v>
      </c>
    </row>
    <row r="281" spans="8:87" x14ac:dyDescent="0.25">
      <c r="H281" s="81" t="str">
        <f>IF(Data_NaamPersoonNatVerloop258="","",Data_NaamPersoonNatVerloop258)</f>
        <v/>
      </c>
      <c r="I281" s="41"/>
      <c r="J281" s="41"/>
      <c r="K281" s="83" t="str">
        <f>IF(Data_BeeindigingsdatumNatVerloop258="","",Data_BeeindigingsdatumNatVerloop258)</f>
        <v/>
      </c>
      <c r="L281" s="41"/>
      <c r="M281" s="41"/>
      <c r="N281" s="82" t="str">
        <f>IF(Data_LoonkostenNatVerloop258="","",Data_LoonkostenNatVerloop258)</f>
        <v/>
      </c>
      <c r="O281" s="41"/>
      <c r="P281" s="276" t="s">
        <v>160</v>
      </c>
      <c r="Q281" s="41"/>
      <c r="R281" s="76" t="s">
        <v>160</v>
      </c>
      <c r="S281" s="41"/>
      <c r="T281" s="41"/>
      <c r="U281" s="41"/>
      <c r="V281" s="41"/>
      <c r="W281" s="41">
        <f t="shared" si="32"/>
        <v>0</v>
      </c>
      <c r="X281" s="77" t="str">
        <f t="shared" ref="X281:X344" si="38">IF(AND($P281="v",$R281="v"),N281,IF(AND($P281="v",$R281&lt;&gt;"v"),U281,0))</f>
        <v/>
      </c>
      <c r="AG281" s="81" t="str">
        <f>IF(Data_NaamPersoonTijd258="","",Data_NaamPersoonTijd258)</f>
        <v/>
      </c>
      <c r="AH281" s="41"/>
      <c r="AI281" s="41"/>
      <c r="AJ281" s="83" t="str">
        <f>IF(Data_BeeindigingsdatumTijd258="","",Data_BeeindigingsdatumTijd258)</f>
        <v/>
      </c>
      <c r="AK281" s="41"/>
      <c r="AL281" s="41"/>
      <c r="AM281" s="82" t="str">
        <f>IF(Data_LoonkostenTijd258="","",Data_LoonkostenTijd258)</f>
        <v/>
      </c>
      <c r="AN281" s="41"/>
      <c r="AO281" s="276" t="str">
        <f>IF(Data_PersoonAanUitTijd258=-1,"v","")</f>
        <v/>
      </c>
      <c r="AP281" s="41"/>
      <c r="AQ281" s="76" t="s">
        <v>160</v>
      </c>
      <c r="AR281" s="41"/>
      <c r="AS281" s="41"/>
      <c r="AT281" s="41"/>
      <c r="AU281" s="41"/>
      <c r="AV281" s="41">
        <f t="shared" si="33"/>
        <v>0</v>
      </c>
      <c r="AW281" s="77">
        <f t="shared" si="34"/>
        <v>0</v>
      </c>
      <c r="AX281" s="41"/>
      <c r="AY281" s="41"/>
      <c r="AZ281" s="41"/>
      <c r="BA281" s="81" t="str">
        <f>IF(Data_NaamPersoonVastVrij258="","",Data_NaamPersoonVastVrij258)</f>
        <v/>
      </c>
      <c r="BB281" s="41"/>
      <c r="BC281" s="41"/>
      <c r="BD281" s="83" t="str">
        <f>IF(Data_BeeindigingsdatumVastVrij258="","",Data_BeeindigingsdatumVastVrij258)</f>
        <v/>
      </c>
      <c r="BE281" s="41"/>
      <c r="BF281" s="41"/>
      <c r="BG281" s="82" t="str">
        <f>IF(Data_LoonkostenVastVrij258="","",Data_LoonkostenVastVrij258)</f>
        <v/>
      </c>
      <c r="BH281" s="41"/>
      <c r="BI281" s="76" t="str">
        <f>IF(Data_PersoonAanUitVastVrij258=-1,"v","")</f>
        <v/>
      </c>
      <c r="BJ281" s="41"/>
      <c r="BK281" s="76" t="s">
        <v>160</v>
      </c>
      <c r="BL281" s="41"/>
      <c r="BM281" s="41"/>
      <c r="BN281" s="41"/>
      <c r="BO281" s="41"/>
      <c r="BP281" s="41">
        <f t="shared" si="35"/>
        <v>0</v>
      </c>
      <c r="BQ281" s="77">
        <f t="shared" si="36"/>
        <v>0</v>
      </c>
      <c r="BS281" s="81" t="str">
        <f>IF(Data_NaamPersoonVastOntslag258="","",Data_NaamPersoonVastOntslag258)</f>
        <v/>
      </c>
      <c r="BV281" s="83" t="str">
        <f>IF(Data_BeeindigingsdatumVastOntslag258="","",Data_BeeindigingsdatumVastOntslag258)</f>
        <v/>
      </c>
      <c r="BY281" s="82" t="str">
        <f>IF(Data_LoonkostenVastOntslag258="","",Data_LoonkostenVastOntslag258)</f>
        <v/>
      </c>
      <c r="CA281" s="76" t="str">
        <f>IF(Data_PersoonAanUitVastOntslag258=-1,"v","")</f>
        <v/>
      </c>
      <c r="CB281" s="41"/>
      <c r="CC281" s="76" t="s">
        <v>160</v>
      </c>
      <c r="CD281" s="41"/>
      <c r="CE281" s="41"/>
      <c r="CF281" s="41"/>
      <c r="CG281" s="41"/>
      <c r="CH281" s="41">
        <f t="shared" ref="CH281:CH344" si="39">IF($CA281="v",BX281,CE281)</f>
        <v>0</v>
      </c>
      <c r="CI281" s="41">
        <f t="shared" si="37"/>
        <v>0</v>
      </c>
    </row>
    <row r="282" spans="8:87" x14ac:dyDescent="0.25">
      <c r="H282" s="81" t="str">
        <f>IF(Data_NaamPersoonNatVerloop259="","",Data_NaamPersoonNatVerloop259)</f>
        <v/>
      </c>
      <c r="I282" s="41"/>
      <c r="J282" s="41"/>
      <c r="K282" s="83" t="str">
        <f>IF(Data_BeeindigingsdatumNatVerloop259="","",Data_BeeindigingsdatumNatVerloop259)</f>
        <v/>
      </c>
      <c r="L282" s="41"/>
      <c r="M282" s="41"/>
      <c r="N282" s="82" t="str">
        <f>IF(Data_LoonkostenNatVerloop259="","",Data_LoonkostenNatVerloop259)</f>
        <v/>
      </c>
      <c r="O282" s="41"/>
      <c r="P282" s="276" t="s">
        <v>160</v>
      </c>
      <c r="Q282" s="41"/>
      <c r="R282" s="76" t="s">
        <v>160</v>
      </c>
      <c r="S282" s="41"/>
      <c r="T282" s="41"/>
      <c r="U282" s="41"/>
      <c r="V282" s="41"/>
      <c r="W282" s="41">
        <f t="shared" si="32"/>
        <v>0</v>
      </c>
      <c r="X282" s="77" t="str">
        <f t="shared" si="38"/>
        <v/>
      </c>
      <c r="AG282" s="81" t="str">
        <f>IF(Data_NaamPersoonTijd259="","",Data_NaamPersoonTijd259)</f>
        <v/>
      </c>
      <c r="AH282" s="41"/>
      <c r="AI282" s="41"/>
      <c r="AJ282" s="83" t="str">
        <f>IF(Data_BeeindigingsdatumTijd259="","",Data_BeeindigingsdatumTijd259)</f>
        <v/>
      </c>
      <c r="AK282" s="41"/>
      <c r="AL282" s="41"/>
      <c r="AM282" s="82" t="str">
        <f>IF(Data_LoonkostenTijd259="","",Data_LoonkostenTijd259)</f>
        <v/>
      </c>
      <c r="AN282" s="41"/>
      <c r="AO282" s="276" t="str">
        <f>IF(Data_PersoonAanUitTijd259=-1,"v","")</f>
        <v/>
      </c>
      <c r="AP282" s="41"/>
      <c r="AQ282" s="76" t="s">
        <v>160</v>
      </c>
      <c r="AR282" s="41"/>
      <c r="AS282" s="41"/>
      <c r="AT282" s="41"/>
      <c r="AU282" s="41"/>
      <c r="AV282" s="41">
        <f t="shared" si="33"/>
        <v>0</v>
      </c>
      <c r="AW282" s="77">
        <f t="shared" si="34"/>
        <v>0</v>
      </c>
      <c r="AX282" s="41"/>
      <c r="AY282" s="41"/>
      <c r="AZ282" s="41"/>
      <c r="BA282" s="81" t="str">
        <f>IF(Data_NaamPersoonVastVrij259="","",Data_NaamPersoonVastVrij259)</f>
        <v/>
      </c>
      <c r="BB282" s="41"/>
      <c r="BC282" s="41"/>
      <c r="BD282" s="83" t="str">
        <f>IF(Data_BeeindigingsdatumVastVrij259="","",Data_BeeindigingsdatumVastVrij259)</f>
        <v/>
      </c>
      <c r="BE282" s="41"/>
      <c r="BF282" s="41"/>
      <c r="BG282" s="82" t="str">
        <f>IF(Data_LoonkostenVastVrij259="","",Data_LoonkostenVastVrij259)</f>
        <v/>
      </c>
      <c r="BH282" s="41"/>
      <c r="BI282" s="76" t="str">
        <f>IF(Data_PersoonAanUitVastVrij259=-1,"v","")</f>
        <v/>
      </c>
      <c r="BJ282" s="41"/>
      <c r="BK282" s="76" t="s">
        <v>160</v>
      </c>
      <c r="BL282" s="41"/>
      <c r="BM282" s="41"/>
      <c r="BN282" s="41"/>
      <c r="BO282" s="41"/>
      <c r="BP282" s="41">
        <f t="shared" si="35"/>
        <v>0</v>
      </c>
      <c r="BQ282" s="77">
        <f t="shared" si="36"/>
        <v>0</v>
      </c>
      <c r="BS282" s="81" t="str">
        <f>IF(Data_NaamPersoonVastOntslag259="","",Data_NaamPersoonVastOntslag259)</f>
        <v/>
      </c>
      <c r="BV282" s="83" t="str">
        <f>IF(Data_BeeindigingsdatumVastOntslag259="","",Data_BeeindigingsdatumVastOntslag259)</f>
        <v/>
      </c>
      <c r="BY282" s="82" t="str">
        <f>IF(Data_LoonkostenVastOntslag259="","",Data_LoonkostenVastOntslag259)</f>
        <v/>
      </c>
      <c r="CA282" s="76" t="str">
        <f>IF(Data_PersoonAanUitVastOntslag259=-1,"v","")</f>
        <v/>
      </c>
      <c r="CB282" s="41"/>
      <c r="CC282" s="76" t="s">
        <v>160</v>
      </c>
      <c r="CD282" s="41"/>
      <c r="CE282" s="41"/>
      <c r="CF282" s="41"/>
      <c r="CG282" s="41"/>
      <c r="CH282" s="41">
        <f t="shared" si="39"/>
        <v>0</v>
      </c>
      <c r="CI282" s="41">
        <f t="shared" si="37"/>
        <v>0</v>
      </c>
    </row>
    <row r="283" spans="8:87" x14ac:dyDescent="0.25">
      <c r="H283" s="81" t="str">
        <f>IF(Data_NaamPersoonNatVerloop260="","",Data_NaamPersoonNatVerloop260)</f>
        <v/>
      </c>
      <c r="I283" s="41"/>
      <c r="J283" s="41"/>
      <c r="K283" s="83" t="str">
        <f>IF(Data_BeeindigingsdatumNatVerloop260="","",Data_BeeindigingsdatumNatVerloop260)</f>
        <v/>
      </c>
      <c r="L283" s="41"/>
      <c r="M283" s="41"/>
      <c r="N283" s="82" t="str">
        <f>IF(Data_LoonkostenNatVerloop260="","",Data_LoonkostenNatVerloop260)</f>
        <v/>
      </c>
      <c r="O283" s="41"/>
      <c r="P283" s="276" t="s">
        <v>160</v>
      </c>
      <c r="Q283" s="41"/>
      <c r="R283" s="76" t="s">
        <v>160</v>
      </c>
      <c r="S283" s="41"/>
      <c r="T283" s="41"/>
      <c r="U283" s="41"/>
      <c r="V283" s="41"/>
      <c r="W283" s="41">
        <f t="shared" si="32"/>
        <v>0</v>
      </c>
      <c r="X283" s="77" t="str">
        <f t="shared" si="38"/>
        <v/>
      </c>
      <c r="AG283" s="81" t="str">
        <f>IF(Data_NaamPersoonTijd260="","",Data_NaamPersoonTijd260)</f>
        <v/>
      </c>
      <c r="AH283" s="41"/>
      <c r="AI283" s="41"/>
      <c r="AJ283" s="83" t="str">
        <f>IF(Data_BeeindigingsdatumTijd260="","",Data_BeeindigingsdatumTijd260)</f>
        <v/>
      </c>
      <c r="AK283" s="41"/>
      <c r="AL283" s="41"/>
      <c r="AM283" s="82" t="str">
        <f>IF(Data_LoonkostenTijd260="","",Data_LoonkostenTijd260)</f>
        <v/>
      </c>
      <c r="AN283" s="41"/>
      <c r="AO283" s="276" t="str">
        <f>IF(Data_PersoonAanUitTijd260=-1,"v","")</f>
        <v/>
      </c>
      <c r="AP283" s="41"/>
      <c r="AQ283" s="76" t="s">
        <v>160</v>
      </c>
      <c r="AR283" s="41"/>
      <c r="AS283" s="41"/>
      <c r="AT283" s="41"/>
      <c r="AU283" s="41"/>
      <c r="AV283" s="41">
        <f t="shared" si="33"/>
        <v>0</v>
      </c>
      <c r="AW283" s="77">
        <f t="shared" si="34"/>
        <v>0</v>
      </c>
      <c r="AX283" s="41"/>
      <c r="AY283" s="41"/>
      <c r="AZ283" s="41"/>
      <c r="BA283" s="81" t="str">
        <f>IF(Data_NaamPersoonVastVrij260="","",Data_NaamPersoonVastVrij260)</f>
        <v/>
      </c>
      <c r="BB283" s="41"/>
      <c r="BC283" s="41"/>
      <c r="BD283" s="83" t="str">
        <f>IF(Data_BeeindigingsdatumVastVrij260="","",Data_BeeindigingsdatumVastVrij260)</f>
        <v/>
      </c>
      <c r="BE283" s="41"/>
      <c r="BF283" s="41"/>
      <c r="BG283" s="82" t="str">
        <f>IF(Data_LoonkostenVastVrij260="","",Data_LoonkostenVastVrij260)</f>
        <v/>
      </c>
      <c r="BH283" s="41"/>
      <c r="BI283" s="76" t="str">
        <f>IF(Data_PersoonAanUitVastVrij260=-1,"v","")</f>
        <v/>
      </c>
      <c r="BJ283" s="41"/>
      <c r="BK283" s="76" t="s">
        <v>160</v>
      </c>
      <c r="BL283" s="41"/>
      <c r="BM283" s="41"/>
      <c r="BN283" s="41"/>
      <c r="BO283" s="41"/>
      <c r="BP283" s="41">
        <f t="shared" si="35"/>
        <v>0</v>
      </c>
      <c r="BQ283" s="77">
        <f t="shared" si="36"/>
        <v>0</v>
      </c>
      <c r="BS283" s="81" t="str">
        <f>IF(Data_NaamPersoonVastOntslag260="","",Data_NaamPersoonVastOntslag260)</f>
        <v/>
      </c>
      <c r="BV283" s="83" t="str">
        <f>IF(Data_BeeindigingsdatumVastOntslag260="","",Data_BeeindigingsdatumVastOntslag260)</f>
        <v/>
      </c>
      <c r="BY283" s="82" t="str">
        <f>IF(Data_LoonkostenVastOntslag260="","",Data_LoonkostenVastOntslag260)</f>
        <v/>
      </c>
      <c r="CA283" s="76" t="str">
        <f>IF(Data_PersoonAanUitVastOntslag260=-1,"v","")</f>
        <v/>
      </c>
      <c r="CB283" s="41"/>
      <c r="CC283" s="76" t="s">
        <v>160</v>
      </c>
      <c r="CD283" s="41"/>
      <c r="CE283" s="41"/>
      <c r="CF283" s="41"/>
      <c r="CG283" s="41"/>
      <c r="CH283" s="41">
        <f t="shared" si="39"/>
        <v>0</v>
      </c>
      <c r="CI283" s="41">
        <f t="shared" si="37"/>
        <v>0</v>
      </c>
    </row>
    <row r="284" spans="8:87" x14ac:dyDescent="0.25">
      <c r="H284" s="81" t="str">
        <f>IF(Data_NaamPersoonNatVerloop261="","",Data_NaamPersoonNatVerloop261)</f>
        <v/>
      </c>
      <c r="I284" s="41"/>
      <c r="J284" s="41"/>
      <c r="K284" s="83" t="str">
        <f>IF(Data_BeeindigingsdatumNatVerloop261="","",Data_BeeindigingsdatumNatVerloop261)</f>
        <v/>
      </c>
      <c r="L284" s="41"/>
      <c r="M284" s="41"/>
      <c r="N284" s="82" t="str">
        <f>IF(Data_LoonkostenNatVerloop261="","",Data_LoonkostenNatVerloop261)</f>
        <v/>
      </c>
      <c r="O284" s="41"/>
      <c r="P284" s="276" t="s">
        <v>160</v>
      </c>
      <c r="Q284" s="41"/>
      <c r="R284" s="76" t="s">
        <v>160</v>
      </c>
      <c r="S284" s="41"/>
      <c r="T284" s="41"/>
      <c r="U284" s="41"/>
      <c r="V284" s="41"/>
      <c r="W284" s="41">
        <f t="shared" si="32"/>
        <v>0</v>
      </c>
      <c r="X284" s="77" t="str">
        <f t="shared" si="38"/>
        <v/>
      </c>
      <c r="AG284" s="81" t="str">
        <f>IF(Data_NaamPersoonTijd261="","",Data_NaamPersoonTijd261)</f>
        <v/>
      </c>
      <c r="AH284" s="41"/>
      <c r="AI284" s="41"/>
      <c r="AJ284" s="83" t="str">
        <f>IF(Data_BeeindigingsdatumTijd261="","",Data_BeeindigingsdatumTijd261)</f>
        <v/>
      </c>
      <c r="AK284" s="41"/>
      <c r="AL284" s="41"/>
      <c r="AM284" s="82" t="str">
        <f>IF(Data_LoonkostenTijd261="","",Data_LoonkostenTijd261)</f>
        <v/>
      </c>
      <c r="AN284" s="41"/>
      <c r="AO284" s="276" t="str">
        <f>IF(Data_PersoonAanUitTijd261=-1,"v","")</f>
        <v/>
      </c>
      <c r="AP284" s="41"/>
      <c r="AQ284" s="76" t="s">
        <v>160</v>
      </c>
      <c r="AR284" s="41"/>
      <c r="AS284" s="41"/>
      <c r="AT284" s="41"/>
      <c r="AU284" s="41"/>
      <c r="AV284" s="41">
        <f t="shared" si="33"/>
        <v>0</v>
      </c>
      <c r="AW284" s="77">
        <f t="shared" si="34"/>
        <v>0</v>
      </c>
      <c r="AX284" s="41"/>
      <c r="AY284" s="41"/>
      <c r="AZ284" s="41"/>
      <c r="BA284" s="81" t="str">
        <f>IF(Data_NaamPersoonVastVrij261="","",Data_NaamPersoonVastVrij261)</f>
        <v/>
      </c>
      <c r="BB284" s="41"/>
      <c r="BC284" s="41"/>
      <c r="BD284" s="83" t="str">
        <f>IF(Data_BeeindigingsdatumVastVrij261="","",Data_BeeindigingsdatumVastVrij261)</f>
        <v/>
      </c>
      <c r="BE284" s="41"/>
      <c r="BF284" s="41"/>
      <c r="BG284" s="82" t="str">
        <f>IF(Data_LoonkostenVastVrij261="","",Data_LoonkostenVastVrij261)</f>
        <v/>
      </c>
      <c r="BH284" s="41"/>
      <c r="BI284" s="76" t="str">
        <f>IF(Data_PersoonAanUitVastVrij261=-1,"v","")</f>
        <v/>
      </c>
      <c r="BJ284" s="41"/>
      <c r="BK284" s="76" t="s">
        <v>160</v>
      </c>
      <c r="BL284" s="41"/>
      <c r="BM284" s="41"/>
      <c r="BN284" s="41"/>
      <c r="BO284" s="41"/>
      <c r="BP284" s="41">
        <f t="shared" si="35"/>
        <v>0</v>
      </c>
      <c r="BQ284" s="77">
        <f t="shared" si="36"/>
        <v>0</v>
      </c>
      <c r="BS284" s="81" t="str">
        <f>IF(Data_NaamPersoonVastOntslag261="","",Data_NaamPersoonVastOntslag261)</f>
        <v/>
      </c>
      <c r="BV284" s="83" t="str">
        <f>IF(Data_BeeindigingsdatumVastOntslag261="","",Data_BeeindigingsdatumVastOntslag261)</f>
        <v/>
      </c>
      <c r="BY284" s="82" t="str">
        <f>IF(Data_LoonkostenVastOntslag261="","",Data_LoonkostenVastOntslag261)</f>
        <v/>
      </c>
      <c r="CA284" s="76" t="str">
        <f>IF(Data_PersoonAanUitVastOntslag261=-1,"v","")</f>
        <v/>
      </c>
      <c r="CB284" s="41"/>
      <c r="CC284" s="76" t="s">
        <v>160</v>
      </c>
      <c r="CD284" s="41"/>
      <c r="CE284" s="41"/>
      <c r="CF284" s="41"/>
      <c r="CG284" s="41"/>
      <c r="CH284" s="41">
        <f t="shared" si="39"/>
        <v>0</v>
      </c>
      <c r="CI284" s="41">
        <f t="shared" si="37"/>
        <v>0</v>
      </c>
    </row>
    <row r="285" spans="8:87" x14ac:dyDescent="0.25">
      <c r="H285" s="81" t="str">
        <f>IF(Data_NaamPersoonNatVerloop262="","",Data_NaamPersoonNatVerloop262)</f>
        <v/>
      </c>
      <c r="I285" s="41"/>
      <c r="J285" s="41"/>
      <c r="K285" s="83" t="str">
        <f>IF(Data_BeeindigingsdatumNatVerloop262="","",Data_BeeindigingsdatumNatVerloop262)</f>
        <v/>
      </c>
      <c r="L285" s="41"/>
      <c r="M285" s="41"/>
      <c r="N285" s="82" t="str">
        <f>IF(Data_LoonkostenNatVerloop262="","",Data_LoonkostenNatVerloop262)</f>
        <v/>
      </c>
      <c r="O285" s="41"/>
      <c r="P285" s="276" t="s">
        <v>160</v>
      </c>
      <c r="Q285" s="41"/>
      <c r="R285" s="76" t="s">
        <v>160</v>
      </c>
      <c r="S285" s="41"/>
      <c r="T285" s="41"/>
      <c r="U285" s="41"/>
      <c r="V285" s="41"/>
      <c r="W285" s="41">
        <f t="shared" si="32"/>
        <v>0</v>
      </c>
      <c r="X285" s="77" t="str">
        <f t="shared" si="38"/>
        <v/>
      </c>
      <c r="AG285" s="81" t="str">
        <f>IF(Data_NaamPersoonTijd262="","",Data_NaamPersoonTijd262)</f>
        <v/>
      </c>
      <c r="AH285" s="41"/>
      <c r="AI285" s="41"/>
      <c r="AJ285" s="83" t="str">
        <f>IF(Data_BeeindigingsdatumTijd262="","",Data_BeeindigingsdatumTijd262)</f>
        <v/>
      </c>
      <c r="AK285" s="41"/>
      <c r="AL285" s="41"/>
      <c r="AM285" s="82" t="str">
        <f>IF(Data_LoonkostenTijd262="","",Data_LoonkostenTijd262)</f>
        <v/>
      </c>
      <c r="AN285" s="41"/>
      <c r="AO285" s="276" t="str">
        <f>IF(Data_PersoonAanUitTijd262=-1,"v","")</f>
        <v/>
      </c>
      <c r="AP285" s="41"/>
      <c r="AQ285" s="76" t="s">
        <v>160</v>
      </c>
      <c r="AR285" s="41"/>
      <c r="AS285" s="41"/>
      <c r="AT285" s="41"/>
      <c r="AU285" s="41"/>
      <c r="AV285" s="41">
        <f t="shared" si="33"/>
        <v>0</v>
      </c>
      <c r="AW285" s="77">
        <f t="shared" si="34"/>
        <v>0</v>
      </c>
      <c r="AX285" s="41"/>
      <c r="AY285" s="41"/>
      <c r="AZ285" s="41"/>
      <c r="BA285" s="81" t="str">
        <f>IF(Data_NaamPersoonVastVrij262="","",Data_NaamPersoonVastVrij262)</f>
        <v/>
      </c>
      <c r="BB285" s="41"/>
      <c r="BC285" s="41"/>
      <c r="BD285" s="83" t="str">
        <f>IF(Data_BeeindigingsdatumVastVrij262="","",Data_BeeindigingsdatumVastVrij262)</f>
        <v/>
      </c>
      <c r="BE285" s="41"/>
      <c r="BF285" s="41"/>
      <c r="BG285" s="82" t="str">
        <f>IF(Data_LoonkostenVastVrij262="","",Data_LoonkostenVastVrij262)</f>
        <v/>
      </c>
      <c r="BH285" s="41"/>
      <c r="BI285" s="76" t="str">
        <f>IF(Data_PersoonAanUitVastVrij262=-1,"v","")</f>
        <v/>
      </c>
      <c r="BJ285" s="41"/>
      <c r="BK285" s="76" t="s">
        <v>160</v>
      </c>
      <c r="BL285" s="41"/>
      <c r="BM285" s="41"/>
      <c r="BN285" s="41"/>
      <c r="BO285" s="41"/>
      <c r="BP285" s="41">
        <f t="shared" si="35"/>
        <v>0</v>
      </c>
      <c r="BQ285" s="77">
        <f t="shared" si="36"/>
        <v>0</v>
      </c>
      <c r="BS285" s="81" t="str">
        <f>IF(Data_NaamPersoonVastOntslag262="","",Data_NaamPersoonVastOntslag262)</f>
        <v/>
      </c>
      <c r="BV285" s="83" t="str">
        <f>IF(Data_BeeindigingsdatumVastOntslag262="","",Data_BeeindigingsdatumVastOntslag262)</f>
        <v/>
      </c>
      <c r="BY285" s="82" t="str">
        <f>IF(Data_LoonkostenVastOntslag262="","",Data_LoonkostenVastOntslag262)</f>
        <v/>
      </c>
      <c r="CA285" s="76" t="str">
        <f>IF(Data_PersoonAanUitVastOntslag262=-1,"v","")</f>
        <v/>
      </c>
      <c r="CB285" s="41"/>
      <c r="CC285" s="76" t="s">
        <v>160</v>
      </c>
      <c r="CD285" s="41"/>
      <c r="CE285" s="41"/>
      <c r="CF285" s="41"/>
      <c r="CG285" s="41"/>
      <c r="CH285" s="41">
        <f t="shared" si="39"/>
        <v>0</v>
      </c>
      <c r="CI285" s="41">
        <f t="shared" si="37"/>
        <v>0</v>
      </c>
    </row>
    <row r="286" spans="8:87" x14ac:dyDescent="0.25">
      <c r="H286" s="81" t="str">
        <f>IF(Data_NaamPersoonNatVerloop263="","",Data_NaamPersoonNatVerloop263)</f>
        <v/>
      </c>
      <c r="I286" s="41"/>
      <c r="J286" s="41"/>
      <c r="K286" s="83" t="str">
        <f>IF(Data_BeeindigingsdatumNatVerloop263="","",Data_BeeindigingsdatumNatVerloop263)</f>
        <v/>
      </c>
      <c r="L286" s="41"/>
      <c r="M286" s="41"/>
      <c r="N286" s="82" t="str">
        <f>IF(Data_LoonkostenNatVerloop263="","",Data_LoonkostenNatVerloop263)</f>
        <v/>
      </c>
      <c r="O286" s="41"/>
      <c r="P286" s="276" t="s">
        <v>160</v>
      </c>
      <c r="Q286" s="41"/>
      <c r="R286" s="76" t="s">
        <v>160</v>
      </c>
      <c r="S286" s="41"/>
      <c r="T286" s="41"/>
      <c r="U286" s="41"/>
      <c r="V286" s="41"/>
      <c r="W286" s="41">
        <f t="shared" si="32"/>
        <v>0</v>
      </c>
      <c r="X286" s="77" t="str">
        <f t="shared" si="38"/>
        <v/>
      </c>
      <c r="AG286" s="81" t="str">
        <f>IF(Data_NaamPersoonTijd263="","",Data_NaamPersoonTijd263)</f>
        <v/>
      </c>
      <c r="AH286" s="41"/>
      <c r="AI286" s="41"/>
      <c r="AJ286" s="83" t="str">
        <f>IF(Data_BeeindigingsdatumTijd263="","",Data_BeeindigingsdatumTijd263)</f>
        <v/>
      </c>
      <c r="AK286" s="41"/>
      <c r="AL286" s="41"/>
      <c r="AM286" s="82" t="str">
        <f>IF(Data_LoonkostenTijd263="","",Data_LoonkostenTijd263)</f>
        <v/>
      </c>
      <c r="AN286" s="41"/>
      <c r="AO286" s="276" t="str">
        <f>IF(Data_PersoonAanUitTijd263=-1,"v","")</f>
        <v/>
      </c>
      <c r="AP286" s="41"/>
      <c r="AQ286" s="76" t="s">
        <v>160</v>
      </c>
      <c r="AR286" s="41"/>
      <c r="AS286" s="41"/>
      <c r="AT286" s="41"/>
      <c r="AU286" s="41"/>
      <c r="AV286" s="41">
        <f t="shared" si="33"/>
        <v>0</v>
      </c>
      <c r="AW286" s="77">
        <f t="shared" si="34"/>
        <v>0</v>
      </c>
      <c r="AX286" s="41"/>
      <c r="AY286" s="41"/>
      <c r="AZ286" s="41"/>
      <c r="BA286" s="81" t="str">
        <f>IF(Data_NaamPersoonVastVrij263="","",Data_NaamPersoonVastVrij263)</f>
        <v/>
      </c>
      <c r="BB286" s="41"/>
      <c r="BC286" s="41"/>
      <c r="BD286" s="83" t="str">
        <f>IF(Data_BeeindigingsdatumVastVrij263="","",Data_BeeindigingsdatumVastVrij263)</f>
        <v/>
      </c>
      <c r="BE286" s="41"/>
      <c r="BF286" s="41"/>
      <c r="BG286" s="82" t="str">
        <f>IF(Data_LoonkostenVastVrij263="","",Data_LoonkostenVastVrij263)</f>
        <v/>
      </c>
      <c r="BH286" s="41"/>
      <c r="BI286" s="76" t="str">
        <f>IF(Data_PersoonAanUitVastVrij263=-1,"v","")</f>
        <v/>
      </c>
      <c r="BJ286" s="41"/>
      <c r="BK286" s="76" t="s">
        <v>160</v>
      </c>
      <c r="BL286" s="41"/>
      <c r="BM286" s="41"/>
      <c r="BN286" s="41"/>
      <c r="BO286" s="41"/>
      <c r="BP286" s="41">
        <f t="shared" si="35"/>
        <v>0</v>
      </c>
      <c r="BQ286" s="77">
        <f t="shared" si="36"/>
        <v>0</v>
      </c>
      <c r="BS286" s="81" t="str">
        <f>IF(Data_NaamPersoonVastOntslag263="","",Data_NaamPersoonVastOntslag263)</f>
        <v/>
      </c>
      <c r="BV286" s="83" t="str">
        <f>IF(Data_BeeindigingsdatumVastOntslag263="","",Data_BeeindigingsdatumVastOntslag263)</f>
        <v/>
      </c>
      <c r="BY286" s="82" t="str">
        <f>IF(Data_LoonkostenVastOntslag263="","",Data_LoonkostenVastOntslag263)</f>
        <v/>
      </c>
      <c r="CA286" s="76" t="str">
        <f>IF(Data_PersoonAanUitVastOntslag263=-1,"v","")</f>
        <v/>
      </c>
      <c r="CB286" s="41"/>
      <c r="CC286" s="76" t="s">
        <v>160</v>
      </c>
      <c r="CD286" s="41"/>
      <c r="CE286" s="41"/>
      <c r="CF286" s="41"/>
      <c r="CG286" s="41"/>
      <c r="CH286" s="41">
        <f t="shared" si="39"/>
        <v>0</v>
      </c>
      <c r="CI286" s="41">
        <f t="shared" si="37"/>
        <v>0</v>
      </c>
    </row>
    <row r="287" spans="8:87" x14ac:dyDescent="0.25">
      <c r="H287" s="81" t="str">
        <f>IF(Data_NaamPersoonNatVerloop264="","",Data_NaamPersoonNatVerloop264)</f>
        <v/>
      </c>
      <c r="I287" s="41"/>
      <c r="J287" s="41"/>
      <c r="K287" s="83" t="str">
        <f>IF(Data_BeeindigingsdatumNatVerloop264="","",Data_BeeindigingsdatumNatVerloop264)</f>
        <v/>
      </c>
      <c r="L287" s="41"/>
      <c r="M287" s="41"/>
      <c r="N287" s="82" t="str">
        <f>IF(Data_LoonkostenNatVerloop264="","",Data_LoonkostenNatVerloop264)</f>
        <v/>
      </c>
      <c r="O287" s="41"/>
      <c r="P287" s="276" t="s">
        <v>160</v>
      </c>
      <c r="Q287" s="41"/>
      <c r="R287" s="76" t="s">
        <v>160</v>
      </c>
      <c r="S287" s="41"/>
      <c r="T287" s="41"/>
      <c r="U287" s="41"/>
      <c r="V287" s="41"/>
      <c r="W287" s="41">
        <f t="shared" si="32"/>
        <v>0</v>
      </c>
      <c r="X287" s="77" t="str">
        <f t="shared" si="38"/>
        <v/>
      </c>
      <c r="AG287" s="81" t="str">
        <f>IF(Data_NaamPersoonTijd264="","",Data_NaamPersoonTijd264)</f>
        <v/>
      </c>
      <c r="AH287" s="41"/>
      <c r="AI287" s="41"/>
      <c r="AJ287" s="83" t="str">
        <f>IF(Data_BeeindigingsdatumTijd264="","",Data_BeeindigingsdatumTijd264)</f>
        <v/>
      </c>
      <c r="AK287" s="41"/>
      <c r="AL287" s="41"/>
      <c r="AM287" s="82" t="str">
        <f>IF(Data_LoonkostenTijd264="","",Data_LoonkostenTijd264)</f>
        <v/>
      </c>
      <c r="AN287" s="41"/>
      <c r="AO287" s="276" t="str">
        <f>IF(Data_PersoonAanUitTijd264=-1,"v","")</f>
        <v/>
      </c>
      <c r="AP287" s="41"/>
      <c r="AQ287" s="76" t="s">
        <v>160</v>
      </c>
      <c r="AR287" s="41"/>
      <c r="AS287" s="41"/>
      <c r="AT287" s="41"/>
      <c r="AU287" s="41"/>
      <c r="AV287" s="41">
        <f t="shared" si="33"/>
        <v>0</v>
      </c>
      <c r="AW287" s="77">
        <f t="shared" si="34"/>
        <v>0</v>
      </c>
      <c r="AX287" s="41"/>
      <c r="AY287" s="41"/>
      <c r="AZ287" s="41"/>
      <c r="BA287" s="81" t="str">
        <f>IF(Data_NaamPersoonVastVrij264="","",Data_NaamPersoonVastVrij264)</f>
        <v/>
      </c>
      <c r="BB287" s="41"/>
      <c r="BC287" s="41"/>
      <c r="BD287" s="83" t="str">
        <f>IF(Data_BeeindigingsdatumVastVrij264="","",Data_BeeindigingsdatumVastVrij264)</f>
        <v/>
      </c>
      <c r="BE287" s="41"/>
      <c r="BF287" s="41"/>
      <c r="BG287" s="82" t="str">
        <f>IF(Data_LoonkostenVastVrij264="","",Data_LoonkostenVastVrij264)</f>
        <v/>
      </c>
      <c r="BH287" s="41"/>
      <c r="BI287" s="76" t="str">
        <f>IF(Data_PersoonAanUitVastVrij264=-1,"v","")</f>
        <v/>
      </c>
      <c r="BJ287" s="41"/>
      <c r="BK287" s="76" t="s">
        <v>160</v>
      </c>
      <c r="BL287" s="41"/>
      <c r="BM287" s="41"/>
      <c r="BN287" s="41"/>
      <c r="BO287" s="41"/>
      <c r="BP287" s="41">
        <f t="shared" si="35"/>
        <v>0</v>
      </c>
      <c r="BQ287" s="77">
        <f t="shared" si="36"/>
        <v>0</v>
      </c>
      <c r="BS287" s="81" t="str">
        <f>IF(Data_NaamPersoonVastOntslag264="","",Data_NaamPersoonVastOntslag264)</f>
        <v/>
      </c>
      <c r="BV287" s="83" t="str">
        <f>IF(Data_BeeindigingsdatumVastOntslag264="","",Data_BeeindigingsdatumVastOntslag264)</f>
        <v/>
      </c>
      <c r="BY287" s="82" t="str">
        <f>IF(Data_LoonkostenVastOntslag264="","",Data_LoonkostenVastOntslag264)</f>
        <v/>
      </c>
      <c r="CA287" s="76" t="str">
        <f>IF(Data_PersoonAanUitVastOntslag264=-1,"v","")</f>
        <v/>
      </c>
      <c r="CB287" s="41"/>
      <c r="CC287" s="76" t="s">
        <v>160</v>
      </c>
      <c r="CD287" s="41"/>
      <c r="CE287" s="41"/>
      <c r="CF287" s="41"/>
      <c r="CG287" s="41"/>
      <c r="CH287" s="41">
        <f t="shared" si="39"/>
        <v>0</v>
      </c>
      <c r="CI287" s="41">
        <f t="shared" si="37"/>
        <v>0</v>
      </c>
    </row>
    <row r="288" spans="8:87" x14ac:dyDescent="0.25">
      <c r="H288" s="81" t="str">
        <f>IF(Data_NaamPersoonNatVerloop265="","",Data_NaamPersoonNatVerloop265)</f>
        <v/>
      </c>
      <c r="I288" s="41"/>
      <c r="J288" s="41"/>
      <c r="K288" s="83" t="str">
        <f>IF(Data_BeeindigingsdatumNatVerloop265="","",Data_BeeindigingsdatumNatVerloop265)</f>
        <v/>
      </c>
      <c r="L288" s="41"/>
      <c r="M288" s="41"/>
      <c r="N288" s="82" t="str">
        <f>IF(Data_LoonkostenNatVerloop265="","",Data_LoonkostenNatVerloop265)</f>
        <v/>
      </c>
      <c r="O288" s="41"/>
      <c r="P288" s="276" t="s">
        <v>160</v>
      </c>
      <c r="Q288" s="41"/>
      <c r="R288" s="76" t="s">
        <v>160</v>
      </c>
      <c r="S288" s="41"/>
      <c r="T288" s="41"/>
      <c r="U288" s="41"/>
      <c r="V288" s="41"/>
      <c r="W288" s="41">
        <f t="shared" si="32"/>
        <v>0</v>
      </c>
      <c r="X288" s="77" t="str">
        <f t="shared" si="38"/>
        <v/>
      </c>
      <c r="AG288" s="81" t="str">
        <f>IF(Data_NaamPersoonTijd265="","",Data_NaamPersoonTijd265)</f>
        <v/>
      </c>
      <c r="AH288" s="41"/>
      <c r="AI288" s="41"/>
      <c r="AJ288" s="83" t="str">
        <f>IF(Data_BeeindigingsdatumTijd265="","",Data_BeeindigingsdatumTijd265)</f>
        <v/>
      </c>
      <c r="AK288" s="41"/>
      <c r="AL288" s="41"/>
      <c r="AM288" s="82" t="str">
        <f>IF(Data_LoonkostenTijd265="","",Data_LoonkostenTijd265)</f>
        <v/>
      </c>
      <c r="AN288" s="41"/>
      <c r="AO288" s="276" t="str">
        <f>IF(Data_PersoonAanUitTijd265=-1,"v","")</f>
        <v/>
      </c>
      <c r="AP288" s="41"/>
      <c r="AQ288" s="76" t="s">
        <v>160</v>
      </c>
      <c r="AR288" s="41"/>
      <c r="AS288" s="41"/>
      <c r="AT288" s="41"/>
      <c r="AU288" s="41"/>
      <c r="AV288" s="41">
        <f t="shared" si="33"/>
        <v>0</v>
      </c>
      <c r="AW288" s="77">
        <f t="shared" si="34"/>
        <v>0</v>
      </c>
      <c r="AX288" s="41"/>
      <c r="AY288" s="41"/>
      <c r="AZ288" s="41"/>
      <c r="BA288" s="81" t="str">
        <f>IF(Data_NaamPersoonVastVrij265="","",Data_NaamPersoonVastVrij265)</f>
        <v/>
      </c>
      <c r="BB288" s="41"/>
      <c r="BC288" s="41"/>
      <c r="BD288" s="83" t="str">
        <f>IF(Data_BeeindigingsdatumVastVrij265="","",Data_BeeindigingsdatumVastVrij265)</f>
        <v/>
      </c>
      <c r="BE288" s="41"/>
      <c r="BF288" s="41"/>
      <c r="BG288" s="82" t="str">
        <f>IF(Data_LoonkostenVastVrij265="","",Data_LoonkostenVastVrij265)</f>
        <v/>
      </c>
      <c r="BH288" s="41"/>
      <c r="BI288" s="76" t="str">
        <f>IF(Data_PersoonAanUitVastVrij265=-1,"v","")</f>
        <v/>
      </c>
      <c r="BJ288" s="41"/>
      <c r="BK288" s="76" t="s">
        <v>160</v>
      </c>
      <c r="BL288" s="41"/>
      <c r="BM288" s="41"/>
      <c r="BN288" s="41"/>
      <c r="BO288" s="41"/>
      <c r="BP288" s="41">
        <f t="shared" si="35"/>
        <v>0</v>
      </c>
      <c r="BQ288" s="77">
        <f t="shared" si="36"/>
        <v>0</v>
      </c>
      <c r="BS288" s="81" t="str">
        <f>IF(Data_NaamPersoonVastOntslag265="","",Data_NaamPersoonVastOntslag265)</f>
        <v/>
      </c>
      <c r="BV288" s="83" t="str">
        <f>IF(Data_BeeindigingsdatumVastOntslag265="","",Data_BeeindigingsdatumVastOntslag265)</f>
        <v/>
      </c>
      <c r="BY288" s="82" t="str">
        <f>IF(Data_LoonkostenVastOntslag265="","",Data_LoonkostenVastOntslag265)</f>
        <v/>
      </c>
      <c r="CA288" s="76" t="str">
        <f>IF(Data_PersoonAanUitVastOntslag265=-1,"v","")</f>
        <v/>
      </c>
      <c r="CB288" s="41"/>
      <c r="CC288" s="76" t="s">
        <v>160</v>
      </c>
      <c r="CD288" s="41"/>
      <c r="CE288" s="41"/>
      <c r="CF288" s="41"/>
      <c r="CG288" s="41"/>
      <c r="CH288" s="41">
        <f t="shared" si="39"/>
        <v>0</v>
      </c>
      <c r="CI288" s="41">
        <f t="shared" si="37"/>
        <v>0</v>
      </c>
    </row>
    <row r="289" spans="8:87" x14ac:dyDescent="0.25">
      <c r="H289" s="81" t="str">
        <f>IF(Data_NaamPersoonNatVerloop266="","",Data_NaamPersoonNatVerloop266)</f>
        <v/>
      </c>
      <c r="I289" s="41"/>
      <c r="J289" s="41"/>
      <c r="K289" s="83" t="str">
        <f>IF(Data_BeeindigingsdatumNatVerloop266="","",Data_BeeindigingsdatumNatVerloop266)</f>
        <v/>
      </c>
      <c r="L289" s="41"/>
      <c r="M289" s="41"/>
      <c r="N289" s="82" t="str">
        <f>IF(Data_LoonkostenNatVerloop266="","",Data_LoonkostenNatVerloop266)</f>
        <v/>
      </c>
      <c r="O289" s="41"/>
      <c r="P289" s="276" t="s">
        <v>160</v>
      </c>
      <c r="Q289" s="41"/>
      <c r="R289" s="76" t="s">
        <v>160</v>
      </c>
      <c r="S289" s="41"/>
      <c r="T289" s="41"/>
      <c r="U289" s="41"/>
      <c r="V289" s="41"/>
      <c r="W289" s="41">
        <f t="shared" si="32"/>
        <v>0</v>
      </c>
      <c r="X289" s="77" t="str">
        <f t="shared" si="38"/>
        <v/>
      </c>
      <c r="AG289" s="81" t="str">
        <f>IF(Data_NaamPersoonTijd266="","",Data_NaamPersoonTijd266)</f>
        <v/>
      </c>
      <c r="AH289" s="41"/>
      <c r="AI289" s="41"/>
      <c r="AJ289" s="83" t="str">
        <f>IF(Data_BeeindigingsdatumTijd266="","",Data_BeeindigingsdatumTijd266)</f>
        <v/>
      </c>
      <c r="AK289" s="41"/>
      <c r="AL289" s="41"/>
      <c r="AM289" s="82" t="str">
        <f>IF(Data_LoonkostenTijd266="","",Data_LoonkostenTijd266)</f>
        <v/>
      </c>
      <c r="AN289" s="41"/>
      <c r="AO289" s="276" t="str">
        <f>IF(Data_PersoonAanUitTijd266=-1,"v","")</f>
        <v/>
      </c>
      <c r="AP289" s="41"/>
      <c r="AQ289" s="76" t="s">
        <v>160</v>
      </c>
      <c r="AR289" s="41"/>
      <c r="AS289" s="41"/>
      <c r="AT289" s="41"/>
      <c r="AU289" s="41"/>
      <c r="AV289" s="41">
        <f t="shared" si="33"/>
        <v>0</v>
      </c>
      <c r="AW289" s="77">
        <f t="shared" si="34"/>
        <v>0</v>
      </c>
      <c r="AX289" s="41"/>
      <c r="AY289" s="41"/>
      <c r="AZ289" s="41"/>
      <c r="BA289" s="81" t="str">
        <f>IF(Data_NaamPersoonVastVrij266="","",Data_NaamPersoonVastVrij266)</f>
        <v/>
      </c>
      <c r="BB289" s="41"/>
      <c r="BC289" s="41"/>
      <c r="BD289" s="83" t="str">
        <f>IF(Data_BeeindigingsdatumVastVrij266="","",Data_BeeindigingsdatumVastVrij266)</f>
        <v/>
      </c>
      <c r="BE289" s="41"/>
      <c r="BF289" s="41"/>
      <c r="BG289" s="82" t="str">
        <f>IF(Data_LoonkostenVastVrij266="","",Data_LoonkostenVastVrij266)</f>
        <v/>
      </c>
      <c r="BH289" s="41"/>
      <c r="BI289" s="76" t="str">
        <f>IF(Data_PersoonAanUitVastVrij266=-1,"v","")</f>
        <v/>
      </c>
      <c r="BJ289" s="41"/>
      <c r="BK289" s="76" t="s">
        <v>160</v>
      </c>
      <c r="BL289" s="41"/>
      <c r="BM289" s="41"/>
      <c r="BN289" s="41"/>
      <c r="BO289" s="41"/>
      <c r="BP289" s="41">
        <f t="shared" si="35"/>
        <v>0</v>
      </c>
      <c r="BQ289" s="77">
        <f t="shared" si="36"/>
        <v>0</v>
      </c>
      <c r="BS289" s="81" t="str">
        <f>IF(Data_NaamPersoonVastOntslag266="","",Data_NaamPersoonVastOntslag266)</f>
        <v/>
      </c>
      <c r="BV289" s="83" t="str">
        <f>IF(Data_BeeindigingsdatumVastOntslag266="","",Data_BeeindigingsdatumVastOntslag266)</f>
        <v/>
      </c>
      <c r="BY289" s="82" t="str">
        <f>IF(Data_LoonkostenVastOntslag266="","",Data_LoonkostenVastOntslag266)</f>
        <v/>
      </c>
      <c r="CA289" s="76" t="str">
        <f>IF(Data_PersoonAanUitVastOntslag266=-1,"v","")</f>
        <v/>
      </c>
      <c r="CB289" s="41"/>
      <c r="CC289" s="76" t="s">
        <v>160</v>
      </c>
      <c r="CD289" s="41"/>
      <c r="CE289" s="41"/>
      <c r="CF289" s="41"/>
      <c r="CG289" s="41"/>
      <c r="CH289" s="41">
        <f t="shared" si="39"/>
        <v>0</v>
      </c>
      <c r="CI289" s="41">
        <f t="shared" si="37"/>
        <v>0</v>
      </c>
    </row>
    <row r="290" spans="8:87" x14ac:dyDescent="0.25">
      <c r="H290" s="81" t="str">
        <f>IF(Data_NaamPersoonNatVerloop267="","",Data_NaamPersoonNatVerloop267)</f>
        <v/>
      </c>
      <c r="I290" s="41"/>
      <c r="J290" s="41"/>
      <c r="K290" s="83" t="str">
        <f>IF(Data_BeeindigingsdatumNatVerloop267="","",Data_BeeindigingsdatumNatVerloop267)</f>
        <v/>
      </c>
      <c r="L290" s="41"/>
      <c r="M290" s="41"/>
      <c r="N290" s="82" t="str">
        <f>IF(Data_LoonkostenNatVerloop267="","",Data_LoonkostenNatVerloop267)</f>
        <v/>
      </c>
      <c r="O290" s="41"/>
      <c r="P290" s="276" t="s">
        <v>160</v>
      </c>
      <c r="Q290" s="41"/>
      <c r="R290" s="76" t="s">
        <v>160</v>
      </c>
      <c r="S290" s="41"/>
      <c r="T290" s="41"/>
      <c r="U290" s="41"/>
      <c r="V290" s="41"/>
      <c r="W290" s="41">
        <f t="shared" si="32"/>
        <v>0</v>
      </c>
      <c r="X290" s="77" t="str">
        <f t="shared" si="38"/>
        <v/>
      </c>
      <c r="AG290" s="81" t="str">
        <f>IF(Data_NaamPersoonTijd267="","",Data_NaamPersoonTijd267)</f>
        <v/>
      </c>
      <c r="AH290" s="41"/>
      <c r="AI290" s="41"/>
      <c r="AJ290" s="83" t="str">
        <f>IF(Data_BeeindigingsdatumTijd267="","",Data_BeeindigingsdatumTijd267)</f>
        <v/>
      </c>
      <c r="AK290" s="41"/>
      <c r="AL290" s="41"/>
      <c r="AM290" s="82" t="str">
        <f>IF(Data_LoonkostenTijd267="","",Data_LoonkostenTijd267)</f>
        <v/>
      </c>
      <c r="AN290" s="41"/>
      <c r="AO290" s="276" t="str">
        <f>IF(Data_PersoonAanUitTijd267=-1,"v","")</f>
        <v/>
      </c>
      <c r="AP290" s="41"/>
      <c r="AQ290" s="76" t="s">
        <v>160</v>
      </c>
      <c r="AR290" s="41"/>
      <c r="AS290" s="41"/>
      <c r="AT290" s="41"/>
      <c r="AU290" s="41"/>
      <c r="AV290" s="41">
        <f t="shared" si="33"/>
        <v>0</v>
      </c>
      <c r="AW290" s="77">
        <f t="shared" si="34"/>
        <v>0</v>
      </c>
      <c r="AX290" s="41"/>
      <c r="AY290" s="41"/>
      <c r="AZ290" s="41"/>
      <c r="BA290" s="81" t="str">
        <f>IF(Data_NaamPersoonVastVrij267="","",Data_NaamPersoonVastVrij267)</f>
        <v/>
      </c>
      <c r="BB290" s="41"/>
      <c r="BC290" s="41"/>
      <c r="BD290" s="83" t="str">
        <f>IF(Data_BeeindigingsdatumVastVrij267="","",Data_BeeindigingsdatumVastVrij267)</f>
        <v/>
      </c>
      <c r="BE290" s="41"/>
      <c r="BF290" s="41"/>
      <c r="BG290" s="82" t="str">
        <f>IF(Data_LoonkostenVastVrij267="","",Data_LoonkostenVastVrij267)</f>
        <v/>
      </c>
      <c r="BH290" s="41"/>
      <c r="BI290" s="76" t="str">
        <f>IF(Data_PersoonAanUitVastVrij267=-1,"v","")</f>
        <v/>
      </c>
      <c r="BJ290" s="41"/>
      <c r="BK290" s="76" t="s">
        <v>160</v>
      </c>
      <c r="BL290" s="41"/>
      <c r="BM290" s="41"/>
      <c r="BN290" s="41"/>
      <c r="BO290" s="41"/>
      <c r="BP290" s="41">
        <f t="shared" si="35"/>
        <v>0</v>
      </c>
      <c r="BQ290" s="77">
        <f t="shared" si="36"/>
        <v>0</v>
      </c>
      <c r="BS290" s="81" t="str">
        <f>IF(Data_NaamPersoonVastOntslag267="","",Data_NaamPersoonVastOntslag267)</f>
        <v/>
      </c>
      <c r="BV290" s="83" t="str">
        <f>IF(Data_BeeindigingsdatumVastOntslag267="","",Data_BeeindigingsdatumVastOntslag267)</f>
        <v/>
      </c>
      <c r="BY290" s="82" t="str">
        <f>IF(Data_LoonkostenVastOntslag267="","",Data_LoonkostenVastOntslag267)</f>
        <v/>
      </c>
      <c r="CA290" s="76" t="str">
        <f>IF(Data_PersoonAanUitVastOntslag267=-1,"v","")</f>
        <v/>
      </c>
      <c r="CB290" s="41"/>
      <c r="CC290" s="76" t="s">
        <v>160</v>
      </c>
      <c r="CD290" s="41"/>
      <c r="CE290" s="41"/>
      <c r="CF290" s="41"/>
      <c r="CG290" s="41"/>
      <c r="CH290" s="41">
        <f t="shared" si="39"/>
        <v>0</v>
      </c>
      <c r="CI290" s="41">
        <f t="shared" si="37"/>
        <v>0</v>
      </c>
    </row>
    <row r="291" spans="8:87" x14ac:dyDescent="0.25">
      <c r="H291" s="81" t="str">
        <f>IF(Data_NaamPersoonNatVerloop268="","",Data_NaamPersoonNatVerloop268)</f>
        <v/>
      </c>
      <c r="I291" s="41"/>
      <c r="J291" s="41"/>
      <c r="K291" s="83" t="str">
        <f>IF(Data_BeeindigingsdatumNatVerloop268="","",Data_BeeindigingsdatumNatVerloop268)</f>
        <v/>
      </c>
      <c r="L291" s="41"/>
      <c r="M291" s="41"/>
      <c r="N291" s="82" t="str">
        <f>IF(Data_LoonkostenNatVerloop268="","",Data_LoonkostenNatVerloop268)</f>
        <v/>
      </c>
      <c r="O291" s="41"/>
      <c r="P291" s="276" t="s">
        <v>160</v>
      </c>
      <c r="Q291" s="41"/>
      <c r="R291" s="76" t="s">
        <v>160</v>
      </c>
      <c r="S291" s="41"/>
      <c r="T291" s="41"/>
      <c r="U291" s="41"/>
      <c r="V291" s="41"/>
      <c r="W291" s="41">
        <f t="shared" si="32"/>
        <v>0</v>
      </c>
      <c r="X291" s="77" t="str">
        <f t="shared" si="38"/>
        <v/>
      </c>
      <c r="AG291" s="81" t="str">
        <f>IF(Data_NaamPersoonTijd268="","",Data_NaamPersoonTijd268)</f>
        <v/>
      </c>
      <c r="AH291" s="41"/>
      <c r="AI291" s="41"/>
      <c r="AJ291" s="83" t="str">
        <f>IF(Data_BeeindigingsdatumTijd268="","",Data_BeeindigingsdatumTijd268)</f>
        <v/>
      </c>
      <c r="AK291" s="41"/>
      <c r="AL291" s="41"/>
      <c r="AM291" s="82" t="str">
        <f>IF(Data_LoonkostenTijd268="","",Data_LoonkostenTijd268)</f>
        <v/>
      </c>
      <c r="AN291" s="41"/>
      <c r="AO291" s="276" t="str">
        <f>IF(Data_PersoonAanUitTijd268=-1,"v","")</f>
        <v/>
      </c>
      <c r="AP291" s="41"/>
      <c r="AQ291" s="76" t="s">
        <v>160</v>
      </c>
      <c r="AR291" s="41"/>
      <c r="AS291" s="41"/>
      <c r="AT291" s="41"/>
      <c r="AU291" s="41"/>
      <c r="AV291" s="41">
        <f t="shared" si="33"/>
        <v>0</v>
      </c>
      <c r="AW291" s="77">
        <f t="shared" si="34"/>
        <v>0</v>
      </c>
      <c r="AX291" s="41"/>
      <c r="AY291" s="41"/>
      <c r="AZ291" s="41"/>
      <c r="BA291" s="81" t="str">
        <f>IF(Data_NaamPersoonVastVrij268="","",Data_NaamPersoonVastVrij268)</f>
        <v/>
      </c>
      <c r="BB291" s="41"/>
      <c r="BC291" s="41"/>
      <c r="BD291" s="83" t="str">
        <f>IF(Data_BeeindigingsdatumVastVrij268="","",Data_BeeindigingsdatumVastVrij268)</f>
        <v/>
      </c>
      <c r="BE291" s="41"/>
      <c r="BF291" s="41"/>
      <c r="BG291" s="82" t="str">
        <f>IF(Data_LoonkostenVastVrij268="","",Data_LoonkostenVastVrij268)</f>
        <v/>
      </c>
      <c r="BH291" s="41"/>
      <c r="BI291" s="76" t="str">
        <f>IF(Data_PersoonAanUitVastVrij268=-1,"v","")</f>
        <v/>
      </c>
      <c r="BJ291" s="41"/>
      <c r="BK291" s="76" t="s">
        <v>160</v>
      </c>
      <c r="BL291" s="41"/>
      <c r="BM291" s="41"/>
      <c r="BN291" s="41"/>
      <c r="BO291" s="41"/>
      <c r="BP291" s="41">
        <f t="shared" si="35"/>
        <v>0</v>
      </c>
      <c r="BQ291" s="77">
        <f t="shared" si="36"/>
        <v>0</v>
      </c>
      <c r="BS291" s="81" t="str">
        <f>IF(Data_NaamPersoonVastOntslag268="","",Data_NaamPersoonVastOntslag268)</f>
        <v/>
      </c>
      <c r="BV291" s="83" t="str">
        <f>IF(Data_BeeindigingsdatumVastOntslag268="","",Data_BeeindigingsdatumVastOntslag268)</f>
        <v/>
      </c>
      <c r="BY291" s="82" t="str">
        <f>IF(Data_LoonkostenVastOntslag268="","",Data_LoonkostenVastOntslag268)</f>
        <v/>
      </c>
      <c r="CA291" s="76" t="str">
        <f>IF(Data_PersoonAanUitVastOntslag268=-1,"v","")</f>
        <v/>
      </c>
      <c r="CB291" s="41"/>
      <c r="CC291" s="76" t="s">
        <v>160</v>
      </c>
      <c r="CD291" s="41"/>
      <c r="CE291" s="41"/>
      <c r="CF291" s="41"/>
      <c r="CG291" s="41"/>
      <c r="CH291" s="41">
        <f t="shared" si="39"/>
        <v>0</v>
      </c>
      <c r="CI291" s="41">
        <f t="shared" si="37"/>
        <v>0</v>
      </c>
    </row>
    <row r="292" spans="8:87" x14ac:dyDescent="0.25">
      <c r="H292" s="81" t="str">
        <f>IF(Data_NaamPersoonNatVerloop269="","",Data_NaamPersoonNatVerloop269)</f>
        <v/>
      </c>
      <c r="I292" s="41"/>
      <c r="J292" s="41"/>
      <c r="K292" s="83" t="str">
        <f>IF(Data_BeeindigingsdatumNatVerloop269="","",Data_BeeindigingsdatumNatVerloop269)</f>
        <v/>
      </c>
      <c r="L292" s="41"/>
      <c r="M292" s="41"/>
      <c r="N292" s="82" t="str">
        <f>IF(Data_LoonkostenNatVerloop269="","",Data_LoonkostenNatVerloop269)</f>
        <v/>
      </c>
      <c r="O292" s="41"/>
      <c r="P292" s="276" t="s">
        <v>160</v>
      </c>
      <c r="Q292" s="41"/>
      <c r="R292" s="76" t="s">
        <v>160</v>
      </c>
      <c r="S292" s="41"/>
      <c r="T292" s="41"/>
      <c r="U292" s="41"/>
      <c r="V292" s="41"/>
      <c r="W292" s="41">
        <f t="shared" si="32"/>
        <v>0</v>
      </c>
      <c r="X292" s="77" t="str">
        <f t="shared" si="38"/>
        <v/>
      </c>
      <c r="AG292" s="81" t="str">
        <f>IF(Data_NaamPersoonTijd269="","",Data_NaamPersoonTijd269)</f>
        <v/>
      </c>
      <c r="AH292" s="41"/>
      <c r="AI292" s="41"/>
      <c r="AJ292" s="83" t="str">
        <f>IF(Data_BeeindigingsdatumTijd269="","",Data_BeeindigingsdatumTijd269)</f>
        <v/>
      </c>
      <c r="AK292" s="41"/>
      <c r="AL292" s="41"/>
      <c r="AM292" s="82" t="str">
        <f>IF(Data_LoonkostenTijd269="","",Data_LoonkostenTijd269)</f>
        <v/>
      </c>
      <c r="AN292" s="41"/>
      <c r="AO292" s="276" t="str">
        <f>IF(Data_PersoonAanUitTijd269=-1,"v","")</f>
        <v/>
      </c>
      <c r="AP292" s="41"/>
      <c r="AQ292" s="76" t="s">
        <v>160</v>
      </c>
      <c r="AR292" s="41"/>
      <c r="AS292" s="41"/>
      <c r="AT292" s="41"/>
      <c r="AU292" s="41"/>
      <c r="AV292" s="41">
        <f t="shared" si="33"/>
        <v>0</v>
      </c>
      <c r="AW292" s="77">
        <f t="shared" si="34"/>
        <v>0</v>
      </c>
      <c r="AX292" s="41"/>
      <c r="AY292" s="41"/>
      <c r="AZ292" s="41"/>
      <c r="BA292" s="81" t="str">
        <f>IF(Data_NaamPersoonVastVrij269="","",Data_NaamPersoonVastVrij269)</f>
        <v/>
      </c>
      <c r="BB292" s="41"/>
      <c r="BC292" s="41"/>
      <c r="BD292" s="83" t="str">
        <f>IF(Data_BeeindigingsdatumVastVrij269="","",Data_BeeindigingsdatumVastVrij269)</f>
        <v/>
      </c>
      <c r="BE292" s="41"/>
      <c r="BF292" s="41"/>
      <c r="BG292" s="82" t="str">
        <f>IF(Data_LoonkostenVastVrij269="","",Data_LoonkostenVastVrij269)</f>
        <v/>
      </c>
      <c r="BH292" s="41"/>
      <c r="BI292" s="76" t="str">
        <f>IF(Data_PersoonAanUitVastVrij269=-1,"v","")</f>
        <v/>
      </c>
      <c r="BJ292" s="41"/>
      <c r="BK292" s="76" t="s">
        <v>160</v>
      </c>
      <c r="BL292" s="41"/>
      <c r="BM292" s="41"/>
      <c r="BN292" s="41"/>
      <c r="BO292" s="41"/>
      <c r="BP292" s="41">
        <f t="shared" si="35"/>
        <v>0</v>
      </c>
      <c r="BQ292" s="77">
        <f t="shared" si="36"/>
        <v>0</v>
      </c>
      <c r="BS292" s="81" t="str">
        <f>IF(Data_NaamPersoonVastOntslag269="","",Data_NaamPersoonVastOntslag269)</f>
        <v/>
      </c>
      <c r="BV292" s="83" t="str">
        <f>IF(Data_BeeindigingsdatumVastOntslag269="","",Data_BeeindigingsdatumVastOntslag269)</f>
        <v/>
      </c>
      <c r="BY292" s="82" t="str">
        <f>IF(Data_LoonkostenVastOntslag269="","",Data_LoonkostenVastOntslag269)</f>
        <v/>
      </c>
      <c r="CA292" s="76" t="str">
        <f>IF(Data_PersoonAanUitVastOntslag269=-1,"v","")</f>
        <v/>
      </c>
      <c r="CB292" s="41"/>
      <c r="CC292" s="76" t="s">
        <v>160</v>
      </c>
      <c r="CD292" s="41"/>
      <c r="CE292" s="41"/>
      <c r="CF292" s="41"/>
      <c r="CG292" s="41"/>
      <c r="CH292" s="41">
        <f t="shared" si="39"/>
        <v>0</v>
      </c>
      <c r="CI292" s="41">
        <f t="shared" si="37"/>
        <v>0</v>
      </c>
    </row>
    <row r="293" spans="8:87" x14ac:dyDescent="0.25">
      <c r="H293" s="81" t="str">
        <f>IF(Data_NaamPersoonNatVerloop270="","",Data_NaamPersoonNatVerloop270)</f>
        <v/>
      </c>
      <c r="I293" s="41"/>
      <c r="J293" s="41"/>
      <c r="K293" s="83" t="str">
        <f>IF(Data_BeeindigingsdatumNatVerloop270="","",Data_BeeindigingsdatumNatVerloop270)</f>
        <v/>
      </c>
      <c r="L293" s="41"/>
      <c r="M293" s="41"/>
      <c r="N293" s="82" t="str">
        <f>IF(Data_LoonkostenNatVerloop270="","",Data_LoonkostenNatVerloop270)</f>
        <v/>
      </c>
      <c r="O293" s="41"/>
      <c r="P293" s="276" t="s">
        <v>160</v>
      </c>
      <c r="Q293" s="41"/>
      <c r="R293" s="76" t="s">
        <v>160</v>
      </c>
      <c r="S293" s="41"/>
      <c r="T293" s="41"/>
      <c r="U293" s="41"/>
      <c r="V293" s="41"/>
      <c r="W293" s="41">
        <f t="shared" si="32"/>
        <v>0</v>
      </c>
      <c r="X293" s="77" t="str">
        <f t="shared" si="38"/>
        <v/>
      </c>
      <c r="AG293" s="81" t="str">
        <f>IF(Data_NaamPersoonTijd270="","",Data_NaamPersoonTijd270)</f>
        <v/>
      </c>
      <c r="AH293" s="41"/>
      <c r="AI293" s="41"/>
      <c r="AJ293" s="83" t="str">
        <f>IF(Data_BeeindigingsdatumTijd270="","",Data_BeeindigingsdatumTijd270)</f>
        <v/>
      </c>
      <c r="AK293" s="41"/>
      <c r="AL293" s="41"/>
      <c r="AM293" s="82" t="str">
        <f>IF(Data_LoonkostenTijd270="","",Data_LoonkostenTijd270)</f>
        <v/>
      </c>
      <c r="AN293" s="41"/>
      <c r="AO293" s="276" t="str">
        <f>IF(Data_PersoonAanUitTijd270=-1,"v","")</f>
        <v/>
      </c>
      <c r="AP293" s="41"/>
      <c r="AQ293" s="76" t="s">
        <v>160</v>
      </c>
      <c r="AR293" s="41"/>
      <c r="AS293" s="41"/>
      <c r="AT293" s="41"/>
      <c r="AU293" s="41"/>
      <c r="AV293" s="41">
        <f t="shared" si="33"/>
        <v>0</v>
      </c>
      <c r="AW293" s="77">
        <f t="shared" si="34"/>
        <v>0</v>
      </c>
      <c r="AX293" s="41"/>
      <c r="AY293" s="41"/>
      <c r="AZ293" s="41"/>
      <c r="BA293" s="81" t="str">
        <f>IF(Data_NaamPersoonVastVrij270="","",Data_NaamPersoonVastVrij270)</f>
        <v/>
      </c>
      <c r="BB293" s="41"/>
      <c r="BC293" s="41"/>
      <c r="BD293" s="83" t="str">
        <f>IF(Data_BeeindigingsdatumVastVrij270="","",Data_BeeindigingsdatumVastVrij270)</f>
        <v/>
      </c>
      <c r="BE293" s="41"/>
      <c r="BF293" s="41"/>
      <c r="BG293" s="82" t="str">
        <f>IF(Data_LoonkostenVastVrij270="","",Data_LoonkostenVastVrij270)</f>
        <v/>
      </c>
      <c r="BH293" s="41"/>
      <c r="BI293" s="76" t="str">
        <f>IF(Data_PersoonAanUitVastVrij270=-1,"v","")</f>
        <v/>
      </c>
      <c r="BJ293" s="41"/>
      <c r="BK293" s="76" t="s">
        <v>160</v>
      </c>
      <c r="BL293" s="41"/>
      <c r="BM293" s="41"/>
      <c r="BN293" s="41"/>
      <c r="BO293" s="41"/>
      <c r="BP293" s="41">
        <f t="shared" si="35"/>
        <v>0</v>
      </c>
      <c r="BQ293" s="77">
        <f t="shared" si="36"/>
        <v>0</v>
      </c>
      <c r="BS293" s="81" t="str">
        <f>IF(Data_NaamPersoonVastOntslag270="","",Data_NaamPersoonVastOntslag270)</f>
        <v/>
      </c>
      <c r="BV293" s="83" t="str">
        <f>IF(Data_BeeindigingsdatumVastOntslag270="","",Data_BeeindigingsdatumVastOntslag270)</f>
        <v/>
      </c>
      <c r="BY293" s="82" t="str">
        <f>IF(Data_LoonkostenVastOntslag270="","",Data_LoonkostenVastOntslag270)</f>
        <v/>
      </c>
      <c r="CA293" s="76" t="str">
        <f>IF(Data_PersoonAanUitVastOntslag270=-1,"v","")</f>
        <v/>
      </c>
      <c r="CB293" s="41"/>
      <c r="CC293" s="76" t="s">
        <v>160</v>
      </c>
      <c r="CD293" s="41"/>
      <c r="CE293" s="41"/>
      <c r="CF293" s="41"/>
      <c r="CG293" s="41"/>
      <c r="CH293" s="41">
        <f t="shared" si="39"/>
        <v>0</v>
      </c>
      <c r="CI293" s="41">
        <f t="shared" si="37"/>
        <v>0</v>
      </c>
    </row>
    <row r="294" spans="8:87" x14ac:dyDescent="0.25">
      <c r="H294" s="81" t="str">
        <f>IF(Data_NaamPersoonNatVerloop271="","",Data_NaamPersoonNatVerloop271)</f>
        <v/>
      </c>
      <c r="I294" s="41"/>
      <c r="J294" s="41"/>
      <c r="K294" s="83" t="str">
        <f>IF(Data_BeeindigingsdatumNatVerloop271="","",Data_BeeindigingsdatumNatVerloop271)</f>
        <v/>
      </c>
      <c r="L294" s="41"/>
      <c r="M294" s="41"/>
      <c r="N294" s="82" t="str">
        <f>IF(Data_LoonkostenNatVerloop271="","",Data_LoonkostenNatVerloop271)</f>
        <v/>
      </c>
      <c r="O294" s="41"/>
      <c r="P294" s="276" t="s">
        <v>160</v>
      </c>
      <c r="Q294" s="41"/>
      <c r="R294" s="76" t="s">
        <v>160</v>
      </c>
      <c r="S294" s="41"/>
      <c r="T294" s="41"/>
      <c r="U294" s="41"/>
      <c r="V294" s="41"/>
      <c r="W294" s="41">
        <f t="shared" si="32"/>
        <v>0</v>
      </c>
      <c r="X294" s="77" t="str">
        <f t="shared" si="38"/>
        <v/>
      </c>
      <c r="AG294" s="81" t="str">
        <f>IF(Data_NaamPersoonTijd271="","",Data_NaamPersoonTijd271)</f>
        <v/>
      </c>
      <c r="AH294" s="41"/>
      <c r="AI294" s="41"/>
      <c r="AJ294" s="83" t="str">
        <f>IF(Data_BeeindigingsdatumTijd271="","",Data_BeeindigingsdatumTijd271)</f>
        <v/>
      </c>
      <c r="AK294" s="41"/>
      <c r="AL294" s="41"/>
      <c r="AM294" s="82" t="str">
        <f>IF(Data_LoonkostenTijd271="","",Data_LoonkostenTijd271)</f>
        <v/>
      </c>
      <c r="AN294" s="41"/>
      <c r="AO294" s="276" t="str">
        <f>IF(Data_PersoonAanUitTijd271=-1,"v","")</f>
        <v/>
      </c>
      <c r="AP294" s="41"/>
      <c r="AQ294" s="76" t="s">
        <v>160</v>
      </c>
      <c r="AR294" s="41"/>
      <c r="AS294" s="41"/>
      <c r="AT294" s="41"/>
      <c r="AU294" s="41"/>
      <c r="AV294" s="41">
        <f t="shared" si="33"/>
        <v>0</v>
      </c>
      <c r="AW294" s="77">
        <f t="shared" si="34"/>
        <v>0</v>
      </c>
      <c r="AX294" s="41"/>
      <c r="AY294" s="41"/>
      <c r="AZ294" s="41"/>
      <c r="BA294" s="81" t="str">
        <f>IF(Data_NaamPersoonVastVrij271="","",Data_NaamPersoonVastVrij271)</f>
        <v/>
      </c>
      <c r="BB294" s="41"/>
      <c r="BC294" s="41"/>
      <c r="BD294" s="83" t="str">
        <f>IF(Data_BeeindigingsdatumVastVrij271="","",Data_BeeindigingsdatumVastVrij271)</f>
        <v/>
      </c>
      <c r="BE294" s="41"/>
      <c r="BF294" s="41"/>
      <c r="BG294" s="82" t="str">
        <f>IF(Data_LoonkostenVastVrij271="","",Data_LoonkostenVastVrij271)</f>
        <v/>
      </c>
      <c r="BH294" s="41"/>
      <c r="BI294" s="76" t="str">
        <f>IF(Data_PersoonAanUitVastVrij271=-1,"v","")</f>
        <v/>
      </c>
      <c r="BJ294" s="41"/>
      <c r="BK294" s="76" t="s">
        <v>160</v>
      </c>
      <c r="BL294" s="41"/>
      <c r="BM294" s="41"/>
      <c r="BN294" s="41"/>
      <c r="BO294" s="41"/>
      <c r="BP294" s="41">
        <f t="shared" si="35"/>
        <v>0</v>
      </c>
      <c r="BQ294" s="77">
        <f t="shared" si="36"/>
        <v>0</v>
      </c>
      <c r="BS294" s="81" t="str">
        <f>IF(Data_NaamPersoonVastOntslag271="","",Data_NaamPersoonVastOntslag271)</f>
        <v/>
      </c>
      <c r="BV294" s="83" t="str">
        <f>IF(Data_BeeindigingsdatumVastOntslag271="","",Data_BeeindigingsdatumVastOntslag271)</f>
        <v/>
      </c>
      <c r="BY294" s="82" t="str">
        <f>IF(Data_LoonkostenVastOntslag271="","",Data_LoonkostenVastOntslag271)</f>
        <v/>
      </c>
      <c r="CA294" s="76" t="str">
        <f>IF(Data_PersoonAanUitVastOntslag271=-1,"v","")</f>
        <v/>
      </c>
      <c r="CB294" s="41"/>
      <c r="CC294" s="76" t="s">
        <v>160</v>
      </c>
      <c r="CD294" s="41"/>
      <c r="CE294" s="41"/>
      <c r="CF294" s="41"/>
      <c r="CG294" s="41"/>
      <c r="CH294" s="41">
        <f t="shared" si="39"/>
        <v>0</v>
      </c>
      <c r="CI294" s="41">
        <f t="shared" si="37"/>
        <v>0</v>
      </c>
    </row>
    <row r="295" spans="8:87" x14ac:dyDescent="0.25">
      <c r="H295" s="81" t="str">
        <f>IF(Data_NaamPersoonNatVerloop272="","",Data_NaamPersoonNatVerloop272)</f>
        <v/>
      </c>
      <c r="I295" s="41"/>
      <c r="J295" s="41"/>
      <c r="K295" s="83" t="str">
        <f>IF(Data_BeeindigingsdatumNatVerloop272="","",Data_BeeindigingsdatumNatVerloop272)</f>
        <v/>
      </c>
      <c r="L295" s="41"/>
      <c r="M295" s="41"/>
      <c r="N295" s="82" t="str">
        <f>IF(Data_LoonkostenNatVerloop272="","",Data_LoonkostenNatVerloop272)</f>
        <v/>
      </c>
      <c r="O295" s="41"/>
      <c r="P295" s="276" t="s">
        <v>160</v>
      </c>
      <c r="Q295" s="41"/>
      <c r="R295" s="76" t="s">
        <v>160</v>
      </c>
      <c r="S295" s="41"/>
      <c r="T295" s="41"/>
      <c r="U295" s="41"/>
      <c r="V295" s="41"/>
      <c r="W295" s="41">
        <f t="shared" si="32"/>
        <v>0</v>
      </c>
      <c r="X295" s="77" t="str">
        <f t="shared" si="38"/>
        <v/>
      </c>
      <c r="AG295" s="81" t="str">
        <f>IF(Data_NaamPersoonTijd272="","",Data_NaamPersoonTijd272)</f>
        <v/>
      </c>
      <c r="AH295" s="41"/>
      <c r="AI295" s="41"/>
      <c r="AJ295" s="83" t="str">
        <f>IF(Data_BeeindigingsdatumTijd272="","",Data_BeeindigingsdatumTijd272)</f>
        <v/>
      </c>
      <c r="AK295" s="41"/>
      <c r="AL295" s="41"/>
      <c r="AM295" s="82" t="str">
        <f>IF(Data_LoonkostenTijd272="","",Data_LoonkostenTijd272)</f>
        <v/>
      </c>
      <c r="AN295" s="41"/>
      <c r="AO295" s="276" t="str">
        <f>IF(Data_PersoonAanUitTijd272=-1,"v","")</f>
        <v/>
      </c>
      <c r="AP295" s="41"/>
      <c r="AQ295" s="76" t="s">
        <v>160</v>
      </c>
      <c r="AR295" s="41"/>
      <c r="AS295" s="41"/>
      <c r="AT295" s="41"/>
      <c r="AU295" s="41"/>
      <c r="AV295" s="41">
        <f t="shared" si="33"/>
        <v>0</v>
      </c>
      <c r="AW295" s="77">
        <f t="shared" si="34"/>
        <v>0</v>
      </c>
      <c r="AX295" s="41"/>
      <c r="AY295" s="41"/>
      <c r="AZ295" s="41"/>
      <c r="BA295" s="81" t="str">
        <f>IF(Data_NaamPersoonVastVrij272="","",Data_NaamPersoonVastVrij272)</f>
        <v/>
      </c>
      <c r="BB295" s="41"/>
      <c r="BC295" s="41"/>
      <c r="BD295" s="83" t="str">
        <f>IF(Data_BeeindigingsdatumVastVrij272="","",Data_BeeindigingsdatumVastVrij272)</f>
        <v/>
      </c>
      <c r="BE295" s="41"/>
      <c r="BF295" s="41"/>
      <c r="BG295" s="82" t="str">
        <f>IF(Data_LoonkostenVastVrij272="","",Data_LoonkostenVastVrij272)</f>
        <v/>
      </c>
      <c r="BH295" s="41"/>
      <c r="BI295" s="76" t="str">
        <f>IF(Data_PersoonAanUitVastVrij272=-1,"v","")</f>
        <v/>
      </c>
      <c r="BJ295" s="41"/>
      <c r="BK295" s="76" t="s">
        <v>160</v>
      </c>
      <c r="BL295" s="41"/>
      <c r="BM295" s="41"/>
      <c r="BN295" s="41"/>
      <c r="BO295" s="41"/>
      <c r="BP295" s="41">
        <f t="shared" si="35"/>
        <v>0</v>
      </c>
      <c r="BQ295" s="77">
        <f t="shared" si="36"/>
        <v>0</v>
      </c>
      <c r="BS295" s="81" t="str">
        <f>IF(Data_NaamPersoonVastOntslag272="","",Data_NaamPersoonVastOntslag272)</f>
        <v/>
      </c>
      <c r="BV295" s="83" t="str">
        <f>IF(Data_BeeindigingsdatumVastOntslag272="","",Data_BeeindigingsdatumVastOntslag272)</f>
        <v/>
      </c>
      <c r="BY295" s="82" t="str">
        <f>IF(Data_LoonkostenVastOntslag272="","",Data_LoonkostenVastOntslag272)</f>
        <v/>
      </c>
      <c r="CA295" s="76" t="str">
        <f>IF(Data_PersoonAanUitVastOntslag272=-1,"v","")</f>
        <v/>
      </c>
      <c r="CB295" s="41"/>
      <c r="CC295" s="76" t="s">
        <v>160</v>
      </c>
      <c r="CD295" s="41"/>
      <c r="CE295" s="41"/>
      <c r="CF295" s="41"/>
      <c r="CG295" s="41"/>
      <c r="CH295" s="41">
        <f t="shared" si="39"/>
        <v>0</v>
      </c>
      <c r="CI295" s="41">
        <f t="shared" si="37"/>
        <v>0</v>
      </c>
    </row>
    <row r="296" spans="8:87" x14ac:dyDescent="0.25">
      <c r="H296" s="81" t="str">
        <f>IF(Data_NaamPersoonNatVerloop273="","",Data_NaamPersoonNatVerloop273)</f>
        <v/>
      </c>
      <c r="I296" s="41"/>
      <c r="J296" s="41"/>
      <c r="K296" s="83" t="str">
        <f>IF(Data_BeeindigingsdatumNatVerloop273="","",Data_BeeindigingsdatumNatVerloop273)</f>
        <v/>
      </c>
      <c r="L296" s="41"/>
      <c r="M296" s="41"/>
      <c r="N296" s="82" t="str">
        <f>IF(Data_LoonkostenNatVerloop273="","",Data_LoonkostenNatVerloop273)</f>
        <v/>
      </c>
      <c r="O296" s="41"/>
      <c r="P296" s="276" t="s">
        <v>160</v>
      </c>
      <c r="Q296" s="41"/>
      <c r="R296" s="76" t="s">
        <v>160</v>
      </c>
      <c r="S296" s="41"/>
      <c r="T296" s="41"/>
      <c r="U296" s="41"/>
      <c r="V296" s="41"/>
      <c r="W296" s="41">
        <f t="shared" si="32"/>
        <v>0</v>
      </c>
      <c r="X296" s="77" t="str">
        <f t="shared" si="38"/>
        <v/>
      </c>
      <c r="AG296" s="81" t="str">
        <f>IF(Data_NaamPersoonTijd273="","",Data_NaamPersoonTijd273)</f>
        <v/>
      </c>
      <c r="AH296" s="41"/>
      <c r="AI296" s="41"/>
      <c r="AJ296" s="83" t="str">
        <f>IF(Data_BeeindigingsdatumTijd273="","",Data_BeeindigingsdatumTijd273)</f>
        <v/>
      </c>
      <c r="AK296" s="41"/>
      <c r="AL296" s="41"/>
      <c r="AM296" s="82" t="str">
        <f>IF(Data_LoonkostenTijd273="","",Data_LoonkostenTijd273)</f>
        <v/>
      </c>
      <c r="AN296" s="41"/>
      <c r="AO296" s="276" t="str">
        <f>IF(Data_PersoonAanUitTijd273=-1,"v","")</f>
        <v/>
      </c>
      <c r="AP296" s="41"/>
      <c r="AQ296" s="76" t="s">
        <v>160</v>
      </c>
      <c r="AR296" s="41"/>
      <c r="AS296" s="41"/>
      <c r="AT296" s="41"/>
      <c r="AU296" s="41"/>
      <c r="AV296" s="41">
        <f t="shared" si="33"/>
        <v>0</v>
      </c>
      <c r="AW296" s="77">
        <f t="shared" si="34"/>
        <v>0</v>
      </c>
      <c r="AX296" s="41"/>
      <c r="AY296" s="41"/>
      <c r="AZ296" s="41"/>
      <c r="BA296" s="81" t="str">
        <f>IF(Data_NaamPersoonVastVrij273="","",Data_NaamPersoonVastVrij273)</f>
        <v/>
      </c>
      <c r="BB296" s="41"/>
      <c r="BC296" s="41"/>
      <c r="BD296" s="83" t="str">
        <f>IF(Data_BeeindigingsdatumVastVrij273="","",Data_BeeindigingsdatumVastVrij273)</f>
        <v/>
      </c>
      <c r="BE296" s="41"/>
      <c r="BF296" s="41"/>
      <c r="BG296" s="82" t="str">
        <f>IF(Data_LoonkostenVastVrij273="","",Data_LoonkostenVastVrij273)</f>
        <v/>
      </c>
      <c r="BH296" s="41"/>
      <c r="BI296" s="76" t="str">
        <f>IF(Data_PersoonAanUitVastVrij273=-1,"v","")</f>
        <v/>
      </c>
      <c r="BJ296" s="41"/>
      <c r="BK296" s="76" t="s">
        <v>160</v>
      </c>
      <c r="BL296" s="41"/>
      <c r="BM296" s="41"/>
      <c r="BN296" s="41"/>
      <c r="BO296" s="41"/>
      <c r="BP296" s="41">
        <f t="shared" si="35"/>
        <v>0</v>
      </c>
      <c r="BQ296" s="77">
        <f t="shared" si="36"/>
        <v>0</v>
      </c>
      <c r="BS296" s="81" t="str">
        <f>IF(Data_NaamPersoonVastOntslag273="","",Data_NaamPersoonVastOntslag273)</f>
        <v/>
      </c>
      <c r="BV296" s="83" t="str">
        <f>IF(Data_BeeindigingsdatumVastOntslag273="","",Data_BeeindigingsdatumVastOntslag273)</f>
        <v/>
      </c>
      <c r="BY296" s="82" t="str">
        <f>IF(Data_LoonkostenVastOntslag273="","",Data_LoonkostenVastOntslag273)</f>
        <v/>
      </c>
      <c r="CA296" s="76" t="str">
        <f>IF(Data_PersoonAanUitVastOntslag273=-1,"v","")</f>
        <v/>
      </c>
      <c r="CB296" s="41"/>
      <c r="CC296" s="76" t="s">
        <v>160</v>
      </c>
      <c r="CD296" s="41"/>
      <c r="CE296" s="41"/>
      <c r="CF296" s="41"/>
      <c r="CG296" s="41"/>
      <c r="CH296" s="41">
        <f t="shared" si="39"/>
        <v>0</v>
      </c>
      <c r="CI296" s="41">
        <f t="shared" si="37"/>
        <v>0</v>
      </c>
    </row>
    <row r="297" spans="8:87" x14ac:dyDescent="0.25">
      <c r="H297" s="81" t="str">
        <f>IF(Data_NaamPersoonNatVerloop274="","",Data_NaamPersoonNatVerloop274)</f>
        <v/>
      </c>
      <c r="I297" s="41"/>
      <c r="J297" s="41"/>
      <c r="K297" s="83" t="str">
        <f>IF(Data_BeeindigingsdatumNatVerloop274="","",Data_BeeindigingsdatumNatVerloop274)</f>
        <v/>
      </c>
      <c r="L297" s="41"/>
      <c r="M297" s="41"/>
      <c r="N297" s="82" t="str">
        <f>IF(Data_LoonkostenNatVerloop274="","",Data_LoonkostenNatVerloop274)</f>
        <v/>
      </c>
      <c r="O297" s="41"/>
      <c r="P297" s="276" t="s">
        <v>160</v>
      </c>
      <c r="Q297" s="41"/>
      <c r="R297" s="76" t="s">
        <v>160</v>
      </c>
      <c r="S297" s="41"/>
      <c r="T297" s="41"/>
      <c r="U297" s="41"/>
      <c r="V297" s="41"/>
      <c r="W297" s="41">
        <f t="shared" si="32"/>
        <v>0</v>
      </c>
      <c r="X297" s="77" t="str">
        <f t="shared" si="38"/>
        <v/>
      </c>
      <c r="AG297" s="81" t="str">
        <f>IF(Data_NaamPersoonTijd274="","",Data_NaamPersoonTijd274)</f>
        <v/>
      </c>
      <c r="AH297" s="41"/>
      <c r="AI297" s="41"/>
      <c r="AJ297" s="83" t="str">
        <f>IF(Data_BeeindigingsdatumTijd274="","",Data_BeeindigingsdatumTijd274)</f>
        <v/>
      </c>
      <c r="AK297" s="41"/>
      <c r="AL297" s="41"/>
      <c r="AM297" s="82" t="str">
        <f>IF(Data_LoonkostenTijd274="","",Data_LoonkostenTijd274)</f>
        <v/>
      </c>
      <c r="AN297" s="41"/>
      <c r="AO297" s="276" t="str">
        <f>IF(Data_PersoonAanUitTijd274=-1,"v","")</f>
        <v/>
      </c>
      <c r="AP297" s="41"/>
      <c r="AQ297" s="76" t="s">
        <v>160</v>
      </c>
      <c r="AR297" s="41"/>
      <c r="AS297" s="41"/>
      <c r="AT297" s="41"/>
      <c r="AU297" s="41"/>
      <c r="AV297" s="41">
        <f t="shared" si="33"/>
        <v>0</v>
      </c>
      <c r="AW297" s="77">
        <f t="shared" si="34"/>
        <v>0</v>
      </c>
      <c r="AX297" s="41"/>
      <c r="AY297" s="41"/>
      <c r="AZ297" s="41"/>
      <c r="BA297" s="81" t="str">
        <f>IF(Data_NaamPersoonVastVrij274="","",Data_NaamPersoonVastVrij274)</f>
        <v/>
      </c>
      <c r="BB297" s="41"/>
      <c r="BC297" s="41"/>
      <c r="BD297" s="83" t="str">
        <f>IF(Data_BeeindigingsdatumVastVrij274="","",Data_BeeindigingsdatumVastVrij274)</f>
        <v/>
      </c>
      <c r="BE297" s="41"/>
      <c r="BF297" s="41"/>
      <c r="BG297" s="82" t="str">
        <f>IF(Data_LoonkostenVastVrij274="","",Data_LoonkostenVastVrij274)</f>
        <v/>
      </c>
      <c r="BH297" s="41"/>
      <c r="BI297" s="76" t="str">
        <f>IF(Data_PersoonAanUitVastVrij274=-1,"v","")</f>
        <v/>
      </c>
      <c r="BJ297" s="41"/>
      <c r="BK297" s="76" t="s">
        <v>160</v>
      </c>
      <c r="BL297" s="41"/>
      <c r="BM297" s="41"/>
      <c r="BN297" s="41"/>
      <c r="BO297" s="41"/>
      <c r="BP297" s="41">
        <f t="shared" si="35"/>
        <v>0</v>
      </c>
      <c r="BQ297" s="77">
        <f t="shared" si="36"/>
        <v>0</v>
      </c>
      <c r="BS297" s="81" t="str">
        <f>IF(Data_NaamPersoonVastOntslag274="","",Data_NaamPersoonVastOntslag274)</f>
        <v/>
      </c>
      <c r="BV297" s="83" t="str">
        <f>IF(Data_BeeindigingsdatumVastOntslag274="","",Data_BeeindigingsdatumVastOntslag274)</f>
        <v/>
      </c>
      <c r="BY297" s="82" t="str">
        <f>IF(Data_LoonkostenVastOntslag274="","",Data_LoonkostenVastOntslag274)</f>
        <v/>
      </c>
      <c r="CA297" s="76" t="str">
        <f>IF(Data_PersoonAanUitVastOntslag274=-1,"v","")</f>
        <v/>
      </c>
      <c r="CB297" s="41"/>
      <c r="CC297" s="76" t="s">
        <v>160</v>
      </c>
      <c r="CD297" s="41"/>
      <c r="CE297" s="41"/>
      <c r="CF297" s="41"/>
      <c r="CG297" s="41"/>
      <c r="CH297" s="41">
        <f t="shared" si="39"/>
        <v>0</v>
      </c>
      <c r="CI297" s="41">
        <f t="shared" si="37"/>
        <v>0</v>
      </c>
    </row>
    <row r="298" spans="8:87" x14ac:dyDescent="0.25">
      <c r="H298" s="81" t="str">
        <f>IF(Data_NaamPersoonNatVerloop275="","",Data_NaamPersoonNatVerloop275)</f>
        <v/>
      </c>
      <c r="I298" s="41"/>
      <c r="J298" s="41"/>
      <c r="K298" s="83" t="str">
        <f>IF(Data_BeeindigingsdatumNatVerloop275="","",Data_BeeindigingsdatumNatVerloop275)</f>
        <v/>
      </c>
      <c r="L298" s="41"/>
      <c r="M298" s="41"/>
      <c r="N298" s="82" t="str">
        <f>IF(Data_LoonkostenNatVerloop275="","",Data_LoonkostenNatVerloop275)</f>
        <v/>
      </c>
      <c r="O298" s="41"/>
      <c r="P298" s="276" t="s">
        <v>160</v>
      </c>
      <c r="Q298" s="41"/>
      <c r="R298" s="76" t="s">
        <v>160</v>
      </c>
      <c r="S298" s="41"/>
      <c r="T298" s="41"/>
      <c r="U298" s="41"/>
      <c r="V298" s="41"/>
      <c r="W298" s="41">
        <f t="shared" si="32"/>
        <v>0</v>
      </c>
      <c r="X298" s="77" t="str">
        <f t="shared" si="38"/>
        <v/>
      </c>
      <c r="AG298" s="81" t="str">
        <f>IF(Data_NaamPersoonTijd275="","",Data_NaamPersoonTijd275)</f>
        <v/>
      </c>
      <c r="AH298" s="41"/>
      <c r="AI298" s="41"/>
      <c r="AJ298" s="83" t="str">
        <f>IF(Data_BeeindigingsdatumTijd275="","",Data_BeeindigingsdatumTijd275)</f>
        <v/>
      </c>
      <c r="AK298" s="41"/>
      <c r="AL298" s="41"/>
      <c r="AM298" s="82" t="str">
        <f>IF(Data_LoonkostenTijd275="","",Data_LoonkostenTijd275)</f>
        <v/>
      </c>
      <c r="AN298" s="41"/>
      <c r="AO298" s="276" t="str">
        <f>IF(Data_PersoonAanUitTijd275=-1,"v","")</f>
        <v/>
      </c>
      <c r="AP298" s="41"/>
      <c r="AQ298" s="76" t="s">
        <v>160</v>
      </c>
      <c r="AR298" s="41"/>
      <c r="AS298" s="41"/>
      <c r="AT298" s="41"/>
      <c r="AU298" s="41"/>
      <c r="AV298" s="41">
        <f t="shared" si="33"/>
        <v>0</v>
      </c>
      <c r="AW298" s="77">
        <f t="shared" si="34"/>
        <v>0</v>
      </c>
      <c r="AX298" s="41"/>
      <c r="AY298" s="41"/>
      <c r="AZ298" s="41"/>
      <c r="BA298" s="81" t="str">
        <f>IF(Data_NaamPersoonVastVrij275="","",Data_NaamPersoonVastVrij275)</f>
        <v/>
      </c>
      <c r="BB298" s="41"/>
      <c r="BC298" s="41"/>
      <c r="BD298" s="83" t="str">
        <f>IF(Data_BeeindigingsdatumVastVrij275="","",Data_BeeindigingsdatumVastVrij275)</f>
        <v/>
      </c>
      <c r="BE298" s="41"/>
      <c r="BF298" s="41"/>
      <c r="BG298" s="82" t="str">
        <f>IF(Data_LoonkostenVastVrij275="","",Data_LoonkostenVastVrij275)</f>
        <v/>
      </c>
      <c r="BH298" s="41"/>
      <c r="BI298" s="76" t="str">
        <f>IF(Data_PersoonAanUitVastVrij275=-1,"v","")</f>
        <v/>
      </c>
      <c r="BJ298" s="41"/>
      <c r="BK298" s="76" t="s">
        <v>160</v>
      </c>
      <c r="BL298" s="41"/>
      <c r="BM298" s="41"/>
      <c r="BN298" s="41"/>
      <c r="BO298" s="41"/>
      <c r="BP298" s="41">
        <f t="shared" si="35"/>
        <v>0</v>
      </c>
      <c r="BQ298" s="77">
        <f t="shared" si="36"/>
        <v>0</v>
      </c>
      <c r="BS298" s="81" t="str">
        <f>IF(Data_NaamPersoonVastOntslag275="","",Data_NaamPersoonVastOntslag275)</f>
        <v/>
      </c>
      <c r="BV298" s="83" t="str">
        <f>IF(Data_BeeindigingsdatumVastOntslag275="","",Data_BeeindigingsdatumVastOntslag275)</f>
        <v/>
      </c>
      <c r="BY298" s="82" t="str">
        <f>IF(Data_LoonkostenVastOntslag275="","",Data_LoonkostenVastOntslag275)</f>
        <v/>
      </c>
      <c r="CA298" s="76" t="str">
        <f>IF(Data_PersoonAanUitVastOntslag275=-1,"v","")</f>
        <v/>
      </c>
      <c r="CB298" s="41"/>
      <c r="CC298" s="76" t="s">
        <v>160</v>
      </c>
      <c r="CD298" s="41"/>
      <c r="CE298" s="41"/>
      <c r="CF298" s="41"/>
      <c r="CG298" s="41"/>
      <c r="CH298" s="41">
        <f t="shared" si="39"/>
        <v>0</v>
      </c>
      <c r="CI298" s="41">
        <f t="shared" si="37"/>
        <v>0</v>
      </c>
    </row>
    <row r="299" spans="8:87" x14ac:dyDescent="0.25">
      <c r="H299" s="81" t="str">
        <f>IF(Data_NaamPersoonNatVerloop276="","",Data_NaamPersoonNatVerloop276)</f>
        <v/>
      </c>
      <c r="I299" s="41"/>
      <c r="J299" s="41"/>
      <c r="K299" s="83" t="str">
        <f>IF(Data_BeeindigingsdatumNatVerloop276="","",Data_BeeindigingsdatumNatVerloop276)</f>
        <v/>
      </c>
      <c r="L299" s="41"/>
      <c r="M299" s="41"/>
      <c r="N299" s="82" t="str">
        <f>IF(Data_LoonkostenNatVerloop276="","",Data_LoonkostenNatVerloop276)</f>
        <v/>
      </c>
      <c r="O299" s="41"/>
      <c r="P299" s="276" t="s">
        <v>160</v>
      </c>
      <c r="Q299" s="41"/>
      <c r="R299" s="76" t="s">
        <v>160</v>
      </c>
      <c r="S299" s="41"/>
      <c r="T299" s="41"/>
      <c r="U299" s="41"/>
      <c r="V299" s="41"/>
      <c r="W299" s="41">
        <f t="shared" si="32"/>
        <v>0</v>
      </c>
      <c r="X299" s="77" t="str">
        <f t="shared" si="38"/>
        <v/>
      </c>
      <c r="AG299" s="81" t="str">
        <f>IF(Data_NaamPersoonTijd276="","",Data_NaamPersoonTijd276)</f>
        <v/>
      </c>
      <c r="AH299" s="41"/>
      <c r="AI299" s="41"/>
      <c r="AJ299" s="83" t="str">
        <f>IF(Data_BeeindigingsdatumTijd276="","",Data_BeeindigingsdatumTijd276)</f>
        <v/>
      </c>
      <c r="AK299" s="41"/>
      <c r="AL299" s="41"/>
      <c r="AM299" s="82" t="str">
        <f>IF(Data_LoonkostenTijd276="","",Data_LoonkostenTijd276)</f>
        <v/>
      </c>
      <c r="AN299" s="41"/>
      <c r="AO299" s="276" t="str">
        <f>IF(Data_PersoonAanUitTijd276=-1,"v","")</f>
        <v/>
      </c>
      <c r="AP299" s="41"/>
      <c r="AQ299" s="76" t="s">
        <v>160</v>
      </c>
      <c r="AR299" s="41"/>
      <c r="AS299" s="41"/>
      <c r="AT299" s="41"/>
      <c r="AU299" s="41"/>
      <c r="AV299" s="41">
        <f t="shared" si="33"/>
        <v>0</v>
      </c>
      <c r="AW299" s="77">
        <f t="shared" si="34"/>
        <v>0</v>
      </c>
      <c r="AX299" s="41"/>
      <c r="AY299" s="41"/>
      <c r="AZ299" s="41"/>
      <c r="BA299" s="81" t="str">
        <f>IF(Data_NaamPersoonVastVrij276="","",Data_NaamPersoonVastVrij276)</f>
        <v/>
      </c>
      <c r="BB299" s="41"/>
      <c r="BC299" s="41"/>
      <c r="BD299" s="83" t="str">
        <f>IF(Data_BeeindigingsdatumVastVrij276="","",Data_BeeindigingsdatumVastVrij276)</f>
        <v/>
      </c>
      <c r="BE299" s="41"/>
      <c r="BF299" s="41"/>
      <c r="BG299" s="82" t="str">
        <f>IF(Data_LoonkostenVastVrij276="","",Data_LoonkostenVastVrij276)</f>
        <v/>
      </c>
      <c r="BH299" s="41"/>
      <c r="BI299" s="76" t="str">
        <f>IF(Data_PersoonAanUitVastVrij276=-1,"v","")</f>
        <v/>
      </c>
      <c r="BJ299" s="41"/>
      <c r="BK299" s="76" t="s">
        <v>160</v>
      </c>
      <c r="BL299" s="41"/>
      <c r="BM299" s="41"/>
      <c r="BN299" s="41"/>
      <c r="BO299" s="41"/>
      <c r="BP299" s="41">
        <f t="shared" si="35"/>
        <v>0</v>
      </c>
      <c r="BQ299" s="77">
        <f t="shared" si="36"/>
        <v>0</v>
      </c>
      <c r="BS299" s="81" t="str">
        <f>IF(Data_NaamPersoonVastOntslag276="","",Data_NaamPersoonVastOntslag276)</f>
        <v/>
      </c>
      <c r="BV299" s="83" t="str">
        <f>IF(Data_BeeindigingsdatumVastOntslag276="","",Data_BeeindigingsdatumVastOntslag276)</f>
        <v/>
      </c>
      <c r="BY299" s="82" t="str">
        <f>IF(Data_LoonkostenVastOntslag276="","",Data_LoonkostenVastOntslag276)</f>
        <v/>
      </c>
      <c r="CA299" s="76" t="str">
        <f>IF(Data_PersoonAanUitVastOntslag276=-1,"v","")</f>
        <v/>
      </c>
      <c r="CB299" s="41"/>
      <c r="CC299" s="76" t="s">
        <v>160</v>
      </c>
      <c r="CD299" s="41"/>
      <c r="CE299" s="41"/>
      <c r="CF299" s="41"/>
      <c r="CG299" s="41"/>
      <c r="CH299" s="41">
        <f t="shared" si="39"/>
        <v>0</v>
      </c>
      <c r="CI299" s="41">
        <f t="shared" si="37"/>
        <v>0</v>
      </c>
    </row>
    <row r="300" spans="8:87" x14ac:dyDescent="0.25">
      <c r="H300" s="81" t="str">
        <f>IF(Data_NaamPersoonNatVerloop277="","",Data_NaamPersoonNatVerloop277)</f>
        <v/>
      </c>
      <c r="I300" s="41"/>
      <c r="J300" s="41"/>
      <c r="K300" s="83" t="str">
        <f>IF(Data_BeeindigingsdatumNatVerloop277="","",Data_BeeindigingsdatumNatVerloop277)</f>
        <v/>
      </c>
      <c r="L300" s="41"/>
      <c r="M300" s="41"/>
      <c r="N300" s="82" t="str">
        <f>IF(Data_LoonkostenNatVerloop277="","",Data_LoonkostenNatVerloop277)</f>
        <v/>
      </c>
      <c r="O300" s="41"/>
      <c r="P300" s="276" t="s">
        <v>160</v>
      </c>
      <c r="Q300" s="41"/>
      <c r="R300" s="76" t="s">
        <v>160</v>
      </c>
      <c r="S300" s="41"/>
      <c r="T300" s="41"/>
      <c r="U300" s="41"/>
      <c r="V300" s="41"/>
      <c r="W300" s="41">
        <f t="shared" si="32"/>
        <v>0</v>
      </c>
      <c r="X300" s="77" t="str">
        <f t="shared" si="38"/>
        <v/>
      </c>
      <c r="AG300" s="81" t="str">
        <f>IF(Data_NaamPersoonTijd277="","",Data_NaamPersoonTijd277)</f>
        <v/>
      </c>
      <c r="AH300" s="41"/>
      <c r="AI300" s="41"/>
      <c r="AJ300" s="83" t="str">
        <f>IF(Data_BeeindigingsdatumTijd277="","",Data_BeeindigingsdatumTijd277)</f>
        <v/>
      </c>
      <c r="AK300" s="41"/>
      <c r="AL300" s="41"/>
      <c r="AM300" s="82" t="str">
        <f>IF(Data_LoonkostenTijd277="","",Data_LoonkostenTijd277)</f>
        <v/>
      </c>
      <c r="AN300" s="41"/>
      <c r="AO300" s="276" t="str">
        <f>IF(Data_PersoonAanUitTijd277=-1,"v","")</f>
        <v/>
      </c>
      <c r="AP300" s="41"/>
      <c r="AQ300" s="76" t="s">
        <v>160</v>
      </c>
      <c r="AR300" s="41"/>
      <c r="AS300" s="41"/>
      <c r="AT300" s="41"/>
      <c r="AU300" s="41"/>
      <c r="AV300" s="41">
        <f t="shared" si="33"/>
        <v>0</v>
      </c>
      <c r="AW300" s="77">
        <f t="shared" si="34"/>
        <v>0</v>
      </c>
      <c r="AX300" s="41"/>
      <c r="AY300" s="41"/>
      <c r="AZ300" s="41"/>
      <c r="BA300" s="81" t="str">
        <f>IF(Data_NaamPersoonVastVrij277="","",Data_NaamPersoonVastVrij277)</f>
        <v/>
      </c>
      <c r="BB300" s="41"/>
      <c r="BC300" s="41"/>
      <c r="BD300" s="83" t="str">
        <f>IF(Data_BeeindigingsdatumVastVrij277="","",Data_BeeindigingsdatumVastVrij277)</f>
        <v/>
      </c>
      <c r="BE300" s="41"/>
      <c r="BF300" s="41"/>
      <c r="BG300" s="82" t="str">
        <f>IF(Data_LoonkostenVastVrij277="","",Data_LoonkostenVastVrij277)</f>
        <v/>
      </c>
      <c r="BH300" s="41"/>
      <c r="BI300" s="76" t="str">
        <f>IF(Data_PersoonAanUitVastVrij277=-1,"v","")</f>
        <v/>
      </c>
      <c r="BJ300" s="41"/>
      <c r="BK300" s="76" t="s">
        <v>160</v>
      </c>
      <c r="BL300" s="41"/>
      <c r="BM300" s="41"/>
      <c r="BN300" s="41"/>
      <c r="BO300" s="41"/>
      <c r="BP300" s="41">
        <f t="shared" si="35"/>
        <v>0</v>
      </c>
      <c r="BQ300" s="77">
        <f t="shared" si="36"/>
        <v>0</v>
      </c>
      <c r="BS300" s="81" t="str">
        <f>IF(Data_NaamPersoonVastOntslag277="","",Data_NaamPersoonVastOntslag277)</f>
        <v/>
      </c>
      <c r="BV300" s="83" t="str">
        <f>IF(Data_BeeindigingsdatumVastOntslag277="","",Data_BeeindigingsdatumVastOntslag277)</f>
        <v/>
      </c>
      <c r="BY300" s="82" t="str">
        <f>IF(Data_LoonkostenVastOntslag277="","",Data_LoonkostenVastOntslag277)</f>
        <v/>
      </c>
      <c r="CA300" s="76" t="str">
        <f>IF(Data_PersoonAanUitVastOntslag277=-1,"v","")</f>
        <v/>
      </c>
      <c r="CB300" s="41"/>
      <c r="CC300" s="76" t="s">
        <v>160</v>
      </c>
      <c r="CD300" s="41"/>
      <c r="CE300" s="41"/>
      <c r="CF300" s="41"/>
      <c r="CG300" s="41"/>
      <c r="CH300" s="41">
        <f t="shared" si="39"/>
        <v>0</v>
      </c>
      <c r="CI300" s="41">
        <f t="shared" si="37"/>
        <v>0</v>
      </c>
    </row>
    <row r="301" spans="8:87" x14ac:dyDescent="0.25">
      <c r="H301" s="81" t="str">
        <f>IF(Data_NaamPersoonNatVerloop278="","",Data_NaamPersoonNatVerloop278)</f>
        <v/>
      </c>
      <c r="I301" s="41"/>
      <c r="J301" s="41"/>
      <c r="K301" s="83" t="str">
        <f>IF(Data_BeeindigingsdatumNatVerloop278="","",Data_BeeindigingsdatumNatVerloop278)</f>
        <v/>
      </c>
      <c r="L301" s="41"/>
      <c r="M301" s="41"/>
      <c r="N301" s="82" t="str">
        <f>IF(Data_LoonkostenNatVerloop278="","",Data_LoonkostenNatVerloop278)</f>
        <v/>
      </c>
      <c r="O301" s="41"/>
      <c r="P301" s="276" t="s">
        <v>160</v>
      </c>
      <c r="Q301" s="41"/>
      <c r="R301" s="76" t="s">
        <v>160</v>
      </c>
      <c r="S301" s="41"/>
      <c r="T301" s="41"/>
      <c r="U301" s="41"/>
      <c r="V301" s="41"/>
      <c r="W301" s="41">
        <f t="shared" si="32"/>
        <v>0</v>
      </c>
      <c r="X301" s="77" t="str">
        <f t="shared" si="38"/>
        <v/>
      </c>
      <c r="AG301" s="81" t="str">
        <f>IF(Data_NaamPersoonTijd278="","",Data_NaamPersoonTijd278)</f>
        <v/>
      </c>
      <c r="AH301" s="41"/>
      <c r="AI301" s="41"/>
      <c r="AJ301" s="83" t="str">
        <f>IF(Data_BeeindigingsdatumTijd278="","",Data_BeeindigingsdatumTijd278)</f>
        <v/>
      </c>
      <c r="AK301" s="41"/>
      <c r="AL301" s="41"/>
      <c r="AM301" s="82" t="str">
        <f>IF(Data_LoonkostenTijd278="","",Data_LoonkostenTijd278)</f>
        <v/>
      </c>
      <c r="AN301" s="41"/>
      <c r="AO301" s="276" t="str">
        <f>IF(Data_PersoonAanUitTijd278=-1,"v","")</f>
        <v/>
      </c>
      <c r="AP301" s="41"/>
      <c r="AQ301" s="76" t="s">
        <v>160</v>
      </c>
      <c r="AR301" s="41"/>
      <c r="AS301" s="41"/>
      <c r="AT301" s="41"/>
      <c r="AU301" s="41"/>
      <c r="AV301" s="41">
        <f t="shared" si="33"/>
        <v>0</v>
      </c>
      <c r="AW301" s="77">
        <f t="shared" si="34"/>
        <v>0</v>
      </c>
      <c r="AX301" s="41"/>
      <c r="AY301" s="41"/>
      <c r="AZ301" s="41"/>
      <c r="BA301" s="81" t="str">
        <f>IF(Data_NaamPersoonVastVrij278="","",Data_NaamPersoonVastVrij278)</f>
        <v/>
      </c>
      <c r="BB301" s="41"/>
      <c r="BC301" s="41"/>
      <c r="BD301" s="83" t="str">
        <f>IF(Data_BeeindigingsdatumVastVrij278="","",Data_BeeindigingsdatumVastVrij278)</f>
        <v/>
      </c>
      <c r="BE301" s="41"/>
      <c r="BF301" s="41"/>
      <c r="BG301" s="82" t="str">
        <f>IF(Data_LoonkostenVastVrij278="","",Data_LoonkostenVastVrij278)</f>
        <v/>
      </c>
      <c r="BH301" s="41"/>
      <c r="BI301" s="76" t="str">
        <f>IF(Data_PersoonAanUitVastVrij278=-1,"v","")</f>
        <v/>
      </c>
      <c r="BJ301" s="41"/>
      <c r="BK301" s="76" t="s">
        <v>160</v>
      </c>
      <c r="BL301" s="41"/>
      <c r="BM301" s="41"/>
      <c r="BN301" s="41"/>
      <c r="BO301" s="41"/>
      <c r="BP301" s="41">
        <f t="shared" si="35"/>
        <v>0</v>
      </c>
      <c r="BQ301" s="77">
        <f t="shared" si="36"/>
        <v>0</v>
      </c>
      <c r="BS301" s="81" t="str">
        <f>IF(Data_NaamPersoonVastOntslag278="","",Data_NaamPersoonVastOntslag278)</f>
        <v/>
      </c>
      <c r="BV301" s="83" t="str">
        <f>IF(Data_BeeindigingsdatumVastOntslag278="","",Data_BeeindigingsdatumVastOntslag278)</f>
        <v/>
      </c>
      <c r="BY301" s="82" t="str">
        <f>IF(Data_LoonkostenVastOntslag278="","",Data_LoonkostenVastOntslag278)</f>
        <v/>
      </c>
      <c r="CA301" s="76" t="str">
        <f>IF(Data_PersoonAanUitVastOntslag278=-1,"v","")</f>
        <v/>
      </c>
      <c r="CB301" s="41"/>
      <c r="CC301" s="76" t="s">
        <v>160</v>
      </c>
      <c r="CD301" s="41"/>
      <c r="CE301" s="41"/>
      <c r="CF301" s="41"/>
      <c r="CG301" s="41"/>
      <c r="CH301" s="41">
        <f t="shared" si="39"/>
        <v>0</v>
      </c>
      <c r="CI301" s="41">
        <f t="shared" si="37"/>
        <v>0</v>
      </c>
    </row>
    <row r="302" spans="8:87" x14ac:dyDescent="0.25">
      <c r="H302" s="81" t="str">
        <f>IF(Data_NaamPersoonNatVerloop279="","",Data_NaamPersoonNatVerloop279)</f>
        <v/>
      </c>
      <c r="I302" s="41"/>
      <c r="J302" s="41"/>
      <c r="K302" s="83" t="str">
        <f>IF(Data_BeeindigingsdatumNatVerloop279="","",Data_BeeindigingsdatumNatVerloop279)</f>
        <v/>
      </c>
      <c r="L302" s="41"/>
      <c r="M302" s="41"/>
      <c r="N302" s="82" t="str">
        <f>IF(Data_LoonkostenNatVerloop279="","",Data_LoonkostenNatVerloop279)</f>
        <v/>
      </c>
      <c r="O302" s="41"/>
      <c r="P302" s="276" t="s">
        <v>160</v>
      </c>
      <c r="Q302" s="41"/>
      <c r="R302" s="76" t="s">
        <v>160</v>
      </c>
      <c r="S302" s="41"/>
      <c r="T302" s="41"/>
      <c r="U302" s="41"/>
      <c r="V302" s="41"/>
      <c r="W302" s="41">
        <f t="shared" si="32"/>
        <v>0</v>
      </c>
      <c r="X302" s="77" t="str">
        <f t="shared" si="38"/>
        <v/>
      </c>
      <c r="AG302" s="81" t="str">
        <f>IF(Data_NaamPersoonTijd279="","",Data_NaamPersoonTijd279)</f>
        <v/>
      </c>
      <c r="AH302" s="41"/>
      <c r="AI302" s="41"/>
      <c r="AJ302" s="83" t="str">
        <f>IF(Data_BeeindigingsdatumTijd279="","",Data_BeeindigingsdatumTijd279)</f>
        <v/>
      </c>
      <c r="AK302" s="41"/>
      <c r="AL302" s="41"/>
      <c r="AM302" s="82" t="str">
        <f>IF(Data_LoonkostenTijd279="","",Data_LoonkostenTijd279)</f>
        <v/>
      </c>
      <c r="AN302" s="41"/>
      <c r="AO302" s="276" t="str">
        <f>IF(Data_PersoonAanUitTijd279=-1,"v","")</f>
        <v/>
      </c>
      <c r="AP302" s="41"/>
      <c r="AQ302" s="76" t="s">
        <v>160</v>
      </c>
      <c r="AR302" s="41"/>
      <c r="AS302" s="41"/>
      <c r="AT302" s="41"/>
      <c r="AU302" s="41"/>
      <c r="AV302" s="41">
        <f t="shared" si="33"/>
        <v>0</v>
      </c>
      <c r="AW302" s="77">
        <f t="shared" si="34"/>
        <v>0</v>
      </c>
      <c r="AX302" s="41"/>
      <c r="AY302" s="41"/>
      <c r="AZ302" s="41"/>
      <c r="BA302" s="81" t="str">
        <f>IF(Data_NaamPersoonVastVrij279="","",Data_NaamPersoonVastVrij279)</f>
        <v/>
      </c>
      <c r="BB302" s="41"/>
      <c r="BC302" s="41"/>
      <c r="BD302" s="83" t="str">
        <f>IF(Data_BeeindigingsdatumVastVrij279="","",Data_BeeindigingsdatumVastVrij279)</f>
        <v/>
      </c>
      <c r="BE302" s="41"/>
      <c r="BF302" s="41"/>
      <c r="BG302" s="82" t="str">
        <f>IF(Data_LoonkostenVastVrij279="","",Data_LoonkostenVastVrij279)</f>
        <v/>
      </c>
      <c r="BH302" s="41"/>
      <c r="BI302" s="76" t="str">
        <f>IF(Data_PersoonAanUitVastVrij279=-1,"v","")</f>
        <v/>
      </c>
      <c r="BJ302" s="41"/>
      <c r="BK302" s="76" t="s">
        <v>160</v>
      </c>
      <c r="BL302" s="41"/>
      <c r="BM302" s="41"/>
      <c r="BN302" s="41"/>
      <c r="BO302" s="41"/>
      <c r="BP302" s="41">
        <f t="shared" si="35"/>
        <v>0</v>
      </c>
      <c r="BQ302" s="77">
        <f t="shared" si="36"/>
        <v>0</v>
      </c>
      <c r="BS302" s="81" t="str">
        <f>IF(Data_NaamPersoonVastOntslag279="","",Data_NaamPersoonVastOntslag279)</f>
        <v/>
      </c>
      <c r="BV302" s="83" t="str">
        <f>IF(Data_BeeindigingsdatumVastOntslag279="","",Data_BeeindigingsdatumVastOntslag279)</f>
        <v/>
      </c>
      <c r="BY302" s="82" t="str">
        <f>IF(Data_LoonkostenVastOntslag279="","",Data_LoonkostenVastOntslag279)</f>
        <v/>
      </c>
      <c r="CA302" s="76" t="str">
        <f>IF(Data_PersoonAanUitVastOntslag279=-1,"v","")</f>
        <v/>
      </c>
      <c r="CB302" s="41"/>
      <c r="CC302" s="76" t="s">
        <v>160</v>
      </c>
      <c r="CD302" s="41"/>
      <c r="CE302" s="41"/>
      <c r="CF302" s="41"/>
      <c r="CG302" s="41"/>
      <c r="CH302" s="41">
        <f t="shared" si="39"/>
        <v>0</v>
      </c>
      <c r="CI302" s="41">
        <f t="shared" si="37"/>
        <v>0</v>
      </c>
    </row>
    <row r="303" spans="8:87" x14ac:dyDescent="0.25">
      <c r="H303" s="81" t="str">
        <f>IF(Data_NaamPersoonNatVerloop280="","",Data_NaamPersoonNatVerloop280)</f>
        <v/>
      </c>
      <c r="I303" s="41"/>
      <c r="J303" s="41"/>
      <c r="K303" s="83" t="str">
        <f>IF(Data_BeeindigingsdatumNatVerloop280="","",Data_BeeindigingsdatumNatVerloop280)</f>
        <v/>
      </c>
      <c r="L303" s="41"/>
      <c r="M303" s="41"/>
      <c r="N303" s="82" t="str">
        <f>IF(Data_LoonkostenNatVerloop280="","",Data_LoonkostenNatVerloop280)</f>
        <v/>
      </c>
      <c r="O303" s="41"/>
      <c r="P303" s="276" t="s">
        <v>160</v>
      </c>
      <c r="Q303" s="41"/>
      <c r="R303" s="76" t="s">
        <v>160</v>
      </c>
      <c r="S303" s="41"/>
      <c r="T303" s="41"/>
      <c r="U303" s="41"/>
      <c r="V303" s="41"/>
      <c r="W303" s="41">
        <f t="shared" si="32"/>
        <v>0</v>
      </c>
      <c r="X303" s="77" t="str">
        <f t="shared" si="38"/>
        <v/>
      </c>
      <c r="AG303" s="81" t="str">
        <f>IF(Data_NaamPersoonTijd280="","",Data_NaamPersoonTijd280)</f>
        <v/>
      </c>
      <c r="AH303" s="41"/>
      <c r="AI303" s="41"/>
      <c r="AJ303" s="83" t="str">
        <f>IF(Data_BeeindigingsdatumTijd280="","",Data_BeeindigingsdatumTijd280)</f>
        <v/>
      </c>
      <c r="AK303" s="41"/>
      <c r="AL303" s="41"/>
      <c r="AM303" s="82" t="str">
        <f>IF(Data_LoonkostenTijd280="","",Data_LoonkostenTijd280)</f>
        <v/>
      </c>
      <c r="AN303" s="41"/>
      <c r="AO303" s="276" t="str">
        <f>IF(Data_PersoonAanUitTijd280=-1,"v","")</f>
        <v/>
      </c>
      <c r="AP303" s="41"/>
      <c r="AQ303" s="76" t="s">
        <v>160</v>
      </c>
      <c r="AR303" s="41"/>
      <c r="AS303" s="41"/>
      <c r="AT303" s="41"/>
      <c r="AU303" s="41"/>
      <c r="AV303" s="41">
        <f t="shared" si="33"/>
        <v>0</v>
      </c>
      <c r="AW303" s="77">
        <f t="shared" si="34"/>
        <v>0</v>
      </c>
      <c r="AX303" s="41"/>
      <c r="AY303" s="41"/>
      <c r="AZ303" s="41"/>
      <c r="BA303" s="81" t="str">
        <f>IF(Data_NaamPersoonVastVrij280="","",Data_NaamPersoonVastVrij280)</f>
        <v/>
      </c>
      <c r="BB303" s="41"/>
      <c r="BC303" s="41"/>
      <c r="BD303" s="83" t="str">
        <f>IF(Data_BeeindigingsdatumVastVrij280="","",Data_BeeindigingsdatumVastVrij280)</f>
        <v/>
      </c>
      <c r="BE303" s="41"/>
      <c r="BF303" s="41"/>
      <c r="BG303" s="82" t="str">
        <f>IF(Data_LoonkostenVastVrij280="","",Data_LoonkostenVastVrij280)</f>
        <v/>
      </c>
      <c r="BH303" s="41"/>
      <c r="BI303" s="76" t="str">
        <f>IF(Data_PersoonAanUitVastVrij280=-1,"v","")</f>
        <v/>
      </c>
      <c r="BJ303" s="41"/>
      <c r="BK303" s="76" t="s">
        <v>160</v>
      </c>
      <c r="BL303" s="41"/>
      <c r="BM303" s="41"/>
      <c r="BN303" s="41"/>
      <c r="BO303" s="41"/>
      <c r="BP303" s="41">
        <f t="shared" si="35"/>
        <v>0</v>
      </c>
      <c r="BQ303" s="77">
        <f t="shared" si="36"/>
        <v>0</v>
      </c>
      <c r="BS303" s="81" t="str">
        <f>IF(Data_NaamPersoonVastOntslag280="","",Data_NaamPersoonVastOntslag280)</f>
        <v/>
      </c>
      <c r="BV303" s="83" t="str">
        <f>IF(Data_BeeindigingsdatumVastOntslag280="","",Data_BeeindigingsdatumVastOntslag280)</f>
        <v/>
      </c>
      <c r="BY303" s="82" t="str">
        <f>IF(Data_LoonkostenVastOntslag280="","",Data_LoonkostenVastOntslag280)</f>
        <v/>
      </c>
      <c r="CA303" s="76" t="str">
        <f>IF(Data_PersoonAanUitVastOntslag280=-1,"v","")</f>
        <v/>
      </c>
      <c r="CB303" s="41"/>
      <c r="CC303" s="76" t="s">
        <v>160</v>
      </c>
      <c r="CD303" s="41"/>
      <c r="CE303" s="41"/>
      <c r="CF303" s="41"/>
      <c r="CG303" s="41"/>
      <c r="CH303" s="41">
        <f t="shared" si="39"/>
        <v>0</v>
      </c>
      <c r="CI303" s="41">
        <f t="shared" si="37"/>
        <v>0</v>
      </c>
    </row>
    <row r="304" spans="8:87" x14ac:dyDescent="0.25">
      <c r="H304" s="81" t="str">
        <f>IF(Data_NaamPersoonNatVerloop281="","",Data_NaamPersoonNatVerloop281)</f>
        <v/>
      </c>
      <c r="I304" s="41"/>
      <c r="J304" s="41"/>
      <c r="K304" s="83" t="str">
        <f>IF(Data_BeeindigingsdatumNatVerloop281="","",Data_BeeindigingsdatumNatVerloop281)</f>
        <v/>
      </c>
      <c r="L304" s="41"/>
      <c r="M304" s="41"/>
      <c r="N304" s="82" t="str">
        <f>IF(Data_LoonkostenNatVerloop281="","",Data_LoonkostenNatVerloop281)</f>
        <v/>
      </c>
      <c r="O304" s="41"/>
      <c r="P304" s="276" t="s">
        <v>160</v>
      </c>
      <c r="Q304" s="41"/>
      <c r="R304" s="76" t="s">
        <v>160</v>
      </c>
      <c r="S304" s="41"/>
      <c r="T304" s="41"/>
      <c r="U304" s="41"/>
      <c r="V304" s="41"/>
      <c r="W304" s="41">
        <f t="shared" si="32"/>
        <v>0</v>
      </c>
      <c r="X304" s="77" t="str">
        <f t="shared" si="38"/>
        <v/>
      </c>
      <c r="AG304" s="81" t="str">
        <f>IF(Data_NaamPersoonTijd281="","",Data_NaamPersoonTijd281)</f>
        <v/>
      </c>
      <c r="AH304" s="41"/>
      <c r="AI304" s="41"/>
      <c r="AJ304" s="83" t="str">
        <f>IF(Data_BeeindigingsdatumTijd281="","",Data_BeeindigingsdatumTijd281)</f>
        <v/>
      </c>
      <c r="AK304" s="41"/>
      <c r="AL304" s="41"/>
      <c r="AM304" s="82" t="str">
        <f>IF(Data_LoonkostenTijd281="","",Data_LoonkostenTijd281)</f>
        <v/>
      </c>
      <c r="AN304" s="41"/>
      <c r="AO304" s="276" t="str">
        <f>IF(Data_PersoonAanUitTijd281=-1,"v","")</f>
        <v/>
      </c>
      <c r="AP304" s="41"/>
      <c r="AQ304" s="76" t="s">
        <v>160</v>
      </c>
      <c r="AR304" s="41"/>
      <c r="AS304" s="41"/>
      <c r="AT304" s="41"/>
      <c r="AU304" s="41"/>
      <c r="AV304" s="41">
        <f t="shared" si="33"/>
        <v>0</v>
      </c>
      <c r="AW304" s="77">
        <f t="shared" si="34"/>
        <v>0</v>
      </c>
      <c r="AX304" s="41"/>
      <c r="AY304" s="41"/>
      <c r="AZ304" s="41"/>
      <c r="BA304" s="81" t="str">
        <f>IF(Data_NaamPersoonVastVrij281="","",Data_NaamPersoonVastVrij281)</f>
        <v/>
      </c>
      <c r="BB304" s="41"/>
      <c r="BC304" s="41"/>
      <c r="BD304" s="83" t="str">
        <f>IF(Data_BeeindigingsdatumVastVrij281="","",Data_BeeindigingsdatumVastVrij281)</f>
        <v/>
      </c>
      <c r="BE304" s="41"/>
      <c r="BF304" s="41"/>
      <c r="BG304" s="82" t="str">
        <f>IF(Data_LoonkostenVastVrij281="","",Data_LoonkostenVastVrij281)</f>
        <v/>
      </c>
      <c r="BH304" s="41"/>
      <c r="BI304" s="76" t="str">
        <f>IF(Data_PersoonAanUitVastVrij281=-1,"v","")</f>
        <v/>
      </c>
      <c r="BJ304" s="41"/>
      <c r="BK304" s="76" t="s">
        <v>160</v>
      </c>
      <c r="BL304" s="41"/>
      <c r="BM304" s="41"/>
      <c r="BN304" s="41"/>
      <c r="BO304" s="41"/>
      <c r="BP304" s="41">
        <f t="shared" si="35"/>
        <v>0</v>
      </c>
      <c r="BQ304" s="77">
        <f t="shared" si="36"/>
        <v>0</v>
      </c>
      <c r="BS304" s="81" t="str">
        <f>IF(Data_NaamPersoonVastOntslag281="","",Data_NaamPersoonVastOntslag281)</f>
        <v/>
      </c>
      <c r="BV304" s="83" t="str">
        <f>IF(Data_BeeindigingsdatumVastOntslag281="","",Data_BeeindigingsdatumVastOntslag281)</f>
        <v/>
      </c>
      <c r="BY304" s="82" t="str">
        <f>IF(Data_LoonkostenVastOntslag281="","",Data_LoonkostenVastOntslag281)</f>
        <v/>
      </c>
      <c r="CA304" s="76" t="str">
        <f>IF(Data_PersoonAanUitVastOntslag281=-1,"v","")</f>
        <v/>
      </c>
      <c r="CB304" s="41"/>
      <c r="CC304" s="76" t="s">
        <v>160</v>
      </c>
      <c r="CD304" s="41"/>
      <c r="CE304" s="41"/>
      <c r="CF304" s="41"/>
      <c r="CG304" s="41"/>
      <c r="CH304" s="41">
        <f t="shared" si="39"/>
        <v>0</v>
      </c>
      <c r="CI304" s="41">
        <f t="shared" si="37"/>
        <v>0</v>
      </c>
    </row>
    <row r="305" spans="8:87" x14ac:dyDescent="0.25">
      <c r="H305" s="81" t="str">
        <f>IF(Data_NaamPersoonNatVerloop282="","",Data_NaamPersoonNatVerloop282)</f>
        <v/>
      </c>
      <c r="I305" s="41"/>
      <c r="J305" s="41"/>
      <c r="K305" s="83" t="str">
        <f>IF(Data_BeeindigingsdatumNatVerloop282="","",Data_BeeindigingsdatumNatVerloop282)</f>
        <v/>
      </c>
      <c r="L305" s="41"/>
      <c r="M305" s="41"/>
      <c r="N305" s="82" t="str">
        <f>IF(Data_LoonkostenNatVerloop282="","",Data_LoonkostenNatVerloop282)</f>
        <v/>
      </c>
      <c r="O305" s="41"/>
      <c r="P305" s="276" t="s">
        <v>160</v>
      </c>
      <c r="Q305" s="41"/>
      <c r="R305" s="76" t="s">
        <v>160</v>
      </c>
      <c r="S305" s="41"/>
      <c r="T305" s="41"/>
      <c r="U305" s="41"/>
      <c r="V305" s="41"/>
      <c r="W305" s="41">
        <f t="shared" si="32"/>
        <v>0</v>
      </c>
      <c r="X305" s="77" t="str">
        <f t="shared" si="38"/>
        <v/>
      </c>
      <c r="AG305" s="81" t="str">
        <f>IF(Data_NaamPersoonTijd282="","",Data_NaamPersoonTijd282)</f>
        <v/>
      </c>
      <c r="AH305" s="41"/>
      <c r="AI305" s="41"/>
      <c r="AJ305" s="83" t="str">
        <f>IF(Data_BeeindigingsdatumTijd282="","",Data_BeeindigingsdatumTijd282)</f>
        <v/>
      </c>
      <c r="AK305" s="41"/>
      <c r="AL305" s="41"/>
      <c r="AM305" s="82" t="str">
        <f>IF(Data_LoonkostenTijd282="","",Data_LoonkostenTijd282)</f>
        <v/>
      </c>
      <c r="AN305" s="41"/>
      <c r="AO305" s="276" t="str">
        <f>IF(Data_PersoonAanUitTijd282=-1,"v","")</f>
        <v/>
      </c>
      <c r="AP305" s="41"/>
      <c r="AQ305" s="76" t="s">
        <v>160</v>
      </c>
      <c r="AR305" s="41"/>
      <c r="AS305" s="41"/>
      <c r="AT305" s="41"/>
      <c r="AU305" s="41"/>
      <c r="AV305" s="41">
        <f t="shared" si="33"/>
        <v>0</v>
      </c>
      <c r="AW305" s="77">
        <f t="shared" si="34"/>
        <v>0</v>
      </c>
      <c r="AX305" s="41"/>
      <c r="AY305" s="41"/>
      <c r="AZ305" s="41"/>
      <c r="BA305" s="81" t="str">
        <f>IF(Data_NaamPersoonVastVrij282="","",Data_NaamPersoonVastVrij282)</f>
        <v/>
      </c>
      <c r="BB305" s="41"/>
      <c r="BC305" s="41"/>
      <c r="BD305" s="83" t="str">
        <f>IF(Data_BeeindigingsdatumVastVrij282="","",Data_BeeindigingsdatumVastVrij282)</f>
        <v/>
      </c>
      <c r="BE305" s="41"/>
      <c r="BF305" s="41"/>
      <c r="BG305" s="82" t="str">
        <f>IF(Data_LoonkostenVastVrij282="","",Data_LoonkostenVastVrij282)</f>
        <v/>
      </c>
      <c r="BH305" s="41"/>
      <c r="BI305" s="76" t="str">
        <f>IF(Data_PersoonAanUitVastVrij282=-1,"v","")</f>
        <v/>
      </c>
      <c r="BJ305" s="41"/>
      <c r="BK305" s="76" t="s">
        <v>160</v>
      </c>
      <c r="BL305" s="41"/>
      <c r="BM305" s="41"/>
      <c r="BN305" s="41"/>
      <c r="BO305" s="41"/>
      <c r="BP305" s="41">
        <f t="shared" si="35"/>
        <v>0</v>
      </c>
      <c r="BQ305" s="77">
        <f t="shared" si="36"/>
        <v>0</v>
      </c>
      <c r="BS305" s="81" t="str">
        <f>IF(Data_NaamPersoonVastOntslag282="","",Data_NaamPersoonVastOntslag282)</f>
        <v/>
      </c>
      <c r="BV305" s="83" t="str">
        <f>IF(Data_BeeindigingsdatumVastOntslag282="","",Data_BeeindigingsdatumVastOntslag282)</f>
        <v/>
      </c>
      <c r="BY305" s="82" t="str">
        <f>IF(Data_LoonkostenVastOntslag282="","",Data_LoonkostenVastOntslag282)</f>
        <v/>
      </c>
      <c r="CA305" s="76" t="str">
        <f>IF(Data_PersoonAanUitVastOntslag282=-1,"v","")</f>
        <v/>
      </c>
      <c r="CB305" s="41"/>
      <c r="CC305" s="76" t="s">
        <v>160</v>
      </c>
      <c r="CD305" s="41"/>
      <c r="CE305" s="41"/>
      <c r="CF305" s="41"/>
      <c r="CG305" s="41"/>
      <c r="CH305" s="41">
        <f t="shared" si="39"/>
        <v>0</v>
      </c>
      <c r="CI305" s="41">
        <f t="shared" si="37"/>
        <v>0</v>
      </c>
    </row>
    <row r="306" spans="8:87" x14ac:dyDescent="0.25">
      <c r="H306" s="81" t="str">
        <f>IF(Data_NaamPersoonNatVerloop283="","",Data_NaamPersoonNatVerloop283)</f>
        <v/>
      </c>
      <c r="I306" s="41"/>
      <c r="J306" s="41"/>
      <c r="K306" s="83" t="str">
        <f>IF(Data_BeeindigingsdatumNatVerloop283="","",Data_BeeindigingsdatumNatVerloop283)</f>
        <v/>
      </c>
      <c r="L306" s="41"/>
      <c r="M306" s="41"/>
      <c r="N306" s="82" t="str">
        <f>IF(Data_LoonkostenNatVerloop283="","",Data_LoonkostenNatVerloop283)</f>
        <v/>
      </c>
      <c r="O306" s="41"/>
      <c r="P306" s="276" t="s">
        <v>160</v>
      </c>
      <c r="Q306" s="41"/>
      <c r="R306" s="76" t="s">
        <v>160</v>
      </c>
      <c r="S306" s="41"/>
      <c r="T306" s="41"/>
      <c r="U306" s="41"/>
      <c r="V306" s="41"/>
      <c r="W306" s="41">
        <f t="shared" si="32"/>
        <v>0</v>
      </c>
      <c r="X306" s="77" t="str">
        <f t="shared" si="38"/>
        <v/>
      </c>
      <c r="AG306" s="81" t="str">
        <f>IF(Data_NaamPersoonTijd283="","",Data_NaamPersoonTijd283)</f>
        <v/>
      </c>
      <c r="AH306" s="41"/>
      <c r="AI306" s="41"/>
      <c r="AJ306" s="83" t="str">
        <f>IF(Data_BeeindigingsdatumTijd283="","",Data_BeeindigingsdatumTijd283)</f>
        <v/>
      </c>
      <c r="AK306" s="41"/>
      <c r="AL306" s="41"/>
      <c r="AM306" s="82" t="str">
        <f>IF(Data_LoonkostenTijd283="","",Data_LoonkostenTijd283)</f>
        <v/>
      </c>
      <c r="AN306" s="41"/>
      <c r="AO306" s="276" t="str">
        <f>IF(Data_PersoonAanUitTijd283=-1,"v","")</f>
        <v/>
      </c>
      <c r="AP306" s="41"/>
      <c r="AQ306" s="76" t="s">
        <v>160</v>
      </c>
      <c r="AR306" s="41"/>
      <c r="AS306" s="41"/>
      <c r="AT306" s="41"/>
      <c r="AU306" s="41"/>
      <c r="AV306" s="41">
        <f t="shared" si="33"/>
        <v>0</v>
      </c>
      <c r="AW306" s="77">
        <f t="shared" si="34"/>
        <v>0</v>
      </c>
      <c r="AX306" s="41"/>
      <c r="AY306" s="41"/>
      <c r="AZ306" s="41"/>
      <c r="BA306" s="81" t="str">
        <f>IF(Data_NaamPersoonVastVrij283="","",Data_NaamPersoonVastVrij283)</f>
        <v/>
      </c>
      <c r="BB306" s="41"/>
      <c r="BC306" s="41"/>
      <c r="BD306" s="83" t="str">
        <f>IF(Data_BeeindigingsdatumVastVrij283="","",Data_BeeindigingsdatumVastVrij283)</f>
        <v/>
      </c>
      <c r="BE306" s="41"/>
      <c r="BF306" s="41"/>
      <c r="BG306" s="82" t="str">
        <f>IF(Data_LoonkostenVastVrij283="","",Data_LoonkostenVastVrij283)</f>
        <v/>
      </c>
      <c r="BH306" s="41"/>
      <c r="BI306" s="76" t="str">
        <f>IF(Data_PersoonAanUitVastVrij283=-1,"v","")</f>
        <v/>
      </c>
      <c r="BJ306" s="41"/>
      <c r="BK306" s="76" t="s">
        <v>160</v>
      </c>
      <c r="BL306" s="41"/>
      <c r="BM306" s="41"/>
      <c r="BN306" s="41"/>
      <c r="BO306" s="41"/>
      <c r="BP306" s="41">
        <f t="shared" si="35"/>
        <v>0</v>
      </c>
      <c r="BQ306" s="77">
        <f t="shared" si="36"/>
        <v>0</v>
      </c>
      <c r="BS306" s="81" t="str">
        <f>IF(Data_NaamPersoonVastOntslag283="","",Data_NaamPersoonVastOntslag283)</f>
        <v/>
      </c>
      <c r="BV306" s="83" t="str">
        <f>IF(Data_BeeindigingsdatumVastOntslag283="","",Data_BeeindigingsdatumVastOntslag283)</f>
        <v/>
      </c>
      <c r="BY306" s="82" t="str">
        <f>IF(Data_LoonkostenVastOntslag283="","",Data_LoonkostenVastOntslag283)</f>
        <v/>
      </c>
      <c r="CA306" s="76" t="str">
        <f>IF(Data_PersoonAanUitVastOntslag283=-1,"v","")</f>
        <v/>
      </c>
      <c r="CB306" s="41"/>
      <c r="CC306" s="76" t="s">
        <v>160</v>
      </c>
      <c r="CD306" s="41"/>
      <c r="CE306" s="41"/>
      <c r="CF306" s="41"/>
      <c r="CG306" s="41"/>
      <c r="CH306" s="41">
        <f t="shared" si="39"/>
        <v>0</v>
      </c>
      <c r="CI306" s="41">
        <f t="shared" si="37"/>
        <v>0</v>
      </c>
    </row>
    <row r="307" spans="8:87" x14ac:dyDescent="0.25">
      <c r="H307" s="81" t="str">
        <f>IF(Data_NaamPersoonNatVerloop284="","",Data_NaamPersoonNatVerloop284)</f>
        <v/>
      </c>
      <c r="I307" s="41"/>
      <c r="J307" s="41"/>
      <c r="K307" s="83" t="str">
        <f>IF(Data_BeeindigingsdatumNatVerloop284="","",Data_BeeindigingsdatumNatVerloop284)</f>
        <v/>
      </c>
      <c r="L307" s="41"/>
      <c r="M307" s="41"/>
      <c r="N307" s="82" t="str">
        <f>IF(Data_LoonkostenNatVerloop284="","",Data_LoonkostenNatVerloop284)</f>
        <v/>
      </c>
      <c r="O307" s="41"/>
      <c r="P307" s="276" t="s">
        <v>160</v>
      </c>
      <c r="Q307" s="41"/>
      <c r="R307" s="76" t="s">
        <v>160</v>
      </c>
      <c r="S307" s="41"/>
      <c r="T307" s="41"/>
      <c r="U307" s="41"/>
      <c r="V307" s="41"/>
      <c r="W307" s="41">
        <f t="shared" si="32"/>
        <v>0</v>
      </c>
      <c r="X307" s="77" t="str">
        <f t="shared" si="38"/>
        <v/>
      </c>
      <c r="AG307" s="81" t="str">
        <f>IF(Data_NaamPersoonTijd284="","",Data_NaamPersoonTijd284)</f>
        <v/>
      </c>
      <c r="AH307" s="41"/>
      <c r="AI307" s="41"/>
      <c r="AJ307" s="83" t="str">
        <f>IF(Data_BeeindigingsdatumTijd284="","",Data_BeeindigingsdatumTijd284)</f>
        <v/>
      </c>
      <c r="AK307" s="41"/>
      <c r="AL307" s="41"/>
      <c r="AM307" s="82" t="str">
        <f>IF(Data_LoonkostenTijd284="","",Data_LoonkostenTijd284)</f>
        <v/>
      </c>
      <c r="AN307" s="41"/>
      <c r="AO307" s="276" t="str">
        <f>IF(Data_PersoonAanUitTijd284=-1,"v","")</f>
        <v/>
      </c>
      <c r="AP307" s="41"/>
      <c r="AQ307" s="76" t="s">
        <v>160</v>
      </c>
      <c r="AR307" s="41"/>
      <c r="AS307" s="41"/>
      <c r="AT307" s="41"/>
      <c r="AU307" s="41"/>
      <c r="AV307" s="41">
        <f t="shared" si="33"/>
        <v>0</v>
      </c>
      <c r="AW307" s="77">
        <f t="shared" si="34"/>
        <v>0</v>
      </c>
      <c r="AX307" s="41"/>
      <c r="AY307" s="41"/>
      <c r="AZ307" s="41"/>
      <c r="BA307" s="81" t="str">
        <f>IF(Data_NaamPersoonVastVrij284="","",Data_NaamPersoonVastVrij284)</f>
        <v/>
      </c>
      <c r="BB307" s="41"/>
      <c r="BC307" s="41"/>
      <c r="BD307" s="83" t="str">
        <f>IF(Data_BeeindigingsdatumVastVrij284="","",Data_BeeindigingsdatumVastVrij284)</f>
        <v/>
      </c>
      <c r="BE307" s="41"/>
      <c r="BF307" s="41"/>
      <c r="BG307" s="82" t="str">
        <f>IF(Data_LoonkostenVastVrij284="","",Data_LoonkostenVastVrij284)</f>
        <v/>
      </c>
      <c r="BH307" s="41"/>
      <c r="BI307" s="76" t="str">
        <f>IF(Data_PersoonAanUitVastVrij284=-1,"v","")</f>
        <v/>
      </c>
      <c r="BJ307" s="41"/>
      <c r="BK307" s="76" t="s">
        <v>160</v>
      </c>
      <c r="BL307" s="41"/>
      <c r="BM307" s="41"/>
      <c r="BN307" s="41"/>
      <c r="BO307" s="41"/>
      <c r="BP307" s="41">
        <f t="shared" si="35"/>
        <v>0</v>
      </c>
      <c r="BQ307" s="77">
        <f t="shared" si="36"/>
        <v>0</v>
      </c>
      <c r="BS307" s="81" t="str">
        <f>IF(Data_NaamPersoonVastOntslag284="","",Data_NaamPersoonVastOntslag284)</f>
        <v/>
      </c>
      <c r="BV307" s="83" t="str">
        <f>IF(Data_BeeindigingsdatumVastOntslag284="","",Data_BeeindigingsdatumVastOntslag284)</f>
        <v/>
      </c>
      <c r="BY307" s="82" t="str">
        <f>IF(Data_LoonkostenVastOntslag284="","",Data_LoonkostenVastOntslag284)</f>
        <v/>
      </c>
      <c r="CA307" s="76" t="str">
        <f>IF(Data_PersoonAanUitVastOntslag284=-1,"v","")</f>
        <v/>
      </c>
      <c r="CB307" s="41"/>
      <c r="CC307" s="76" t="s">
        <v>160</v>
      </c>
      <c r="CD307" s="41"/>
      <c r="CE307" s="41"/>
      <c r="CF307" s="41"/>
      <c r="CG307" s="41"/>
      <c r="CH307" s="41">
        <f t="shared" si="39"/>
        <v>0</v>
      </c>
      <c r="CI307" s="41">
        <f t="shared" si="37"/>
        <v>0</v>
      </c>
    </row>
    <row r="308" spans="8:87" x14ac:dyDescent="0.25">
      <c r="H308" s="81" t="str">
        <f>IF(Data_NaamPersoonNatVerloop285="","",Data_NaamPersoonNatVerloop285)</f>
        <v/>
      </c>
      <c r="I308" s="41"/>
      <c r="J308" s="41"/>
      <c r="K308" s="83" t="str">
        <f>IF(Data_BeeindigingsdatumNatVerloop285="","",Data_BeeindigingsdatumNatVerloop285)</f>
        <v/>
      </c>
      <c r="L308" s="41"/>
      <c r="M308" s="41"/>
      <c r="N308" s="82" t="str">
        <f>IF(Data_LoonkostenNatVerloop285="","",Data_LoonkostenNatVerloop285)</f>
        <v/>
      </c>
      <c r="O308" s="41"/>
      <c r="P308" s="276" t="s">
        <v>160</v>
      </c>
      <c r="Q308" s="41"/>
      <c r="R308" s="76" t="s">
        <v>160</v>
      </c>
      <c r="S308" s="41"/>
      <c r="T308" s="41"/>
      <c r="U308" s="41"/>
      <c r="V308" s="41"/>
      <c r="W308" s="41">
        <f t="shared" si="32"/>
        <v>0</v>
      </c>
      <c r="X308" s="77" t="str">
        <f t="shared" si="38"/>
        <v/>
      </c>
      <c r="AG308" s="81" t="str">
        <f>IF(Data_NaamPersoonTijd285="","",Data_NaamPersoonTijd285)</f>
        <v/>
      </c>
      <c r="AH308" s="41"/>
      <c r="AI308" s="41"/>
      <c r="AJ308" s="83" t="str">
        <f>IF(Data_BeeindigingsdatumTijd285="","",Data_BeeindigingsdatumTijd285)</f>
        <v/>
      </c>
      <c r="AK308" s="41"/>
      <c r="AL308" s="41"/>
      <c r="AM308" s="82" t="str">
        <f>IF(Data_LoonkostenTijd285="","",Data_LoonkostenTijd285)</f>
        <v/>
      </c>
      <c r="AN308" s="41"/>
      <c r="AO308" s="276" t="str">
        <f>IF(Data_PersoonAanUitTijd285=-1,"v","")</f>
        <v/>
      </c>
      <c r="AP308" s="41"/>
      <c r="AQ308" s="76" t="s">
        <v>160</v>
      </c>
      <c r="AR308" s="41"/>
      <c r="AS308" s="41"/>
      <c r="AT308" s="41"/>
      <c r="AU308" s="41"/>
      <c r="AV308" s="41">
        <f t="shared" si="33"/>
        <v>0</v>
      </c>
      <c r="AW308" s="77">
        <f t="shared" si="34"/>
        <v>0</v>
      </c>
      <c r="AX308" s="41"/>
      <c r="AY308" s="41"/>
      <c r="AZ308" s="41"/>
      <c r="BA308" s="81" t="str">
        <f>IF(Data_NaamPersoonVastVrij285="","",Data_NaamPersoonVastVrij285)</f>
        <v/>
      </c>
      <c r="BB308" s="41"/>
      <c r="BC308" s="41"/>
      <c r="BD308" s="83" t="str">
        <f>IF(Data_BeeindigingsdatumVastVrij285="","",Data_BeeindigingsdatumVastVrij285)</f>
        <v/>
      </c>
      <c r="BE308" s="41"/>
      <c r="BF308" s="41"/>
      <c r="BG308" s="82" t="str">
        <f>IF(Data_LoonkostenVastVrij285="","",Data_LoonkostenVastVrij285)</f>
        <v/>
      </c>
      <c r="BH308" s="41"/>
      <c r="BI308" s="76" t="str">
        <f>IF(Data_PersoonAanUitVastVrij285=-1,"v","")</f>
        <v/>
      </c>
      <c r="BJ308" s="41"/>
      <c r="BK308" s="76" t="s">
        <v>160</v>
      </c>
      <c r="BL308" s="41"/>
      <c r="BM308" s="41"/>
      <c r="BN308" s="41"/>
      <c r="BO308" s="41"/>
      <c r="BP308" s="41">
        <f t="shared" si="35"/>
        <v>0</v>
      </c>
      <c r="BQ308" s="77">
        <f t="shared" si="36"/>
        <v>0</v>
      </c>
      <c r="BS308" s="81" t="str">
        <f>IF(Data_NaamPersoonVastOntslag285="","",Data_NaamPersoonVastOntslag285)</f>
        <v/>
      </c>
      <c r="BV308" s="83" t="str">
        <f>IF(Data_BeeindigingsdatumVastOntslag285="","",Data_BeeindigingsdatumVastOntslag285)</f>
        <v/>
      </c>
      <c r="BY308" s="82" t="str">
        <f>IF(Data_LoonkostenVastOntslag285="","",Data_LoonkostenVastOntslag285)</f>
        <v/>
      </c>
      <c r="CA308" s="76" t="str">
        <f>IF(Data_PersoonAanUitVastOntslag285=-1,"v","")</f>
        <v/>
      </c>
      <c r="CB308" s="41"/>
      <c r="CC308" s="76" t="s">
        <v>160</v>
      </c>
      <c r="CD308" s="41"/>
      <c r="CE308" s="41"/>
      <c r="CF308" s="41"/>
      <c r="CG308" s="41"/>
      <c r="CH308" s="41">
        <f t="shared" si="39"/>
        <v>0</v>
      </c>
      <c r="CI308" s="41">
        <f t="shared" si="37"/>
        <v>0</v>
      </c>
    </row>
    <row r="309" spans="8:87" x14ac:dyDescent="0.25">
      <c r="H309" s="81" t="str">
        <f>IF(Data_NaamPersoonNatVerloop286="","",Data_NaamPersoonNatVerloop286)</f>
        <v/>
      </c>
      <c r="I309" s="41"/>
      <c r="J309" s="41"/>
      <c r="K309" s="83" t="str">
        <f>IF(Data_BeeindigingsdatumNatVerloop286="","",Data_BeeindigingsdatumNatVerloop286)</f>
        <v/>
      </c>
      <c r="L309" s="41"/>
      <c r="M309" s="41"/>
      <c r="N309" s="82" t="str">
        <f>IF(Data_LoonkostenNatVerloop286="","",Data_LoonkostenNatVerloop286)</f>
        <v/>
      </c>
      <c r="O309" s="41"/>
      <c r="P309" s="276" t="s">
        <v>160</v>
      </c>
      <c r="Q309" s="41"/>
      <c r="R309" s="76" t="s">
        <v>160</v>
      </c>
      <c r="S309" s="41"/>
      <c r="T309" s="41"/>
      <c r="U309" s="41"/>
      <c r="V309" s="41"/>
      <c r="W309" s="41">
        <f t="shared" si="32"/>
        <v>0</v>
      </c>
      <c r="X309" s="77" t="str">
        <f t="shared" si="38"/>
        <v/>
      </c>
      <c r="AG309" s="81" t="str">
        <f>IF(Data_NaamPersoonTijd286="","",Data_NaamPersoonTijd286)</f>
        <v/>
      </c>
      <c r="AH309" s="41"/>
      <c r="AI309" s="41"/>
      <c r="AJ309" s="83" t="str">
        <f>IF(Data_BeeindigingsdatumTijd286="","",Data_BeeindigingsdatumTijd286)</f>
        <v/>
      </c>
      <c r="AK309" s="41"/>
      <c r="AL309" s="41"/>
      <c r="AM309" s="82" t="str">
        <f>IF(Data_LoonkostenTijd286="","",Data_LoonkostenTijd286)</f>
        <v/>
      </c>
      <c r="AN309" s="41"/>
      <c r="AO309" s="276" t="str">
        <f>IF(Data_PersoonAanUitTijd286=-1,"v","")</f>
        <v/>
      </c>
      <c r="AP309" s="41"/>
      <c r="AQ309" s="76" t="s">
        <v>160</v>
      </c>
      <c r="AR309" s="41"/>
      <c r="AS309" s="41"/>
      <c r="AT309" s="41"/>
      <c r="AU309" s="41"/>
      <c r="AV309" s="41">
        <f t="shared" si="33"/>
        <v>0</v>
      </c>
      <c r="AW309" s="77">
        <f t="shared" si="34"/>
        <v>0</v>
      </c>
      <c r="AX309" s="41"/>
      <c r="AY309" s="41"/>
      <c r="AZ309" s="41"/>
      <c r="BA309" s="81" t="str">
        <f>IF(Data_NaamPersoonVastVrij286="","",Data_NaamPersoonVastVrij286)</f>
        <v/>
      </c>
      <c r="BB309" s="41"/>
      <c r="BC309" s="41"/>
      <c r="BD309" s="83" t="str">
        <f>IF(Data_BeeindigingsdatumVastVrij286="","",Data_BeeindigingsdatumVastVrij286)</f>
        <v/>
      </c>
      <c r="BE309" s="41"/>
      <c r="BF309" s="41"/>
      <c r="BG309" s="82" t="str">
        <f>IF(Data_LoonkostenVastVrij286="","",Data_LoonkostenVastVrij286)</f>
        <v/>
      </c>
      <c r="BH309" s="41"/>
      <c r="BI309" s="76" t="str">
        <f>IF(Data_PersoonAanUitVastVrij286=-1,"v","")</f>
        <v/>
      </c>
      <c r="BJ309" s="41"/>
      <c r="BK309" s="76" t="s">
        <v>160</v>
      </c>
      <c r="BL309" s="41"/>
      <c r="BM309" s="41"/>
      <c r="BN309" s="41"/>
      <c r="BO309" s="41"/>
      <c r="BP309" s="41">
        <f t="shared" si="35"/>
        <v>0</v>
      </c>
      <c r="BQ309" s="77">
        <f t="shared" si="36"/>
        <v>0</v>
      </c>
      <c r="BS309" s="81" t="str">
        <f>IF(Data_NaamPersoonVastOntslag286="","",Data_NaamPersoonVastOntslag286)</f>
        <v/>
      </c>
      <c r="BV309" s="83" t="str">
        <f>IF(Data_BeeindigingsdatumVastOntslag286="","",Data_BeeindigingsdatumVastOntslag286)</f>
        <v/>
      </c>
      <c r="BY309" s="82" t="str">
        <f>IF(Data_LoonkostenVastOntslag286="","",Data_LoonkostenVastOntslag286)</f>
        <v/>
      </c>
      <c r="CA309" s="76" t="str">
        <f>IF(Data_PersoonAanUitVastOntslag286=-1,"v","")</f>
        <v/>
      </c>
      <c r="CB309" s="41"/>
      <c r="CC309" s="76" t="s">
        <v>160</v>
      </c>
      <c r="CD309" s="41"/>
      <c r="CE309" s="41"/>
      <c r="CF309" s="41"/>
      <c r="CG309" s="41"/>
      <c r="CH309" s="41">
        <f t="shared" si="39"/>
        <v>0</v>
      </c>
      <c r="CI309" s="41">
        <f t="shared" si="37"/>
        <v>0</v>
      </c>
    </row>
    <row r="310" spans="8:87" x14ac:dyDescent="0.25">
      <c r="H310" s="81" t="str">
        <f>IF(Data_NaamPersoonNatVerloop287="","",Data_NaamPersoonNatVerloop287)</f>
        <v/>
      </c>
      <c r="I310" s="41"/>
      <c r="J310" s="41"/>
      <c r="K310" s="83" t="str">
        <f>IF(Data_BeeindigingsdatumNatVerloop287="","",Data_BeeindigingsdatumNatVerloop287)</f>
        <v/>
      </c>
      <c r="L310" s="41"/>
      <c r="M310" s="41"/>
      <c r="N310" s="82" t="str">
        <f>IF(Data_LoonkostenNatVerloop287="","",Data_LoonkostenNatVerloop287)</f>
        <v/>
      </c>
      <c r="O310" s="41"/>
      <c r="P310" s="276" t="s">
        <v>160</v>
      </c>
      <c r="Q310" s="41"/>
      <c r="R310" s="76" t="s">
        <v>160</v>
      </c>
      <c r="S310" s="41"/>
      <c r="T310" s="41"/>
      <c r="U310" s="41"/>
      <c r="V310" s="41"/>
      <c r="W310" s="41">
        <f t="shared" si="32"/>
        <v>0</v>
      </c>
      <c r="X310" s="77" t="str">
        <f t="shared" si="38"/>
        <v/>
      </c>
      <c r="AG310" s="81" t="str">
        <f>IF(Data_NaamPersoonTijd287="","",Data_NaamPersoonTijd287)</f>
        <v/>
      </c>
      <c r="AH310" s="41"/>
      <c r="AI310" s="41"/>
      <c r="AJ310" s="83" t="str">
        <f>IF(Data_BeeindigingsdatumTijd287="","",Data_BeeindigingsdatumTijd287)</f>
        <v/>
      </c>
      <c r="AK310" s="41"/>
      <c r="AL310" s="41"/>
      <c r="AM310" s="82" t="str">
        <f>IF(Data_LoonkostenTijd287="","",Data_LoonkostenTijd287)</f>
        <v/>
      </c>
      <c r="AN310" s="41"/>
      <c r="AO310" s="276" t="str">
        <f>IF(Data_PersoonAanUitTijd287=-1,"v","")</f>
        <v/>
      </c>
      <c r="AP310" s="41"/>
      <c r="AQ310" s="76" t="s">
        <v>160</v>
      </c>
      <c r="AR310" s="41"/>
      <c r="AS310" s="41"/>
      <c r="AT310" s="41"/>
      <c r="AU310" s="41"/>
      <c r="AV310" s="41">
        <f t="shared" si="33"/>
        <v>0</v>
      </c>
      <c r="AW310" s="77">
        <f t="shared" si="34"/>
        <v>0</v>
      </c>
      <c r="AX310" s="41"/>
      <c r="AY310" s="41"/>
      <c r="AZ310" s="41"/>
      <c r="BA310" s="81" t="str">
        <f>IF(Data_NaamPersoonVastVrij287="","",Data_NaamPersoonVastVrij287)</f>
        <v/>
      </c>
      <c r="BB310" s="41"/>
      <c r="BC310" s="41"/>
      <c r="BD310" s="83" t="str">
        <f>IF(Data_BeeindigingsdatumVastVrij287="","",Data_BeeindigingsdatumVastVrij287)</f>
        <v/>
      </c>
      <c r="BE310" s="41"/>
      <c r="BF310" s="41"/>
      <c r="BG310" s="82" t="str">
        <f>IF(Data_LoonkostenVastVrij287="","",Data_LoonkostenVastVrij287)</f>
        <v/>
      </c>
      <c r="BH310" s="41"/>
      <c r="BI310" s="76" t="str">
        <f>IF(Data_PersoonAanUitVastVrij287=-1,"v","")</f>
        <v/>
      </c>
      <c r="BJ310" s="41"/>
      <c r="BK310" s="76" t="s">
        <v>160</v>
      </c>
      <c r="BL310" s="41"/>
      <c r="BM310" s="41"/>
      <c r="BN310" s="41"/>
      <c r="BO310" s="41"/>
      <c r="BP310" s="41">
        <f t="shared" si="35"/>
        <v>0</v>
      </c>
      <c r="BQ310" s="77">
        <f t="shared" si="36"/>
        <v>0</v>
      </c>
      <c r="BS310" s="81" t="str">
        <f>IF(Data_NaamPersoonVastOntslag287="","",Data_NaamPersoonVastOntslag287)</f>
        <v/>
      </c>
      <c r="BV310" s="83" t="str">
        <f>IF(Data_BeeindigingsdatumVastOntslag287="","",Data_BeeindigingsdatumVastOntslag287)</f>
        <v/>
      </c>
      <c r="BY310" s="82" t="str">
        <f>IF(Data_LoonkostenVastOntslag287="","",Data_LoonkostenVastOntslag287)</f>
        <v/>
      </c>
      <c r="CA310" s="76" t="str">
        <f>IF(Data_PersoonAanUitVastOntslag287=-1,"v","")</f>
        <v/>
      </c>
      <c r="CB310" s="41"/>
      <c r="CC310" s="76" t="s">
        <v>160</v>
      </c>
      <c r="CD310" s="41"/>
      <c r="CE310" s="41"/>
      <c r="CF310" s="41"/>
      <c r="CG310" s="41"/>
      <c r="CH310" s="41">
        <f t="shared" si="39"/>
        <v>0</v>
      </c>
      <c r="CI310" s="41">
        <f t="shared" si="37"/>
        <v>0</v>
      </c>
    </row>
    <row r="311" spans="8:87" x14ac:dyDescent="0.25">
      <c r="H311" s="81" t="str">
        <f>IF(Data_NaamPersoonNatVerloop288="","",Data_NaamPersoonNatVerloop288)</f>
        <v/>
      </c>
      <c r="I311" s="41"/>
      <c r="J311" s="41"/>
      <c r="K311" s="83" t="str">
        <f>IF(Data_BeeindigingsdatumNatVerloop288="","",Data_BeeindigingsdatumNatVerloop288)</f>
        <v/>
      </c>
      <c r="L311" s="41"/>
      <c r="M311" s="41"/>
      <c r="N311" s="82" t="str">
        <f>IF(Data_LoonkostenNatVerloop288="","",Data_LoonkostenNatVerloop288)</f>
        <v/>
      </c>
      <c r="O311" s="41"/>
      <c r="P311" s="276" t="s">
        <v>160</v>
      </c>
      <c r="Q311" s="41"/>
      <c r="R311" s="76" t="s">
        <v>160</v>
      </c>
      <c r="S311" s="41"/>
      <c r="T311" s="41"/>
      <c r="U311" s="41"/>
      <c r="V311" s="41"/>
      <c r="W311" s="41">
        <f t="shared" si="32"/>
        <v>0</v>
      </c>
      <c r="X311" s="77" t="str">
        <f t="shared" si="38"/>
        <v/>
      </c>
      <c r="AG311" s="81" t="str">
        <f>IF(Data_NaamPersoonTijd288="","",Data_NaamPersoonTijd288)</f>
        <v/>
      </c>
      <c r="AH311" s="41"/>
      <c r="AI311" s="41"/>
      <c r="AJ311" s="83" t="str">
        <f>IF(Data_BeeindigingsdatumTijd288="","",Data_BeeindigingsdatumTijd288)</f>
        <v/>
      </c>
      <c r="AK311" s="41"/>
      <c r="AL311" s="41"/>
      <c r="AM311" s="82" t="str">
        <f>IF(Data_LoonkostenTijd288="","",Data_LoonkostenTijd288)</f>
        <v/>
      </c>
      <c r="AN311" s="41"/>
      <c r="AO311" s="276" t="str">
        <f>IF(Data_PersoonAanUitTijd288=-1,"v","")</f>
        <v/>
      </c>
      <c r="AP311" s="41"/>
      <c r="AQ311" s="76" t="s">
        <v>160</v>
      </c>
      <c r="AR311" s="41"/>
      <c r="AS311" s="41"/>
      <c r="AT311" s="41"/>
      <c r="AU311" s="41"/>
      <c r="AV311" s="41">
        <f t="shared" si="33"/>
        <v>0</v>
      </c>
      <c r="AW311" s="77">
        <f t="shared" si="34"/>
        <v>0</v>
      </c>
      <c r="AX311" s="41"/>
      <c r="AY311" s="41"/>
      <c r="AZ311" s="41"/>
      <c r="BA311" s="81" t="str">
        <f>IF(Data_NaamPersoonVastVrij288="","",Data_NaamPersoonVastVrij288)</f>
        <v/>
      </c>
      <c r="BB311" s="41"/>
      <c r="BC311" s="41"/>
      <c r="BD311" s="83" t="str">
        <f>IF(Data_BeeindigingsdatumVastVrij288="","",Data_BeeindigingsdatumVastVrij288)</f>
        <v/>
      </c>
      <c r="BE311" s="41"/>
      <c r="BF311" s="41"/>
      <c r="BG311" s="82" t="str">
        <f>IF(Data_LoonkostenVastVrij288="","",Data_LoonkostenVastVrij288)</f>
        <v/>
      </c>
      <c r="BH311" s="41"/>
      <c r="BI311" s="76" t="str">
        <f>IF(Data_PersoonAanUitVastVrij288=-1,"v","")</f>
        <v/>
      </c>
      <c r="BJ311" s="41"/>
      <c r="BK311" s="76" t="s">
        <v>160</v>
      </c>
      <c r="BL311" s="41"/>
      <c r="BM311" s="41"/>
      <c r="BN311" s="41"/>
      <c r="BO311" s="41"/>
      <c r="BP311" s="41">
        <f t="shared" si="35"/>
        <v>0</v>
      </c>
      <c r="BQ311" s="77">
        <f t="shared" si="36"/>
        <v>0</v>
      </c>
      <c r="BS311" s="81" t="str">
        <f>IF(Data_NaamPersoonVastOntslag288="","",Data_NaamPersoonVastOntslag288)</f>
        <v/>
      </c>
      <c r="BV311" s="83" t="str">
        <f>IF(Data_BeeindigingsdatumVastOntslag288="","",Data_BeeindigingsdatumVastOntslag288)</f>
        <v/>
      </c>
      <c r="BY311" s="82" t="str">
        <f>IF(Data_LoonkostenVastOntslag288="","",Data_LoonkostenVastOntslag288)</f>
        <v/>
      </c>
      <c r="CA311" s="76" t="str">
        <f>IF(Data_PersoonAanUitVastOntslag288=-1,"v","")</f>
        <v/>
      </c>
      <c r="CB311" s="41"/>
      <c r="CC311" s="76" t="s">
        <v>160</v>
      </c>
      <c r="CD311" s="41"/>
      <c r="CE311" s="41"/>
      <c r="CF311" s="41"/>
      <c r="CG311" s="41"/>
      <c r="CH311" s="41">
        <f t="shared" si="39"/>
        <v>0</v>
      </c>
      <c r="CI311" s="41">
        <f t="shared" si="37"/>
        <v>0</v>
      </c>
    </row>
    <row r="312" spans="8:87" x14ac:dyDescent="0.25">
      <c r="H312" s="81" t="str">
        <f>IF(Data_NaamPersoonNatVerloop289="","",Data_NaamPersoonNatVerloop289)</f>
        <v/>
      </c>
      <c r="I312" s="41"/>
      <c r="J312" s="41"/>
      <c r="K312" s="83" t="str">
        <f>IF(Data_BeeindigingsdatumNatVerloop289="","",Data_BeeindigingsdatumNatVerloop289)</f>
        <v/>
      </c>
      <c r="L312" s="41"/>
      <c r="M312" s="41"/>
      <c r="N312" s="82" t="str">
        <f>IF(Data_LoonkostenNatVerloop289="","",Data_LoonkostenNatVerloop289)</f>
        <v/>
      </c>
      <c r="O312" s="41"/>
      <c r="P312" s="276" t="s">
        <v>160</v>
      </c>
      <c r="Q312" s="41"/>
      <c r="R312" s="76" t="s">
        <v>160</v>
      </c>
      <c r="S312" s="41"/>
      <c r="T312" s="41"/>
      <c r="U312" s="41"/>
      <c r="V312" s="41"/>
      <c r="W312" s="41">
        <f t="shared" si="32"/>
        <v>0</v>
      </c>
      <c r="X312" s="77" t="str">
        <f t="shared" si="38"/>
        <v/>
      </c>
      <c r="AG312" s="81" t="str">
        <f>IF(Data_NaamPersoonTijd289="","",Data_NaamPersoonTijd289)</f>
        <v/>
      </c>
      <c r="AH312" s="41"/>
      <c r="AI312" s="41"/>
      <c r="AJ312" s="83" t="str">
        <f>IF(Data_BeeindigingsdatumTijd289="","",Data_BeeindigingsdatumTijd289)</f>
        <v/>
      </c>
      <c r="AK312" s="41"/>
      <c r="AL312" s="41"/>
      <c r="AM312" s="82" t="str">
        <f>IF(Data_LoonkostenTijd289="","",Data_LoonkostenTijd289)</f>
        <v/>
      </c>
      <c r="AN312" s="41"/>
      <c r="AO312" s="276" t="str">
        <f>IF(Data_PersoonAanUitTijd289=-1,"v","")</f>
        <v/>
      </c>
      <c r="AP312" s="41"/>
      <c r="AQ312" s="76" t="s">
        <v>160</v>
      </c>
      <c r="AR312" s="41"/>
      <c r="AS312" s="41"/>
      <c r="AT312" s="41"/>
      <c r="AU312" s="41"/>
      <c r="AV312" s="41">
        <f t="shared" si="33"/>
        <v>0</v>
      </c>
      <c r="AW312" s="77">
        <f t="shared" si="34"/>
        <v>0</v>
      </c>
      <c r="AX312" s="41"/>
      <c r="AY312" s="41"/>
      <c r="AZ312" s="41"/>
      <c r="BA312" s="81" t="str">
        <f>IF(Data_NaamPersoonVastVrij289="","",Data_NaamPersoonVastVrij289)</f>
        <v/>
      </c>
      <c r="BB312" s="41"/>
      <c r="BC312" s="41"/>
      <c r="BD312" s="83" t="str">
        <f>IF(Data_BeeindigingsdatumVastVrij289="","",Data_BeeindigingsdatumVastVrij289)</f>
        <v/>
      </c>
      <c r="BE312" s="41"/>
      <c r="BF312" s="41"/>
      <c r="BG312" s="82" t="str">
        <f>IF(Data_LoonkostenVastVrij289="","",Data_LoonkostenVastVrij289)</f>
        <v/>
      </c>
      <c r="BH312" s="41"/>
      <c r="BI312" s="76" t="str">
        <f>IF(Data_PersoonAanUitVastVrij289=-1,"v","")</f>
        <v/>
      </c>
      <c r="BJ312" s="41"/>
      <c r="BK312" s="76" t="s">
        <v>160</v>
      </c>
      <c r="BL312" s="41"/>
      <c r="BM312" s="41"/>
      <c r="BN312" s="41"/>
      <c r="BO312" s="41"/>
      <c r="BP312" s="41">
        <f t="shared" si="35"/>
        <v>0</v>
      </c>
      <c r="BQ312" s="77">
        <f t="shared" si="36"/>
        <v>0</v>
      </c>
      <c r="BS312" s="81" t="str">
        <f>IF(Data_NaamPersoonVastOntslag289="","",Data_NaamPersoonVastOntslag289)</f>
        <v/>
      </c>
      <c r="BV312" s="83" t="str">
        <f>IF(Data_BeeindigingsdatumVastOntslag289="","",Data_BeeindigingsdatumVastOntslag289)</f>
        <v/>
      </c>
      <c r="BY312" s="82" t="str">
        <f>IF(Data_LoonkostenVastOntslag289="","",Data_LoonkostenVastOntslag289)</f>
        <v/>
      </c>
      <c r="CA312" s="76" t="str">
        <f>IF(Data_PersoonAanUitVastOntslag289=-1,"v","")</f>
        <v/>
      </c>
      <c r="CB312" s="41"/>
      <c r="CC312" s="76" t="s">
        <v>160</v>
      </c>
      <c r="CD312" s="41"/>
      <c r="CE312" s="41"/>
      <c r="CF312" s="41"/>
      <c r="CG312" s="41"/>
      <c r="CH312" s="41">
        <f t="shared" si="39"/>
        <v>0</v>
      </c>
      <c r="CI312" s="41">
        <f t="shared" si="37"/>
        <v>0</v>
      </c>
    </row>
    <row r="313" spans="8:87" x14ac:dyDescent="0.25">
      <c r="H313" s="81" t="str">
        <f>IF(Data_NaamPersoonNatVerloop290="","",Data_NaamPersoonNatVerloop290)</f>
        <v/>
      </c>
      <c r="I313" s="41"/>
      <c r="J313" s="41"/>
      <c r="K313" s="83" t="str">
        <f>IF(Data_BeeindigingsdatumNatVerloop290="","",Data_BeeindigingsdatumNatVerloop290)</f>
        <v/>
      </c>
      <c r="L313" s="41"/>
      <c r="M313" s="41"/>
      <c r="N313" s="82" t="str">
        <f>IF(Data_LoonkostenNatVerloop290="","",Data_LoonkostenNatVerloop290)</f>
        <v/>
      </c>
      <c r="O313" s="41"/>
      <c r="P313" s="276" t="s">
        <v>160</v>
      </c>
      <c r="Q313" s="41"/>
      <c r="R313" s="76" t="s">
        <v>160</v>
      </c>
      <c r="S313" s="41"/>
      <c r="T313" s="41"/>
      <c r="U313" s="41"/>
      <c r="V313" s="41"/>
      <c r="W313" s="41">
        <f t="shared" si="32"/>
        <v>0</v>
      </c>
      <c r="X313" s="77" t="str">
        <f t="shared" si="38"/>
        <v/>
      </c>
      <c r="AG313" s="81" t="str">
        <f>IF(Data_NaamPersoonTijd290="","",Data_NaamPersoonTijd290)</f>
        <v/>
      </c>
      <c r="AH313" s="41"/>
      <c r="AI313" s="41"/>
      <c r="AJ313" s="83" t="str">
        <f>IF(Data_BeeindigingsdatumTijd290="","",Data_BeeindigingsdatumTijd290)</f>
        <v/>
      </c>
      <c r="AK313" s="41"/>
      <c r="AL313" s="41"/>
      <c r="AM313" s="82" t="str">
        <f>IF(Data_LoonkostenTijd290="","",Data_LoonkostenTijd290)</f>
        <v/>
      </c>
      <c r="AN313" s="41"/>
      <c r="AO313" s="276" t="str">
        <f>IF(Data_PersoonAanUitTijd290=-1,"v","")</f>
        <v/>
      </c>
      <c r="AP313" s="41"/>
      <c r="AQ313" s="76" t="s">
        <v>160</v>
      </c>
      <c r="AR313" s="41"/>
      <c r="AS313" s="41"/>
      <c r="AT313" s="41"/>
      <c r="AU313" s="41"/>
      <c r="AV313" s="41">
        <f t="shared" si="33"/>
        <v>0</v>
      </c>
      <c r="AW313" s="77">
        <f t="shared" si="34"/>
        <v>0</v>
      </c>
      <c r="AX313" s="41"/>
      <c r="AY313" s="41"/>
      <c r="AZ313" s="41"/>
      <c r="BA313" s="81" t="str">
        <f>IF(Data_NaamPersoonVastVrij290="","",Data_NaamPersoonVastVrij290)</f>
        <v/>
      </c>
      <c r="BB313" s="41"/>
      <c r="BC313" s="41"/>
      <c r="BD313" s="83" t="str">
        <f>IF(Data_BeeindigingsdatumVastVrij290="","",Data_BeeindigingsdatumVastVrij290)</f>
        <v/>
      </c>
      <c r="BE313" s="41"/>
      <c r="BF313" s="41"/>
      <c r="BG313" s="82" t="str">
        <f>IF(Data_LoonkostenVastVrij290="","",Data_LoonkostenVastVrij290)</f>
        <v/>
      </c>
      <c r="BH313" s="41"/>
      <c r="BI313" s="76" t="str">
        <f>IF(Data_PersoonAanUitVastVrij290=-1,"v","")</f>
        <v/>
      </c>
      <c r="BJ313" s="41"/>
      <c r="BK313" s="76" t="s">
        <v>160</v>
      </c>
      <c r="BL313" s="41"/>
      <c r="BM313" s="41"/>
      <c r="BN313" s="41"/>
      <c r="BO313" s="41"/>
      <c r="BP313" s="41">
        <f t="shared" si="35"/>
        <v>0</v>
      </c>
      <c r="BQ313" s="77">
        <f t="shared" si="36"/>
        <v>0</v>
      </c>
      <c r="BS313" s="81" t="str">
        <f>IF(Data_NaamPersoonVastOntslag290="","",Data_NaamPersoonVastOntslag290)</f>
        <v/>
      </c>
      <c r="BV313" s="83" t="str">
        <f>IF(Data_BeeindigingsdatumVastOntslag290="","",Data_BeeindigingsdatumVastOntslag290)</f>
        <v/>
      </c>
      <c r="BY313" s="82" t="str">
        <f>IF(Data_LoonkostenVastOntslag290="","",Data_LoonkostenVastOntslag290)</f>
        <v/>
      </c>
      <c r="CA313" s="76" t="str">
        <f>IF(Data_PersoonAanUitVastOntslag290=-1,"v","")</f>
        <v/>
      </c>
      <c r="CB313" s="41"/>
      <c r="CC313" s="76" t="s">
        <v>160</v>
      </c>
      <c r="CD313" s="41"/>
      <c r="CE313" s="41"/>
      <c r="CF313" s="41"/>
      <c r="CG313" s="41"/>
      <c r="CH313" s="41">
        <f t="shared" si="39"/>
        <v>0</v>
      </c>
      <c r="CI313" s="41">
        <f t="shared" si="37"/>
        <v>0</v>
      </c>
    </row>
    <row r="314" spans="8:87" x14ac:dyDescent="0.25">
      <c r="H314" s="81" t="str">
        <f>IF(Data_NaamPersoonNatVerloop291="","",Data_NaamPersoonNatVerloop291)</f>
        <v/>
      </c>
      <c r="I314" s="41"/>
      <c r="J314" s="41"/>
      <c r="K314" s="83" t="str">
        <f>IF(Data_BeeindigingsdatumNatVerloop291="","",Data_BeeindigingsdatumNatVerloop291)</f>
        <v/>
      </c>
      <c r="L314" s="41"/>
      <c r="M314" s="41"/>
      <c r="N314" s="82" t="str">
        <f>IF(Data_LoonkostenNatVerloop291="","",Data_LoonkostenNatVerloop291)</f>
        <v/>
      </c>
      <c r="O314" s="41"/>
      <c r="P314" s="276" t="s">
        <v>160</v>
      </c>
      <c r="Q314" s="41"/>
      <c r="R314" s="76" t="s">
        <v>160</v>
      </c>
      <c r="S314" s="41"/>
      <c r="T314" s="41"/>
      <c r="U314" s="41"/>
      <c r="V314" s="41"/>
      <c r="W314" s="41">
        <f t="shared" si="32"/>
        <v>0</v>
      </c>
      <c r="X314" s="77" t="str">
        <f t="shared" si="38"/>
        <v/>
      </c>
      <c r="AG314" s="81" t="str">
        <f>IF(Data_NaamPersoonTijd291="","",Data_NaamPersoonTijd291)</f>
        <v/>
      </c>
      <c r="AH314" s="41"/>
      <c r="AI314" s="41"/>
      <c r="AJ314" s="83" t="str">
        <f>IF(Data_BeeindigingsdatumTijd291="","",Data_BeeindigingsdatumTijd291)</f>
        <v/>
      </c>
      <c r="AK314" s="41"/>
      <c r="AL314" s="41"/>
      <c r="AM314" s="82" t="str">
        <f>IF(Data_LoonkostenTijd291="","",Data_LoonkostenTijd291)</f>
        <v/>
      </c>
      <c r="AN314" s="41"/>
      <c r="AO314" s="276" t="str">
        <f>IF(Data_PersoonAanUitTijd291=-1,"v","")</f>
        <v/>
      </c>
      <c r="AP314" s="41"/>
      <c r="AQ314" s="76" t="s">
        <v>160</v>
      </c>
      <c r="AR314" s="41"/>
      <c r="AS314" s="41"/>
      <c r="AT314" s="41"/>
      <c r="AU314" s="41"/>
      <c r="AV314" s="41">
        <f t="shared" si="33"/>
        <v>0</v>
      </c>
      <c r="AW314" s="77">
        <f t="shared" si="34"/>
        <v>0</v>
      </c>
      <c r="AX314" s="41"/>
      <c r="AY314" s="41"/>
      <c r="AZ314" s="41"/>
      <c r="BA314" s="81" t="str">
        <f>IF(Data_NaamPersoonVastVrij291="","",Data_NaamPersoonVastVrij291)</f>
        <v/>
      </c>
      <c r="BB314" s="41"/>
      <c r="BC314" s="41"/>
      <c r="BD314" s="83" t="str">
        <f>IF(Data_BeeindigingsdatumVastVrij291="","",Data_BeeindigingsdatumVastVrij291)</f>
        <v/>
      </c>
      <c r="BE314" s="41"/>
      <c r="BF314" s="41"/>
      <c r="BG314" s="82" t="str">
        <f>IF(Data_LoonkostenVastVrij291="","",Data_LoonkostenVastVrij291)</f>
        <v/>
      </c>
      <c r="BH314" s="41"/>
      <c r="BI314" s="76" t="str">
        <f>IF(Data_PersoonAanUitVastVrij291=-1,"v","")</f>
        <v/>
      </c>
      <c r="BJ314" s="41"/>
      <c r="BK314" s="76" t="s">
        <v>160</v>
      </c>
      <c r="BL314" s="41"/>
      <c r="BM314" s="41"/>
      <c r="BN314" s="41"/>
      <c r="BO314" s="41"/>
      <c r="BP314" s="41">
        <f t="shared" si="35"/>
        <v>0</v>
      </c>
      <c r="BQ314" s="77">
        <f t="shared" si="36"/>
        <v>0</v>
      </c>
      <c r="BS314" s="81" t="str">
        <f>IF(Data_NaamPersoonVastOntslag291="","",Data_NaamPersoonVastOntslag291)</f>
        <v/>
      </c>
      <c r="BV314" s="83" t="str">
        <f>IF(Data_BeeindigingsdatumVastOntslag291="","",Data_BeeindigingsdatumVastOntslag291)</f>
        <v/>
      </c>
      <c r="BY314" s="82" t="str">
        <f>IF(Data_LoonkostenVastOntslag291="","",Data_LoonkostenVastOntslag291)</f>
        <v/>
      </c>
      <c r="CA314" s="76" t="str">
        <f>IF(Data_PersoonAanUitVastOntslag291=-1,"v","")</f>
        <v/>
      </c>
      <c r="CB314" s="41"/>
      <c r="CC314" s="76" t="s">
        <v>160</v>
      </c>
      <c r="CD314" s="41"/>
      <c r="CE314" s="41"/>
      <c r="CF314" s="41"/>
      <c r="CG314" s="41"/>
      <c r="CH314" s="41">
        <f t="shared" si="39"/>
        <v>0</v>
      </c>
      <c r="CI314" s="41">
        <f t="shared" si="37"/>
        <v>0</v>
      </c>
    </row>
    <row r="315" spans="8:87" x14ac:dyDescent="0.25">
      <c r="H315" s="81" t="str">
        <f>IF(Data_NaamPersoonNatVerloop292="","",Data_NaamPersoonNatVerloop292)</f>
        <v/>
      </c>
      <c r="I315" s="41"/>
      <c r="J315" s="41"/>
      <c r="K315" s="83" t="str">
        <f>IF(Data_BeeindigingsdatumNatVerloop292="","",Data_BeeindigingsdatumNatVerloop292)</f>
        <v/>
      </c>
      <c r="L315" s="41"/>
      <c r="M315" s="41"/>
      <c r="N315" s="82" t="str">
        <f>IF(Data_LoonkostenNatVerloop292="","",Data_LoonkostenNatVerloop292)</f>
        <v/>
      </c>
      <c r="O315" s="41"/>
      <c r="P315" s="276" t="s">
        <v>160</v>
      </c>
      <c r="Q315" s="41"/>
      <c r="R315" s="76" t="s">
        <v>160</v>
      </c>
      <c r="S315" s="41"/>
      <c r="T315" s="41"/>
      <c r="U315" s="41"/>
      <c r="V315" s="41"/>
      <c r="W315" s="41">
        <f t="shared" si="32"/>
        <v>0</v>
      </c>
      <c r="X315" s="77" t="str">
        <f t="shared" si="38"/>
        <v/>
      </c>
      <c r="AG315" s="81" t="str">
        <f>IF(Data_NaamPersoonTijd292="","",Data_NaamPersoonTijd292)</f>
        <v/>
      </c>
      <c r="AH315" s="41"/>
      <c r="AI315" s="41"/>
      <c r="AJ315" s="83" t="str">
        <f>IF(Data_BeeindigingsdatumTijd292="","",Data_BeeindigingsdatumTijd292)</f>
        <v/>
      </c>
      <c r="AK315" s="41"/>
      <c r="AL315" s="41"/>
      <c r="AM315" s="82" t="str">
        <f>IF(Data_LoonkostenTijd292="","",Data_LoonkostenTijd292)</f>
        <v/>
      </c>
      <c r="AN315" s="41"/>
      <c r="AO315" s="276" t="str">
        <f>IF(Data_PersoonAanUitTijd292=-1,"v","")</f>
        <v/>
      </c>
      <c r="AP315" s="41"/>
      <c r="AQ315" s="76" t="s">
        <v>160</v>
      </c>
      <c r="AR315" s="41"/>
      <c r="AS315" s="41"/>
      <c r="AT315" s="41"/>
      <c r="AU315" s="41"/>
      <c r="AV315" s="41">
        <f t="shared" si="33"/>
        <v>0</v>
      </c>
      <c r="AW315" s="77">
        <f t="shared" si="34"/>
        <v>0</v>
      </c>
      <c r="AX315" s="41"/>
      <c r="AY315" s="41"/>
      <c r="AZ315" s="41"/>
      <c r="BA315" s="81" t="str">
        <f>IF(Data_NaamPersoonVastVrij292="","",Data_NaamPersoonVastVrij292)</f>
        <v/>
      </c>
      <c r="BB315" s="41"/>
      <c r="BC315" s="41"/>
      <c r="BD315" s="83" t="str">
        <f>IF(Data_BeeindigingsdatumVastVrij292="","",Data_BeeindigingsdatumVastVrij292)</f>
        <v/>
      </c>
      <c r="BE315" s="41"/>
      <c r="BF315" s="41"/>
      <c r="BG315" s="82" t="str">
        <f>IF(Data_LoonkostenVastVrij292="","",Data_LoonkostenVastVrij292)</f>
        <v/>
      </c>
      <c r="BH315" s="41"/>
      <c r="BI315" s="76" t="str">
        <f>IF(Data_PersoonAanUitVastVrij292=-1,"v","")</f>
        <v/>
      </c>
      <c r="BJ315" s="41"/>
      <c r="BK315" s="76" t="s">
        <v>160</v>
      </c>
      <c r="BL315" s="41"/>
      <c r="BM315" s="41"/>
      <c r="BN315" s="41"/>
      <c r="BO315" s="41"/>
      <c r="BP315" s="41">
        <f t="shared" si="35"/>
        <v>0</v>
      </c>
      <c r="BQ315" s="77">
        <f t="shared" si="36"/>
        <v>0</v>
      </c>
      <c r="BS315" s="81" t="str">
        <f>IF(Data_NaamPersoonVastOntslag292="","",Data_NaamPersoonVastOntslag292)</f>
        <v/>
      </c>
      <c r="BV315" s="83" t="str">
        <f>IF(Data_BeeindigingsdatumVastOntslag292="","",Data_BeeindigingsdatumVastOntslag292)</f>
        <v/>
      </c>
      <c r="BY315" s="82" t="str">
        <f>IF(Data_LoonkostenVastOntslag292="","",Data_LoonkostenVastOntslag292)</f>
        <v/>
      </c>
      <c r="CA315" s="76" t="str">
        <f>IF(Data_PersoonAanUitVastOntslag292=-1,"v","")</f>
        <v/>
      </c>
      <c r="CB315" s="41"/>
      <c r="CC315" s="76" t="s">
        <v>160</v>
      </c>
      <c r="CD315" s="41"/>
      <c r="CE315" s="41"/>
      <c r="CF315" s="41"/>
      <c r="CG315" s="41"/>
      <c r="CH315" s="41">
        <f t="shared" si="39"/>
        <v>0</v>
      </c>
      <c r="CI315" s="41">
        <f t="shared" si="37"/>
        <v>0</v>
      </c>
    </row>
    <row r="316" spans="8:87" x14ac:dyDescent="0.25">
      <c r="H316" s="81" t="str">
        <f>IF(Data_NaamPersoonNatVerloop293="","",Data_NaamPersoonNatVerloop293)</f>
        <v/>
      </c>
      <c r="I316" s="41"/>
      <c r="J316" s="41"/>
      <c r="K316" s="83" t="str">
        <f>IF(Data_BeeindigingsdatumNatVerloop293="","",Data_BeeindigingsdatumNatVerloop293)</f>
        <v/>
      </c>
      <c r="L316" s="41"/>
      <c r="M316" s="41"/>
      <c r="N316" s="82" t="str">
        <f>IF(Data_LoonkostenNatVerloop293="","",Data_LoonkostenNatVerloop293)</f>
        <v/>
      </c>
      <c r="O316" s="41"/>
      <c r="P316" s="276" t="s">
        <v>160</v>
      </c>
      <c r="Q316" s="41"/>
      <c r="R316" s="76" t="s">
        <v>160</v>
      </c>
      <c r="S316" s="41"/>
      <c r="T316" s="41"/>
      <c r="U316" s="41"/>
      <c r="V316" s="41"/>
      <c r="W316" s="41">
        <f t="shared" si="32"/>
        <v>0</v>
      </c>
      <c r="X316" s="77" t="str">
        <f t="shared" si="38"/>
        <v/>
      </c>
      <c r="AG316" s="81" t="str">
        <f>IF(Data_NaamPersoonTijd293="","",Data_NaamPersoonTijd293)</f>
        <v/>
      </c>
      <c r="AH316" s="41"/>
      <c r="AI316" s="41"/>
      <c r="AJ316" s="83" t="str">
        <f>IF(Data_BeeindigingsdatumTijd293="","",Data_BeeindigingsdatumTijd293)</f>
        <v/>
      </c>
      <c r="AK316" s="41"/>
      <c r="AL316" s="41"/>
      <c r="AM316" s="82" t="str">
        <f>IF(Data_LoonkostenTijd293="","",Data_LoonkostenTijd293)</f>
        <v/>
      </c>
      <c r="AN316" s="41"/>
      <c r="AO316" s="276" t="str">
        <f>IF(Data_PersoonAanUitTijd293=-1,"v","")</f>
        <v/>
      </c>
      <c r="AP316" s="41"/>
      <c r="AQ316" s="76" t="s">
        <v>160</v>
      </c>
      <c r="AR316" s="41"/>
      <c r="AS316" s="41"/>
      <c r="AT316" s="41"/>
      <c r="AU316" s="41"/>
      <c r="AV316" s="41">
        <f t="shared" si="33"/>
        <v>0</v>
      </c>
      <c r="AW316" s="77">
        <f t="shared" si="34"/>
        <v>0</v>
      </c>
      <c r="AX316" s="41"/>
      <c r="AY316" s="41"/>
      <c r="AZ316" s="41"/>
      <c r="BA316" s="81" t="str">
        <f>IF(Data_NaamPersoonVastVrij293="","",Data_NaamPersoonVastVrij293)</f>
        <v/>
      </c>
      <c r="BB316" s="41"/>
      <c r="BC316" s="41"/>
      <c r="BD316" s="83" t="str">
        <f>IF(Data_BeeindigingsdatumVastVrij293="","",Data_BeeindigingsdatumVastVrij293)</f>
        <v/>
      </c>
      <c r="BE316" s="41"/>
      <c r="BF316" s="41"/>
      <c r="BG316" s="82" t="str">
        <f>IF(Data_LoonkostenVastVrij293="","",Data_LoonkostenVastVrij293)</f>
        <v/>
      </c>
      <c r="BH316" s="41"/>
      <c r="BI316" s="76" t="str">
        <f>IF(Data_PersoonAanUitVastVrij293=-1,"v","")</f>
        <v/>
      </c>
      <c r="BJ316" s="41"/>
      <c r="BK316" s="76" t="s">
        <v>160</v>
      </c>
      <c r="BL316" s="41"/>
      <c r="BM316" s="41"/>
      <c r="BN316" s="41"/>
      <c r="BO316" s="41"/>
      <c r="BP316" s="41">
        <f t="shared" si="35"/>
        <v>0</v>
      </c>
      <c r="BQ316" s="77">
        <f t="shared" si="36"/>
        <v>0</v>
      </c>
      <c r="BS316" s="81" t="str">
        <f>IF(Data_NaamPersoonVastOntslag293="","",Data_NaamPersoonVastOntslag293)</f>
        <v/>
      </c>
      <c r="BV316" s="83" t="str">
        <f>IF(Data_BeeindigingsdatumVastOntslag293="","",Data_BeeindigingsdatumVastOntslag293)</f>
        <v/>
      </c>
      <c r="BY316" s="82" t="str">
        <f>IF(Data_LoonkostenVastOntslag293="","",Data_LoonkostenVastOntslag293)</f>
        <v/>
      </c>
      <c r="CA316" s="76" t="str">
        <f>IF(Data_PersoonAanUitVastOntslag293=-1,"v","")</f>
        <v/>
      </c>
      <c r="CB316" s="41"/>
      <c r="CC316" s="76" t="s">
        <v>160</v>
      </c>
      <c r="CD316" s="41"/>
      <c r="CE316" s="41"/>
      <c r="CF316" s="41"/>
      <c r="CG316" s="41"/>
      <c r="CH316" s="41">
        <f t="shared" si="39"/>
        <v>0</v>
      </c>
      <c r="CI316" s="41">
        <f t="shared" si="37"/>
        <v>0</v>
      </c>
    </row>
    <row r="317" spans="8:87" x14ac:dyDescent="0.25">
      <c r="H317" s="81" t="str">
        <f>IF(Data_NaamPersoonNatVerloop294="","",Data_NaamPersoonNatVerloop294)</f>
        <v/>
      </c>
      <c r="I317" s="41"/>
      <c r="J317" s="41"/>
      <c r="K317" s="83" t="str">
        <f>IF(Data_BeeindigingsdatumNatVerloop294="","",Data_BeeindigingsdatumNatVerloop294)</f>
        <v/>
      </c>
      <c r="L317" s="41"/>
      <c r="M317" s="41"/>
      <c r="N317" s="82" t="str">
        <f>IF(Data_LoonkostenNatVerloop294="","",Data_LoonkostenNatVerloop294)</f>
        <v/>
      </c>
      <c r="O317" s="41"/>
      <c r="P317" s="276" t="s">
        <v>160</v>
      </c>
      <c r="Q317" s="41"/>
      <c r="R317" s="76" t="s">
        <v>160</v>
      </c>
      <c r="S317" s="41"/>
      <c r="T317" s="41"/>
      <c r="U317" s="41"/>
      <c r="V317" s="41"/>
      <c r="W317" s="41">
        <f t="shared" si="32"/>
        <v>0</v>
      </c>
      <c r="X317" s="77" t="str">
        <f t="shared" si="38"/>
        <v/>
      </c>
      <c r="AG317" s="81" t="str">
        <f>IF(Data_NaamPersoonTijd294="","",Data_NaamPersoonTijd294)</f>
        <v/>
      </c>
      <c r="AH317" s="41"/>
      <c r="AI317" s="41"/>
      <c r="AJ317" s="83" t="str">
        <f>IF(Data_BeeindigingsdatumTijd294="","",Data_BeeindigingsdatumTijd294)</f>
        <v/>
      </c>
      <c r="AK317" s="41"/>
      <c r="AL317" s="41"/>
      <c r="AM317" s="82" t="str">
        <f>IF(Data_LoonkostenTijd294="","",Data_LoonkostenTijd294)</f>
        <v/>
      </c>
      <c r="AN317" s="41"/>
      <c r="AO317" s="276" t="str">
        <f>IF(Data_PersoonAanUitTijd294=-1,"v","")</f>
        <v/>
      </c>
      <c r="AP317" s="41"/>
      <c r="AQ317" s="76" t="s">
        <v>160</v>
      </c>
      <c r="AR317" s="41"/>
      <c r="AS317" s="41"/>
      <c r="AT317" s="41"/>
      <c r="AU317" s="41"/>
      <c r="AV317" s="41">
        <f t="shared" si="33"/>
        <v>0</v>
      </c>
      <c r="AW317" s="77">
        <f t="shared" si="34"/>
        <v>0</v>
      </c>
      <c r="AX317" s="41"/>
      <c r="AY317" s="41"/>
      <c r="AZ317" s="41"/>
      <c r="BA317" s="81" t="str">
        <f>IF(Data_NaamPersoonVastVrij294="","",Data_NaamPersoonVastVrij294)</f>
        <v/>
      </c>
      <c r="BB317" s="41"/>
      <c r="BC317" s="41"/>
      <c r="BD317" s="83" t="str">
        <f>IF(Data_BeeindigingsdatumVastVrij294="","",Data_BeeindigingsdatumVastVrij294)</f>
        <v/>
      </c>
      <c r="BE317" s="41"/>
      <c r="BF317" s="41"/>
      <c r="BG317" s="82" t="str">
        <f>IF(Data_LoonkostenVastVrij294="","",Data_LoonkostenVastVrij294)</f>
        <v/>
      </c>
      <c r="BH317" s="41"/>
      <c r="BI317" s="76" t="str">
        <f>IF(Data_PersoonAanUitVastVrij294=-1,"v","")</f>
        <v/>
      </c>
      <c r="BJ317" s="41"/>
      <c r="BK317" s="76" t="s">
        <v>160</v>
      </c>
      <c r="BL317" s="41"/>
      <c r="BM317" s="41"/>
      <c r="BN317" s="41"/>
      <c r="BO317" s="41"/>
      <c r="BP317" s="41">
        <f t="shared" si="35"/>
        <v>0</v>
      </c>
      <c r="BQ317" s="77">
        <f t="shared" si="36"/>
        <v>0</v>
      </c>
      <c r="BS317" s="81" t="str">
        <f>IF(Data_NaamPersoonVastOntslag294="","",Data_NaamPersoonVastOntslag294)</f>
        <v/>
      </c>
      <c r="BV317" s="83" t="str">
        <f>IF(Data_BeeindigingsdatumVastOntslag294="","",Data_BeeindigingsdatumVastOntslag294)</f>
        <v/>
      </c>
      <c r="BY317" s="82" t="str">
        <f>IF(Data_LoonkostenVastOntslag294="","",Data_LoonkostenVastOntslag294)</f>
        <v/>
      </c>
      <c r="CA317" s="76" t="str">
        <f>IF(Data_PersoonAanUitVastOntslag294=-1,"v","")</f>
        <v/>
      </c>
      <c r="CB317" s="41"/>
      <c r="CC317" s="76" t="s">
        <v>160</v>
      </c>
      <c r="CD317" s="41"/>
      <c r="CE317" s="41"/>
      <c r="CF317" s="41"/>
      <c r="CG317" s="41"/>
      <c r="CH317" s="41">
        <f t="shared" si="39"/>
        <v>0</v>
      </c>
      <c r="CI317" s="41">
        <f t="shared" si="37"/>
        <v>0</v>
      </c>
    </row>
    <row r="318" spans="8:87" x14ac:dyDescent="0.25">
      <c r="H318" s="81" t="str">
        <f>IF(Data_NaamPersoonNatVerloop295="","",Data_NaamPersoonNatVerloop295)</f>
        <v/>
      </c>
      <c r="I318" s="41"/>
      <c r="J318" s="41"/>
      <c r="K318" s="83" t="str">
        <f>IF(Data_BeeindigingsdatumNatVerloop295="","",Data_BeeindigingsdatumNatVerloop295)</f>
        <v/>
      </c>
      <c r="L318" s="41"/>
      <c r="M318" s="41"/>
      <c r="N318" s="82" t="str">
        <f>IF(Data_LoonkostenNatVerloop295="","",Data_LoonkostenNatVerloop295)</f>
        <v/>
      </c>
      <c r="O318" s="41"/>
      <c r="P318" s="276" t="s">
        <v>160</v>
      </c>
      <c r="Q318" s="41"/>
      <c r="R318" s="76" t="s">
        <v>160</v>
      </c>
      <c r="S318" s="41"/>
      <c r="T318" s="41"/>
      <c r="U318" s="41"/>
      <c r="V318" s="41"/>
      <c r="W318" s="41">
        <f t="shared" si="32"/>
        <v>0</v>
      </c>
      <c r="X318" s="77" t="str">
        <f t="shared" si="38"/>
        <v/>
      </c>
      <c r="AG318" s="81" t="str">
        <f>IF(Data_NaamPersoonTijd295="","",Data_NaamPersoonTijd295)</f>
        <v/>
      </c>
      <c r="AH318" s="41"/>
      <c r="AI318" s="41"/>
      <c r="AJ318" s="83" t="str">
        <f>IF(Data_BeeindigingsdatumTijd295="","",Data_BeeindigingsdatumTijd295)</f>
        <v/>
      </c>
      <c r="AK318" s="41"/>
      <c r="AL318" s="41"/>
      <c r="AM318" s="82" t="str">
        <f>IF(Data_LoonkostenTijd295="","",Data_LoonkostenTijd295)</f>
        <v/>
      </c>
      <c r="AN318" s="41"/>
      <c r="AO318" s="276" t="str">
        <f>IF(Data_PersoonAanUitTijd295=-1,"v","")</f>
        <v/>
      </c>
      <c r="AP318" s="41"/>
      <c r="AQ318" s="76" t="s">
        <v>160</v>
      </c>
      <c r="AR318" s="41"/>
      <c r="AS318" s="41"/>
      <c r="AT318" s="41"/>
      <c r="AU318" s="41"/>
      <c r="AV318" s="41">
        <f t="shared" si="33"/>
        <v>0</v>
      </c>
      <c r="AW318" s="77">
        <f t="shared" si="34"/>
        <v>0</v>
      </c>
      <c r="AX318" s="41"/>
      <c r="AY318" s="41"/>
      <c r="AZ318" s="41"/>
      <c r="BA318" s="81" t="str">
        <f>IF(Data_NaamPersoonVastVrij295="","",Data_NaamPersoonVastVrij295)</f>
        <v/>
      </c>
      <c r="BB318" s="41"/>
      <c r="BC318" s="41"/>
      <c r="BD318" s="83" t="str">
        <f>IF(Data_BeeindigingsdatumVastVrij295="","",Data_BeeindigingsdatumVastVrij295)</f>
        <v/>
      </c>
      <c r="BE318" s="41"/>
      <c r="BF318" s="41"/>
      <c r="BG318" s="82" t="str">
        <f>IF(Data_LoonkostenVastVrij295="","",Data_LoonkostenVastVrij295)</f>
        <v/>
      </c>
      <c r="BH318" s="41"/>
      <c r="BI318" s="76" t="str">
        <f>IF(Data_PersoonAanUitVastVrij295=-1,"v","")</f>
        <v/>
      </c>
      <c r="BJ318" s="41"/>
      <c r="BK318" s="76" t="s">
        <v>160</v>
      </c>
      <c r="BL318" s="41"/>
      <c r="BM318" s="41"/>
      <c r="BN318" s="41"/>
      <c r="BO318" s="41"/>
      <c r="BP318" s="41">
        <f t="shared" si="35"/>
        <v>0</v>
      </c>
      <c r="BQ318" s="77">
        <f t="shared" si="36"/>
        <v>0</v>
      </c>
      <c r="BS318" s="81" t="str">
        <f>IF(Data_NaamPersoonVastOntslag295="","",Data_NaamPersoonVastOntslag295)</f>
        <v/>
      </c>
      <c r="BV318" s="83" t="str">
        <f>IF(Data_BeeindigingsdatumVastOntslag295="","",Data_BeeindigingsdatumVastOntslag295)</f>
        <v/>
      </c>
      <c r="BY318" s="82" t="str">
        <f>IF(Data_LoonkostenVastOntslag295="","",Data_LoonkostenVastOntslag295)</f>
        <v/>
      </c>
      <c r="CA318" s="76" t="str">
        <f>IF(Data_PersoonAanUitVastOntslag295=-1,"v","")</f>
        <v/>
      </c>
      <c r="CB318" s="41"/>
      <c r="CC318" s="76" t="s">
        <v>160</v>
      </c>
      <c r="CD318" s="41"/>
      <c r="CE318" s="41"/>
      <c r="CF318" s="41"/>
      <c r="CG318" s="41"/>
      <c r="CH318" s="41">
        <f t="shared" si="39"/>
        <v>0</v>
      </c>
      <c r="CI318" s="41">
        <f t="shared" si="37"/>
        <v>0</v>
      </c>
    </row>
    <row r="319" spans="8:87" x14ac:dyDescent="0.25">
      <c r="H319" s="81" t="str">
        <f>IF(Data_NaamPersoonNatVerloop296="","",Data_NaamPersoonNatVerloop296)</f>
        <v/>
      </c>
      <c r="I319" s="41"/>
      <c r="J319" s="41"/>
      <c r="K319" s="83" t="str">
        <f>IF(Data_BeeindigingsdatumNatVerloop296="","",Data_BeeindigingsdatumNatVerloop296)</f>
        <v/>
      </c>
      <c r="L319" s="41"/>
      <c r="M319" s="41"/>
      <c r="N319" s="82" t="str">
        <f>IF(Data_LoonkostenNatVerloop296="","",Data_LoonkostenNatVerloop296)</f>
        <v/>
      </c>
      <c r="O319" s="41"/>
      <c r="P319" s="276" t="s">
        <v>160</v>
      </c>
      <c r="Q319" s="41"/>
      <c r="R319" s="76" t="s">
        <v>160</v>
      </c>
      <c r="S319" s="41"/>
      <c r="T319" s="41"/>
      <c r="U319" s="41"/>
      <c r="V319" s="41"/>
      <c r="W319" s="41">
        <f t="shared" si="32"/>
        <v>0</v>
      </c>
      <c r="X319" s="77" t="str">
        <f t="shared" si="38"/>
        <v/>
      </c>
      <c r="AG319" s="81" t="str">
        <f>IF(Data_NaamPersoonTijd296="","",Data_NaamPersoonTijd296)</f>
        <v/>
      </c>
      <c r="AH319" s="41"/>
      <c r="AI319" s="41"/>
      <c r="AJ319" s="83" t="str">
        <f>IF(Data_BeeindigingsdatumTijd296="","",Data_BeeindigingsdatumTijd296)</f>
        <v/>
      </c>
      <c r="AK319" s="41"/>
      <c r="AL319" s="41"/>
      <c r="AM319" s="82" t="str">
        <f>IF(Data_LoonkostenTijd296="","",Data_LoonkostenTijd296)</f>
        <v/>
      </c>
      <c r="AN319" s="41"/>
      <c r="AO319" s="276" t="str">
        <f>IF(Data_PersoonAanUitTijd296=-1,"v","")</f>
        <v/>
      </c>
      <c r="AP319" s="41"/>
      <c r="AQ319" s="76" t="s">
        <v>160</v>
      </c>
      <c r="AR319" s="41"/>
      <c r="AS319" s="41"/>
      <c r="AT319" s="41"/>
      <c r="AU319" s="41"/>
      <c r="AV319" s="41">
        <f t="shared" si="33"/>
        <v>0</v>
      </c>
      <c r="AW319" s="77">
        <f t="shared" si="34"/>
        <v>0</v>
      </c>
      <c r="AX319" s="41"/>
      <c r="AY319" s="41"/>
      <c r="AZ319" s="41"/>
      <c r="BA319" s="81" t="str">
        <f>IF(Data_NaamPersoonVastVrij296="","",Data_NaamPersoonVastVrij296)</f>
        <v/>
      </c>
      <c r="BB319" s="41"/>
      <c r="BC319" s="41"/>
      <c r="BD319" s="83" t="str">
        <f>IF(Data_BeeindigingsdatumVastVrij296="","",Data_BeeindigingsdatumVastVrij296)</f>
        <v/>
      </c>
      <c r="BE319" s="41"/>
      <c r="BF319" s="41"/>
      <c r="BG319" s="82" t="str">
        <f>IF(Data_LoonkostenVastVrij296="","",Data_LoonkostenVastVrij296)</f>
        <v/>
      </c>
      <c r="BH319" s="41"/>
      <c r="BI319" s="76" t="str">
        <f>IF(Data_PersoonAanUitVastVrij296=-1,"v","")</f>
        <v/>
      </c>
      <c r="BJ319" s="41"/>
      <c r="BK319" s="76" t="s">
        <v>160</v>
      </c>
      <c r="BL319" s="41"/>
      <c r="BM319" s="41"/>
      <c r="BN319" s="41"/>
      <c r="BO319" s="41"/>
      <c r="BP319" s="41">
        <f t="shared" si="35"/>
        <v>0</v>
      </c>
      <c r="BQ319" s="77">
        <f t="shared" si="36"/>
        <v>0</v>
      </c>
      <c r="BS319" s="81" t="str">
        <f>IF(Data_NaamPersoonVastOntslag296="","",Data_NaamPersoonVastOntslag296)</f>
        <v/>
      </c>
      <c r="BV319" s="83" t="str">
        <f>IF(Data_BeeindigingsdatumVastOntslag296="","",Data_BeeindigingsdatumVastOntslag296)</f>
        <v/>
      </c>
      <c r="BY319" s="82" t="str">
        <f>IF(Data_LoonkostenVastOntslag296="","",Data_LoonkostenVastOntslag296)</f>
        <v/>
      </c>
      <c r="CA319" s="76" t="str">
        <f>IF(Data_PersoonAanUitVastOntslag296=-1,"v","")</f>
        <v/>
      </c>
      <c r="CB319" s="41"/>
      <c r="CC319" s="76" t="s">
        <v>160</v>
      </c>
      <c r="CD319" s="41"/>
      <c r="CE319" s="41"/>
      <c r="CF319" s="41"/>
      <c r="CG319" s="41"/>
      <c r="CH319" s="41">
        <f t="shared" si="39"/>
        <v>0</v>
      </c>
      <c r="CI319" s="41">
        <f t="shared" si="37"/>
        <v>0</v>
      </c>
    </row>
    <row r="320" spans="8:87" x14ac:dyDescent="0.25">
      <c r="H320" s="81" t="str">
        <f>IF(Data_NaamPersoonNatVerloop297="","",Data_NaamPersoonNatVerloop297)</f>
        <v/>
      </c>
      <c r="I320" s="41"/>
      <c r="J320" s="41"/>
      <c r="K320" s="83" t="str">
        <f>IF(Data_BeeindigingsdatumNatVerloop297="","",Data_BeeindigingsdatumNatVerloop297)</f>
        <v/>
      </c>
      <c r="L320" s="41"/>
      <c r="M320" s="41"/>
      <c r="N320" s="82" t="str">
        <f>IF(Data_LoonkostenNatVerloop297="","",Data_LoonkostenNatVerloop297)</f>
        <v/>
      </c>
      <c r="O320" s="41"/>
      <c r="P320" s="276" t="s">
        <v>160</v>
      </c>
      <c r="Q320" s="41"/>
      <c r="R320" s="76" t="s">
        <v>160</v>
      </c>
      <c r="S320" s="41"/>
      <c r="T320" s="41"/>
      <c r="U320" s="41"/>
      <c r="V320" s="41"/>
      <c r="W320" s="41">
        <f t="shared" si="32"/>
        <v>0</v>
      </c>
      <c r="X320" s="77" t="str">
        <f t="shared" si="38"/>
        <v/>
      </c>
      <c r="AG320" s="81" t="str">
        <f>IF(Data_NaamPersoonTijd297="","",Data_NaamPersoonTijd297)</f>
        <v/>
      </c>
      <c r="AH320" s="41"/>
      <c r="AI320" s="41"/>
      <c r="AJ320" s="83" t="str">
        <f>IF(Data_BeeindigingsdatumTijd297="","",Data_BeeindigingsdatumTijd297)</f>
        <v/>
      </c>
      <c r="AK320" s="41"/>
      <c r="AL320" s="41"/>
      <c r="AM320" s="82" t="str">
        <f>IF(Data_LoonkostenTijd297="","",Data_LoonkostenTijd297)</f>
        <v/>
      </c>
      <c r="AN320" s="41"/>
      <c r="AO320" s="276" t="str">
        <f>IF(Data_PersoonAanUitTijd297=-1,"v","")</f>
        <v/>
      </c>
      <c r="AP320" s="41"/>
      <c r="AQ320" s="76" t="s">
        <v>160</v>
      </c>
      <c r="AR320" s="41"/>
      <c r="AS320" s="41"/>
      <c r="AT320" s="41"/>
      <c r="AU320" s="41"/>
      <c r="AV320" s="41">
        <f t="shared" si="33"/>
        <v>0</v>
      </c>
      <c r="AW320" s="77">
        <f t="shared" si="34"/>
        <v>0</v>
      </c>
      <c r="AX320" s="41"/>
      <c r="AY320" s="41"/>
      <c r="AZ320" s="41"/>
      <c r="BA320" s="81" t="str">
        <f>IF(Data_NaamPersoonVastVrij297="","",Data_NaamPersoonVastVrij297)</f>
        <v/>
      </c>
      <c r="BB320" s="41"/>
      <c r="BC320" s="41"/>
      <c r="BD320" s="83" t="str">
        <f>IF(Data_BeeindigingsdatumVastVrij297="","",Data_BeeindigingsdatumVastVrij297)</f>
        <v/>
      </c>
      <c r="BE320" s="41"/>
      <c r="BF320" s="41"/>
      <c r="BG320" s="82" t="str">
        <f>IF(Data_LoonkostenVastVrij297="","",Data_LoonkostenVastVrij297)</f>
        <v/>
      </c>
      <c r="BH320" s="41"/>
      <c r="BI320" s="76" t="str">
        <f>IF(Data_PersoonAanUitVastVrij297=-1,"v","")</f>
        <v/>
      </c>
      <c r="BJ320" s="41"/>
      <c r="BK320" s="76" t="s">
        <v>160</v>
      </c>
      <c r="BL320" s="41"/>
      <c r="BM320" s="41"/>
      <c r="BN320" s="41"/>
      <c r="BO320" s="41"/>
      <c r="BP320" s="41">
        <f t="shared" si="35"/>
        <v>0</v>
      </c>
      <c r="BQ320" s="77">
        <f t="shared" si="36"/>
        <v>0</v>
      </c>
      <c r="BS320" s="81" t="str">
        <f>IF(Data_NaamPersoonVastOntslag297="","",Data_NaamPersoonVastOntslag297)</f>
        <v/>
      </c>
      <c r="BV320" s="83" t="str">
        <f>IF(Data_BeeindigingsdatumVastOntslag297="","",Data_BeeindigingsdatumVastOntslag297)</f>
        <v/>
      </c>
      <c r="BY320" s="82" t="str">
        <f>IF(Data_LoonkostenVastOntslag297="","",Data_LoonkostenVastOntslag297)</f>
        <v/>
      </c>
      <c r="CA320" s="76" t="str">
        <f>IF(Data_PersoonAanUitVastOntslag297=-1,"v","")</f>
        <v/>
      </c>
      <c r="CB320" s="41"/>
      <c r="CC320" s="76" t="s">
        <v>160</v>
      </c>
      <c r="CD320" s="41"/>
      <c r="CE320" s="41"/>
      <c r="CF320" s="41"/>
      <c r="CG320" s="41"/>
      <c r="CH320" s="41">
        <f t="shared" si="39"/>
        <v>0</v>
      </c>
      <c r="CI320" s="41">
        <f t="shared" si="37"/>
        <v>0</v>
      </c>
    </row>
    <row r="321" spans="8:87" x14ac:dyDescent="0.25">
      <c r="H321" s="81" t="str">
        <f>IF(Data_NaamPersoonNatVerloop298="","",Data_NaamPersoonNatVerloop298)</f>
        <v/>
      </c>
      <c r="I321" s="41"/>
      <c r="J321" s="41"/>
      <c r="K321" s="83" t="str">
        <f>IF(Data_BeeindigingsdatumNatVerloop298="","",Data_BeeindigingsdatumNatVerloop298)</f>
        <v/>
      </c>
      <c r="L321" s="41"/>
      <c r="M321" s="41"/>
      <c r="N321" s="82" t="str">
        <f>IF(Data_LoonkostenNatVerloop298="","",Data_LoonkostenNatVerloop298)</f>
        <v/>
      </c>
      <c r="O321" s="41"/>
      <c r="P321" s="276" t="s">
        <v>160</v>
      </c>
      <c r="Q321" s="41"/>
      <c r="R321" s="76" t="s">
        <v>160</v>
      </c>
      <c r="S321" s="41"/>
      <c r="T321" s="41"/>
      <c r="U321" s="41"/>
      <c r="V321" s="41"/>
      <c r="W321" s="41">
        <f t="shared" si="32"/>
        <v>0</v>
      </c>
      <c r="X321" s="77" t="str">
        <f t="shared" si="38"/>
        <v/>
      </c>
      <c r="AG321" s="81" t="str">
        <f>IF(Data_NaamPersoonTijd298="","",Data_NaamPersoonTijd298)</f>
        <v/>
      </c>
      <c r="AH321" s="41"/>
      <c r="AI321" s="41"/>
      <c r="AJ321" s="83" t="str">
        <f>IF(Data_BeeindigingsdatumTijd298="","",Data_BeeindigingsdatumTijd298)</f>
        <v/>
      </c>
      <c r="AK321" s="41"/>
      <c r="AL321" s="41"/>
      <c r="AM321" s="82" t="str">
        <f>IF(Data_LoonkostenTijd298="","",Data_LoonkostenTijd298)</f>
        <v/>
      </c>
      <c r="AN321" s="41"/>
      <c r="AO321" s="276" t="str">
        <f>IF(Data_PersoonAanUitTijd298=-1,"v","")</f>
        <v/>
      </c>
      <c r="AP321" s="41"/>
      <c r="AQ321" s="76" t="s">
        <v>160</v>
      </c>
      <c r="AR321" s="41"/>
      <c r="AS321" s="41"/>
      <c r="AT321" s="41"/>
      <c r="AU321" s="41"/>
      <c r="AV321" s="41">
        <f t="shared" si="33"/>
        <v>0</v>
      </c>
      <c r="AW321" s="77">
        <f t="shared" si="34"/>
        <v>0</v>
      </c>
      <c r="AX321" s="41"/>
      <c r="AY321" s="41"/>
      <c r="AZ321" s="41"/>
      <c r="BA321" s="81" t="str">
        <f>IF(Data_NaamPersoonVastVrij298="","",Data_NaamPersoonVastVrij298)</f>
        <v/>
      </c>
      <c r="BB321" s="41"/>
      <c r="BC321" s="41"/>
      <c r="BD321" s="83" t="str">
        <f>IF(Data_BeeindigingsdatumVastVrij298="","",Data_BeeindigingsdatumVastVrij298)</f>
        <v/>
      </c>
      <c r="BE321" s="41"/>
      <c r="BF321" s="41"/>
      <c r="BG321" s="82" t="str">
        <f>IF(Data_LoonkostenVastVrij298="","",Data_LoonkostenVastVrij298)</f>
        <v/>
      </c>
      <c r="BH321" s="41"/>
      <c r="BI321" s="76" t="str">
        <f>IF(Data_PersoonAanUitVastVrij298=-1,"v","")</f>
        <v/>
      </c>
      <c r="BJ321" s="41"/>
      <c r="BK321" s="76" t="s">
        <v>160</v>
      </c>
      <c r="BL321" s="41"/>
      <c r="BM321" s="41"/>
      <c r="BN321" s="41"/>
      <c r="BO321" s="41"/>
      <c r="BP321" s="41">
        <f t="shared" si="35"/>
        <v>0</v>
      </c>
      <c r="BQ321" s="77">
        <f t="shared" si="36"/>
        <v>0</v>
      </c>
      <c r="BS321" s="81" t="str">
        <f>IF(Data_NaamPersoonVastOntslag298="","",Data_NaamPersoonVastOntslag298)</f>
        <v/>
      </c>
      <c r="BV321" s="83" t="str">
        <f>IF(Data_BeeindigingsdatumVastOntslag298="","",Data_BeeindigingsdatumVastOntslag298)</f>
        <v/>
      </c>
      <c r="BY321" s="82" t="str">
        <f>IF(Data_LoonkostenVastOntslag298="","",Data_LoonkostenVastOntslag298)</f>
        <v/>
      </c>
      <c r="CA321" s="76" t="str">
        <f>IF(Data_PersoonAanUitVastOntslag298=-1,"v","")</f>
        <v/>
      </c>
      <c r="CB321" s="41"/>
      <c r="CC321" s="76" t="s">
        <v>160</v>
      </c>
      <c r="CD321" s="41"/>
      <c r="CE321" s="41"/>
      <c r="CF321" s="41"/>
      <c r="CG321" s="41"/>
      <c r="CH321" s="41">
        <f t="shared" si="39"/>
        <v>0</v>
      </c>
      <c r="CI321" s="41">
        <f t="shared" si="37"/>
        <v>0</v>
      </c>
    </row>
    <row r="322" spans="8:87" x14ac:dyDescent="0.25">
      <c r="H322" s="81" t="str">
        <f>IF(Data_NaamPersoonNatVerloop299="","",Data_NaamPersoonNatVerloop299)</f>
        <v/>
      </c>
      <c r="I322" s="41"/>
      <c r="J322" s="41"/>
      <c r="K322" s="83" t="str">
        <f>IF(Data_BeeindigingsdatumNatVerloop299="","",Data_BeeindigingsdatumNatVerloop299)</f>
        <v/>
      </c>
      <c r="L322" s="41"/>
      <c r="M322" s="41"/>
      <c r="N322" s="82" t="str">
        <f>IF(Data_LoonkostenNatVerloop299="","",Data_LoonkostenNatVerloop299)</f>
        <v/>
      </c>
      <c r="O322" s="41"/>
      <c r="P322" s="276" t="s">
        <v>160</v>
      </c>
      <c r="Q322" s="41"/>
      <c r="R322" s="76" t="s">
        <v>160</v>
      </c>
      <c r="S322" s="41"/>
      <c r="T322" s="41"/>
      <c r="U322" s="41"/>
      <c r="V322" s="41"/>
      <c r="W322" s="41">
        <f t="shared" si="32"/>
        <v>0</v>
      </c>
      <c r="X322" s="77" t="str">
        <f t="shared" si="38"/>
        <v/>
      </c>
      <c r="AG322" s="81" t="str">
        <f>IF(Data_NaamPersoonTijd299="","",Data_NaamPersoonTijd299)</f>
        <v/>
      </c>
      <c r="AH322" s="41"/>
      <c r="AI322" s="41"/>
      <c r="AJ322" s="83" t="str">
        <f>IF(Data_BeeindigingsdatumTijd299="","",Data_BeeindigingsdatumTijd299)</f>
        <v/>
      </c>
      <c r="AK322" s="41"/>
      <c r="AL322" s="41"/>
      <c r="AM322" s="82" t="str">
        <f>IF(Data_LoonkostenTijd299="","",Data_LoonkostenTijd299)</f>
        <v/>
      </c>
      <c r="AN322" s="41"/>
      <c r="AO322" s="276" t="str">
        <f>IF(Data_PersoonAanUitTijd299=-1,"v","")</f>
        <v/>
      </c>
      <c r="AP322" s="41"/>
      <c r="AQ322" s="76" t="s">
        <v>160</v>
      </c>
      <c r="AR322" s="41"/>
      <c r="AS322" s="41"/>
      <c r="AT322" s="41"/>
      <c r="AU322" s="41"/>
      <c r="AV322" s="41">
        <f t="shared" si="33"/>
        <v>0</v>
      </c>
      <c r="AW322" s="77">
        <f t="shared" si="34"/>
        <v>0</v>
      </c>
      <c r="AX322" s="41"/>
      <c r="AY322" s="41"/>
      <c r="AZ322" s="41"/>
      <c r="BA322" s="81" t="str">
        <f>IF(Data_NaamPersoonVastVrij299="","",Data_NaamPersoonVastVrij299)</f>
        <v/>
      </c>
      <c r="BB322" s="41"/>
      <c r="BC322" s="41"/>
      <c r="BD322" s="83" t="str">
        <f>IF(Data_BeeindigingsdatumVastVrij299="","",Data_BeeindigingsdatumVastVrij299)</f>
        <v/>
      </c>
      <c r="BE322" s="41"/>
      <c r="BF322" s="41"/>
      <c r="BG322" s="82" t="str">
        <f>IF(Data_LoonkostenVastVrij299="","",Data_LoonkostenVastVrij299)</f>
        <v/>
      </c>
      <c r="BH322" s="41"/>
      <c r="BI322" s="76" t="str">
        <f>IF(Data_PersoonAanUitVastVrij299=-1,"v","")</f>
        <v/>
      </c>
      <c r="BJ322" s="41"/>
      <c r="BK322" s="76" t="s">
        <v>160</v>
      </c>
      <c r="BL322" s="41"/>
      <c r="BM322" s="41"/>
      <c r="BN322" s="41"/>
      <c r="BO322" s="41"/>
      <c r="BP322" s="41">
        <f t="shared" si="35"/>
        <v>0</v>
      </c>
      <c r="BQ322" s="77">
        <f t="shared" si="36"/>
        <v>0</v>
      </c>
      <c r="BS322" s="81" t="str">
        <f>IF(Data_NaamPersoonVastOntslag299="","",Data_NaamPersoonVastOntslag299)</f>
        <v/>
      </c>
      <c r="BV322" s="83" t="str">
        <f>IF(Data_BeeindigingsdatumVastOntslag299="","",Data_BeeindigingsdatumVastOntslag299)</f>
        <v/>
      </c>
      <c r="BY322" s="82" t="str">
        <f>IF(Data_LoonkostenVastOntslag299="","",Data_LoonkostenVastOntslag299)</f>
        <v/>
      </c>
      <c r="CA322" s="76" t="str">
        <f>IF(Data_PersoonAanUitVastOntslag299=-1,"v","")</f>
        <v/>
      </c>
      <c r="CB322" s="41"/>
      <c r="CC322" s="76" t="s">
        <v>160</v>
      </c>
      <c r="CD322" s="41"/>
      <c r="CE322" s="41"/>
      <c r="CF322" s="41"/>
      <c r="CG322" s="41"/>
      <c r="CH322" s="41">
        <f t="shared" si="39"/>
        <v>0</v>
      </c>
      <c r="CI322" s="41">
        <f t="shared" si="37"/>
        <v>0</v>
      </c>
    </row>
    <row r="323" spans="8:87" x14ac:dyDescent="0.25">
      <c r="H323" s="81" t="str">
        <f>IF(Data_NaamPersoonNatVerloop300="","",Data_NaamPersoonNatVerloop300)</f>
        <v/>
      </c>
      <c r="I323" s="41"/>
      <c r="J323" s="41"/>
      <c r="K323" s="83" t="str">
        <f>IF(Data_BeeindigingsdatumNatVerloop300="","",Data_BeeindigingsdatumNatVerloop300)</f>
        <v/>
      </c>
      <c r="L323" s="41"/>
      <c r="M323" s="41"/>
      <c r="N323" s="82" t="str">
        <f>IF(Data_LoonkostenNatVerloop300="","",Data_LoonkostenNatVerloop300)</f>
        <v/>
      </c>
      <c r="O323" s="41"/>
      <c r="P323" s="276" t="s">
        <v>160</v>
      </c>
      <c r="Q323" s="41"/>
      <c r="R323" s="76" t="s">
        <v>160</v>
      </c>
      <c r="S323" s="41"/>
      <c r="T323" s="41"/>
      <c r="U323" s="41"/>
      <c r="V323" s="41"/>
      <c r="W323" s="41">
        <f t="shared" si="32"/>
        <v>0</v>
      </c>
      <c r="X323" s="77" t="str">
        <f t="shared" si="38"/>
        <v/>
      </c>
      <c r="AG323" s="81" t="str">
        <f>IF(Data_NaamPersoonTijd300="","",Data_NaamPersoonTijd300)</f>
        <v/>
      </c>
      <c r="AH323" s="41"/>
      <c r="AI323" s="41"/>
      <c r="AJ323" s="83" t="str">
        <f>IF(Data_BeeindigingsdatumTijd300="","",Data_BeeindigingsdatumTijd300)</f>
        <v/>
      </c>
      <c r="AK323" s="41"/>
      <c r="AL323" s="41"/>
      <c r="AM323" s="82" t="str">
        <f>IF(Data_LoonkostenTijd300="","",Data_LoonkostenTijd300)</f>
        <v/>
      </c>
      <c r="AN323" s="41"/>
      <c r="AO323" s="276" t="str">
        <f>IF(Data_PersoonAanUitTijd300=-1,"v","")</f>
        <v/>
      </c>
      <c r="AP323" s="41"/>
      <c r="AQ323" s="76" t="s">
        <v>160</v>
      </c>
      <c r="AR323" s="41"/>
      <c r="AS323" s="41"/>
      <c r="AT323" s="41"/>
      <c r="AU323" s="41"/>
      <c r="AV323" s="41">
        <f t="shared" si="33"/>
        <v>0</v>
      </c>
      <c r="AW323" s="77">
        <f t="shared" si="34"/>
        <v>0</v>
      </c>
      <c r="AX323" s="41"/>
      <c r="AY323" s="41"/>
      <c r="AZ323" s="41"/>
      <c r="BA323" s="81" t="str">
        <f>IF(Data_NaamPersoonVastVrij300="","",Data_NaamPersoonVastVrij300)</f>
        <v/>
      </c>
      <c r="BB323" s="41"/>
      <c r="BC323" s="41"/>
      <c r="BD323" s="83" t="str">
        <f>IF(Data_BeeindigingsdatumVastVrij300="","",Data_BeeindigingsdatumVastVrij300)</f>
        <v/>
      </c>
      <c r="BE323" s="41"/>
      <c r="BF323" s="41"/>
      <c r="BG323" s="82" t="str">
        <f>IF(Data_LoonkostenVastVrij300="","",Data_LoonkostenVastVrij300)</f>
        <v/>
      </c>
      <c r="BH323" s="41"/>
      <c r="BI323" s="76" t="str">
        <f>IF(Data_PersoonAanUitVastVrij300=-1,"v","")</f>
        <v/>
      </c>
      <c r="BJ323" s="41"/>
      <c r="BK323" s="76" t="s">
        <v>160</v>
      </c>
      <c r="BL323" s="41"/>
      <c r="BM323" s="41"/>
      <c r="BN323" s="41"/>
      <c r="BO323" s="41"/>
      <c r="BP323" s="41">
        <f t="shared" si="35"/>
        <v>0</v>
      </c>
      <c r="BQ323" s="77">
        <f t="shared" si="36"/>
        <v>0</v>
      </c>
      <c r="BS323" s="81" t="str">
        <f>IF(Data_NaamPersoonVastOntslag300="","",Data_NaamPersoonVastOntslag300)</f>
        <v/>
      </c>
      <c r="BV323" s="83" t="str">
        <f>IF(Data_BeeindigingsdatumVastOntslag300="","",Data_BeeindigingsdatumVastOntslag300)</f>
        <v/>
      </c>
      <c r="BY323" s="82" t="str">
        <f>IF(Data_LoonkostenVastOntslag300="","",Data_LoonkostenVastOntslag300)</f>
        <v/>
      </c>
      <c r="CA323" s="76" t="str">
        <f>IF(Data_PersoonAanUitVastOntslag300=-1,"v","")</f>
        <v/>
      </c>
      <c r="CB323" s="41"/>
      <c r="CC323" s="76" t="s">
        <v>160</v>
      </c>
      <c r="CD323" s="41"/>
      <c r="CE323" s="41"/>
      <c r="CF323" s="41"/>
      <c r="CG323" s="41"/>
      <c r="CH323" s="41">
        <f t="shared" si="39"/>
        <v>0</v>
      </c>
      <c r="CI323" s="41">
        <f t="shared" si="37"/>
        <v>0</v>
      </c>
    </row>
    <row r="324" spans="8:87" x14ac:dyDescent="0.25">
      <c r="H324" s="81" t="str">
        <f>IF(Data_NaamPersoonNatVerloop301="","",Data_NaamPersoonNatVerloop301)</f>
        <v/>
      </c>
      <c r="I324" s="41"/>
      <c r="J324" s="41"/>
      <c r="K324" s="83" t="str">
        <f>IF(Data_BeeindigingsdatumNatVerloop301="","",Data_BeeindigingsdatumNatVerloop301)</f>
        <v/>
      </c>
      <c r="L324" s="41"/>
      <c r="M324" s="41"/>
      <c r="N324" s="82" t="str">
        <f>IF(Data_LoonkostenNatVerloop301="","",Data_LoonkostenNatVerloop301)</f>
        <v/>
      </c>
      <c r="O324" s="41"/>
      <c r="P324" s="276" t="s">
        <v>160</v>
      </c>
      <c r="Q324" s="41"/>
      <c r="R324" s="76" t="s">
        <v>160</v>
      </c>
      <c r="S324" s="41"/>
      <c r="T324" s="41"/>
      <c r="U324" s="41"/>
      <c r="V324" s="41"/>
      <c r="W324" s="41">
        <f t="shared" si="32"/>
        <v>0</v>
      </c>
      <c r="X324" s="77" t="str">
        <f t="shared" si="38"/>
        <v/>
      </c>
      <c r="AG324" s="81" t="str">
        <f>IF(Data_NaamPersoonTijd301="","",Data_NaamPersoonTijd301)</f>
        <v/>
      </c>
      <c r="AH324" s="41"/>
      <c r="AI324" s="41"/>
      <c r="AJ324" s="83" t="str">
        <f>IF(Data_BeeindigingsdatumTijd301="","",Data_BeeindigingsdatumTijd301)</f>
        <v/>
      </c>
      <c r="AK324" s="41"/>
      <c r="AL324" s="41"/>
      <c r="AM324" s="82" t="str">
        <f>IF(Data_LoonkostenTijd301="","",Data_LoonkostenTijd301)</f>
        <v/>
      </c>
      <c r="AN324" s="41"/>
      <c r="AO324" s="276" t="str">
        <f>IF(Data_PersoonAanUitTijd301=-1,"v","")</f>
        <v/>
      </c>
      <c r="AP324" s="41"/>
      <c r="AQ324" s="76" t="s">
        <v>160</v>
      </c>
      <c r="AR324" s="41"/>
      <c r="AS324" s="41"/>
      <c r="AT324" s="41"/>
      <c r="AU324" s="41"/>
      <c r="AV324" s="41">
        <f t="shared" si="33"/>
        <v>0</v>
      </c>
      <c r="AW324" s="77">
        <f t="shared" si="34"/>
        <v>0</v>
      </c>
      <c r="AX324" s="41"/>
      <c r="AY324" s="41"/>
      <c r="AZ324" s="41"/>
      <c r="BA324" s="81" t="str">
        <f>IF(Data_NaamPersoonVastVrij301="","",Data_NaamPersoonVastVrij301)</f>
        <v/>
      </c>
      <c r="BB324" s="41"/>
      <c r="BC324" s="41"/>
      <c r="BD324" s="83" t="str">
        <f>IF(Data_BeeindigingsdatumVastVrij301="","",Data_BeeindigingsdatumVastVrij301)</f>
        <v/>
      </c>
      <c r="BE324" s="41"/>
      <c r="BF324" s="41"/>
      <c r="BG324" s="82" t="str">
        <f>IF(Data_LoonkostenVastVrij301="","",Data_LoonkostenVastVrij301)</f>
        <v/>
      </c>
      <c r="BH324" s="41"/>
      <c r="BI324" s="76" t="str">
        <f>IF(Data_PersoonAanUitVastVrij301=-1,"v","")</f>
        <v/>
      </c>
      <c r="BJ324" s="41"/>
      <c r="BK324" s="76" t="s">
        <v>160</v>
      </c>
      <c r="BL324" s="41"/>
      <c r="BM324" s="41"/>
      <c r="BN324" s="41"/>
      <c r="BO324" s="41"/>
      <c r="BP324" s="41">
        <f t="shared" si="35"/>
        <v>0</v>
      </c>
      <c r="BQ324" s="77">
        <f t="shared" si="36"/>
        <v>0</v>
      </c>
      <c r="BS324" s="81" t="str">
        <f>IF(Data_NaamPersoonVastOntslag301="","",Data_NaamPersoonVastOntslag301)</f>
        <v/>
      </c>
      <c r="BV324" s="83" t="str">
        <f>IF(Data_BeeindigingsdatumVastOntslag301="","",Data_BeeindigingsdatumVastOntslag301)</f>
        <v/>
      </c>
      <c r="BY324" s="82" t="str">
        <f>IF(Data_LoonkostenVastOntslag301="","",Data_LoonkostenVastOntslag301)</f>
        <v/>
      </c>
      <c r="CA324" s="76" t="str">
        <f>IF(Data_PersoonAanUitVastOntslag301=-1,"v","")</f>
        <v/>
      </c>
      <c r="CB324" s="41"/>
      <c r="CC324" s="76" t="s">
        <v>160</v>
      </c>
      <c r="CD324" s="41"/>
      <c r="CE324" s="41"/>
      <c r="CF324" s="41"/>
      <c r="CG324" s="41"/>
      <c r="CH324" s="41">
        <f t="shared" si="39"/>
        <v>0</v>
      </c>
      <c r="CI324" s="41">
        <f t="shared" si="37"/>
        <v>0</v>
      </c>
    </row>
    <row r="325" spans="8:87" x14ac:dyDescent="0.25">
      <c r="H325" s="81" t="str">
        <f>IF(Data_NaamPersoonNatVerloop302="","",Data_NaamPersoonNatVerloop302)</f>
        <v/>
      </c>
      <c r="I325" s="41"/>
      <c r="J325" s="41"/>
      <c r="K325" s="83" t="str">
        <f>IF(Data_BeeindigingsdatumNatVerloop302="","",Data_BeeindigingsdatumNatVerloop302)</f>
        <v/>
      </c>
      <c r="L325" s="41"/>
      <c r="M325" s="41"/>
      <c r="N325" s="82" t="str">
        <f>IF(Data_LoonkostenNatVerloop302="","",Data_LoonkostenNatVerloop302)</f>
        <v/>
      </c>
      <c r="O325" s="41"/>
      <c r="P325" s="276" t="s">
        <v>160</v>
      </c>
      <c r="Q325" s="41"/>
      <c r="R325" s="76" t="s">
        <v>160</v>
      </c>
      <c r="S325" s="41"/>
      <c r="T325" s="41"/>
      <c r="U325" s="41"/>
      <c r="V325" s="41"/>
      <c r="W325" s="41">
        <f t="shared" si="32"/>
        <v>0</v>
      </c>
      <c r="X325" s="77" t="str">
        <f t="shared" si="38"/>
        <v/>
      </c>
      <c r="AG325" s="81" t="str">
        <f>IF(Data_NaamPersoonTijd302="","",Data_NaamPersoonTijd302)</f>
        <v/>
      </c>
      <c r="AH325" s="41"/>
      <c r="AI325" s="41"/>
      <c r="AJ325" s="83" t="str">
        <f>IF(Data_BeeindigingsdatumTijd302="","",Data_BeeindigingsdatumTijd302)</f>
        <v/>
      </c>
      <c r="AK325" s="41"/>
      <c r="AL325" s="41"/>
      <c r="AM325" s="82" t="str">
        <f>IF(Data_LoonkostenTijd302="","",Data_LoonkostenTijd302)</f>
        <v/>
      </c>
      <c r="AN325" s="41"/>
      <c r="AO325" s="276" t="str">
        <f>IF(Data_PersoonAanUitTijd302=-1,"v","")</f>
        <v/>
      </c>
      <c r="AP325" s="41"/>
      <c r="AQ325" s="76" t="s">
        <v>160</v>
      </c>
      <c r="AR325" s="41"/>
      <c r="AS325" s="41"/>
      <c r="AT325" s="41"/>
      <c r="AU325" s="41"/>
      <c r="AV325" s="41">
        <f t="shared" si="33"/>
        <v>0</v>
      </c>
      <c r="AW325" s="77">
        <f t="shared" si="34"/>
        <v>0</v>
      </c>
      <c r="AX325" s="41"/>
      <c r="AY325" s="41"/>
      <c r="AZ325" s="41"/>
      <c r="BA325" s="81" t="str">
        <f>IF(Data_NaamPersoonVastVrij302="","",Data_NaamPersoonVastVrij302)</f>
        <v/>
      </c>
      <c r="BB325" s="41"/>
      <c r="BC325" s="41"/>
      <c r="BD325" s="83" t="str">
        <f>IF(Data_BeeindigingsdatumVastVrij302="","",Data_BeeindigingsdatumVastVrij302)</f>
        <v/>
      </c>
      <c r="BE325" s="41"/>
      <c r="BF325" s="41"/>
      <c r="BG325" s="82" t="str">
        <f>IF(Data_LoonkostenVastVrij302="","",Data_LoonkostenVastVrij302)</f>
        <v/>
      </c>
      <c r="BH325" s="41"/>
      <c r="BI325" s="76" t="str">
        <f>IF(Data_PersoonAanUitVastVrij302=-1,"v","")</f>
        <v/>
      </c>
      <c r="BJ325" s="41"/>
      <c r="BK325" s="76" t="s">
        <v>160</v>
      </c>
      <c r="BL325" s="41"/>
      <c r="BM325" s="41"/>
      <c r="BN325" s="41"/>
      <c r="BO325" s="41"/>
      <c r="BP325" s="41">
        <f t="shared" si="35"/>
        <v>0</v>
      </c>
      <c r="BQ325" s="77">
        <f t="shared" si="36"/>
        <v>0</v>
      </c>
      <c r="BS325" s="81" t="str">
        <f>IF(Data_NaamPersoonVastOntslag302="","",Data_NaamPersoonVastOntslag302)</f>
        <v/>
      </c>
      <c r="BV325" s="83" t="str">
        <f>IF(Data_BeeindigingsdatumVastOntslag302="","",Data_BeeindigingsdatumVastOntslag302)</f>
        <v/>
      </c>
      <c r="BY325" s="82" t="str">
        <f>IF(Data_LoonkostenVastOntslag302="","",Data_LoonkostenVastOntslag302)</f>
        <v/>
      </c>
      <c r="CA325" s="76" t="str">
        <f>IF(Data_PersoonAanUitVastOntslag302=-1,"v","")</f>
        <v/>
      </c>
      <c r="CB325" s="41"/>
      <c r="CC325" s="76" t="s">
        <v>160</v>
      </c>
      <c r="CD325" s="41"/>
      <c r="CE325" s="41"/>
      <c r="CF325" s="41"/>
      <c r="CG325" s="41"/>
      <c r="CH325" s="41">
        <f t="shared" si="39"/>
        <v>0</v>
      </c>
      <c r="CI325" s="41">
        <f t="shared" si="37"/>
        <v>0</v>
      </c>
    </row>
    <row r="326" spans="8:87" x14ac:dyDescent="0.25">
      <c r="H326" s="81" t="str">
        <f>IF(Data_NaamPersoonNatVerloop303="","",Data_NaamPersoonNatVerloop303)</f>
        <v/>
      </c>
      <c r="I326" s="41"/>
      <c r="J326" s="41"/>
      <c r="K326" s="83" t="str">
        <f>IF(Data_BeeindigingsdatumNatVerloop303="","",Data_BeeindigingsdatumNatVerloop303)</f>
        <v/>
      </c>
      <c r="L326" s="41"/>
      <c r="M326" s="41"/>
      <c r="N326" s="82" t="str">
        <f>IF(Data_LoonkostenNatVerloop303="","",Data_LoonkostenNatVerloop303)</f>
        <v/>
      </c>
      <c r="O326" s="41"/>
      <c r="P326" s="276" t="s">
        <v>160</v>
      </c>
      <c r="Q326" s="41"/>
      <c r="R326" s="76" t="s">
        <v>160</v>
      </c>
      <c r="S326" s="41"/>
      <c r="T326" s="41"/>
      <c r="U326" s="41"/>
      <c r="V326" s="41"/>
      <c r="W326" s="41">
        <f t="shared" si="32"/>
        <v>0</v>
      </c>
      <c r="X326" s="77" t="str">
        <f t="shared" si="38"/>
        <v/>
      </c>
      <c r="AG326" s="81" t="str">
        <f>IF(Data_NaamPersoonTijd303="","",Data_NaamPersoonTijd303)</f>
        <v/>
      </c>
      <c r="AH326" s="41"/>
      <c r="AI326" s="41"/>
      <c r="AJ326" s="83" t="str">
        <f>IF(Data_BeeindigingsdatumTijd303="","",Data_BeeindigingsdatumTijd303)</f>
        <v/>
      </c>
      <c r="AK326" s="41"/>
      <c r="AL326" s="41"/>
      <c r="AM326" s="82" t="str">
        <f>IF(Data_LoonkostenTijd303="","",Data_LoonkostenTijd303)</f>
        <v/>
      </c>
      <c r="AN326" s="41"/>
      <c r="AO326" s="276" t="str">
        <f>IF(Data_PersoonAanUitTijd303=-1,"v","")</f>
        <v/>
      </c>
      <c r="AP326" s="41"/>
      <c r="AQ326" s="76" t="s">
        <v>160</v>
      </c>
      <c r="AR326" s="41"/>
      <c r="AS326" s="41"/>
      <c r="AT326" s="41"/>
      <c r="AU326" s="41"/>
      <c r="AV326" s="41">
        <f t="shared" si="33"/>
        <v>0</v>
      </c>
      <c r="AW326" s="77">
        <f t="shared" si="34"/>
        <v>0</v>
      </c>
      <c r="AX326" s="41"/>
      <c r="AY326" s="41"/>
      <c r="AZ326" s="41"/>
      <c r="BA326" s="81" t="str">
        <f>IF(Data_NaamPersoonVastVrij303="","",Data_NaamPersoonVastVrij303)</f>
        <v/>
      </c>
      <c r="BB326" s="41"/>
      <c r="BC326" s="41"/>
      <c r="BD326" s="83" t="str">
        <f>IF(Data_BeeindigingsdatumVastVrij303="","",Data_BeeindigingsdatumVastVrij303)</f>
        <v/>
      </c>
      <c r="BE326" s="41"/>
      <c r="BF326" s="41"/>
      <c r="BG326" s="82" t="str">
        <f>IF(Data_LoonkostenVastVrij303="","",Data_LoonkostenVastVrij303)</f>
        <v/>
      </c>
      <c r="BH326" s="41"/>
      <c r="BI326" s="76" t="str">
        <f>IF(Data_PersoonAanUitVastVrij303=-1,"v","")</f>
        <v/>
      </c>
      <c r="BJ326" s="41"/>
      <c r="BK326" s="76" t="s">
        <v>160</v>
      </c>
      <c r="BL326" s="41"/>
      <c r="BM326" s="41"/>
      <c r="BN326" s="41"/>
      <c r="BO326" s="41"/>
      <c r="BP326" s="41">
        <f t="shared" si="35"/>
        <v>0</v>
      </c>
      <c r="BQ326" s="77">
        <f t="shared" si="36"/>
        <v>0</v>
      </c>
      <c r="BS326" s="81" t="str">
        <f>IF(Data_NaamPersoonVastOntslag303="","",Data_NaamPersoonVastOntslag303)</f>
        <v/>
      </c>
      <c r="BV326" s="83" t="str">
        <f>IF(Data_BeeindigingsdatumVastOntslag303="","",Data_BeeindigingsdatumVastOntslag303)</f>
        <v/>
      </c>
      <c r="BY326" s="82" t="str">
        <f>IF(Data_LoonkostenVastOntslag303="","",Data_LoonkostenVastOntslag303)</f>
        <v/>
      </c>
      <c r="CA326" s="76" t="str">
        <f>IF(Data_PersoonAanUitVastOntslag303=-1,"v","")</f>
        <v/>
      </c>
      <c r="CB326" s="41"/>
      <c r="CC326" s="76" t="s">
        <v>160</v>
      </c>
      <c r="CD326" s="41"/>
      <c r="CE326" s="41"/>
      <c r="CF326" s="41"/>
      <c r="CG326" s="41"/>
      <c r="CH326" s="41">
        <f t="shared" si="39"/>
        <v>0</v>
      </c>
      <c r="CI326" s="41">
        <f t="shared" si="37"/>
        <v>0</v>
      </c>
    </row>
    <row r="327" spans="8:87" x14ac:dyDescent="0.25">
      <c r="H327" s="81" t="str">
        <f>IF(Data_NaamPersoonNatVerloop304="","",Data_NaamPersoonNatVerloop304)</f>
        <v/>
      </c>
      <c r="I327" s="41"/>
      <c r="J327" s="41"/>
      <c r="K327" s="83" t="str">
        <f>IF(Data_BeeindigingsdatumNatVerloop304="","",Data_BeeindigingsdatumNatVerloop304)</f>
        <v/>
      </c>
      <c r="L327" s="41"/>
      <c r="M327" s="41"/>
      <c r="N327" s="82" t="str">
        <f>IF(Data_LoonkostenNatVerloop304="","",Data_LoonkostenNatVerloop304)</f>
        <v/>
      </c>
      <c r="O327" s="41"/>
      <c r="P327" s="276" t="s">
        <v>160</v>
      </c>
      <c r="Q327" s="41"/>
      <c r="R327" s="76" t="s">
        <v>160</v>
      </c>
      <c r="S327" s="41"/>
      <c r="T327" s="41"/>
      <c r="U327" s="41"/>
      <c r="V327" s="41"/>
      <c r="W327" s="41">
        <f t="shared" si="32"/>
        <v>0</v>
      </c>
      <c r="X327" s="77" t="str">
        <f t="shared" si="38"/>
        <v/>
      </c>
      <c r="AG327" s="81" t="str">
        <f>IF(Data_NaamPersoonTijd304="","",Data_NaamPersoonTijd304)</f>
        <v/>
      </c>
      <c r="AH327" s="41"/>
      <c r="AI327" s="41"/>
      <c r="AJ327" s="83" t="str">
        <f>IF(Data_BeeindigingsdatumTijd304="","",Data_BeeindigingsdatumTijd304)</f>
        <v/>
      </c>
      <c r="AK327" s="41"/>
      <c r="AL327" s="41"/>
      <c r="AM327" s="82" t="str">
        <f>IF(Data_LoonkostenTijd304="","",Data_LoonkostenTijd304)</f>
        <v/>
      </c>
      <c r="AN327" s="41"/>
      <c r="AO327" s="276" t="str">
        <f>IF(Data_PersoonAanUitTijd304=-1,"v","")</f>
        <v/>
      </c>
      <c r="AP327" s="41"/>
      <c r="AQ327" s="76" t="s">
        <v>160</v>
      </c>
      <c r="AR327" s="41"/>
      <c r="AS327" s="41"/>
      <c r="AT327" s="41"/>
      <c r="AU327" s="41"/>
      <c r="AV327" s="41">
        <f t="shared" si="33"/>
        <v>0</v>
      </c>
      <c r="AW327" s="77">
        <f t="shared" si="34"/>
        <v>0</v>
      </c>
      <c r="AX327" s="41"/>
      <c r="AY327" s="41"/>
      <c r="AZ327" s="41"/>
      <c r="BA327" s="81" t="str">
        <f>IF(Data_NaamPersoonVastVrij304="","",Data_NaamPersoonVastVrij304)</f>
        <v/>
      </c>
      <c r="BB327" s="41"/>
      <c r="BC327" s="41"/>
      <c r="BD327" s="83" t="str">
        <f>IF(Data_BeeindigingsdatumVastVrij304="","",Data_BeeindigingsdatumVastVrij304)</f>
        <v/>
      </c>
      <c r="BE327" s="41"/>
      <c r="BF327" s="41"/>
      <c r="BG327" s="82" t="str">
        <f>IF(Data_LoonkostenVastVrij304="","",Data_LoonkostenVastVrij304)</f>
        <v/>
      </c>
      <c r="BH327" s="41"/>
      <c r="BI327" s="76" t="str">
        <f>IF(Data_PersoonAanUitVastVrij304=-1,"v","")</f>
        <v/>
      </c>
      <c r="BJ327" s="41"/>
      <c r="BK327" s="76" t="s">
        <v>160</v>
      </c>
      <c r="BL327" s="41"/>
      <c r="BM327" s="41"/>
      <c r="BN327" s="41"/>
      <c r="BO327" s="41"/>
      <c r="BP327" s="41">
        <f t="shared" si="35"/>
        <v>0</v>
      </c>
      <c r="BQ327" s="77">
        <f t="shared" si="36"/>
        <v>0</v>
      </c>
      <c r="BS327" s="81" t="str">
        <f>IF(Data_NaamPersoonVastOntslag304="","",Data_NaamPersoonVastOntslag304)</f>
        <v/>
      </c>
      <c r="BV327" s="83" t="str">
        <f>IF(Data_BeeindigingsdatumVastOntslag304="","",Data_BeeindigingsdatumVastOntslag304)</f>
        <v/>
      </c>
      <c r="BY327" s="82" t="str">
        <f>IF(Data_LoonkostenVastOntslag304="","",Data_LoonkostenVastOntslag304)</f>
        <v/>
      </c>
      <c r="CA327" s="76" t="str">
        <f>IF(Data_PersoonAanUitVastOntslag304=-1,"v","")</f>
        <v/>
      </c>
      <c r="CB327" s="41"/>
      <c r="CC327" s="76" t="s">
        <v>160</v>
      </c>
      <c r="CD327" s="41"/>
      <c r="CE327" s="41"/>
      <c r="CF327" s="41"/>
      <c r="CG327" s="41"/>
      <c r="CH327" s="41">
        <f t="shared" si="39"/>
        <v>0</v>
      </c>
      <c r="CI327" s="41">
        <f t="shared" si="37"/>
        <v>0</v>
      </c>
    </row>
    <row r="328" spans="8:87" x14ac:dyDescent="0.25">
      <c r="H328" s="81" t="str">
        <f>IF(Data_NaamPersoonNatVerloop305="","",Data_NaamPersoonNatVerloop305)</f>
        <v/>
      </c>
      <c r="I328" s="41"/>
      <c r="J328" s="41"/>
      <c r="K328" s="83" t="str">
        <f>IF(Data_BeeindigingsdatumNatVerloop305="","",Data_BeeindigingsdatumNatVerloop305)</f>
        <v/>
      </c>
      <c r="L328" s="41"/>
      <c r="M328" s="41"/>
      <c r="N328" s="82" t="str">
        <f>IF(Data_LoonkostenNatVerloop305="","",Data_LoonkostenNatVerloop305)</f>
        <v/>
      </c>
      <c r="O328" s="41"/>
      <c r="P328" s="276" t="s">
        <v>160</v>
      </c>
      <c r="Q328" s="41"/>
      <c r="R328" s="76" t="s">
        <v>160</v>
      </c>
      <c r="S328" s="41"/>
      <c r="T328" s="41"/>
      <c r="U328" s="41"/>
      <c r="V328" s="41"/>
      <c r="W328" s="41">
        <f t="shared" si="32"/>
        <v>0</v>
      </c>
      <c r="X328" s="77" t="str">
        <f t="shared" si="38"/>
        <v/>
      </c>
      <c r="AG328" s="81" t="str">
        <f>IF(Data_NaamPersoonTijd305="","",Data_NaamPersoonTijd305)</f>
        <v/>
      </c>
      <c r="AH328" s="41"/>
      <c r="AI328" s="41"/>
      <c r="AJ328" s="83" t="str">
        <f>IF(Data_BeeindigingsdatumTijd305="","",Data_BeeindigingsdatumTijd305)</f>
        <v/>
      </c>
      <c r="AK328" s="41"/>
      <c r="AL328" s="41"/>
      <c r="AM328" s="82" t="str">
        <f>IF(Data_LoonkostenTijd305="","",Data_LoonkostenTijd305)</f>
        <v/>
      </c>
      <c r="AN328" s="41"/>
      <c r="AO328" s="276" t="str">
        <f>IF(Data_PersoonAanUitTijd305=-1,"v","")</f>
        <v/>
      </c>
      <c r="AP328" s="41"/>
      <c r="AQ328" s="76" t="s">
        <v>160</v>
      </c>
      <c r="AR328" s="41"/>
      <c r="AS328" s="41"/>
      <c r="AT328" s="41"/>
      <c r="AU328" s="41"/>
      <c r="AV328" s="41">
        <f t="shared" si="33"/>
        <v>0</v>
      </c>
      <c r="AW328" s="77">
        <f t="shared" si="34"/>
        <v>0</v>
      </c>
      <c r="AX328" s="41"/>
      <c r="AY328" s="41"/>
      <c r="AZ328" s="41"/>
      <c r="BA328" s="81" t="str">
        <f>IF(Data_NaamPersoonVastVrij305="","",Data_NaamPersoonVastVrij305)</f>
        <v/>
      </c>
      <c r="BB328" s="41"/>
      <c r="BC328" s="41"/>
      <c r="BD328" s="83" t="str">
        <f>IF(Data_BeeindigingsdatumVastVrij305="","",Data_BeeindigingsdatumVastVrij305)</f>
        <v/>
      </c>
      <c r="BE328" s="41"/>
      <c r="BF328" s="41"/>
      <c r="BG328" s="82" t="str">
        <f>IF(Data_LoonkostenVastVrij305="","",Data_LoonkostenVastVrij305)</f>
        <v/>
      </c>
      <c r="BH328" s="41"/>
      <c r="BI328" s="76" t="str">
        <f>IF(Data_PersoonAanUitVastVrij305=-1,"v","")</f>
        <v/>
      </c>
      <c r="BJ328" s="41"/>
      <c r="BK328" s="76" t="s">
        <v>160</v>
      </c>
      <c r="BL328" s="41"/>
      <c r="BM328" s="41"/>
      <c r="BN328" s="41"/>
      <c r="BO328" s="41"/>
      <c r="BP328" s="41">
        <f t="shared" si="35"/>
        <v>0</v>
      </c>
      <c r="BQ328" s="77">
        <f t="shared" si="36"/>
        <v>0</v>
      </c>
      <c r="BS328" s="81" t="str">
        <f>IF(Data_NaamPersoonVastOntslag305="","",Data_NaamPersoonVastOntslag305)</f>
        <v/>
      </c>
      <c r="BV328" s="83" t="str">
        <f>IF(Data_BeeindigingsdatumVastOntslag305="","",Data_BeeindigingsdatumVastOntslag305)</f>
        <v/>
      </c>
      <c r="BY328" s="82" t="str">
        <f>IF(Data_LoonkostenVastOntslag305="","",Data_LoonkostenVastOntslag305)</f>
        <v/>
      </c>
      <c r="CA328" s="76" t="str">
        <f>IF(Data_PersoonAanUitVastOntslag305=-1,"v","")</f>
        <v/>
      </c>
      <c r="CB328" s="41"/>
      <c r="CC328" s="76" t="s">
        <v>160</v>
      </c>
      <c r="CD328" s="41"/>
      <c r="CE328" s="41"/>
      <c r="CF328" s="41"/>
      <c r="CG328" s="41"/>
      <c r="CH328" s="41">
        <f t="shared" si="39"/>
        <v>0</v>
      </c>
      <c r="CI328" s="41">
        <f t="shared" si="37"/>
        <v>0</v>
      </c>
    </row>
    <row r="329" spans="8:87" x14ac:dyDescent="0.25">
      <c r="H329" s="81" t="str">
        <f>IF(Data_NaamPersoonNatVerloop306="","",Data_NaamPersoonNatVerloop306)</f>
        <v/>
      </c>
      <c r="I329" s="41"/>
      <c r="J329" s="41"/>
      <c r="K329" s="83" t="str">
        <f>IF(Data_BeeindigingsdatumNatVerloop306="","",Data_BeeindigingsdatumNatVerloop306)</f>
        <v/>
      </c>
      <c r="L329" s="41"/>
      <c r="M329" s="41"/>
      <c r="N329" s="82" t="str">
        <f>IF(Data_LoonkostenNatVerloop306="","",Data_LoonkostenNatVerloop306)</f>
        <v/>
      </c>
      <c r="O329" s="41"/>
      <c r="P329" s="276" t="s">
        <v>160</v>
      </c>
      <c r="Q329" s="41"/>
      <c r="R329" s="76" t="s">
        <v>160</v>
      </c>
      <c r="S329" s="41"/>
      <c r="T329" s="41"/>
      <c r="U329" s="41"/>
      <c r="V329" s="41"/>
      <c r="W329" s="41">
        <f t="shared" si="32"/>
        <v>0</v>
      </c>
      <c r="X329" s="77" t="str">
        <f t="shared" si="38"/>
        <v/>
      </c>
      <c r="AG329" s="81" t="str">
        <f>IF(Data_NaamPersoonTijd306="","",Data_NaamPersoonTijd306)</f>
        <v/>
      </c>
      <c r="AH329" s="41"/>
      <c r="AI329" s="41"/>
      <c r="AJ329" s="83" t="str">
        <f>IF(Data_BeeindigingsdatumTijd306="","",Data_BeeindigingsdatumTijd306)</f>
        <v/>
      </c>
      <c r="AK329" s="41"/>
      <c r="AL329" s="41"/>
      <c r="AM329" s="82" t="str">
        <f>IF(Data_LoonkostenTijd306="","",Data_LoonkostenTijd306)</f>
        <v/>
      </c>
      <c r="AN329" s="41"/>
      <c r="AO329" s="276" t="str">
        <f>IF(Data_PersoonAanUitTijd306=-1,"v","")</f>
        <v/>
      </c>
      <c r="AP329" s="41"/>
      <c r="AQ329" s="76" t="s">
        <v>160</v>
      </c>
      <c r="AR329" s="41"/>
      <c r="AS329" s="41"/>
      <c r="AT329" s="41"/>
      <c r="AU329" s="41"/>
      <c r="AV329" s="41">
        <f t="shared" si="33"/>
        <v>0</v>
      </c>
      <c r="AW329" s="77">
        <f t="shared" si="34"/>
        <v>0</v>
      </c>
      <c r="AX329" s="41"/>
      <c r="AY329" s="41"/>
      <c r="AZ329" s="41"/>
      <c r="BA329" s="81" t="str">
        <f>IF(Data_NaamPersoonVastVrij306="","",Data_NaamPersoonVastVrij306)</f>
        <v/>
      </c>
      <c r="BB329" s="41"/>
      <c r="BC329" s="41"/>
      <c r="BD329" s="83" t="str">
        <f>IF(Data_BeeindigingsdatumVastVrij306="","",Data_BeeindigingsdatumVastVrij306)</f>
        <v/>
      </c>
      <c r="BE329" s="41"/>
      <c r="BF329" s="41"/>
      <c r="BG329" s="82" t="str">
        <f>IF(Data_LoonkostenVastVrij306="","",Data_LoonkostenVastVrij306)</f>
        <v/>
      </c>
      <c r="BH329" s="41"/>
      <c r="BI329" s="76" t="str">
        <f>IF(Data_PersoonAanUitVastVrij306=-1,"v","")</f>
        <v/>
      </c>
      <c r="BJ329" s="41"/>
      <c r="BK329" s="76" t="s">
        <v>160</v>
      </c>
      <c r="BL329" s="41"/>
      <c r="BM329" s="41"/>
      <c r="BN329" s="41"/>
      <c r="BO329" s="41"/>
      <c r="BP329" s="41">
        <f t="shared" si="35"/>
        <v>0</v>
      </c>
      <c r="BQ329" s="77">
        <f t="shared" si="36"/>
        <v>0</v>
      </c>
      <c r="BS329" s="81" t="str">
        <f>IF(Data_NaamPersoonVastOntslag306="","",Data_NaamPersoonVastOntslag306)</f>
        <v/>
      </c>
      <c r="BV329" s="83" t="str">
        <f>IF(Data_BeeindigingsdatumVastOntslag306="","",Data_BeeindigingsdatumVastOntslag306)</f>
        <v/>
      </c>
      <c r="BY329" s="82" t="str">
        <f>IF(Data_LoonkostenVastOntslag306="","",Data_LoonkostenVastOntslag306)</f>
        <v/>
      </c>
      <c r="CA329" s="76" t="str">
        <f>IF(Data_PersoonAanUitVastOntslag306=-1,"v","")</f>
        <v/>
      </c>
      <c r="CB329" s="41"/>
      <c r="CC329" s="76" t="s">
        <v>160</v>
      </c>
      <c r="CD329" s="41"/>
      <c r="CE329" s="41"/>
      <c r="CF329" s="41"/>
      <c r="CG329" s="41"/>
      <c r="CH329" s="41">
        <f t="shared" si="39"/>
        <v>0</v>
      </c>
      <c r="CI329" s="41">
        <f t="shared" si="37"/>
        <v>0</v>
      </c>
    </row>
    <row r="330" spans="8:87" x14ac:dyDescent="0.25">
      <c r="H330" s="81" t="str">
        <f>IF(Data_NaamPersoonNatVerloop307="","",Data_NaamPersoonNatVerloop307)</f>
        <v/>
      </c>
      <c r="I330" s="41"/>
      <c r="J330" s="41"/>
      <c r="K330" s="83" t="str">
        <f>IF(Data_BeeindigingsdatumNatVerloop307="","",Data_BeeindigingsdatumNatVerloop307)</f>
        <v/>
      </c>
      <c r="L330" s="41"/>
      <c r="M330" s="41"/>
      <c r="N330" s="82" t="str">
        <f>IF(Data_LoonkostenNatVerloop307="","",Data_LoonkostenNatVerloop307)</f>
        <v/>
      </c>
      <c r="O330" s="41"/>
      <c r="P330" s="276" t="s">
        <v>160</v>
      </c>
      <c r="Q330" s="41"/>
      <c r="R330" s="76" t="s">
        <v>160</v>
      </c>
      <c r="S330" s="41"/>
      <c r="T330" s="41"/>
      <c r="U330" s="41"/>
      <c r="V330" s="41"/>
      <c r="W330" s="41">
        <f t="shared" si="32"/>
        <v>0</v>
      </c>
      <c r="X330" s="77" t="str">
        <f t="shared" si="38"/>
        <v/>
      </c>
      <c r="AG330" s="81" t="str">
        <f>IF(Data_NaamPersoonTijd307="","",Data_NaamPersoonTijd307)</f>
        <v/>
      </c>
      <c r="AH330" s="41"/>
      <c r="AI330" s="41"/>
      <c r="AJ330" s="83" t="str">
        <f>IF(Data_BeeindigingsdatumTijd307="","",Data_BeeindigingsdatumTijd307)</f>
        <v/>
      </c>
      <c r="AK330" s="41"/>
      <c r="AL330" s="41"/>
      <c r="AM330" s="82" t="str">
        <f>IF(Data_LoonkostenTijd307="","",Data_LoonkostenTijd307)</f>
        <v/>
      </c>
      <c r="AN330" s="41"/>
      <c r="AO330" s="276" t="str">
        <f>IF(Data_PersoonAanUitTijd307=-1,"v","")</f>
        <v/>
      </c>
      <c r="AP330" s="41"/>
      <c r="AQ330" s="76" t="s">
        <v>160</v>
      </c>
      <c r="AR330" s="41"/>
      <c r="AS330" s="41"/>
      <c r="AT330" s="41"/>
      <c r="AU330" s="41"/>
      <c r="AV330" s="41">
        <f t="shared" si="33"/>
        <v>0</v>
      </c>
      <c r="AW330" s="77">
        <f t="shared" si="34"/>
        <v>0</v>
      </c>
      <c r="AX330" s="41"/>
      <c r="AY330" s="41"/>
      <c r="AZ330" s="41"/>
      <c r="BA330" s="81" t="str">
        <f>IF(Data_NaamPersoonVastVrij307="","",Data_NaamPersoonVastVrij307)</f>
        <v/>
      </c>
      <c r="BB330" s="41"/>
      <c r="BC330" s="41"/>
      <c r="BD330" s="83" t="str">
        <f>IF(Data_BeeindigingsdatumVastVrij307="","",Data_BeeindigingsdatumVastVrij307)</f>
        <v/>
      </c>
      <c r="BE330" s="41"/>
      <c r="BF330" s="41"/>
      <c r="BG330" s="82" t="str">
        <f>IF(Data_LoonkostenVastVrij307="","",Data_LoonkostenVastVrij307)</f>
        <v/>
      </c>
      <c r="BH330" s="41"/>
      <c r="BI330" s="76" t="str">
        <f>IF(Data_PersoonAanUitVastVrij307=-1,"v","")</f>
        <v/>
      </c>
      <c r="BJ330" s="41"/>
      <c r="BK330" s="76" t="s">
        <v>160</v>
      </c>
      <c r="BL330" s="41"/>
      <c r="BM330" s="41"/>
      <c r="BN330" s="41"/>
      <c r="BO330" s="41"/>
      <c r="BP330" s="41">
        <f t="shared" si="35"/>
        <v>0</v>
      </c>
      <c r="BQ330" s="77">
        <f t="shared" si="36"/>
        <v>0</v>
      </c>
      <c r="BS330" s="81" t="str">
        <f>IF(Data_NaamPersoonVastOntslag307="","",Data_NaamPersoonVastOntslag307)</f>
        <v/>
      </c>
      <c r="BV330" s="83" t="str">
        <f>IF(Data_BeeindigingsdatumVastOntslag307="","",Data_BeeindigingsdatumVastOntslag307)</f>
        <v/>
      </c>
      <c r="BY330" s="82" t="str">
        <f>IF(Data_LoonkostenVastOntslag307="","",Data_LoonkostenVastOntslag307)</f>
        <v/>
      </c>
      <c r="CA330" s="76" t="str">
        <f>IF(Data_PersoonAanUitVastOntslag307=-1,"v","")</f>
        <v/>
      </c>
      <c r="CB330" s="41"/>
      <c r="CC330" s="76" t="s">
        <v>160</v>
      </c>
      <c r="CD330" s="41"/>
      <c r="CE330" s="41"/>
      <c r="CF330" s="41"/>
      <c r="CG330" s="41"/>
      <c r="CH330" s="41">
        <f t="shared" si="39"/>
        <v>0</v>
      </c>
      <c r="CI330" s="41">
        <f t="shared" si="37"/>
        <v>0</v>
      </c>
    </row>
    <row r="331" spans="8:87" x14ac:dyDescent="0.25">
      <c r="H331" s="81" t="str">
        <f>IF(Data_NaamPersoonNatVerloop308="","",Data_NaamPersoonNatVerloop308)</f>
        <v/>
      </c>
      <c r="I331" s="41"/>
      <c r="J331" s="41"/>
      <c r="K331" s="83" t="str">
        <f>IF(Data_BeeindigingsdatumNatVerloop308="","",Data_BeeindigingsdatumNatVerloop308)</f>
        <v/>
      </c>
      <c r="L331" s="41"/>
      <c r="M331" s="41"/>
      <c r="N331" s="82" t="str">
        <f>IF(Data_LoonkostenNatVerloop308="","",Data_LoonkostenNatVerloop308)</f>
        <v/>
      </c>
      <c r="O331" s="41"/>
      <c r="P331" s="276" t="s">
        <v>160</v>
      </c>
      <c r="Q331" s="41"/>
      <c r="R331" s="76" t="s">
        <v>160</v>
      </c>
      <c r="S331" s="41"/>
      <c r="T331" s="41"/>
      <c r="U331" s="41"/>
      <c r="V331" s="41"/>
      <c r="W331" s="41">
        <f t="shared" si="32"/>
        <v>0</v>
      </c>
      <c r="X331" s="77" t="str">
        <f t="shared" si="38"/>
        <v/>
      </c>
      <c r="AG331" s="81" t="str">
        <f>IF(Data_NaamPersoonTijd308="","",Data_NaamPersoonTijd308)</f>
        <v/>
      </c>
      <c r="AH331" s="41"/>
      <c r="AI331" s="41"/>
      <c r="AJ331" s="83" t="str">
        <f>IF(Data_BeeindigingsdatumTijd308="","",Data_BeeindigingsdatumTijd308)</f>
        <v/>
      </c>
      <c r="AK331" s="41"/>
      <c r="AL331" s="41"/>
      <c r="AM331" s="82" t="str">
        <f>IF(Data_LoonkostenTijd308="","",Data_LoonkostenTijd308)</f>
        <v/>
      </c>
      <c r="AN331" s="41"/>
      <c r="AO331" s="276" t="str">
        <f>IF(Data_PersoonAanUitTijd308=-1,"v","")</f>
        <v/>
      </c>
      <c r="AP331" s="41"/>
      <c r="AQ331" s="76" t="s">
        <v>160</v>
      </c>
      <c r="AR331" s="41"/>
      <c r="AS331" s="41"/>
      <c r="AT331" s="41"/>
      <c r="AU331" s="41"/>
      <c r="AV331" s="41">
        <f t="shared" si="33"/>
        <v>0</v>
      </c>
      <c r="AW331" s="77">
        <f t="shared" si="34"/>
        <v>0</v>
      </c>
      <c r="AX331" s="41"/>
      <c r="AY331" s="41"/>
      <c r="AZ331" s="41"/>
      <c r="BA331" s="81" t="str">
        <f>IF(Data_NaamPersoonVastVrij308="","",Data_NaamPersoonVastVrij308)</f>
        <v/>
      </c>
      <c r="BB331" s="41"/>
      <c r="BC331" s="41"/>
      <c r="BD331" s="83" t="str">
        <f>IF(Data_BeeindigingsdatumVastVrij308="","",Data_BeeindigingsdatumVastVrij308)</f>
        <v/>
      </c>
      <c r="BE331" s="41"/>
      <c r="BF331" s="41"/>
      <c r="BG331" s="82" t="str">
        <f>IF(Data_LoonkostenVastVrij308="","",Data_LoonkostenVastVrij308)</f>
        <v/>
      </c>
      <c r="BH331" s="41"/>
      <c r="BI331" s="76" t="str">
        <f>IF(Data_PersoonAanUitVastVrij308=-1,"v","")</f>
        <v/>
      </c>
      <c r="BJ331" s="41"/>
      <c r="BK331" s="76" t="s">
        <v>160</v>
      </c>
      <c r="BL331" s="41"/>
      <c r="BM331" s="41"/>
      <c r="BN331" s="41"/>
      <c r="BO331" s="41"/>
      <c r="BP331" s="41">
        <f t="shared" si="35"/>
        <v>0</v>
      </c>
      <c r="BQ331" s="77">
        <f t="shared" si="36"/>
        <v>0</v>
      </c>
      <c r="BS331" s="81" t="str">
        <f>IF(Data_NaamPersoonVastOntslag308="","",Data_NaamPersoonVastOntslag308)</f>
        <v/>
      </c>
      <c r="BV331" s="83" t="str">
        <f>IF(Data_BeeindigingsdatumVastOntslag308="","",Data_BeeindigingsdatumVastOntslag308)</f>
        <v/>
      </c>
      <c r="BY331" s="82" t="str">
        <f>IF(Data_LoonkostenVastOntslag308="","",Data_LoonkostenVastOntslag308)</f>
        <v/>
      </c>
      <c r="CA331" s="76" t="str">
        <f>IF(Data_PersoonAanUitVastOntslag308=-1,"v","")</f>
        <v/>
      </c>
      <c r="CB331" s="41"/>
      <c r="CC331" s="76" t="s">
        <v>160</v>
      </c>
      <c r="CD331" s="41"/>
      <c r="CE331" s="41"/>
      <c r="CF331" s="41"/>
      <c r="CG331" s="41"/>
      <c r="CH331" s="41">
        <f t="shared" si="39"/>
        <v>0</v>
      </c>
      <c r="CI331" s="41">
        <f t="shared" si="37"/>
        <v>0</v>
      </c>
    </row>
    <row r="332" spans="8:87" x14ac:dyDescent="0.25">
      <c r="H332" s="81" t="str">
        <f>IF(Data_NaamPersoonNatVerloop309="","",Data_NaamPersoonNatVerloop309)</f>
        <v/>
      </c>
      <c r="I332" s="41"/>
      <c r="J332" s="41"/>
      <c r="K332" s="83" t="str">
        <f>IF(Data_BeeindigingsdatumNatVerloop309="","",Data_BeeindigingsdatumNatVerloop309)</f>
        <v/>
      </c>
      <c r="L332" s="41"/>
      <c r="M332" s="41"/>
      <c r="N332" s="82" t="str">
        <f>IF(Data_LoonkostenNatVerloop309="","",Data_LoonkostenNatVerloop309)</f>
        <v/>
      </c>
      <c r="O332" s="41"/>
      <c r="P332" s="276" t="s">
        <v>160</v>
      </c>
      <c r="Q332" s="41"/>
      <c r="R332" s="76" t="s">
        <v>160</v>
      </c>
      <c r="S332" s="41"/>
      <c r="T332" s="41"/>
      <c r="U332" s="41"/>
      <c r="V332" s="41"/>
      <c r="W332" s="41">
        <f t="shared" si="32"/>
        <v>0</v>
      </c>
      <c r="X332" s="77" t="str">
        <f t="shared" si="38"/>
        <v/>
      </c>
      <c r="AG332" s="81" t="str">
        <f>IF(Data_NaamPersoonTijd309="","",Data_NaamPersoonTijd309)</f>
        <v/>
      </c>
      <c r="AH332" s="41"/>
      <c r="AI332" s="41"/>
      <c r="AJ332" s="83" t="str">
        <f>IF(Data_BeeindigingsdatumTijd309="","",Data_BeeindigingsdatumTijd309)</f>
        <v/>
      </c>
      <c r="AK332" s="41"/>
      <c r="AL332" s="41"/>
      <c r="AM332" s="82" t="str">
        <f>IF(Data_LoonkostenTijd309="","",Data_LoonkostenTijd309)</f>
        <v/>
      </c>
      <c r="AN332" s="41"/>
      <c r="AO332" s="276" t="str">
        <f>IF(Data_PersoonAanUitTijd309=-1,"v","")</f>
        <v/>
      </c>
      <c r="AP332" s="41"/>
      <c r="AQ332" s="76" t="s">
        <v>160</v>
      </c>
      <c r="AR332" s="41"/>
      <c r="AS332" s="41"/>
      <c r="AT332" s="41"/>
      <c r="AU332" s="41"/>
      <c r="AV332" s="41">
        <f t="shared" si="33"/>
        <v>0</v>
      </c>
      <c r="AW332" s="77">
        <f t="shared" si="34"/>
        <v>0</v>
      </c>
      <c r="AX332" s="41"/>
      <c r="AY332" s="41"/>
      <c r="AZ332" s="41"/>
      <c r="BA332" s="81" t="str">
        <f>IF(Data_NaamPersoonVastVrij309="","",Data_NaamPersoonVastVrij309)</f>
        <v/>
      </c>
      <c r="BB332" s="41"/>
      <c r="BC332" s="41"/>
      <c r="BD332" s="83" t="str">
        <f>IF(Data_BeeindigingsdatumVastVrij309="","",Data_BeeindigingsdatumVastVrij309)</f>
        <v/>
      </c>
      <c r="BE332" s="41"/>
      <c r="BF332" s="41"/>
      <c r="BG332" s="82" t="str">
        <f>IF(Data_LoonkostenVastVrij309="","",Data_LoonkostenVastVrij309)</f>
        <v/>
      </c>
      <c r="BH332" s="41"/>
      <c r="BI332" s="76" t="str">
        <f>IF(Data_PersoonAanUitVastVrij309=-1,"v","")</f>
        <v/>
      </c>
      <c r="BJ332" s="41"/>
      <c r="BK332" s="76" t="s">
        <v>160</v>
      </c>
      <c r="BL332" s="41"/>
      <c r="BM332" s="41"/>
      <c r="BN332" s="41"/>
      <c r="BO332" s="41"/>
      <c r="BP332" s="41">
        <f t="shared" si="35"/>
        <v>0</v>
      </c>
      <c r="BQ332" s="77">
        <f t="shared" si="36"/>
        <v>0</v>
      </c>
      <c r="BS332" s="81" t="str">
        <f>IF(Data_NaamPersoonVastOntslag309="","",Data_NaamPersoonVastOntslag309)</f>
        <v/>
      </c>
      <c r="BV332" s="83" t="str">
        <f>IF(Data_BeeindigingsdatumVastOntslag309="","",Data_BeeindigingsdatumVastOntslag309)</f>
        <v/>
      </c>
      <c r="BY332" s="82" t="str">
        <f>IF(Data_LoonkostenVastOntslag309="","",Data_LoonkostenVastOntslag309)</f>
        <v/>
      </c>
      <c r="CA332" s="76" t="str">
        <f>IF(Data_PersoonAanUitVastOntslag309=-1,"v","")</f>
        <v/>
      </c>
      <c r="CB332" s="41"/>
      <c r="CC332" s="76" t="s">
        <v>160</v>
      </c>
      <c r="CD332" s="41"/>
      <c r="CE332" s="41"/>
      <c r="CF332" s="41"/>
      <c r="CG332" s="41"/>
      <c r="CH332" s="41">
        <f t="shared" si="39"/>
        <v>0</v>
      </c>
      <c r="CI332" s="41">
        <f t="shared" si="37"/>
        <v>0</v>
      </c>
    </row>
    <row r="333" spans="8:87" x14ac:dyDescent="0.25">
      <c r="H333" s="81" t="str">
        <f>IF(Data_NaamPersoonNatVerloop310="","",Data_NaamPersoonNatVerloop310)</f>
        <v/>
      </c>
      <c r="I333" s="41"/>
      <c r="J333" s="41"/>
      <c r="K333" s="83" t="str">
        <f>IF(Data_BeeindigingsdatumNatVerloop310="","",Data_BeeindigingsdatumNatVerloop310)</f>
        <v/>
      </c>
      <c r="L333" s="41"/>
      <c r="M333" s="41"/>
      <c r="N333" s="82" t="str">
        <f>IF(Data_LoonkostenNatVerloop310="","",Data_LoonkostenNatVerloop310)</f>
        <v/>
      </c>
      <c r="O333" s="41"/>
      <c r="P333" s="276" t="s">
        <v>160</v>
      </c>
      <c r="Q333" s="41"/>
      <c r="R333" s="76" t="s">
        <v>160</v>
      </c>
      <c r="S333" s="41"/>
      <c r="T333" s="41"/>
      <c r="U333" s="41"/>
      <c r="V333" s="41"/>
      <c r="W333" s="41">
        <f t="shared" si="32"/>
        <v>0</v>
      </c>
      <c r="X333" s="77" t="str">
        <f t="shared" si="38"/>
        <v/>
      </c>
      <c r="AG333" s="81" t="str">
        <f>IF(Data_NaamPersoonTijd310="","",Data_NaamPersoonTijd310)</f>
        <v/>
      </c>
      <c r="AH333" s="41"/>
      <c r="AI333" s="41"/>
      <c r="AJ333" s="83" t="str">
        <f>IF(Data_BeeindigingsdatumTijd310="","",Data_BeeindigingsdatumTijd310)</f>
        <v/>
      </c>
      <c r="AK333" s="41"/>
      <c r="AL333" s="41"/>
      <c r="AM333" s="82" t="str">
        <f>IF(Data_LoonkostenTijd310="","",Data_LoonkostenTijd310)</f>
        <v/>
      </c>
      <c r="AN333" s="41"/>
      <c r="AO333" s="276" t="str">
        <f>IF(Data_PersoonAanUitTijd310=-1,"v","")</f>
        <v/>
      </c>
      <c r="AP333" s="41"/>
      <c r="AQ333" s="76" t="s">
        <v>160</v>
      </c>
      <c r="AR333" s="41"/>
      <c r="AS333" s="41"/>
      <c r="AT333" s="41"/>
      <c r="AU333" s="41"/>
      <c r="AV333" s="41">
        <f t="shared" si="33"/>
        <v>0</v>
      </c>
      <c r="AW333" s="77">
        <f t="shared" si="34"/>
        <v>0</v>
      </c>
      <c r="AX333" s="41"/>
      <c r="AY333" s="41"/>
      <c r="AZ333" s="41"/>
      <c r="BA333" s="81" t="str">
        <f>IF(Data_NaamPersoonVastVrij310="","",Data_NaamPersoonVastVrij310)</f>
        <v/>
      </c>
      <c r="BB333" s="41"/>
      <c r="BC333" s="41"/>
      <c r="BD333" s="83" t="str">
        <f>IF(Data_BeeindigingsdatumVastVrij310="","",Data_BeeindigingsdatumVastVrij310)</f>
        <v/>
      </c>
      <c r="BE333" s="41"/>
      <c r="BF333" s="41"/>
      <c r="BG333" s="82" t="str">
        <f>IF(Data_LoonkostenVastVrij310="","",Data_LoonkostenVastVrij310)</f>
        <v/>
      </c>
      <c r="BH333" s="41"/>
      <c r="BI333" s="76" t="str">
        <f>IF(Data_PersoonAanUitVastVrij310=-1,"v","")</f>
        <v/>
      </c>
      <c r="BJ333" s="41"/>
      <c r="BK333" s="76" t="s">
        <v>160</v>
      </c>
      <c r="BL333" s="41"/>
      <c r="BM333" s="41"/>
      <c r="BN333" s="41"/>
      <c r="BO333" s="41"/>
      <c r="BP333" s="41">
        <f t="shared" si="35"/>
        <v>0</v>
      </c>
      <c r="BQ333" s="77">
        <f t="shared" si="36"/>
        <v>0</v>
      </c>
      <c r="BS333" s="81" t="str">
        <f>IF(Data_NaamPersoonVastOntslag310="","",Data_NaamPersoonVastOntslag310)</f>
        <v/>
      </c>
      <c r="BV333" s="83" t="str">
        <f>IF(Data_BeeindigingsdatumVastOntslag310="","",Data_BeeindigingsdatumVastOntslag310)</f>
        <v/>
      </c>
      <c r="BY333" s="82" t="str">
        <f>IF(Data_LoonkostenVastOntslag310="","",Data_LoonkostenVastOntslag310)</f>
        <v/>
      </c>
      <c r="CA333" s="76" t="str">
        <f>IF(Data_PersoonAanUitVastOntslag310=-1,"v","")</f>
        <v/>
      </c>
      <c r="CB333" s="41"/>
      <c r="CC333" s="76" t="s">
        <v>160</v>
      </c>
      <c r="CD333" s="41"/>
      <c r="CE333" s="41"/>
      <c r="CF333" s="41"/>
      <c r="CG333" s="41"/>
      <c r="CH333" s="41">
        <f t="shared" si="39"/>
        <v>0</v>
      </c>
      <c r="CI333" s="41">
        <f t="shared" si="37"/>
        <v>0</v>
      </c>
    </row>
    <row r="334" spans="8:87" x14ac:dyDescent="0.25">
      <c r="H334" s="81" t="str">
        <f>IF(Data_NaamPersoonNatVerloop311="","",Data_NaamPersoonNatVerloop311)</f>
        <v/>
      </c>
      <c r="I334" s="41"/>
      <c r="J334" s="41"/>
      <c r="K334" s="83" t="str">
        <f>IF(Data_BeeindigingsdatumNatVerloop311="","",Data_BeeindigingsdatumNatVerloop311)</f>
        <v/>
      </c>
      <c r="L334" s="41"/>
      <c r="M334" s="41"/>
      <c r="N334" s="82" t="str">
        <f>IF(Data_LoonkostenNatVerloop311="","",Data_LoonkostenNatVerloop311)</f>
        <v/>
      </c>
      <c r="O334" s="41"/>
      <c r="P334" s="276" t="s">
        <v>160</v>
      </c>
      <c r="Q334" s="41"/>
      <c r="R334" s="76" t="s">
        <v>160</v>
      </c>
      <c r="S334" s="41"/>
      <c r="T334" s="41"/>
      <c r="U334" s="41"/>
      <c r="V334" s="41"/>
      <c r="W334" s="41">
        <f t="shared" si="32"/>
        <v>0</v>
      </c>
      <c r="X334" s="77" t="str">
        <f t="shared" si="38"/>
        <v/>
      </c>
      <c r="AG334" s="81" t="str">
        <f>IF(Data_NaamPersoonTijd311="","",Data_NaamPersoonTijd311)</f>
        <v/>
      </c>
      <c r="AH334" s="41"/>
      <c r="AI334" s="41"/>
      <c r="AJ334" s="83" t="str">
        <f>IF(Data_BeeindigingsdatumTijd311="","",Data_BeeindigingsdatumTijd311)</f>
        <v/>
      </c>
      <c r="AK334" s="41"/>
      <c r="AL334" s="41"/>
      <c r="AM334" s="82" t="str">
        <f>IF(Data_LoonkostenTijd311="","",Data_LoonkostenTijd311)</f>
        <v/>
      </c>
      <c r="AN334" s="41"/>
      <c r="AO334" s="276" t="str">
        <f>IF(Data_PersoonAanUitTijd311=-1,"v","")</f>
        <v/>
      </c>
      <c r="AP334" s="41"/>
      <c r="AQ334" s="76" t="s">
        <v>160</v>
      </c>
      <c r="AR334" s="41"/>
      <c r="AS334" s="41"/>
      <c r="AT334" s="41"/>
      <c r="AU334" s="41"/>
      <c r="AV334" s="41">
        <f t="shared" si="33"/>
        <v>0</v>
      </c>
      <c r="AW334" s="77">
        <f t="shared" si="34"/>
        <v>0</v>
      </c>
      <c r="AX334" s="41"/>
      <c r="AY334" s="41"/>
      <c r="AZ334" s="41"/>
      <c r="BA334" s="81" t="str">
        <f>IF(Data_NaamPersoonVastVrij311="","",Data_NaamPersoonVastVrij311)</f>
        <v/>
      </c>
      <c r="BB334" s="41"/>
      <c r="BC334" s="41"/>
      <c r="BD334" s="83" t="str">
        <f>IF(Data_BeeindigingsdatumVastVrij311="","",Data_BeeindigingsdatumVastVrij311)</f>
        <v/>
      </c>
      <c r="BE334" s="41"/>
      <c r="BF334" s="41"/>
      <c r="BG334" s="82" t="str">
        <f>IF(Data_LoonkostenVastVrij311="","",Data_LoonkostenVastVrij311)</f>
        <v/>
      </c>
      <c r="BH334" s="41"/>
      <c r="BI334" s="76" t="str">
        <f>IF(Data_PersoonAanUitVastVrij311=-1,"v","")</f>
        <v/>
      </c>
      <c r="BJ334" s="41"/>
      <c r="BK334" s="76" t="s">
        <v>160</v>
      </c>
      <c r="BL334" s="41"/>
      <c r="BM334" s="41"/>
      <c r="BN334" s="41"/>
      <c r="BO334" s="41"/>
      <c r="BP334" s="41">
        <f t="shared" si="35"/>
        <v>0</v>
      </c>
      <c r="BQ334" s="77">
        <f t="shared" si="36"/>
        <v>0</v>
      </c>
      <c r="BS334" s="81" t="str">
        <f>IF(Data_NaamPersoonVastOntslag311="","",Data_NaamPersoonVastOntslag311)</f>
        <v/>
      </c>
      <c r="BV334" s="83" t="str">
        <f>IF(Data_BeeindigingsdatumVastOntslag311="","",Data_BeeindigingsdatumVastOntslag311)</f>
        <v/>
      </c>
      <c r="BY334" s="82" t="str">
        <f>IF(Data_LoonkostenVastOntslag311="","",Data_LoonkostenVastOntslag311)</f>
        <v/>
      </c>
      <c r="CA334" s="76" t="str">
        <f>IF(Data_PersoonAanUitVastOntslag311=-1,"v","")</f>
        <v/>
      </c>
      <c r="CB334" s="41"/>
      <c r="CC334" s="76" t="s">
        <v>160</v>
      </c>
      <c r="CD334" s="41"/>
      <c r="CE334" s="41"/>
      <c r="CF334" s="41"/>
      <c r="CG334" s="41"/>
      <c r="CH334" s="41">
        <f t="shared" si="39"/>
        <v>0</v>
      </c>
      <c r="CI334" s="41">
        <f t="shared" si="37"/>
        <v>0</v>
      </c>
    </row>
    <row r="335" spans="8:87" x14ac:dyDescent="0.25">
      <c r="H335" s="81" t="str">
        <f>IF(Data_NaamPersoonNatVerloop312="","",Data_NaamPersoonNatVerloop312)</f>
        <v/>
      </c>
      <c r="I335" s="41"/>
      <c r="J335" s="41"/>
      <c r="K335" s="83" t="str">
        <f>IF(Data_BeeindigingsdatumNatVerloop312="","",Data_BeeindigingsdatumNatVerloop312)</f>
        <v/>
      </c>
      <c r="L335" s="41"/>
      <c r="M335" s="41"/>
      <c r="N335" s="82" t="str">
        <f>IF(Data_LoonkostenNatVerloop312="","",Data_LoonkostenNatVerloop312)</f>
        <v/>
      </c>
      <c r="O335" s="41"/>
      <c r="P335" s="276" t="s">
        <v>160</v>
      </c>
      <c r="Q335" s="41"/>
      <c r="R335" s="76" t="s">
        <v>160</v>
      </c>
      <c r="S335" s="41"/>
      <c r="T335" s="41"/>
      <c r="U335" s="41"/>
      <c r="V335" s="41"/>
      <c r="W335" s="41">
        <f t="shared" si="32"/>
        <v>0</v>
      </c>
      <c r="X335" s="77" t="str">
        <f t="shared" si="38"/>
        <v/>
      </c>
      <c r="AG335" s="81" t="str">
        <f>IF(Data_NaamPersoonTijd312="","",Data_NaamPersoonTijd312)</f>
        <v/>
      </c>
      <c r="AH335" s="41"/>
      <c r="AI335" s="41"/>
      <c r="AJ335" s="83" t="str">
        <f>IF(Data_BeeindigingsdatumTijd312="","",Data_BeeindigingsdatumTijd312)</f>
        <v/>
      </c>
      <c r="AK335" s="41"/>
      <c r="AL335" s="41"/>
      <c r="AM335" s="82" t="str">
        <f>IF(Data_LoonkostenTijd312="","",Data_LoonkostenTijd312)</f>
        <v/>
      </c>
      <c r="AN335" s="41"/>
      <c r="AO335" s="276" t="str">
        <f>IF(Data_PersoonAanUitTijd312=-1,"v","")</f>
        <v/>
      </c>
      <c r="AP335" s="41"/>
      <c r="AQ335" s="76" t="s">
        <v>160</v>
      </c>
      <c r="AR335" s="41"/>
      <c r="AS335" s="41"/>
      <c r="AT335" s="41"/>
      <c r="AU335" s="41"/>
      <c r="AV335" s="41">
        <f t="shared" si="33"/>
        <v>0</v>
      </c>
      <c r="AW335" s="77">
        <f t="shared" si="34"/>
        <v>0</v>
      </c>
      <c r="AX335" s="41"/>
      <c r="AY335" s="41"/>
      <c r="AZ335" s="41"/>
      <c r="BA335" s="81" t="str">
        <f>IF(Data_NaamPersoonVastVrij312="","",Data_NaamPersoonVastVrij312)</f>
        <v/>
      </c>
      <c r="BB335" s="41"/>
      <c r="BC335" s="41"/>
      <c r="BD335" s="83" t="str">
        <f>IF(Data_BeeindigingsdatumVastVrij312="","",Data_BeeindigingsdatumVastVrij312)</f>
        <v/>
      </c>
      <c r="BE335" s="41"/>
      <c r="BF335" s="41"/>
      <c r="BG335" s="82" t="str">
        <f>IF(Data_LoonkostenVastVrij312="","",Data_LoonkostenVastVrij312)</f>
        <v/>
      </c>
      <c r="BH335" s="41"/>
      <c r="BI335" s="76" t="str">
        <f>IF(Data_PersoonAanUitVastVrij312=-1,"v","")</f>
        <v/>
      </c>
      <c r="BJ335" s="41"/>
      <c r="BK335" s="76" t="s">
        <v>160</v>
      </c>
      <c r="BL335" s="41"/>
      <c r="BM335" s="41"/>
      <c r="BN335" s="41"/>
      <c r="BO335" s="41"/>
      <c r="BP335" s="41">
        <f t="shared" si="35"/>
        <v>0</v>
      </c>
      <c r="BQ335" s="77">
        <f t="shared" si="36"/>
        <v>0</v>
      </c>
      <c r="BS335" s="81" t="str">
        <f>IF(Data_NaamPersoonVastOntslag312="","",Data_NaamPersoonVastOntslag312)</f>
        <v/>
      </c>
      <c r="BV335" s="83" t="str">
        <f>IF(Data_BeeindigingsdatumVastOntslag312="","",Data_BeeindigingsdatumVastOntslag312)</f>
        <v/>
      </c>
      <c r="BY335" s="82" t="str">
        <f>IF(Data_LoonkostenVastOntslag312="","",Data_LoonkostenVastOntslag312)</f>
        <v/>
      </c>
      <c r="CA335" s="76" t="str">
        <f>IF(Data_PersoonAanUitVastOntslag312=-1,"v","")</f>
        <v/>
      </c>
      <c r="CB335" s="41"/>
      <c r="CC335" s="76" t="s">
        <v>160</v>
      </c>
      <c r="CD335" s="41"/>
      <c r="CE335" s="41"/>
      <c r="CF335" s="41"/>
      <c r="CG335" s="41"/>
      <c r="CH335" s="41">
        <f t="shared" si="39"/>
        <v>0</v>
      </c>
      <c r="CI335" s="41">
        <f t="shared" si="37"/>
        <v>0</v>
      </c>
    </row>
    <row r="336" spans="8:87" x14ac:dyDescent="0.25">
      <c r="H336" s="81" t="str">
        <f>IF(Data_NaamPersoonNatVerloop313="","",Data_NaamPersoonNatVerloop313)</f>
        <v/>
      </c>
      <c r="I336" s="41"/>
      <c r="J336" s="41"/>
      <c r="K336" s="83" t="str">
        <f>IF(Data_BeeindigingsdatumNatVerloop313="","",Data_BeeindigingsdatumNatVerloop313)</f>
        <v/>
      </c>
      <c r="L336" s="41"/>
      <c r="M336" s="41"/>
      <c r="N336" s="82" t="str">
        <f>IF(Data_LoonkostenNatVerloop313="","",Data_LoonkostenNatVerloop313)</f>
        <v/>
      </c>
      <c r="O336" s="41"/>
      <c r="P336" s="276" t="s">
        <v>160</v>
      </c>
      <c r="Q336" s="41"/>
      <c r="R336" s="76" t="s">
        <v>160</v>
      </c>
      <c r="S336" s="41"/>
      <c r="T336" s="41"/>
      <c r="U336" s="41"/>
      <c r="V336" s="41"/>
      <c r="W336" s="41">
        <f t="shared" si="32"/>
        <v>0</v>
      </c>
      <c r="X336" s="77" t="str">
        <f t="shared" si="38"/>
        <v/>
      </c>
      <c r="AG336" s="81" t="str">
        <f>IF(Data_NaamPersoonTijd313="","",Data_NaamPersoonTijd313)</f>
        <v/>
      </c>
      <c r="AH336" s="41"/>
      <c r="AI336" s="41"/>
      <c r="AJ336" s="83" t="str">
        <f>IF(Data_BeeindigingsdatumTijd313="","",Data_BeeindigingsdatumTijd313)</f>
        <v/>
      </c>
      <c r="AK336" s="41"/>
      <c r="AL336" s="41"/>
      <c r="AM336" s="82" t="str">
        <f>IF(Data_LoonkostenTijd313="","",Data_LoonkostenTijd313)</f>
        <v/>
      </c>
      <c r="AN336" s="41"/>
      <c r="AO336" s="276" t="str">
        <f>IF(Data_PersoonAanUitTijd313=-1,"v","")</f>
        <v/>
      </c>
      <c r="AP336" s="41"/>
      <c r="AQ336" s="76" t="s">
        <v>160</v>
      </c>
      <c r="AR336" s="41"/>
      <c r="AS336" s="41"/>
      <c r="AT336" s="41"/>
      <c r="AU336" s="41"/>
      <c r="AV336" s="41">
        <f t="shared" si="33"/>
        <v>0</v>
      </c>
      <c r="AW336" s="77">
        <f t="shared" si="34"/>
        <v>0</v>
      </c>
      <c r="AX336" s="41"/>
      <c r="AY336" s="41"/>
      <c r="AZ336" s="41"/>
      <c r="BA336" s="81" t="str">
        <f>IF(Data_NaamPersoonVastVrij313="","",Data_NaamPersoonVastVrij313)</f>
        <v/>
      </c>
      <c r="BB336" s="41"/>
      <c r="BC336" s="41"/>
      <c r="BD336" s="83" t="str">
        <f>IF(Data_BeeindigingsdatumVastVrij313="","",Data_BeeindigingsdatumVastVrij313)</f>
        <v/>
      </c>
      <c r="BE336" s="41"/>
      <c r="BF336" s="41"/>
      <c r="BG336" s="82" t="str">
        <f>IF(Data_LoonkostenVastVrij313="","",Data_LoonkostenVastVrij313)</f>
        <v/>
      </c>
      <c r="BH336" s="41"/>
      <c r="BI336" s="76" t="str">
        <f>IF(Data_PersoonAanUitVastVrij313=-1,"v","")</f>
        <v/>
      </c>
      <c r="BJ336" s="41"/>
      <c r="BK336" s="76" t="s">
        <v>160</v>
      </c>
      <c r="BL336" s="41"/>
      <c r="BM336" s="41"/>
      <c r="BN336" s="41"/>
      <c r="BO336" s="41"/>
      <c r="BP336" s="41">
        <f t="shared" si="35"/>
        <v>0</v>
      </c>
      <c r="BQ336" s="77">
        <f t="shared" si="36"/>
        <v>0</v>
      </c>
      <c r="BS336" s="81" t="str">
        <f>IF(Data_NaamPersoonVastOntslag313="","",Data_NaamPersoonVastOntslag313)</f>
        <v/>
      </c>
      <c r="BV336" s="83" t="str">
        <f>IF(Data_BeeindigingsdatumVastOntslag313="","",Data_BeeindigingsdatumVastOntslag313)</f>
        <v/>
      </c>
      <c r="BY336" s="82" t="str">
        <f>IF(Data_LoonkostenVastOntslag313="","",Data_LoonkostenVastOntslag313)</f>
        <v/>
      </c>
      <c r="CA336" s="76" t="str">
        <f>IF(Data_PersoonAanUitVastOntslag313=-1,"v","")</f>
        <v/>
      </c>
      <c r="CB336" s="41"/>
      <c r="CC336" s="76" t="s">
        <v>160</v>
      </c>
      <c r="CD336" s="41"/>
      <c r="CE336" s="41"/>
      <c r="CF336" s="41"/>
      <c r="CG336" s="41"/>
      <c r="CH336" s="41">
        <f t="shared" si="39"/>
        <v>0</v>
      </c>
      <c r="CI336" s="41">
        <f t="shared" si="37"/>
        <v>0</v>
      </c>
    </row>
    <row r="337" spans="8:87" x14ac:dyDescent="0.25">
      <c r="H337" s="81" t="str">
        <f>IF(Data_NaamPersoonNatVerloop314="","",Data_NaamPersoonNatVerloop314)</f>
        <v/>
      </c>
      <c r="I337" s="41"/>
      <c r="J337" s="41"/>
      <c r="K337" s="83" t="str">
        <f>IF(Data_BeeindigingsdatumNatVerloop314="","",Data_BeeindigingsdatumNatVerloop314)</f>
        <v/>
      </c>
      <c r="L337" s="41"/>
      <c r="M337" s="41"/>
      <c r="N337" s="82" t="str">
        <f>IF(Data_LoonkostenNatVerloop314="","",Data_LoonkostenNatVerloop314)</f>
        <v/>
      </c>
      <c r="O337" s="41"/>
      <c r="P337" s="276" t="s">
        <v>160</v>
      </c>
      <c r="Q337" s="41"/>
      <c r="R337" s="76" t="s">
        <v>160</v>
      </c>
      <c r="S337" s="41"/>
      <c r="T337" s="41"/>
      <c r="U337" s="41"/>
      <c r="V337" s="41"/>
      <c r="W337" s="41">
        <f t="shared" si="32"/>
        <v>0</v>
      </c>
      <c r="X337" s="77" t="str">
        <f t="shared" si="38"/>
        <v/>
      </c>
      <c r="AG337" s="81" t="str">
        <f>IF(Data_NaamPersoonTijd314="","",Data_NaamPersoonTijd314)</f>
        <v/>
      </c>
      <c r="AH337" s="41"/>
      <c r="AI337" s="41"/>
      <c r="AJ337" s="83" t="str">
        <f>IF(Data_BeeindigingsdatumTijd314="","",Data_BeeindigingsdatumTijd314)</f>
        <v/>
      </c>
      <c r="AK337" s="41"/>
      <c r="AL337" s="41"/>
      <c r="AM337" s="82" t="str">
        <f>IF(Data_LoonkostenTijd314="","",Data_LoonkostenTijd314)</f>
        <v/>
      </c>
      <c r="AN337" s="41"/>
      <c r="AO337" s="276" t="str">
        <f>IF(Data_PersoonAanUitTijd314=-1,"v","")</f>
        <v/>
      </c>
      <c r="AP337" s="41"/>
      <c r="AQ337" s="76" t="s">
        <v>160</v>
      </c>
      <c r="AR337" s="41"/>
      <c r="AS337" s="41"/>
      <c r="AT337" s="41"/>
      <c r="AU337" s="41"/>
      <c r="AV337" s="41">
        <f t="shared" si="33"/>
        <v>0</v>
      </c>
      <c r="AW337" s="77">
        <f t="shared" si="34"/>
        <v>0</v>
      </c>
      <c r="AX337" s="41"/>
      <c r="AY337" s="41"/>
      <c r="AZ337" s="41"/>
      <c r="BA337" s="81" t="str">
        <f>IF(Data_NaamPersoonVastVrij314="","",Data_NaamPersoonVastVrij314)</f>
        <v/>
      </c>
      <c r="BB337" s="41"/>
      <c r="BC337" s="41"/>
      <c r="BD337" s="83" t="str">
        <f>IF(Data_BeeindigingsdatumVastVrij314="","",Data_BeeindigingsdatumVastVrij314)</f>
        <v/>
      </c>
      <c r="BE337" s="41"/>
      <c r="BF337" s="41"/>
      <c r="BG337" s="82" t="str">
        <f>IF(Data_LoonkostenVastVrij314="","",Data_LoonkostenVastVrij314)</f>
        <v/>
      </c>
      <c r="BH337" s="41"/>
      <c r="BI337" s="76" t="str">
        <f>IF(Data_PersoonAanUitVastVrij314=-1,"v","")</f>
        <v/>
      </c>
      <c r="BJ337" s="41"/>
      <c r="BK337" s="76" t="s">
        <v>160</v>
      </c>
      <c r="BL337" s="41"/>
      <c r="BM337" s="41"/>
      <c r="BN337" s="41"/>
      <c r="BO337" s="41"/>
      <c r="BP337" s="41">
        <f t="shared" si="35"/>
        <v>0</v>
      </c>
      <c r="BQ337" s="77">
        <f t="shared" si="36"/>
        <v>0</v>
      </c>
      <c r="BS337" s="81" t="str">
        <f>IF(Data_NaamPersoonVastOntslag314="","",Data_NaamPersoonVastOntslag314)</f>
        <v/>
      </c>
      <c r="BV337" s="83" t="str">
        <f>IF(Data_BeeindigingsdatumVastOntslag314="","",Data_BeeindigingsdatumVastOntslag314)</f>
        <v/>
      </c>
      <c r="BY337" s="82" t="str">
        <f>IF(Data_LoonkostenVastOntslag314="","",Data_LoonkostenVastOntslag314)</f>
        <v/>
      </c>
      <c r="CA337" s="76" t="str">
        <f>IF(Data_PersoonAanUitVastOntslag314=-1,"v","")</f>
        <v/>
      </c>
      <c r="CB337" s="41"/>
      <c r="CC337" s="76" t="s">
        <v>160</v>
      </c>
      <c r="CD337" s="41"/>
      <c r="CE337" s="41"/>
      <c r="CF337" s="41"/>
      <c r="CG337" s="41"/>
      <c r="CH337" s="41">
        <f t="shared" si="39"/>
        <v>0</v>
      </c>
      <c r="CI337" s="41">
        <f t="shared" si="37"/>
        <v>0</v>
      </c>
    </row>
    <row r="338" spans="8:87" x14ac:dyDescent="0.25">
      <c r="H338" s="81" t="str">
        <f>IF(Data_NaamPersoonNatVerloop315="","",Data_NaamPersoonNatVerloop315)</f>
        <v/>
      </c>
      <c r="I338" s="41"/>
      <c r="J338" s="41"/>
      <c r="K338" s="83" t="str">
        <f>IF(Data_BeeindigingsdatumNatVerloop315="","",Data_BeeindigingsdatumNatVerloop315)</f>
        <v/>
      </c>
      <c r="L338" s="41"/>
      <c r="M338" s="41"/>
      <c r="N338" s="82" t="str">
        <f>IF(Data_LoonkostenNatVerloop315="","",Data_LoonkostenNatVerloop315)</f>
        <v/>
      </c>
      <c r="O338" s="41"/>
      <c r="P338" s="276" t="s">
        <v>160</v>
      </c>
      <c r="Q338" s="41"/>
      <c r="R338" s="76" t="s">
        <v>160</v>
      </c>
      <c r="S338" s="41"/>
      <c r="T338" s="41"/>
      <c r="U338" s="41"/>
      <c r="V338" s="41"/>
      <c r="W338" s="41">
        <f t="shared" si="32"/>
        <v>0</v>
      </c>
      <c r="X338" s="77" t="str">
        <f t="shared" si="38"/>
        <v/>
      </c>
      <c r="AG338" s="81" t="str">
        <f>IF(Data_NaamPersoonTijd315="","",Data_NaamPersoonTijd315)</f>
        <v/>
      </c>
      <c r="AH338" s="41"/>
      <c r="AI338" s="41"/>
      <c r="AJ338" s="83" t="str">
        <f>IF(Data_BeeindigingsdatumTijd315="","",Data_BeeindigingsdatumTijd315)</f>
        <v/>
      </c>
      <c r="AK338" s="41"/>
      <c r="AL338" s="41"/>
      <c r="AM338" s="82" t="str">
        <f>IF(Data_LoonkostenTijd315="","",Data_LoonkostenTijd315)</f>
        <v/>
      </c>
      <c r="AN338" s="41"/>
      <c r="AO338" s="276" t="str">
        <f>IF(Data_PersoonAanUitTijd315=-1,"v","")</f>
        <v/>
      </c>
      <c r="AP338" s="41"/>
      <c r="AQ338" s="76" t="s">
        <v>160</v>
      </c>
      <c r="AR338" s="41"/>
      <c r="AS338" s="41"/>
      <c r="AT338" s="41"/>
      <c r="AU338" s="41"/>
      <c r="AV338" s="41">
        <f t="shared" si="33"/>
        <v>0</v>
      </c>
      <c r="AW338" s="77">
        <f t="shared" si="34"/>
        <v>0</v>
      </c>
      <c r="AX338" s="41"/>
      <c r="AY338" s="41"/>
      <c r="AZ338" s="41"/>
      <c r="BA338" s="81" t="str">
        <f>IF(Data_NaamPersoonVastVrij315="","",Data_NaamPersoonVastVrij315)</f>
        <v/>
      </c>
      <c r="BB338" s="41"/>
      <c r="BC338" s="41"/>
      <c r="BD338" s="83" t="str">
        <f>IF(Data_BeeindigingsdatumVastVrij315="","",Data_BeeindigingsdatumVastVrij315)</f>
        <v/>
      </c>
      <c r="BE338" s="41"/>
      <c r="BF338" s="41"/>
      <c r="BG338" s="82" t="str">
        <f>IF(Data_LoonkostenVastVrij315="","",Data_LoonkostenVastVrij315)</f>
        <v/>
      </c>
      <c r="BH338" s="41"/>
      <c r="BI338" s="76" t="str">
        <f>IF(Data_PersoonAanUitVastVrij315=-1,"v","")</f>
        <v/>
      </c>
      <c r="BJ338" s="41"/>
      <c r="BK338" s="76" t="s">
        <v>160</v>
      </c>
      <c r="BL338" s="41"/>
      <c r="BM338" s="41"/>
      <c r="BN338" s="41"/>
      <c r="BO338" s="41"/>
      <c r="BP338" s="41">
        <f t="shared" si="35"/>
        <v>0</v>
      </c>
      <c r="BQ338" s="77">
        <f t="shared" si="36"/>
        <v>0</v>
      </c>
      <c r="BS338" s="81" t="str">
        <f>IF(Data_NaamPersoonVastOntslag315="","",Data_NaamPersoonVastOntslag315)</f>
        <v/>
      </c>
      <c r="BV338" s="83" t="str">
        <f>IF(Data_BeeindigingsdatumVastOntslag315="","",Data_BeeindigingsdatumVastOntslag315)</f>
        <v/>
      </c>
      <c r="BY338" s="82" t="str">
        <f>IF(Data_LoonkostenVastOntslag315="","",Data_LoonkostenVastOntslag315)</f>
        <v/>
      </c>
      <c r="CA338" s="76" t="str">
        <f>IF(Data_PersoonAanUitVastOntslag315=-1,"v","")</f>
        <v/>
      </c>
      <c r="CB338" s="41"/>
      <c r="CC338" s="76" t="s">
        <v>160</v>
      </c>
      <c r="CD338" s="41"/>
      <c r="CE338" s="41"/>
      <c r="CF338" s="41"/>
      <c r="CG338" s="41"/>
      <c r="CH338" s="41">
        <f t="shared" si="39"/>
        <v>0</v>
      </c>
      <c r="CI338" s="41">
        <f t="shared" si="37"/>
        <v>0</v>
      </c>
    </row>
    <row r="339" spans="8:87" x14ac:dyDescent="0.25">
      <c r="H339" s="81" t="str">
        <f>IF(Data_NaamPersoonNatVerloop316="","",Data_NaamPersoonNatVerloop316)</f>
        <v/>
      </c>
      <c r="I339" s="41"/>
      <c r="J339" s="41"/>
      <c r="K339" s="83" t="str">
        <f>IF(Data_BeeindigingsdatumNatVerloop316="","",Data_BeeindigingsdatumNatVerloop316)</f>
        <v/>
      </c>
      <c r="L339" s="41"/>
      <c r="M339" s="41"/>
      <c r="N339" s="82" t="str">
        <f>IF(Data_LoonkostenNatVerloop316="","",Data_LoonkostenNatVerloop316)</f>
        <v/>
      </c>
      <c r="O339" s="41"/>
      <c r="P339" s="276" t="s">
        <v>160</v>
      </c>
      <c r="Q339" s="41"/>
      <c r="R339" s="76" t="s">
        <v>160</v>
      </c>
      <c r="S339" s="41"/>
      <c r="T339" s="41"/>
      <c r="U339" s="41"/>
      <c r="V339" s="41"/>
      <c r="W339" s="41">
        <f t="shared" si="32"/>
        <v>0</v>
      </c>
      <c r="X339" s="77" t="str">
        <f t="shared" si="38"/>
        <v/>
      </c>
      <c r="AG339" s="81" t="str">
        <f>IF(Data_NaamPersoonTijd316="","",Data_NaamPersoonTijd316)</f>
        <v/>
      </c>
      <c r="AH339" s="41"/>
      <c r="AI339" s="41"/>
      <c r="AJ339" s="83" t="str">
        <f>IF(Data_BeeindigingsdatumTijd316="","",Data_BeeindigingsdatumTijd316)</f>
        <v/>
      </c>
      <c r="AK339" s="41"/>
      <c r="AL339" s="41"/>
      <c r="AM339" s="82" t="str">
        <f>IF(Data_LoonkostenTijd316="","",Data_LoonkostenTijd316)</f>
        <v/>
      </c>
      <c r="AN339" s="41"/>
      <c r="AO339" s="276" t="str">
        <f>IF(Data_PersoonAanUitTijd316=-1,"v","")</f>
        <v/>
      </c>
      <c r="AP339" s="41"/>
      <c r="AQ339" s="76" t="s">
        <v>160</v>
      </c>
      <c r="AR339" s="41"/>
      <c r="AS339" s="41"/>
      <c r="AT339" s="41"/>
      <c r="AU339" s="41"/>
      <c r="AV339" s="41">
        <f t="shared" si="33"/>
        <v>0</v>
      </c>
      <c r="AW339" s="77">
        <f t="shared" si="34"/>
        <v>0</v>
      </c>
      <c r="AX339" s="41"/>
      <c r="AY339" s="41"/>
      <c r="AZ339" s="41"/>
      <c r="BA339" s="81" t="str">
        <f>IF(Data_NaamPersoonVastVrij316="","",Data_NaamPersoonVastVrij316)</f>
        <v/>
      </c>
      <c r="BB339" s="41"/>
      <c r="BC339" s="41"/>
      <c r="BD339" s="83" t="str">
        <f>IF(Data_BeeindigingsdatumVastVrij316="","",Data_BeeindigingsdatumVastVrij316)</f>
        <v/>
      </c>
      <c r="BE339" s="41"/>
      <c r="BF339" s="41"/>
      <c r="BG339" s="82" t="str">
        <f>IF(Data_LoonkostenVastVrij316="","",Data_LoonkostenVastVrij316)</f>
        <v/>
      </c>
      <c r="BH339" s="41"/>
      <c r="BI339" s="76" t="str">
        <f>IF(Data_PersoonAanUitVastVrij316=-1,"v","")</f>
        <v/>
      </c>
      <c r="BJ339" s="41"/>
      <c r="BK339" s="76" t="s">
        <v>160</v>
      </c>
      <c r="BL339" s="41"/>
      <c r="BM339" s="41"/>
      <c r="BN339" s="41"/>
      <c r="BO339" s="41"/>
      <c r="BP339" s="41">
        <f t="shared" si="35"/>
        <v>0</v>
      </c>
      <c r="BQ339" s="77">
        <f t="shared" si="36"/>
        <v>0</v>
      </c>
      <c r="BS339" s="81" t="str">
        <f>IF(Data_NaamPersoonVastOntslag316="","",Data_NaamPersoonVastOntslag316)</f>
        <v/>
      </c>
      <c r="BV339" s="83" t="str">
        <f>IF(Data_BeeindigingsdatumVastOntslag316="","",Data_BeeindigingsdatumVastOntslag316)</f>
        <v/>
      </c>
      <c r="BY339" s="82" t="str">
        <f>IF(Data_LoonkostenVastOntslag316="","",Data_LoonkostenVastOntslag316)</f>
        <v/>
      </c>
      <c r="CA339" s="76" t="str">
        <f>IF(Data_PersoonAanUitVastOntslag316=-1,"v","")</f>
        <v/>
      </c>
      <c r="CB339" s="41"/>
      <c r="CC339" s="76" t="s">
        <v>160</v>
      </c>
      <c r="CD339" s="41"/>
      <c r="CE339" s="41"/>
      <c r="CF339" s="41"/>
      <c r="CG339" s="41"/>
      <c r="CH339" s="41">
        <f t="shared" si="39"/>
        <v>0</v>
      </c>
      <c r="CI339" s="41">
        <f t="shared" si="37"/>
        <v>0</v>
      </c>
    </row>
    <row r="340" spans="8:87" x14ac:dyDescent="0.25">
      <c r="H340" s="81" t="str">
        <f>IF(Data_NaamPersoonNatVerloop317="","",Data_NaamPersoonNatVerloop317)</f>
        <v/>
      </c>
      <c r="I340" s="41"/>
      <c r="J340" s="41"/>
      <c r="K340" s="83" t="str">
        <f>IF(Data_BeeindigingsdatumNatVerloop317="","",Data_BeeindigingsdatumNatVerloop317)</f>
        <v/>
      </c>
      <c r="L340" s="41"/>
      <c r="M340" s="41"/>
      <c r="N340" s="82" t="str">
        <f>IF(Data_LoonkostenNatVerloop317="","",Data_LoonkostenNatVerloop317)</f>
        <v/>
      </c>
      <c r="O340" s="41"/>
      <c r="P340" s="276" t="s">
        <v>160</v>
      </c>
      <c r="Q340" s="41"/>
      <c r="R340" s="76" t="s">
        <v>160</v>
      </c>
      <c r="S340" s="41"/>
      <c r="T340" s="41"/>
      <c r="U340" s="41"/>
      <c r="V340" s="41"/>
      <c r="W340" s="41">
        <f t="shared" si="32"/>
        <v>0</v>
      </c>
      <c r="X340" s="77" t="str">
        <f t="shared" si="38"/>
        <v/>
      </c>
      <c r="AG340" s="81" t="str">
        <f>IF(Data_NaamPersoonTijd317="","",Data_NaamPersoonTijd317)</f>
        <v/>
      </c>
      <c r="AH340" s="41"/>
      <c r="AI340" s="41"/>
      <c r="AJ340" s="83" t="str">
        <f>IF(Data_BeeindigingsdatumTijd317="","",Data_BeeindigingsdatumTijd317)</f>
        <v/>
      </c>
      <c r="AK340" s="41"/>
      <c r="AL340" s="41"/>
      <c r="AM340" s="82" t="str">
        <f>IF(Data_LoonkostenTijd317="","",Data_LoonkostenTijd317)</f>
        <v/>
      </c>
      <c r="AN340" s="41"/>
      <c r="AO340" s="276" t="str">
        <f>IF(Data_PersoonAanUitTijd317=-1,"v","")</f>
        <v/>
      </c>
      <c r="AP340" s="41"/>
      <c r="AQ340" s="76" t="s">
        <v>160</v>
      </c>
      <c r="AR340" s="41"/>
      <c r="AS340" s="41"/>
      <c r="AT340" s="41"/>
      <c r="AU340" s="41"/>
      <c r="AV340" s="41">
        <f t="shared" si="33"/>
        <v>0</v>
      </c>
      <c r="AW340" s="77">
        <f t="shared" si="34"/>
        <v>0</v>
      </c>
      <c r="AX340" s="41"/>
      <c r="AY340" s="41"/>
      <c r="AZ340" s="41"/>
      <c r="BA340" s="81" t="str">
        <f>IF(Data_NaamPersoonVastVrij317="","",Data_NaamPersoonVastVrij317)</f>
        <v/>
      </c>
      <c r="BB340" s="41"/>
      <c r="BC340" s="41"/>
      <c r="BD340" s="83" t="str">
        <f>IF(Data_BeeindigingsdatumVastVrij317="","",Data_BeeindigingsdatumVastVrij317)</f>
        <v/>
      </c>
      <c r="BE340" s="41"/>
      <c r="BF340" s="41"/>
      <c r="BG340" s="82" t="str">
        <f>IF(Data_LoonkostenVastVrij317="","",Data_LoonkostenVastVrij317)</f>
        <v/>
      </c>
      <c r="BH340" s="41"/>
      <c r="BI340" s="76" t="str">
        <f>IF(Data_PersoonAanUitVastVrij317=-1,"v","")</f>
        <v/>
      </c>
      <c r="BJ340" s="41"/>
      <c r="BK340" s="76" t="s">
        <v>160</v>
      </c>
      <c r="BL340" s="41"/>
      <c r="BM340" s="41"/>
      <c r="BN340" s="41"/>
      <c r="BO340" s="41"/>
      <c r="BP340" s="41">
        <f t="shared" si="35"/>
        <v>0</v>
      </c>
      <c r="BQ340" s="77">
        <f t="shared" si="36"/>
        <v>0</v>
      </c>
      <c r="BS340" s="81" t="str">
        <f>IF(Data_NaamPersoonVastOntslag317="","",Data_NaamPersoonVastOntslag317)</f>
        <v/>
      </c>
      <c r="BV340" s="83" t="str">
        <f>IF(Data_BeeindigingsdatumVastOntslag317="","",Data_BeeindigingsdatumVastOntslag317)</f>
        <v/>
      </c>
      <c r="BY340" s="82" t="str">
        <f>IF(Data_LoonkostenVastOntslag317="","",Data_LoonkostenVastOntslag317)</f>
        <v/>
      </c>
      <c r="CA340" s="76" t="str">
        <f>IF(Data_PersoonAanUitVastOntslag317=-1,"v","")</f>
        <v/>
      </c>
      <c r="CB340" s="41"/>
      <c r="CC340" s="76" t="s">
        <v>160</v>
      </c>
      <c r="CD340" s="41"/>
      <c r="CE340" s="41"/>
      <c r="CF340" s="41"/>
      <c r="CG340" s="41"/>
      <c r="CH340" s="41">
        <f t="shared" si="39"/>
        <v>0</v>
      </c>
      <c r="CI340" s="41">
        <f t="shared" si="37"/>
        <v>0</v>
      </c>
    </row>
    <row r="341" spans="8:87" x14ac:dyDescent="0.25">
      <c r="H341" s="81" t="str">
        <f>IF(Data_NaamPersoonNatVerloop318="","",Data_NaamPersoonNatVerloop318)</f>
        <v/>
      </c>
      <c r="I341" s="41"/>
      <c r="J341" s="41"/>
      <c r="K341" s="83" t="str">
        <f>IF(Data_BeeindigingsdatumNatVerloop318="","",Data_BeeindigingsdatumNatVerloop318)</f>
        <v/>
      </c>
      <c r="L341" s="41"/>
      <c r="M341" s="41"/>
      <c r="N341" s="82" t="str">
        <f>IF(Data_LoonkostenNatVerloop318="","",Data_LoonkostenNatVerloop318)</f>
        <v/>
      </c>
      <c r="O341" s="41"/>
      <c r="P341" s="276" t="s">
        <v>160</v>
      </c>
      <c r="Q341" s="41"/>
      <c r="R341" s="76" t="s">
        <v>160</v>
      </c>
      <c r="S341" s="41"/>
      <c r="T341" s="41"/>
      <c r="U341" s="41"/>
      <c r="V341" s="41"/>
      <c r="W341" s="41">
        <f t="shared" si="32"/>
        <v>0</v>
      </c>
      <c r="X341" s="77" t="str">
        <f t="shared" si="38"/>
        <v/>
      </c>
      <c r="AG341" s="81" t="str">
        <f>IF(Data_NaamPersoonTijd318="","",Data_NaamPersoonTijd318)</f>
        <v/>
      </c>
      <c r="AH341" s="41"/>
      <c r="AI341" s="41"/>
      <c r="AJ341" s="83" t="str">
        <f>IF(Data_BeeindigingsdatumTijd318="","",Data_BeeindigingsdatumTijd318)</f>
        <v/>
      </c>
      <c r="AK341" s="41"/>
      <c r="AL341" s="41"/>
      <c r="AM341" s="82" t="str">
        <f>IF(Data_LoonkostenTijd318="","",Data_LoonkostenTijd318)</f>
        <v/>
      </c>
      <c r="AN341" s="41"/>
      <c r="AO341" s="276" t="str">
        <f>IF(Data_PersoonAanUitTijd318=-1,"v","")</f>
        <v/>
      </c>
      <c r="AP341" s="41"/>
      <c r="AQ341" s="76" t="s">
        <v>160</v>
      </c>
      <c r="AR341" s="41"/>
      <c r="AS341" s="41"/>
      <c r="AT341" s="41"/>
      <c r="AU341" s="41"/>
      <c r="AV341" s="41">
        <f t="shared" si="33"/>
        <v>0</v>
      </c>
      <c r="AW341" s="77">
        <f t="shared" si="34"/>
        <v>0</v>
      </c>
      <c r="AX341" s="41"/>
      <c r="AY341" s="41"/>
      <c r="AZ341" s="41"/>
      <c r="BA341" s="81" t="str">
        <f>IF(Data_NaamPersoonVastVrij318="","",Data_NaamPersoonVastVrij318)</f>
        <v/>
      </c>
      <c r="BB341" s="41"/>
      <c r="BC341" s="41"/>
      <c r="BD341" s="83" t="str">
        <f>IF(Data_BeeindigingsdatumVastVrij318="","",Data_BeeindigingsdatumVastVrij318)</f>
        <v/>
      </c>
      <c r="BE341" s="41"/>
      <c r="BF341" s="41"/>
      <c r="BG341" s="82" t="str">
        <f>IF(Data_LoonkostenVastVrij318="","",Data_LoonkostenVastVrij318)</f>
        <v/>
      </c>
      <c r="BH341" s="41"/>
      <c r="BI341" s="76" t="str">
        <f>IF(Data_PersoonAanUitVastVrij318=-1,"v","")</f>
        <v/>
      </c>
      <c r="BJ341" s="41"/>
      <c r="BK341" s="76" t="s">
        <v>160</v>
      </c>
      <c r="BL341" s="41"/>
      <c r="BM341" s="41"/>
      <c r="BN341" s="41"/>
      <c r="BO341" s="41"/>
      <c r="BP341" s="41">
        <f t="shared" si="35"/>
        <v>0</v>
      </c>
      <c r="BQ341" s="77">
        <f t="shared" si="36"/>
        <v>0</v>
      </c>
      <c r="BS341" s="81" t="str">
        <f>IF(Data_NaamPersoonVastOntslag318="","",Data_NaamPersoonVastOntslag318)</f>
        <v/>
      </c>
      <c r="BV341" s="83" t="str">
        <f>IF(Data_BeeindigingsdatumVastOntslag318="","",Data_BeeindigingsdatumVastOntslag318)</f>
        <v/>
      </c>
      <c r="BY341" s="82" t="str">
        <f>IF(Data_LoonkostenVastOntslag318="","",Data_LoonkostenVastOntslag318)</f>
        <v/>
      </c>
      <c r="CA341" s="76" t="str">
        <f>IF(Data_PersoonAanUitVastOntslag318=-1,"v","")</f>
        <v/>
      </c>
      <c r="CB341" s="41"/>
      <c r="CC341" s="76" t="s">
        <v>160</v>
      </c>
      <c r="CD341" s="41"/>
      <c r="CE341" s="41"/>
      <c r="CF341" s="41"/>
      <c r="CG341" s="41"/>
      <c r="CH341" s="41">
        <f t="shared" si="39"/>
        <v>0</v>
      </c>
      <c r="CI341" s="41">
        <f t="shared" si="37"/>
        <v>0</v>
      </c>
    </row>
    <row r="342" spans="8:87" x14ac:dyDescent="0.25">
      <c r="H342" s="81" t="str">
        <f>IF(Data_NaamPersoonNatVerloop319="","",Data_NaamPersoonNatVerloop319)</f>
        <v/>
      </c>
      <c r="I342" s="41"/>
      <c r="J342" s="41"/>
      <c r="K342" s="83" t="str">
        <f>IF(Data_BeeindigingsdatumNatVerloop319="","",Data_BeeindigingsdatumNatVerloop319)</f>
        <v/>
      </c>
      <c r="L342" s="41"/>
      <c r="M342" s="41"/>
      <c r="N342" s="82" t="str">
        <f>IF(Data_LoonkostenNatVerloop319="","",Data_LoonkostenNatVerloop319)</f>
        <v/>
      </c>
      <c r="O342" s="41"/>
      <c r="P342" s="276" t="s">
        <v>160</v>
      </c>
      <c r="Q342" s="41"/>
      <c r="R342" s="76" t="s">
        <v>160</v>
      </c>
      <c r="S342" s="41"/>
      <c r="T342" s="41"/>
      <c r="U342" s="41"/>
      <c r="V342" s="41"/>
      <c r="W342" s="41">
        <f t="shared" si="32"/>
        <v>0</v>
      </c>
      <c r="X342" s="77" t="str">
        <f t="shared" si="38"/>
        <v/>
      </c>
      <c r="AG342" s="81" t="str">
        <f>IF(Data_NaamPersoonTijd319="","",Data_NaamPersoonTijd319)</f>
        <v/>
      </c>
      <c r="AH342" s="41"/>
      <c r="AI342" s="41"/>
      <c r="AJ342" s="83" t="str">
        <f>IF(Data_BeeindigingsdatumTijd319="","",Data_BeeindigingsdatumTijd319)</f>
        <v/>
      </c>
      <c r="AK342" s="41"/>
      <c r="AL342" s="41"/>
      <c r="AM342" s="82" t="str">
        <f>IF(Data_LoonkostenTijd319="","",Data_LoonkostenTijd319)</f>
        <v/>
      </c>
      <c r="AN342" s="41"/>
      <c r="AO342" s="276" t="str">
        <f>IF(Data_PersoonAanUitTijd319=-1,"v","")</f>
        <v/>
      </c>
      <c r="AP342" s="41"/>
      <c r="AQ342" s="76" t="s">
        <v>160</v>
      </c>
      <c r="AR342" s="41"/>
      <c r="AS342" s="41"/>
      <c r="AT342" s="41"/>
      <c r="AU342" s="41"/>
      <c r="AV342" s="41">
        <f t="shared" si="33"/>
        <v>0</v>
      </c>
      <c r="AW342" s="77">
        <f t="shared" si="34"/>
        <v>0</v>
      </c>
      <c r="AX342" s="41"/>
      <c r="AY342" s="41"/>
      <c r="AZ342" s="41"/>
      <c r="BA342" s="81" t="str">
        <f>IF(Data_NaamPersoonVastVrij319="","",Data_NaamPersoonVastVrij319)</f>
        <v/>
      </c>
      <c r="BB342" s="41"/>
      <c r="BC342" s="41"/>
      <c r="BD342" s="83" t="str">
        <f>IF(Data_BeeindigingsdatumVastVrij319="","",Data_BeeindigingsdatumVastVrij319)</f>
        <v/>
      </c>
      <c r="BE342" s="41"/>
      <c r="BF342" s="41"/>
      <c r="BG342" s="82" t="str">
        <f>IF(Data_LoonkostenVastVrij319="","",Data_LoonkostenVastVrij319)</f>
        <v/>
      </c>
      <c r="BH342" s="41"/>
      <c r="BI342" s="76" t="str">
        <f>IF(Data_PersoonAanUitVastVrij319=-1,"v","")</f>
        <v/>
      </c>
      <c r="BJ342" s="41"/>
      <c r="BK342" s="76" t="s">
        <v>160</v>
      </c>
      <c r="BL342" s="41"/>
      <c r="BM342" s="41"/>
      <c r="BN342" s="41"/>
      <c r="BO342" s="41"/>
      <c r="BP342" s="41">
        <f t="shared" si="35"/>
        <v>0</v>
      </c>
      <c r="BQ342" s="77">
        <f t="shared" si="36"/>
        <v>0</v>
      </c>
      <c r="BS342" s="81" t="str">
        <f>IF(Data_NaamPersoonVastOntslag319="","",Data_NaamPersoonVastOntslag319)</f>
        <v/>
      </c>
      <c r="BV342" s="83" t="str">
        <f>IF(Data_BeeindigingsdatumVastOntslag319="","",Data_BeeindigingsdatumVastOntslag319)</f>
        <v/>
      </c>
      <c r="BY342" s="82" t="str">
        <f>IF(Data_LoonkostenVastOntslag319="","",Data_LoonkostenVastOntslag319)</f>
        <v/>
      </c>
      <c r="CA342" s="76" t="str">
        <f>IF(Data_PersoonAanUitVastOntslag319=-1,"v","")</f>
        <v/>
      </c>
      <c r="CB342" s="41"/>
      <c r="CC342" s="76" t="s">
        <v>160</v>
      </c>
      <c r="CD342" s="41"/>
      <c r="CE342" s="41"/>
      <c r="CF342" s="41"/>
      <c r="CG342" s="41"/>
      <c r="CH342" s="41">
        <f t="shared" si="39"/>
        <v>0</v>
      </c>
      <c r="CI342" s="41">
        <f t="shared" si="37"/>
        <v>0</v>
      </c>
    </row>
    <row r="343" spans="8:87" x14ac:dyDescent="0.25">
      <c r="H343" s="81" t="str">
        <f>IF(Data_NaamPersoonNatVerloop320="","",Data_NaamPersoonNatVerloop320)</f>
        <v/>
      </c>
      <c r="I343" s="41"/>
      <c r="J343" s="41"/>
      <c r="K343" s="83" t="str">
        <f>IF(Data_BeeindigingsdatumNatVerloop320="","",Data_BeeindigingsdatumNatVerloop320)</f>
        <v/>
      </c>
      <c r="L343" s="41"/>
      <c r="M343" s="41"/>
      <c r="N343" s="82" t="str">
        <f>IF(Data_LoonkostenNatVerloop320="","",Data_LoonkostenNatVerloop320)</f>
        <v/>
      </c>
      <c r="O343" s="41"/>
      <c r="P343" s="276" t="s">
        <v>160</v>
      </c>
      <c r="Q343" s="41"/>
      <c r="R343" s="76" t="s">
        <v>160</v>
      </c>
      <c r="S343" s="41"/>
      <c r="T343" s="41"/>
      <c r="U343" s="41"/>
      <c r="V343" s="41"/>
      <c r="W343" s="41">
        <f t="shared" si="32"/>
        <v>0</v>
      </c>
      <c r="X343" s="77" t="str">
        <f t="shared" si="38"/>
        <v/>
      </c>
      <c r="AG343" s="81" t="str">
        <f>IF(Data_NaamPersoonTijd320="","",Data_NaamPersoonTijd320)</f>
        <v/>
      </c>
      <c r="AH343" s="41"/>
      <c r="AI343" s="41"/>
      <c r="AJ343" s="83" t="str">
        <f>IF(Data_BeeindigingsdatumTijd320="","",Data_BeeindigingsdatumTijd320)</f>
        <v/>
      </c>
      <c r="AK343" s="41"/>
      <c r="AL343" s="41"/>
      <c r="AM343" s="82" t="str">
        <f>IF(Data_LoonkostenTijd320="","",Data_LoonkostenTijd320)</f>
        <v/>
      </c>
      <c r="AN343" s="41"/>
      <c r="AO343" s="276" t="str">
        <f>IF(Data_PersoonAanUitTijd320=-1,"v","")</f>
        <v/>
      </c>
      <c r="AP343" s="41"/>
      <c r="AQ343" s="76" t="s">
        <v>160</v>
      </c>
      <c r="AR343" s="41"/>
      <c r="AS343" s="41"/>
      <c r="AT343" s="41"/>
      <c r="AU343" s="41"/>
      <c r="AV343" s="41">
        <f t="shared" si="33"/>
        <v>0</v>
      </c>
      <c r="AW343" s="77">
        <f t="shared" si="34"/>
        <v>0</v>
      </c>
      <c r="AX343" s="41"/>
      <c r="AY343" s="41"/>
      <c r="AZ343" s="41"/>
      <c r="BA343" s="81" t="str">
        <f>IF(Data_NaamPersoonVastVrij320="","",Data_NaamPersoonVastVrij320)</f>
        <v/>
      </c>
      <c r="BB343" s="41"/>
      <c r="BC343" s="41"/>
      <c r="BD343" s="83" t="str">
        <f>IF(Data_BeeindigingsdatumVastVrij320="","",Data_BeeindigingsdatumVastVrij320)</f>
        <v/>
      </c>
      <c r="BE343" s="41"/>
      <c r="BF343" s="41"/>
      <c r="BG343" s="82" t="str">
        <f>IF(Data_LoonkostenVastVrij320="","",Data_LoonkostenVastVrij320)</f>
        <v/>
      </c>
      <c r="BH343" s="41"/>
      <c r="BI343" s="76" t="str">
        <f>IF(Data_PersoonAanUitVastVrij320=-1,"v","")</f>
        <v/>
      </c>
      <c r="BJ343" s="41"/>
      <c r="BK343" s="76" t="s">
        <v>160</v>
      </c>
      <c r="BL343" s="41"/>
      <c r="BM343" s="41"/>
      <c r="BN343" s="41"/>
      <c r="BO343" s="41"/>
      <c r="BP343" s="41">
        <f t="shared" si="35"/>
        <v>0</v>
      </c>
      <c r="BQ343" s="77">
        <f t="shared" si="36"/>
        <v>0</v>
      </c>
      <c r="BS343" s="81" t="str">
        <f>IF(Data_NaamPersoonVastOntslag320="","",Data_NaamPersoonVastOntslag320)</f>
        <v/>
      </c>
      <c r="BV343" s="83" t="str">
        <f>IF(Data_BeeindigingsdatumVastOntslag320="","",Data_BeeindigingsdatumVastOntslag320)</f>
        <v/>
      </c>
      <c r="BY343" s="82" t="str">
        <f>IF(Data_LoonkostenVastOntslag320="","",Data_LoonkostenVastOntslag320)</f>
        <v/>
      </c>
      <c r="CA343" s="76" t="str">
        <f>IF(Data_PersoonAanUitVastOntslag320=-1,"v","")</f>
        <v/>
      </c>
      <c r="CB343" s="41"/>
      <c r="CC343" s="76" t="s">
        <v>160</v>
      </c>
      <c r="CD343" s="41"/>
      <c r="CE343" s="41"/>
      <c r="CF343" s="41"/>
      <c r="CG343" s="41"/>
      <c r="CH343" s="41">
        <f t="shared" si="39"/>
        <v>0</v>
      </c>
      <c r="CI343" s="41">
        <f t="shared" si="37"/>
        <v>0</v>
      </c>
    </row>
    <row r="344" spans="8:87" x14ac:dyDescent="0.25">
      <c r="H344" s="81" t="str">
        <f>IF(Data_NaamPersoonNatVerloop321="","",Data_NaamPersoonNatVerloop321)</f>
        <v/>
      </c>
      <c r="I344" s="41"/>
      <c r="J344" s="41"/>
      <c r="K344" s="83" t="str">
        <f>IF(Data_BeeindigingsdatumNatVerloop321="","",Data_BeeindigingsdatumNatVerloop321)</f>
        <v/>
      </c>
      <c r="L344" s="41"/>
      <c r="M344" s="41"/>
      <c r="N344" s="82" t="str">
        <f>IF(Data_LoonkostenNatVerloop321="","",Data_LoonkostenNatVerloop321)</f>
        <v/>
      </c>
      <c r="O344" s="41"/>
      <c r="P344" s="276" t="s">
        <v>160</v>
      </c>
      <c r="Q344" s="41"/>
      <c r="R344" s="76" t="s">
        <v>160</v>
      </c>
      <c r="S344" s="41"/>
      <c r="T344" s="41"/>
      <c r="U344" s="41"/>
      <c r="V344" s="41"/>
      <c r="W344" s="41">
        <f t="shared" ref="W344:W407" si="40">IF($AO344="v",M344,T344)</f>
        <v>0</v>
      </c>
      <c r="X344" s="77" t="str">
        <f t="shared" si="38"/>
        <v/>
      </c>
      <c r="AG344" s="81" t="str">
        <f>IF(Data_NaamPersoonTijd321="","",Data_NaamPersoonTijd321)</f>
        <v/>
      </c>
      <c r="AH344" s="41"/>
      <c r="AI344" s="41"/>
      <c r="AJ344" s="83" t="str">
        <f>IF(Data_BeeindigingsdatumTijd321="","",Data_BeeindigingsdatumTijd321)</f>
        <v/>
      </c>
      <c r="AK344" s="41"/>
      <c r="AL344" s="41"/>
      <c r="AM344" s="82" t="str">
        <f>IF(Data_LoonkostenTijd321="","",Data_LoonkostenTijd321)</f>
        <v/>
      </c>
      <c r="AN344" s="41"/>
      <c r="AO344" s="276" t="str">
        <f>IF(Data_PersoonAanUitTijd321=-1,"v","")</f>
        <v/>
      </c>
      <c r="AP344" s="41"/>
      <c r="AQ344" s="76" t="s">
        <v>160</v>
      </c>
      <c r="AR344" s="41"/>
      <c r="AS344" s="41"/>
      <c r="AT344" s="41"/>
      <c r="AU344" s="41"/>
      <c r="AV344" s="41">
        <f t="shared" ref="AV344:AV407" si="41">IF($AO344="v",AL344,AS344)</f>
        <v>0</v>
      </c>
      <c r="AW344" s="77">
        <f t="shared" ref="AW344:AW407" si="42">IF(AND($AO344="v",$AQ344="v"),AM344,IF(AND($AO344="v",$AQ344&lt;&gt;"v"),AT344,0))</f>
        <v>0</v>
      </c>
      <c r="AX344" s="41"/>
      <c r="AY344" s="41"/>
      <c r="AZ344" s="41"/>
      <c r="BA344" s="81" t="str">
        <f>IF(Data_NaamPersoonVastVrij321="","",Data_NaamPersoonVastVrij321)</f>
        <v/>
      </c>
      <c r="BB344" s="41"/>
      <c r="BC344" s="41"/>
      <c r="BD344" s="83" t="str">
        <f>IF(Data_BeeindigingsdatumVastVrij321="","",Data_BeeindigingsdatumVastVrij321)</f>
        <v/>
      </c>
      <c r="BE344" s="41"/>
      <c r="BF344" s="41"/>
      <c r="BG344" s="82" t="str">
        <f>IF(Data_LoonkostenVastVrij321="","",Data_LoonkostenVastVrij321)</f>
        <v/>
      </c>
      <c r="BH344" s="41"/>
      <c r="BI344" s="76" t="str">
        <f>IF(Data_PersoonAanUitVastVrij321=-1,"v","")</f>
        <v/>
      </c>
      <c r="BJ344" s="41"/>
      <c r="BK344" s="76" t="s">
        <v>160</v>
      </c>
      <c r="BL344" s="41"/>
      <c r="BM344" s="41"/>
      <c r="BN344" s="41"/>
      <c r="BO344" s="41"/>
      <c r="BP344" s="41">
        <f t="shared" ref="BP344:BP407" si="43">IF($BI344="v",BF344,BM344)</f>
        <v>0</v>
      </c>
      <c r="BQ344" s="77">
        <f t="shared" ref="BQ344:BQ407" si="44">IF(AND($BI344="v",$BK344="v"),BG344,IF(AND($BI344="v",$BK344&lt;&gt;"v"),BN344,0))</f>
        <v>0</v>
      </c>
      <c r="BS344" s="81" t="str">
        <f>IF(Data_NaamPersoonVastOntslag321="","",Data_NaamPersoonVastOntslag321)</f>
        <v/>
      </c>
      <c r="BV344" s="83" t="str">
        <f>IF(Data_BeeindigingsdatumVastOntslag321="","",Data_BeeindigingsdatumVastOntslag321)</f>
        <v/>
      </c>
      <c r="BY344" s="82" t="str">
        <f>IF(Data_LoonkostenVastOntslag321="","",Data_LoonkostenVastOntslag321)</f>
        <v/>
      </c>
      <c r="CA344" s="76" t="str">
        <f>IF(Data_PersoonAanUitVastOntslag321=-1,"v","")</f>
        <v/>
      </c>
      <c r="CB344" s="41"/>
      <c r="CC344" s="76" t="s">
        <v>160</v>
      </c>
      <c r="CD344" s="41"/>
      <c r="CE344" s="41"/>
      <c r="CF344" s="41"/>
      <c r="CG344" s="41"/>
      <c r="CH344" s="41">
        <f t="shared" si="39"/>
        <v>0</v>
      </c>
      <c r="CI344" s="41">
        <f t="shared" ref="CI344:CI407" si="45">IF(AND($CA344="v",$CC344="v"),BY344,IF(AND($CA344="v",$CC344&lt;&gt;"v"),CF343,0))</f>
        <v>0</v>
      </c>
    </row>
    <row r="345" spans="8:87" x14ac:dyDescent="0.25">
      <c r="H345" s="81" t="str">
        <f>IF(Data_NaamPersoonNatVerloop322="","",Data_NaamPersoonNatVerloop322)</f>
        <v/>
      </c>
      <c r="I345" s="41"/>
      <c r="J345" s="41"/>
      <c r="K345" s="83" t="str">
        <f>IF(Data_BeeindigingsdatumNatVerloop322="","",Data_BeeindigingsdatumNatVerloop322)</f>
        <v/>
      </c>
      <c r="L345" s="41"/>
      <c r="M345" s="41"/>
      <c r="N345" s="82" t="str">
        <f>IF(Data_LoonkostenNatVerloop322="","",Data_LoonkostenNatVerloop322)</f>
        <v/>
      </c>
      <c r="O345" s="41"/>
      <c r="P345" s="276" t="s">
        <v>160</v>
      </c>
      <c r="Q345" s="41"/>
      <c r="R345" s="76" t="s">
        <v>160</v>
      </c>
      <c r="S345" s="41"/>
      <c r="T345" s="41"/>
      <c r="U345" s="41"/>
      <c r="V345" s="41"/>
      <c r="W345" s="41">
        <f t="shared" si="40"/>
        <v>0</v>
      </c>
      <c r="X345" s="77" t="str">
        <f t="shared" ref="X345:X408" si="46">IF(AND($P345="v",$R345="v"),N345,IF(AND($P345="v",$R345&lt;&gt;"v"),U345,0))</f>
        <v/>
      </c>
      <c r="AG345" s="81" t="str">
        <f>IF(Data_NaamPersoonTijd322="","",Data_NaamPersoonTijd322)</f>
        <v/>
      </c>
      <c r="AH345" s="41"/>
      <c r="AI345" s="41"/>
      <c r="AJ345" s="83" t="str">
        <f>IF(Data_BeeindigingsdatumTijd322="","",Data_BeeindigingsdatumTijd322)</f>
        <v/>
      </c>
      <c r="AK345" s="41"/>
      <c r="AL345" s="41"/>
      <c r="AM345" s="82" t="str">
        <f>IF(Data_LoonkostenTijd322="","",Data_LoonkostenTijd322)</f>
        <v/>
      </c>
      <c r="AN345" s="41"/>
      <c r="AO345" s="276" t="str">
        <f>IF(Data_PersoonAanUitTijd322=-1,"v","")</f>
        <v/>
      </c>
      <c r="AP345" s="41"/>
      <c r="AQ345" s="76" t="s">
        <v>160</v>
      </c>
      <c r="AR345" s="41"/>
      <c r="AS345" s="41"/>
      <c r="AT345" s="41"/>
      <c r="AU345" s="41"/>
      <c r="AV345" s="41">
        <f t="shared" si="41"/>
        <v>0</v>
      </c>
      <c r="AW345" s="77">
        <f t="shared" si="42"/>
        <v>0</v>
      </c>
      <c r="AX345" s="41"/>
      <c r="AY345" s="41"/>
      <c r="AZ345" s="41"/>
      <c r="BA345" s="81" t="str">
        <f>IF(Data_NaamPersoonVastVrij322="","",Data_NaamPersoonVastVrij322)</f>
        <v/>
      </c>
      <c r="BB345" s="41"/>
      <c r="BC345" s="41"/>
      <c r="BD345" s="83" t="str">
        <f>IF(Data_BeeindigingsdatumVastVrij322="","",Data_BeeindigingsdatumVastVrij322)</f>
        <v/>
      </c>
      <c r="BE345" s="41"/>
      <c r="BF345" s="41"/>
      <c r="BG345" s="82" t="str">
        <f>IF(Data_LoonkostenVastVrij322="","",Data_LoonkostenVastVrij322)</f>
        <v/>
      </c>
      <c r="BH345" s="41"/>
      <c r="BI345" s="76" t="str">
        <f>IF(Data_PersoonAanUitVastVrij322=-1,"v","")</f>
        <v/>
      </c>
      <c r="BJ345" s="41"/>
      <c r="BK345" s="76" t="s">
        <v>160</v>
      </c>
      <c r="BL345" s="41"/>
      <c r="BM345" s="41"/>
      <c r="BN345" s="41"/>
      <c r="BO345" s="41"/>
      <c r="BP345" s="41">
        <f t="shared" si="43"/>
        <v>0</v>
      </c>
      <c r="BQ345" s="77">
        <f t="shared" si="44"/>
        <v>0</v>
      </c>
      <c r="BS345" s="81" t="str">
        <f>IF(Data_NaamPersoonVastOntslag322="","",Data_NaamPersoonVastOntslag322)</f>
        <v/>
      </c>
      <c r="BV345" s="83" t="str">
        <f>IF(Data_BeeindigingsdatumVastOntslag322="","",Data_BeeindigingsdatumVastOntslag322)</f>
        <v/>
      </c>
      <c r="BY345" s="82" t="str">
        <f>IF(Data_LoonkostenVastOntslag322="","",Data_LoonkostenVastOntslag322)</f>
        <v/>
      </c>
      <c r="CA345" s="76" t="str">
        <f>IF(Data_PersoonAanUitVastOntslag322=-1,"v","")</f>
        <v/>
      </c>
      <c r="CB345" s="41"/>
      <c r="CC345" s="76" t="s">
        <v>160</v>
      </c>
      <c r="CD345" s="41"/>
      <c r="CE345" s="41"/>
      <c r="CF345" s="41"/>
      <c r="CG345" s="41"/>
      <c r="CH345" s="41">
        <f t="shared" ref="CH345:CH408" si="47">IF($CA345="v",BX345,CE345)</f>
        <v>0</v>
      </c>
      <c r="CI345" s="41">
        <f t="shared" si="45"/>
        <v>0</v>
      </c>
    </row>
    <row r="346" spans="8:87" x14ac:dyDescent="0.25">
      <c r="H346" s="81" t="str">
        <f>IF(Data_NaamPersoonNatVerloop323="","",Data_NaamPersoonNatVerloop323)</f>
        <v/>
      </c>
      <c r="I346" s="41"/>
      <c r="J346" s="41"/>
      <c r="K346" s="83" t="str">
        <f>IF(Data_BeeindigingsdatumNatVerloop323="","",Data_BeeindigingsdatumNatVerloop323)</f>
        <v/>
      </c>
      <c r="L346" s="41"/>
      <c r="M346" s="41"/>
      <c r="N346" s="82" t="str">
        <f>IF(Data_LoonkostenNatVerloop323="","",Data_LoonkostenNatVerloop323)</f>
        <v/>
      </c>
      <c r="O346" s="41"/>
      <c r="P346" s="276" t="s">
        <v>160</v>
      </c>
      <c r="Q346" s="41"/>
      <c r="R346" s="76" t="s">
        <v>160</v>
      </c>
      <c r="S346" s="41"/>
      <c r="T346" s="41"/>
      <c r="U346" s="41"/>
      <c r="V346" s="41"/>
      <c r="W346" s="41">
        <f t="shared" si="40"/>
        <v>0</v>
      </c>
      <c r="X346" s="77" t="str">
        <f t="shared" si="46"/>
        <v/>
      </c>
      <c r="AG346" s="81" t="str">
        <f>IF(Data_NaamPersoonTijd323="","",Data_NaamPersoonTijd323)</f>
        <v/>
      </c>
      <c r="AH346" s="41"/>
      <c r="AI346" s="41"/>
      <c r="AJ346" s="83" t="str">
        <f>IF(Data_BeeindigingsdatumTijd323="","",Data_BeeindigingsdatumTijd323)</f>
        <v/>
      </c>
      <c r="AK346" s="41"/>
      <c r="AL346" s="41"/>
      <c r="AM346" s="82" t="str">
        <f>IF(Data_LoonkostenTijd323="","",Data_LoonkostenTijd323)</f>
        <v/>
      </c>
      <c r="AN346" s="41"/>
      <c r="AO346" s="276" t="str">
        <f>IF(Data_PersoonAanUitTijd323=-1,"v","")</f>
        <v/>
      </c>
      <c r="AP346" s="41"/>
      <c r="AQ346" s="76" t="s">
        <v>160</v>
      </c>
      <c r="AR346" s="41"/>
      <c r="AS346" s="41"/>
      <c r="AT346" s="41"/>
      <c r="AU346" s="41"/>
      <c r="AV346" s="41">
        <f t="shared" si="41"/>
        <v>0</v>
      </c>
      <c r="AW346" s="77">
        <f t="shared" si="42"/>
        <v>0</v>
      </c>
      <c r="AX346" s="41"/>
      <c r="AY346" s="41"/>
      <c r="AZ346" s="41"/>
      <c r="BA346" s="81" t="str">
        <f>IF(Data_NaamPersoonVastVrij323="","",Data_NaamPersoonVastVrij323)</f>
        <v/>
      </c>
      <c r="BB346" s="41"/>
      <c r="BC346" s="41"/>
      <c r="BD346" s="83" t="str">
        <f>IF(Data_BeeindigingsdatumVastVrij323="","",Data_BeeindigingsdatumVastVrij323)</f>
        <v/>
      </c>
      <c r="BE346" s="41"/>
      <c r="BF346" s="41"/>
      <c r="BG346" s="82" t="str">
        <f>IF(Data_LoonkostenVastVrij323="","",Data_LoonkostenVastVrij323)</f>
        <v/>
      </c>
      <c r="BH346" s="41"/>
      <c r="BI346" s="76" t="str">
        <f>IF(Data_PersoonAanUitVastVrij323=-1,"v","")</f>
        <v/>
      </c>
      <c r="BJ346" s="41"/>
      <c r="BK346" s="76" t="s">
        <v>160</v>
      </c>
      <c r="BL346" s="41"/>
      <c r="BM346" s="41"/>
      <c r="BN346" s="41"/>
      <c r="BO346" s="41"/>
      <c r="BP346" s="41">
        <f t="shared" si="43"/>
        <v>0</v>
      </c>
      <c r="BQ346" s="77">
        <f t="shared" si="44"/>
        <v>0</v>
      </c>
      <c r="BS346" s="81" t="str">
        <f>IF(Data_NaamPersoonVastOntslag323="","",Data_NaamPersoonVastOntslag323)</f>
        <v/>
      </c>
      <c r="BV346" s="83" t="str">
        <f>IF(Data_BeeindigingsdatumVastOntslag323="","",Data_BeeindigingsdatumVastOntslag323)</f>
        <v/>
      </c>
      <c r="BY346" s="82" t="str">
        <f>IF(Data_LoonkostenVastOntslag323="","",Data_LoonkostenVastOntslag323)</f>
        <v/>
      </c>
      <c r="CA346" s="76" t="str">
        <f>IF(Data_PersoonAanUitVastOntslag323=-1,"v","")</f>
        <v/>
      </c>
      <c r="CB346" s="41"/>
      <c r="CC346" s="76" t="s">
        <v>160</v>
      </c>
      <c r="CD346" s="41"/>
      <c r="CE346" s="41"/>
      <c r="CF346" s="41"/>
      <c r="CG346" s="41"/>
      <c r="CH346" s="41">
        <f t="shared" si="47"/>
        <v>0</v>
      </c>
      <c r="CI346" s="41">
        <f t="shared" si="45"/>
        <v>0</v>
      </c>
    </row>
    <row r="347" spans="8:87" x14ac:dyDescent="0.25">
      <c r="H347" s="81" t="str">
        <f>IF(Data_NaamPersoonNatVerloop324="","",Data_NaamPersoonNatVerloop324)</f>
        <v/>
      </c>
      <c r="I347" s="41"/>
      <c r="J347" s="41"/>
      <c r="K347" s="83" t="str">
        <f>IF(Data_BeeindigingsdatumNatVerloop324="","",Data_BeeindigingsdatumNatVerloop324)</f>
        <v/>
      </c>
      <c r="L347" s="41"/>
      <c r="M347" s="41"/>
      <c r="N347" s="82" t="str">
        <f>IF(Data_LoonkostenNatVerloop324="","",Data_LoonkostenNatVerloop324)</f>
        <v/>
      </c>
      <c r="O347" s="41"/>
      <c r="P347" s="276" t="s">
        <v>160</v>
      </c>
      <c r="Q347" s="41"/>
      <c r="R347" s="76" t="s">
        <v>160</v>
      </c>
      <c r="S347" s="41"/>
      <c r="T347" s="41"/>
      <c r="U347" s="41"/>
      <c r="V347" s="41"/>
      <c r="W347" s="41">
        <f t="shared" si="40"/>
        <v>0</v>
      </c>
      <c r="X347" s="77" t="str">
        <f t="shared" si="46"/>
        <v/>
      </c>
      <c r="AG347" s="81" t="str">
        <f>IF(Data_NaamPersoonTijd324="","",Data_NaamPersoonTijd324)</f>
        <v/>
      </c>
      <c r="AH347" s="41"/>
      <c r="AI347" s="41"/>
      <c r="AJ347" s="83" t="str">
        <f>IF(Data_BeeindigingsdatumTijd324="","",Data_BeeindigingsdatumTijd324)</f>
        <v/>
      </c>
      <c r="AK347" s="41"/>
      <c r="AL347" s="41"/>
      <c r="AM347" s="82" t="str">
        <f>IF(Data_LoonkostenTijd324="","",Data_LoonkostenTijd324)</f>
        <v/>
      </c>
      <c r="AN347" s="41"/>
      <c r="AO347" s="276" t="str">
        <f>IF(Data_PersoonAanUitTijd324=-1,"v","")</f>
        <v/>
      </c>
      <c r="AP347" s="41"/>
      <c r="AQ347" s="76" t="s">
        <v>160</v>
      </c>
      <c r="AR347" s="41"/>
      <c r="AS347" s="41"/>
      <c r="AT347" s="41"/>
      <c r="AU347" s="41"/>
      <c r="AV347" s="41">
        <f t="shared" si="41"/>
        <v>0</v>
      </c>
      <c r="AW347" s="77">
        <f t="shared" si="42"/>
        <v>0</v>
      </c>
      <c r="AX347" s="41"/>
      <c r="AY347" s="41"/>
      <c r="AZ347" s="41"/>
      <c r="BA347" s="81" t="str">
        <f>IF(Data_NaamPersoonVastVrij324="","",Data_NaamPersoonVastVrij324)</f>
        <v/>
      </c>
      <c r="BB347" s="41"/>
      <c r="BC347" s="41"/>
      <c r="BD347" s="83" t="str">
        <f>IF(Data_BeeindigingsdatumVastVrij324="","",Data_BeeindigingsdatumVastVrij324)</f>
        <v/>
      </c>
      <c r="BE347" s="41"/>
      <c r="BF347" s="41"/>
      <c r="BG347" s="82" t="str">
        <f>IF(Data_LoonkostenVastVrij324="","",Data_LoonkostenVastVrij324)</f>
        <v/>
      </c>
      <c r="BH347" s="41"/>
      <c r="BI347" s="76" t="str">
        <f>IF(Data_PersoonAanUitVastVrij324=-1,"v","")</f>
        <v/>
      </c>
      <c r="BJ347" s="41"/>
      <c r="BK347" s="76" t="s">
        <v>160</v>
      </c>
      <c r="BL347" s="41"/>
      <c r="BM347" s="41"/>
      <c r="BN347" s="41"/>
      <c r="BO347" s="41"/>
      <c r="BP347" s="41">
        <f t="shared" si="43"/>
        <v>0</v>
      </c>
      <c r="BQ347" s="77">
        <f t="shared" si="44"/>
        <v>0</v>
      </c>
      <c r="BS347" s="81" t="str">
        <f>IF(Data_NaamPersoonVastOntslag324="","",Data_NaamPersoonVastOntslag324)</f>
        <v/>
      </c>
      <c r="BV347" s="83" t="str">
        <f>IF(Data_BeeindigingsdatumVastOntslag324="","",Data_BeeindigingsdatumVastOntslag324)</f>
        <v/>
      </c>
      <c r="BY347" s="82" t="str">
        <f>IF(Data_LoonkostenVastOntslag324="","",Data_LoonkostenVastOntslag324)</f>
        <v/>
      </c>
      <c r="CA347" s="76" t="str">
        <f>IF(Data_PersoonAanUitVastOntslag324=-1,"v","")</f>
        <v/>
      </c>
      <c r="CB347" s="41"/>
      <c r="CC347" s="76" t="s">
        <v>160</v>
      </c>
      <c r="CD347" s="41"/>
      <c r="CE347" s="41"/>
      <c r="CF347" s="41"/>
      <c r="CG347" s="41"/>
      <c r="CH347" s="41">
        <f t="shared" si="47"/>
        <v>0</v>
      </c>
      <c r="CI347" s="41">
        <f t="shared" si="45"/>
        <v>0</v>
      </c>
    </row>
    <row r="348" spans="8:87" x14ac:dyDescent="0.25">
      <c r="H348" s="81" t="str">
        <f>IF(Data_NaamPersoonNatVerloop325="","",Data_NaamPersoonNatVerloop325)</f>
        <v/>
      </c>
      <c r="I348" s="41"/>
      <c r="J348" s="41"/>
      <c r="K348" s="83" t="str">
        <f>IF(Data_BeeindigingsdatumNatVerloop325="","",Data_BeeindigingsdatumNatVerloop325)</f>
        <v/>
      </c>
      <c r="L348" s="41"/>
      <c r="M348" s="41"/>
      <c r="N348" s="82" t="str">
        <f>IF(Data_LoonkostenNatVerloop325="","",Data_LoonkostenNatVerloop325)</f>
        <v/>
      </c>
      <c r="O348" s="41"/>
      <c r="P348" s="276" t="s">
        <v>160</v>
      </c>
      <c r="Q348" s="41"/>
      <c r="R348" s="76" t="s">
        <v>160</v>
      </c>
      <c r="S348" s="41"/>
      <c r="T348" s="41"/>
      <c r="U348" s="41"/>
      <c r="V348" s="41"/>
      <c r="W348" s="41">
        <f t="shared" si="40"/>
        <v>0</v>
      </c>
      <c r="X348" s="77" t="str">
        <f t="shared" si="46"/>
        <v/>
      </c>
      <c r="AG348" s="81" t="str">
        <f>IF(Data_NaamPersoonTijd325="","",Data_NaamPersoonTijd325)</f>
        <v/>
      </c>
      <c r="AH348" s="41"/>
      <c r="AI348" s="41"/>
      <c r="AJ348" s="83" t="str">
        <f>IF(Data_BeeindigingsdatumTijd325="","",Data_BeeindigingsdatumTijd325)</f>
        <v/>
      </c>
      <c r="AK348" s="41"/>
      <c r="AL348" s="41"/>
      <c r="AM348" s="82" t="str">
        <f>IF(Data_LoonkostenTijd325="","",Data_LoonkostenTijd325)</f>
        <v/>
      </c>
      <c r="AN348" s="41"/>
      <c r="AO348" s="276" t="str">
        <f>IF(Data_PersoonAanUitTijd325=-1,"v","")</f>
        <v/>
      </c>
      <c r="AP348" s="41"/>
      <c r="AQ348" s="76" t="s">
        <v>160</v>
      </c>
      <c r="AR348" s="41"/>
      <c r="AS348" s="41"/>
      <c r="AT348" s="41"/>
      <c r="AU348" s="41"/>
      <c r="AV348" s="41">
        <f t="shared" si="41"/>
        <v>0</v>
      </c>
      <c r="AW348" s="77">
        <f t="shared" si="42"/>
        <v>0</v>
      </c>
      <c r="AX348" s="41"/>
      <c r="AY348" s="41"/>
      <c r="AZ348" s="41"/>
      <c r="BA348" s="81" t="str">
        <f>IF(Data_NaamPersoonVastVrij325="","",Data_NaamPersoonVastVrij325)</f>
        <v/>
      </c>
      <c r="BB348" s="41"/>
      <c r="BC348" s="41"/>
      <c r="BD348" s="83" t="str">
        <f>IF(Data_BeeindigingsdatumVastVrij325="","",Data_BeeindigingsdatumVastVrij325)</f>
        <v/>
      </c>
      <c r="BE348" s="41"/>
      <c r="BF348" s="41"/>
      <c r="BG348" s="82" t="str">
        <f>IF(Data_LoonkostenVastVrij325="","",Data_LoonkostenVastVrij325)</f>
        <v/>
      </c>
      <c r="BH348" s="41"/>
      <c r="BI348" s="76" t="str">
        <f>IF(Data_PersoonAanUitVastVrij325=-1,"v","")</f>
        <v/>
      </c>
      <c r="BJ348" s="41"/>
      <c r="BK348" s="76" t="s">
        <v>160</v>
      </c>
      <c r="BL348" s="41"/>
      <c r="BM348" s="41"/>
      <c r="BN348" s="41"/>
      <c r="BO348" s="41"/>
      <c r="BP348" s="41">
        <f t="shared" si="43"/>
        <v>0</v>
      </c>
      <c r="BQ348" s="77">
        <f t="shared" si="44"/>
        <v>0</v>
      </c>
      <c r="BS348" s="81" t="str">
        <f>IF(Data_NaamPersoonVastOntslag325="","",Data_NaamPersoonVastOntslag325)</f>
        <v/>
      </c>
      <c r="BV348" s="83" t="str">
        <f>IF(Data_BeeindigingsdatumVastOntslag325="","",Data_BeeindigingsdatumVastOntslag325)</f>
        <v/>
      </c>
      <c r="BY348" s="82" t="str">
        <f>IF(Data_LoonkostenVastOntslag325="","",Data_LoonkostenVastOntslag325)</f>
        <v/>
      </c>
      <c r="CA348" s="76" t="str">
        <f>IF(Data_PersoonAanUitVastOntslag325=-1,"v","")</f>
        <v/>
      </c>
      <c r="CB348" s="41"/>
      <c r="CC348" s="76" t="s">
        <v>160</v>
      </c>
      <c r="CD348" s="41"/>
      <c r="CE348" s="41"/>
      <c r="CF348" s="41"/>
      <c r="CG348" s="41"/>
      <c r="CH348" s="41">
        <f t="shared" si="47"/>
        <v>0</v>
      </c>
      <c r="CI348" s="41">
        <f t="shared" si="45"/>
        <v>0</v>
      </c>
    </row>
    <row r="349" spans="8:87" x14ac:dyDescent="0.25">
      <c r="H349" s="81" t="str">
        <f>IF(Data_NaamPersoonNatVerloop326="","",Data_NaamPersoonNatVerloop326)</f>
        <v/>
      </c>
      <c r="I349" s="41"/>
      <c r="J349" s="41"/>
      <c r="K349" s="83" t="str">
        <f>IF(Data_BeeindigingsdatumNatVerloop326="","",Data_BeeindigingsdatumNatVerloop326)</f>
        <v/>
      </c>
      <c r="L349" s="41"/>
      <c r="M349" s="41"/>
      <c r="N349" s="82" t="str">
        <f>IF(Data_LoonkostenNatVerloop326="","",Data_LoonkostenNatVerloop326)</f>
        <v/>
      </c>
      <c r="O349" s="41"/>
      <c r="P349" s="276" t="s">
        <v>160</v>
      </c>
      <c r="Q349" s="41"/>
      <c r="R349" s="76" t="s">
        <v>160</v>
      </c>
      <c r="S349" s="41"/>
      <c r="T349" s="41"/>
      <c r="U349" s="41"/>
      <c r="V349" s="41"/>
      <c r="W349" s="41">
        <f t="shared" si="40"/>
        <v>0</v>
      </c>
      <c r="X349" s="77" t="str">
        <f t="shared" si="46"/>
        <v/>
      </c>
      <c r="AG349" s="81" t="str">
        <f>IF(Data_NaamPersoonTijd326="","",Data_NaamPersoonTijd326)</f>
        <v/>
      </c>
      <c r="AH349" s="41"/>
      <c r="AI349" s="41"/>
      <c r="AJ349" s="83" t="str">
        <f>IF(Data_BeeindigingsdatumTijd326="","",Data_BeeindigingsdatumTijd326)</f>
        <v/>
      </c>
      <c r="AK349" s="41"/>
      <c r="AL349" s="41"/>
      <c r="AM349" s="82" t="str">
        <f>IF(Data_LoonkostenTijd326="","",Data_LoonkostenTijd326)</f>
        <v/>
      </c>
      <c r="AN349" s="41"/>
      <c r="AO349" s="276" t="str">
        <f>IF(Data_PersoonAanUitTijd326=-1,"v","")</f>
        <v/>
      </c>
      <c r="AP349" s="41"/>
      <c r="AQ349" s="76" t="s">
        <v>160</v>
      </c>
      <c r="AR349" s="41"/>
      <c r="AS349" s="41"/>
      <c r="AT349" s="41"/>
      <c r="AU349" s="41"/>
      <c r="AV349" s="41">
        <f t="shared" si="41"/>
        <v>0</v>
      </c>
      <c r="AW349" s="77">
        <f t="shared" si="42"/>
        <v>0</v>
      </c>
      <c r="AX349" s="41"/>
      <c r="AY349" s="41"/>
      <c r="AZ349" s="41"/>
      <c r="BA349" s="81" t="str">
        <f>IF(Data_NaamPersoonVastVrij326="","",Data_NaamPersoonVastVrij326)</f>
        <v/>
      </c>
      <c r="BB349" s="41"/>
      <c r="BC349" s="41"/>
      <c r="BD349" s="83" t="str">
        <f>IF(Data_BeeindigingsdatumVastVrij326="","",Data_BeeindigingsdatumVastVrij326)</f>
        <v/>
      </c>
      <c r="BE349" s="41"/>
      <c r="BF349" s="41"/>
      <c r="BG349" s="82" t="str">
        <f>IF(Data_LoonkostenVastVrij326="","",Data_LoonkostenVastVrij326)</f>
        <v/>
      </c>
      <c r="BH349" s="41"/>
      <c r="BI349" s="76" t="str">
        <f>IF(Data_PersoonAanUitVastVrij326=-1,"v","")</f>
        <v/>
      </c>
      <c r="BJ349" s="41"/>
      <c r="BK349" s="76" t="s">
        <v>160</v>
      </c>
      <c r="BL349" s="41"/>
      <c r="BM349" s="41"/>
      <c r="BN349" s="41"/>
      <c r="BO349" s="41"/>
      <c r="BP349" s="41">
        <f t="shared" si="43"/>
        <v>0</v>
      </c>
      <c r="BQ349" s="77">
        <f t="shared" si="44"/>
        <v>0</v>
      </c>
      <c r="BS349" s="81" t="str">
        <f>IF(Data_NaamPersoonVastOntslag326="","",Data_NaamPersoonVastOntslag326)</f>
        <v/>
      </c>
      <c r="BV349" s="83" t="str">
        <f>IF(Data_BeeindigingsdatumVastOntslag326="","",Data_BeeindigingsdatumVastOntslag326)</f>
        <v/>
      </c>
      <c r="BY349" s="82" t="str">
        <f>IF(Data_LoonkostenVastOntslag326="","",Data_LoonkostenVastOntslag326)</f>
        <v/>
      </c>
      <c r="CA349" s="76" t="str">
        <f>IF(Data_PersoonAanUitVastOntslag326=-1,"v","")</f>
        <v/>
      </c>
      <c r="CB349" s="41"/>
      <c r="CC349" s="76" t="s">
        <v>160</v>
      </c>
      <c r="CD349" s="41"/>
      <c r="CE349" s="41"/>
      <c r="CF349" s="41"/>
      <c r="CG349" s="41"/>
      <c r="CH349" s="41">
        <f t="shared" si="47"/>
        <v>0</v>
      </c>
      <c r="CI349" s="41">
        <f t="shared" si="45"/>
        <v>0</v>
      </c>
    </row>
    <row r="350" spans="8:87" x14ac:dyDescent="0.25">
      <c r="H350" s="81" t="str">
        <f>IF(Data_NaamPersoonNatVerloop327="","",Data_NaamPersoonNatVerloop327)</f>
        <v/>
      </c>
      <c r="I350" s="41"/>
      <c r="J350" s="41"/>
      <c r="K350" s="83" t="str">
        <f>IF(Data_BeeindigingsdatumNatVerloop327="","",Data_BeeindigingsdatumNatVerloop327)</f>
        <v/>
      </c>
      <c r="L350" s="41"/>
      <c r="M350" s="41"/>
      <c r="N350" s="82" t="str">
        <f>IF(Data_LoonkostenNatVerloop327="","",Data_LoonkostenNatVerloop327)</f>
        <v/>
      </c>
      <c r="O350" s="41"/>
      <c r="P350" s="276" t="s">
        <v>160</v>
      </c>
      <c r="Q350" s="41"/>
      <c r="R350" s="76" t="s">
        <v>160</v>
      </c>
      <c r="S350" s="41"/>
      <c r="T350" s="41"/>
      <c r="U350" s="41"/>
      <c r="V350" s="41"/>
      <c r="W350" s="41">
        <f t="shared" si="40"/>
        <v>0</v>
      </c>
      <c r="X350" s="77" t="str">
        <f t="shared" si="46"/>
        <v/>
      </c>
      <c r="AG350" s="81" t="str">
        <f>IF(Data_NaamPersoonTijd327="","",Data_NaamPersoonTijd327)</f>
        <v/>
      </c>
      <c r="AH350" s="41"/>
      <c r="AI350" s="41"/>
      <c r="AJ350" s="83" t="str">
        <f>IF(Data_BeeindigingsdatumTijd327="","",Data_BeeindigingsdatumTijd327)</f>
        <v/>
      </c>
      <c r="AK350" s="41"/>
      <c r="AL350" s="41"/>
      <c r="AM350" s="82" t="str">
        <f>IF(Data_LoonkostenTijd327="","",Data_LoonkostenTijd327)</f>
        <v/>
      </c>
      <c r="AN350" s="41"/>
      <c r="AO350" s="276" t="str">
        <f>IF(Data_PersoonAanUitTijd327=-1,"v","")</f>
        <v/>
      </c>
      <c r="AP350" s="41"/>
      <c r="AQ350" s="76" t="s">
        <v>160</v>
      </c>
      <c r="AR350" s="41"/>
      <c r="AS350" s="41"/>
      <c r="AT350" s="41"/>
      <c r="AU350" s="41"/>
      <c r="AV350" s="41">
        <f t="shared" si="41"/>
        <v>0</v>
      </c>
      <c r="AW350" s="77">
        <f t="shared" si="42"/>
        <v>0</v>
      </c>
      <c r="AX350" s="41"/>
      <c r="AY350" s="41"/>
      <c r="AZ350" s="41"/>
      <c r="BA350" s="81" t="str">
        <f>IF(Data_NaamPersoonVastVrij327="","",Data_NaamPersoonVastVrij327)</f>
        <v/>
      </c>
      <c r="BB350" s="41"/>
      <c r="BC350" s="41"/>
      <c r="BD350" s="83" t="str">
        <f>IF(Data_BeeindigingsdatumVastVrij327="","",Data_BeeindigingsdatumVastVrij327)</f>
        <v/>
      </c>
      <c r="BE350" s="41"/>
      <c r="BF350" s="41"/>
      <c r="BG350" s="82" t="str">
        <f>IF(Data_LoonkostenVastVrij327="","",Data_LoonkostenVastVrij327)</f>
        <v/>
      </c>
      <c r="BH350" s="41"/>
      <c r="BI350" s="76" t="str">
        <f>IF(Data_PersoonAanUitVastVrij327=-1,"v","")</f>
        <v/>
      </c>
      <c r="BJ350" s="41"/>
      <c r="BK350" s="76" t="s">
        <v>160</v>
      </c>
      <c r="BL350" s="41"/>
      <c r="BM350" s="41"/>
      <c r="BN350" s="41"/>
      <c r="BO350" s="41"/>
      <c r="BP350" s="41">
        <f t="shared" si="43"/>
        <v>0</v>
      </c>
      <c r="BQ350" s="77">
        <f t="shared" si="44"/>
        <v>0</v>
      </c>
      <c r="BS350" s="81" t="str">
        <f>IF(Data_NaamPersoonVastOntslag327="","",Data_NaamPersoonVastOntslag327)</f>
        <v/>
      </c>
      <c r="BV350" s="83" t="str">
        <f>IF(Data_BeeindigingsdatumVastOntslag327="","",Data_BeeindigingsdatumVastOntslag327)</f>
        <v/>
      </c>
      <c r="BY350" s="82" t="str">
        <f>IF(Data_LoonkostenVastOntslag327="","",Data_LoonkostenVastOntslag327)</f>
        <v/>
      </c>
      <c r="CA350" s="76" t="str">
        <f>IF(Data_PersoonAanUitVastOntslag327=-1,"v","")</f>
        <v/>
      </c>
      <c r="CB350" s="41"/>
      <c r="CC350" s="76" t="s">
        <v>160</v>
      </c>
      <c r="CD350" s="41"/>
      <c r="CE350" s="41"/>
      <c r="CF350" s="41"/>
      <c r="CG350" s="41"/>
      <c r="CH350" s="41">
        <f t="shared" si="47"/>
        <v>0</v>
      </c>
      <c r="CI350" s="41">
        <f t="shared" si="45"/>
        <v>0</v>
      </c>
    </row>
    <row r="351" spans="8:87" x14ac:dyDescent="0.25">
      <c r="H351" s="81" t="str">
        <f>IF(Data_NaamPersoonNatVerloop328="","",Data_NaamPersoonNatVerloop328)</f>
        <v/>
      </c>
      <c r="I351" s="41"/>
      <c r="J351" s="41"/>
      <c r="K351" s="83" t="str">
        <f>IF(Data_BeeindigingsdatumNatVerloop328="","",Data_BeeindigingsdatumNatVerloop328)</f>
        <v/>
      </c>
      <c r="L351" s="41"/>
      <c r="M351" s="41"/>
      <c r="N351" s="82" t="str">
        <f>IF(Data_LoonkostenNatVerloop328="","",Data_LoonkostenNatVerloop328)</f>
        <v/>
      </c>
      <c r="O351" s="41"/>
      <c r="P351" s="276" t="s">
        <v>160</v>
      </c>
      <c r="Q351" s="41"/>
      <c r="R351" s="76" t="s">
        <v>160</v>
      </c>
      <c r="S351" s="41"/>
      <c r="T351" s="41"/>
      <c r="U351" s="41"/>
      <c r="V351" s="41"/>
      <c r="W351" s="41">
        <f t="shared" si="40"/>
        <v>0</v>
      </c>
      <c r="X351" s="77" t="str">
        <f t="shared" si="46"/>
        <v/>
      </c>
      <c r="AG351" s="81" t="str">
        <f>IF(Data_NaamPersoonTijd328="","",Data_NaamPersoonTijd328)</f>
        <v/>
      </c>
      <c r="AH351" s="41"/>
      <c r="AI351" s="41"/>
      <c r="AJ351" s="83" t="str">
        <f>IF(Data_BeeindigingsdatumTijd328="","",Data_BeeindigingsdatumTijd328)</f>
        <v/>
      </c>
      <c r="AK351" s="41"/>
      <c r="AL351" s="41"/>
      <c r="AM351" s="82" t="str">
        <f>IF(Data_LoonkostenTijd328="","",Data_LoonkostenTijd328)</f>
        <v/>
      </c>
      <c r="AN351" s="41"/>
      <c r="AO351" s="276" t="str">
        <f>IF(Data_PersoonAanUitTijd328=-1,"v","")</f>
        <v/>
      </c>
      <c r="AP351" s="41"/>
      <c r="AQ351" s="76" t="s">
        <v>160</v>
      </c>
      <c r="AR351" s="41"/>
      <c r="AS351" s="41"/>
      <c r="AT351" s="41"/>
      <c r="AU351" s="41"/>
      <c r="AV351" s="41">
        <f t="shared" si="41"/>
        <v>0</v>
      </c>
      <c r="AW351" s="77">
        <f t="shared" si="42"/>
        <v>0</v>
      </c>
      <c r="AX351" s="41"/>
      <c r="AY351" s="41"/>
      <c r="AZ351" s="41"/>
      <c r="BA351" s="81" t="str">
        <f>IF(Data_NaamPersoonVastVrij328="","",Data_NaamPersoonVastVrij328)</f>
        <v/>
      </c>
      <c r="BB351" s="41"/>
      <c r="BC351" s="41"/>
      <c r="BD351" s="83" t="str">
        <f>IF(Data_BeeindigingsdatumVastVrij328="","",Data_BeeindigingsdatumVastVrij328)</f>
        <v/>
      </c>
      <c r="BE351" s="41"/>
      <c r="BF351" s="41"/>
      <c r="BG351" s="82" t="str">
        <f>IF(Data_LoonkostenVastVrij328="","",Data_LoonkostenVastVrij328)</f>
        <v/>
      </c>
      <c r="BH351" s="41"/>
      <c r="BI351" s="76" t="str">
        <f>IF(Data_PersoonAanUitVastVrij328=-1,"v","")</f>
        <v/>
      </c>
      <c r="BJ351" s="41"/>
      <c r="BK351" s="76" t="s">
        <v>160</v>
      </c>
      <c r="BL351" s="41"/>
      <c r="BM351" s="41"/>
      <c r="BN351" s="41"/>
      <c r="BO351" s="41"/>
      <c r="BP351" s="41">
        <f t="shared" si="43"/>
        <v>0</v>
      </c>
      <c r="BQ351" s="77">
        <f t="shared" si="44"/>
        <v>0</v>
      </c>
      <c r="BS351" s="81" t="str">
        <f>IF(Data_NaamPersoonVastOntslag328="","",Data_NaamPersoonVastOntslag328)</f>
        <v/>
      </c>
      <c r="BV351" s="83" t="str">
        <f>IF(Data_BeeindigingsdatumVastOntslag328="","",Data_BeeindigingsdatumVastOntslag328)</f>
        <v/>
      </c>
      <c r="BY351" s="82" t="str">
        <f>IF(Data_LoonkostenVastOntslag328="","",Data_LoonkostenVastOntslag328)</f>
        <v/>
      </c>
      <c r="CA351" s="76" t="str">
        <f>IF(Data_PersoonAanUitVastOntslag328=-1,"v","")</f>
        <v/>
      </c>
      <c r="CB351" s="41"/>
      <c r="CC351" s="76" t="s">
        <v>160</v>
      </c>
      <c r="CD351" s="41"/>
      <c r="CE351" s="41"/>
      <c r="CF351" s="41"/>
      <c r="CG351" s="41"/>
      <c r="CH351" s="41">
        <f t="shared" si="47"/>
        <v>0</v>
      </c>
      <c r="CI351" s="41">
        <f t="shared" si="45"/>
        <v>0</v>
      </c>
    </row>
    <row r="352" spans="8:87" x14ac:dyDescent="0.25">
      <c r="H352" s="81" t="str">
        <f>IF(Data_NaamPersoonNatVerloop329="","",Data_NaamPersoonNatVerloop329)</f>
        <v/>
      </c>
      <c r="I352" s="41"/>
      <c r="J352" s="41"/>
      <c r="K352" s="83" t="str">
        <f>IF(Data_BeeindigingsdatumNatVerloop329="","",Data_BeeindigingsdatumNatVerloop329)</f>
        <v/>
      </c>
      <c r="L352" s="41"/>
      <c r="M352" s="41"/>
      <c r="N352" s="82" t="str">
        <f>IF(Data_LoonkostenNatVerloop329="","",Data_LoonkostenNatVerloop329)</f>
        <v/>
      </c>
      <c r="O352" s="41"/>
      <c r="P352" s="276" t="s">
        <v>160</v>
      </c>
      <c r="Q352" s="41"/>
      <c r="R352" s="76" t="s">
        <v>160</v>
      </c>
      <c r="S352" s="41"/>
      <c r="T352" s="41"/>
      <c r="U352" s="41"/>
      <c r="V352" s="41"/>
      <c r="W352" s="41">
        <f t="shared" si="40"/>
        <v>0</v>
      </c>
      <c r="X352" s="77" t="str">
        <f t="shared" si="46"/>
        <v/>
      </c>
      <c r="AG352" s="81" t="str">
        <f>IF(Data_NaamPersoonTijd329="","",Data_NaamPersoonTijd329)</f>
        <v/>
      </c>
      <c r="AH352" s="41"/>
      <c r="AI352" s="41"/>
      <c r="AJ352" s="83" t="str">
        <f>IF(Data_BeeindigingsdatumTijd329="","",Data_BeeindigingsdatumTijd329)</f>
        <v/>
      </c>
      <c r="AK352" s="41"/>
      <c r="AL352" s="41"/>
      <c r="AM352" s="82" t="str">
        <f>IF(Data_LoonkostenTijd329="","",Data_LoonkostenTijd329)</f>
        <v/>
      </c>
      <c r="AN352" s="41"/>
      <c r="AO352" s="276" t="str">
        <f>IF(Data_PersoonAanUitTijd329=-1,"v","")</f>
        <v/>
      </c>
      <c r="AP352" s="41"/>
      <c r="AQ352" s="76" t="s">
        <v>160</v>
      </c>
      <c r="AR352" s="41"/>
      <c r="AS352" s="41"/>
      <c r="AT352" s="41"/>
      <c r="AU352" s="41"/>
      <c r="AV352" s="41">
        <f t="shared" si="41"/>
        <v>0</v>
      </c>
      <c r="AW352" s="77">
        <f t="shared" si="42"/>
        <v>0</v>
      </c>
      <c r="AX352" s="41"/>
      <c r="AY352" s="41"/>
      <c r="AZ352" s="41"/>
      <c r="BA352" s="81" t="str">
        <f>IF(Data_NaamPersoonVastVrij329="","",Data_NaamPersoonVastVrij329)</f>
        <v/>
      </c>
      <c r="BB352" s="41"/>
      <c r="BC352" s="41"/>
      <c r="BD352" s="83" t="str">
        <f>IF(Data_BeeindigingsdatumVastVrij329="","",Data_BeeindigingsdatumVastVrij329)</f>
        <v/>
      </c>
      <c r="BE352" s="41"/>
      <c r="BF352" s="41"/>
      <c r="BG352" s="82" t="str">
        <f>IF(Data_LoonkostenVastVrij329="","",Data_LoonkostenVastVrij329)</f>
        <v/>
      </c>
      <c r="BH352" s="41"/>
      <c r="BI352" s="76" t="str">
        <f>IF(Data_PersoonAanUitVastVrij329=-1,"v","")</f>
        <v/>
      </c>
      <c r="BJ352" s="41"/>
      <c r="BK352" s="76" t="s">
        <v>160</v>
      </c>
      <c r="BL352" s="41"/>
      <c r="BM352" s="41"/>
      <c r="BN352" s="41"/>
      <c r="BO352" s="41"/>
      <c r="BP352" s="41">
        <f t="shared" si="43"/>
        <v>0</v>
      </c>
      <c r="BQ352" s="77">
        <f t="shared" si="44"/>
        <v>0</v>
      </c>
      <c r="BS352" s="81" t="str">
        <f>IF(Data_NaamPersoonVastOntslag329="","",Data_NaamPersoonVastOntslag329)</f>
        <v/>
      </c>
      <c r="BV352" s="83" t="str">
        <f>IF(Data_BeeindigingsdatumVastOntslag329="","",Data_BeeindigingsdatumVastOntslag329)</f>
        <v/>
      </c>
      <c r="BY352" s="82" t="str">
        <f>IF(Data_LoonkostenVastOntslag329="","",Data_LoonkostenVastOntslag329)</f>
        <v/>
      </c>
      <c r="CA352" s="76" t="str">
        <f>IF(Data_PersoonAanUitVastOntslag329=-1,"v","")</f>
        <v/>
      </c>
      <c r="CB352" s="41"/>
      <c r="CC352" s="76" t="s">
        <v>160</v>
      </c>
      <c r="CD352" s="41"/>
      <c r="CE352" s="41"/>
      <c r="CF352" s="41"/>
      <c r="CG352" s="41"/>
      <c r="CH352" s="41">
        <f t="shared" si="47"/>
        <v>0</v>
      </c>
      <c r="CI352" s="41">
        <f t="shared" si="45"/>
        <v>0</v>
      </c>
    </row>
    <row r="353" spans="8:87" x14ac:dyDescent="0.25">
      <c r="H353" s="81" t="str">
        <f>IF(Data_NaamPersoonNatVerloop330="","",Data_NaamPersoonNatVerloop330)</f>
        <v/>
      </c>
      <c r="I353" s="41"/>
      <c r="J353" s="41"/>
      <c r="K353" s="83" t="str">
        <f>IF(Data_BeeindigingsdatumNatVerloop330="","",Data_BeeindigingsdatumNatVerloop330)</f>
        <v/>
      </c>
      <c r="L353" s="41"/>
      <c r="M353" s="41"/>
      <c r="N353" s="82" t="str">
        <f>IF(Data_LoonkostenNatVerloop330="","",Data_LoonkostenNatVerloop330)</f>
        <v/>
      </c>
      <c r="O353" s="41"/>
      <c r="P353" s="276" t="s">
        <v>160</v>
      </c>
      <c r="Q353" s="41"/>
      <c r="R353" s="76" t="s">
        <v>160</v>
      </c>
      <c r="S353" s="41"/>
      <c r="T353" s="41"/>
      <c r="U353" s="41"/>
      <c r="V353" s="41"/>
      <c r="W353" s="41">
        <f t="shared" si="40"/>
        <v>0</v>
      </c>
      <c r="X353" s="77" t="str">
        <f t="shared" si="46"/>
        <v/>
      </c>
      <c r="AG353" s="81" t="str">
        <f>IF(Data_NaamPersoonTijd330="","",Data_NaamPersoonTijd330)</f>
        <v/>
      </c>
      <c r="AH353" s="41"/>
      <c r="AI353" s="41"/>
      <c r="AJ353" s="83" t="str">
        <f>IF(Data_BeeindigingsdatumTijd330="","",Data_BeeindigingsdatumTijd330)</f>
        <v/>
      </c>
      <c r="AK353" s="41"/>
      <c r="AL353" s="41"/>
      <c r="AM353" s="82" t="str">
        <f>IF(Data_LoonkostenTijd330="","",Data_LoonkostenTijd330)</f>
        <v/>
      </c>
      <c r="AN353" s="41"/>
      <c r="AO353" s="276" t="str">
        <f>IF(Data_PersoonAanUitTijd330=-1,"v","")</f>
        <v/>
      </c>
      <c r="AP353" s="41"/>
      <c r="AQ353" s="76" t="s">
        <v>160</v>
      </c>
      <c r="AR353" s="41"/>
      <c r="AS353" s="41"/>
      <c r="AT353" s="41"/>
      <c r="AU353" s="41"/>
      <c r="AV353" s="41">
        <f t="shared" si="41"/>
        <v>0</v>
      </c>
      <c r="AW353" s="77">
        <f t="shared" si="42"/>
        <v>0</v>
      </c>
      <c r="AX353" s="41"/>
      <c r="AY353" s="41"/>
      <c r="AZ353" s="41"/>
      <c r="BA353" s="81" t="str">
        <f>IF(Data_NaamPersoonVastVrij330="","",Data_NaamPersoonVastVrij330)</f>
        <v/>
      </c>
      <c r="BB353" s="41"/>
      <c r="BC353" s="41"/>
      <c r="BD353" s="83" t="str">
        <f>IF(Data_BeeindigingsdatumVastVrij330="","",Data_BeeindigingsdatumVastVrij330)</f>
        <v/>
      </c>
      <c r="BE353" s="41"/>
      <c r="BF353" s="41"/>
      <c r="BG353" s="82" t="str">
        <f>IF(Data_LoonkostenVastVrij330="","",Data_LoonkostenVastVrij330)</f>
        <v/>
      </c>
      <c r="BH353" s="41"/>
      <c r="BI353" s="76" t="str">
        <f>IF(Data_PersoonAanUitVastVrij330=-1,"v","")</f>
        <v/>
      </c>
      <c r="BJ353" s="41"/>
      <c r="BK353" s="76" t="s">
        <v>160</v>
      </c>
      <c r="BL353" s="41"/>
      <c r="BM353" s="41"/>
      <c r="BN353" s="41"/>
      <c r="BO353" s="41"/>
      <c r="BP353" s="41">
        <f t="shared" si="43"/>
        <v>0</v>
      </c>
      <c r="BQ353" s="77">
        <f t="shared" si="44"/>
        <v>0</v>
      </c>
      <c r="BS353" s="81" t="str">
        <f>IF(Data_NaamPersoonVastOntslag330="","",Data_NaamPersoonVastOntslag330)</f>
        <v/>
      </c>
      <c r="BV353" s="83" t="str">
        <f>IF(Data_BeeindigingsdatumVastOntslag330="","",Data_BeeindigingsdatumVastOntslag330)</f>
        <v/>
      </c>
      <c r="BY353" s="82" t="str">
        <f>IF(Data_LoonkostenVastOntslag330="","",Data_LoonkostenVastOntslag330)</f>
        <v/>
      </c>
      <c r="CA353" s="76" t="str">
        <f>IF(Data_PersoonAanUitVastOntslag330=-1,"v","")</f>
        <v/>
      </c>
      <c r="CB353" s="41"/>
      <c r="CC353" s="76" t="s">
        <v>160</v>
      </c>
      <c r="CD353" s="41"/>
      <c r="CE353" s="41"/>
      <c r="CF353" s="41"/>
      <c r="CG353" s="41"/>
      <c r="CH353" s="41">
        <f t="shared" si="47"/>
        <v>0</v>
      </c>
      <c r="CI353" s="41">
        <f t="shared" si="45"/>
        <v>0</v>
      </c>
    </row>
    <row r="354" spans="8:87" x14ac:dyDescent="0.25">
      <c r="H354" s="81" t="str">
        <f>IF(Data_NaamPersoonNatVerloop331="","",Data_NaamPersoonNatVerloop331)</f>
        <v/>
      </c>
      <c r="I354" s="41"/>
      <c r="J354" s="41"/>
      <c r="K354" s="83" t="str">
        <f>IF(Data_BeeindigingsdatumNatVerloop331="","",Data_BeeindigingsdatumNatVerloop331)</f>
        <v/>
      </c>
      <c r="L354" s="41"/>
      <c r="M354" s="41"/>
      <c r="N354" s="82" t="str">
        <f>IF(Data_LoonkostenNatVerloop331="","",Data_LoonkostenNatVerloop331)</f>
        <v/>
      </c>
      <c r="O354" s="41"/>
      <c r="P354" s="276" t="s">
        <v>160</v>
      </c>
      <c r="Q354" s="41"/>
      <c r="R354" s="76" t="s">
        <v>160</v>
      </c>
      <c r="S354" s="41"/>
      <c r="T354" s="41"/>
      <c r="U354" s="41"/>
      <c r="V354" s="41"/>
      <c r="W354" s="41">
        <f t="shared" si="40"/>
        <v>0</v>
      </c>
      <c r="X354" s="77" t="str">
        <f t="shared" si="46"/>
        <v/>
      </c>
      <c r="AG354" s="81" t="str">
        <f>IF(Data_NaamPersoonTijd331="","",Data_NaamPersoonTijd331)</f>
        <v/>
      </c>
      <c r="AH354" s="41"/>
      <c r="AI354" s="41"/>
      <c r="AJ354" s="83" t="str">
        <f>IF(Data_BeeindigingsdatumTijd331="","",Data_BeeindigingsdatumTijd331)</f>
        <v/>
      </c>
      <c r="AK354" s="41"/>
      <c r="AL354" s="41"/>
      <c r="AM354" s="82" t="str">
        <f>IF(Data_LoonkostenTijd331="","",Data_LoonkostenTijd331)</f>
        <v/>
      </c>
      <c r="AN354" s="41"/>
      <c r="AO354" s="276" t="str">
        <f>IF(Data_PersoonAanUitTijd331=-1,"v","")</f>
        <v/>
      </c>
      <c r="AP354" s="41"/>
      <c r="AQ354" s="76" t="s">
        <v>160</v>
      </c>
      <c r="AR354" s="41"/>
      <c r="AS354" s="41"/>
      <c r="AT354" s="41"/>
      <c r="AU354" s="41"/>
      <c r="AV354" s="41">
        <f t="shared" si="41"/>
        <v>0</v>
      </c>
      <c r="AW354" s="77">
        <f t="shared" si="42"/>
        <v>0</v>
      </c>
      <c r="AX354" s="41"/>
      <c r="AY354" s="41"/>
      <c r="AZ354" s="41"/>
      <c r="BA354" s="81" t="str">
        <f>IF(Data_NaamPersoonVastVrij331="","",Data_NaamPersoonVastVrij331)</f>
        <v/>
      </c>
      <c r="BB354" s="41"/>
      <c r="BC354" s="41"/>
      <c r="BD354" s="83" t="str">
        <f>IF(Data_BeeindigingsdatumVastVrij331="","",Data_BeeindigingsdatumVastVrij331)</f>
        <v/>
      </c>
      <c r="BE354" s="41"/>
      <c r="BF354" s="41"/>
      <c r="BG354" s="82" t="str">
        <f>IF(Data_LoonkostenVastVrij331="","",Data_LoonkostenVastVrij331)</f>
        <v/>
      </c>
      <c r="BH354" s="41"/>
      <c r="BI354" s="76" t="str">
        <f>IF(Data_PersoonAanUitVastVrij331=-1,"v","")</f>
        <v/>
      </c>
      <c r="BJ354" s="41"/>
      <c r="BK354" s="76" t="s">
        <v>160</v>
      </c>
      <c r="BL354" s="41"/>
      <c r="BM354" s="41"/>
      <c r="BN354" s="41"/>
      <c r="BO354" s="41"/>
      <c r="BP354" s="41">
        <f t="shared" si="43"/>
        <v>0</v>
      </c>
      <c r="BQ354" s="77">
        <f t="shared" si="44"/>
        <v>0</v>
      </c>
      <c r="BS354" s="81" t="str">
        <f>IF(Data_NaamPersoonVastOntslag331="","",Data_NaamPersoonVastOntslag331)</f>
        <v/>
      </c>
      <c r="BV354" s="83" t="str">
        <f>IF(Data_BeeindigingsdatumVastOntslag331="","",Data_BeeindigingsdatumVastOntslag331)</f>
        <v/>
      </c>
      <c r="BY354" s="82" t="str">
        <f>IF(Data_LoonkostenVastOntslag331="","",Data_LoonkostenVastOntslag331)</f>
        <v/>
      </c>
      <c r="CA354" s="76" t="str">
        <f>IF(Data_PersoonAanUitVastOntslag331=-1,"v","")</f>
        <v/>
      </c>
      <c r="CB354" s="41"/>
      <c r="CC354" s="76" t="s">
        <v>160</v>
      </c>
      <c r="CD354" s="41"/>
      <c r="CE354" s="41"/>
      <c r="CF354" s="41"/>
      <c r="CG354" s="41"/>
      <c r="CH354" s="41">
        <f t="shared" si="47"/>
        <v>0</v>
      </c>
      <c r="CI354" s="41">
        <f t="shared" si="45"/>
        <v>0</v>
      </c>
    </row>
    <row r="355" spans="8:87" x14ac:dyDescent="0.25">
      <c r="H355" s="81" t="str">
        <f>IF(Data_NaamPersoonNatVerloop332="","",Data_NaamPersoonNatVerloop332)</f>
        <v/>
      </c>
      <c r="I355" s="41"/>
      <c r="J355" s="41"/>
      <c r="K355" s="83" t="str">
        <f>IF(Data_BeeindigingsdatumNatVerloop332="","",Data_BeeindigingsdatumNatVerloop332)</f>
        <v/>
      </c>
      <c r="L355" s="41"/>
      <c r="M355" s="41"/>
      <c r="N355" s="82" t="str">
        <f>IF(Data_LoonkostenNatVerloop332="","",Data_LoonkostenNatVerloop332)</f>
        <v/>
      </c>
      <c r="O355" s="41"/>
      <c r="P355" s="276" t="s">
        <v>160</v>
      </c>
      <c r="Q355" s="41"/>
      <c r="R355" s="76" t="s">
        <v>160</v>
      </c>
      <c r="S355" s="41"/>
      <c r="T355" s="41"/>
      <c r="U355" s="41"/>
      <c r="V355" s="41"/>
      <c r="W355" s="41">
        <f t="shared" si="40"/>
        <v>0</v>
      </c>
      <c r="X355" s="77" t="str">
        <f t="shared" si="46"/>
        <v/>
      </c>
      <c r="AG355" s="81" t="str">
        <f>IF(Data_NaamPersoonTijd332="","",Data_NaamPersoonTijd332)</f>
        <v/>
      </c>
      <c r="AH355" s="41"/>
      <c r="AI355" s="41"/>
      <c r="AJ355" s="83" t="str">
        <f>IF(Data_BeeindigingsdatumTijd332="","",Data_BeeindigingsdatumTijd332)</f>
        <v/>
      </c>
      <c r="AK355" s="41"/>
      <c r="AL355" s="41"/>
      <c r="AM355" s="82" t="str">
        <f>IF(Data_LoonkostenTijd332="","",Data_LoonkostenTijd332)</f>
        <v/>
      </c>
      <c r="AN355" s="41"/>
      <c r="AO355" s="276" t="str">
        <f>IF(Data_PersoonAanUitTijd332=-1,"v","")</f>
        <v/>
      </c>
      <c r="AP355" s="41"/>
      <c r="AQ355" s="76" t="s">
        <v>160</v>
      </c>
      <c r="AR355" s="41"/>
      <c r="AS355" s="41"/>
      <c r="AT355" s="41"/>
      <c r="AU355" s="41"/>
      <c r="AV355" s="41">
        <f t="shared" si="41"/>
        <v>0</v>
      </c>
      <c r="AW355" s="77">
        <f t="shared" si="42"/>
        <v>0</v>
      </c>
      <c r="AX355" s="41"/>
      <c r="AY355" s="41"/>
      <c r="AZ355" s="41"/>
      <c r="BA355" s="81" t="str">
        <f>IF(Data_NaamPersoonVastVrij332="","",Data_NaamPersoonVastVrij332)</f>
        <v/>
      </c>
      <c r="BB355" s="41"/>
      <c r="BC355" s="41"/>
      <c r="BD355" s="83" t="str">
        <f>IF(Data_BeeindigingsdatumVastVrij332="","",Data_BeeindigingsdatumVastVrij332)</f>
        <v/>
      </c>
      <c r="BE355" s="41"/>
      <c r="BF355" s="41"/>
      <c r="BG355" s="82" t="str">
        <f>IF(Data_LoonkostenVastVrij332="","",Data_LoonkostenVastVrij332)</f>
        <v/>
      </c>
      <c r="BH355" s="41"/>
      <c r="BI355" s="76" t="str">
        <f>IF(Data_PersoonAanUitVastVrij332=-1,"v","")</f>
        <v/>
      </c>
      <c r="BJ355" s="41"/>
      <c r="BK355" s="76" t="s">
        <v>160</v>
      </c>
      <c r="BL355" s="41"/>
      <c r="BM355" s="41"/>
      <c r="BN355" s="41"/>
      <c r="BO355" s="41"/>
      <c r="BP355" s="41">
        <f t="shared" si="43"/>
        <v>0</v>
      </c>
      <c r="BQ355" s="77">
        <f t="shared" si="44"/>
        <v>0</v>
      </c>
      <c r="BS355" s="81" t="str">
        <f>IF(Data_NaamPersoonVastOntslag332="","",Data_NaamPersoonVastOntslag332)</f>
        <v/>
      </c>
      <c r="BV355" s="83" t="str">
        <f>IF(Data_BeeindigingsdatumVastOntslag332="","",Data_BeeindigingsdatumVastOntslag332)</f>
        <v/>
      </c>
      <c r="BY355" s="82" t="str">
        <f>IF(Data_LoonkostenVastOntslag332="","",Data_LoonkostenVastOntslag332)</f>
        <v/>
      </c>
      <c r="CA355" s="76" t="str">
        <f>IF(Data_PersoonAanUitVastOntslag332=-1,"v","")</f>
        <v/>
      </c>
      <c r="CB355" s="41"/>
      <c r="CC355" s="76" t="s">
        <v>160</v>
      </c>
      <c r="CD355" s="41"/>
      <c r="CE355" s="41"/>
      <c r="CF355" s="41"/>
      <c r="CG355" s="41"/>
      <c r="CH355" s="41">
        <f t="shared" si="47"/>
        <v>0</v>
      </c>
      <c r="CI355" s="41">
        <f t="shared" si="45"/>
        <v>0</v>
      </c>
    </row>
    <row r="356" spans="8:87" x14ac:dyDescent="0.25">
      <c r="H356" s="81" t="str">
        <f>IF(Data_NaamPersoonNatVerloop333="","",Data_NaamPersoonNatVerloop333)</f>
        <v/>
      </c>
      <c r="I356" s="41"/>
      <c r="J356" s="41"/>
      <c r="K356" s="83" t="str">
        <f>IF(Data_BeeindigingsdatumNatVerloop333="","",Data_BeeindigingsdatumNatVerloop333)</f>
        <v/>
      </c>
      <c r="L356" s="41"/>
      <c r="M356" s="41"/>
      <c r="N356" s="82" t="str">
        <f>IF(Data_LoonkostenNatVerloop333="","",Data_LoonkostenNatVerloop333)</f>
        <v/>
      </c>
      <c r="O356" s="41"/>
      <c r="P356" s="276" t="s">
        <v>160</v>
      </c>
      <c r="Q356" s="41"/>
      <c r="R356" s="76" t="s">
        <v>160</v>
      </c>
      <c r="S356" s="41"/>
      <c r="T356" s="41"/>
      <c r="U356" s="41"/>
      <c r="V356" s="41"/>
      <c r="W356" s="41">
        <f t="shared" si="40"/>
        <v>0</v>
      </c>
      <c r="X356" s="77" t="str">
        <f t="shared" si="46"/>
        <v/>
      </c>
      <c r="AG356" s="81" t="str">
        <f>IF(Data_NaamPersoonTijd333="","",Data_NaamPersoonTijd333)</f>
        <v/>
      </c>
      <c r="AH356" s="41"/>
      <c r="AI356" s="41"/>
      <c r="AJ356" s="83" t="str">
        <f>IF(Data_BeeindigingsdatumTijd333="","",Data_BeeindigingsdatumTijd333)</f>
        <v/>
      </c>
      <c r="AK356" s="41"/>
      <c r="AL356" s="41"/>
      <c r="AM356" s="82" t="str">
        <f>IF(Data_LoonkostenTijd333="","",Data_LoonkostenTijd333)</f>
        <v/>
      </c>
      <c r="AN356" s="41"/>
      <c r="AO356" s="276" t="str">
        <f>IF(Data_PersoonAanUitTijd333=-1,"v","")</f>
        <v/>
      </c>
      <c r="AP356" s="41"/>
      <c r="AQ356" s="76" t="s">
        <v>160</v>
      </c>
      <c r="AR356" s="41"/>
      <c r="AS356" s="41"/>
      <c r="AT356" s="41"/>
      <c r="AU356" s="41"/>
      <c r="AV356" s="41">
        <f t="shared" si="41"/>
        <v>0</v>
      </c>
      <c r="AW356" s="77">
        <f t="shared" si="42"/>
        <v>0</v>
      </c>
      <c r="AX356" s="41"/>
      <c r="AY356" s="41"/>
      <c r="AZ356" s="41"/>
      <c r="BA356" s="81" t="str">
        <f>IF(Data_NaamPersoonVastVrij333="","",Data_NaamPersoonVastVrij333)</f>
        <v/>
      </c>
      <c r="BB356" s="41"/>
      <c r="BC356" s="41"/>
      <c r="BD356" s="83" t="str">
        <f>IF(Data_BeeindigingsdatumVastVrij333="","",Data_BeeindigingsdatumVastVrij333)</f>
        <v/>
      </c>
      <c r="BE356" s="41"/>
      <c r="BF356" s="41"/>
      <c r="BG356" s="82" t="str">
        <f>IF(Data_LoonkostenVastVrij333="","",Data_LoonkostenVastVrij333)</f>
        <v/>
      </c>
      <c r="BH356" s="41"/>
      <c r="BI356" s="76" t="str">
        <f>IF(Data_PersoonAanUitVastVrij333=-1,"v","")</f>
        <v/>
      </c>
      <c r="BJ356" s="41"/>
      <c r="BK356" s="76" t="s">
        <v>160</v>
      </c>
      <c r="BL356" s="41"/>
      <c r="BM356" s="41"/>
      <c r="BN356" s="41"/>
      <c r="BO356" s="41"/>
      <c r="BP356" s="41">
        <f t="shared" si="43"/>
        <v>0</v>
      </c>
      <c r="BQ356" s="77">
        <f t="shared" si="44"/>
        <v>0</v>
      </c>
      <c r="BS356" s="81" t="str">
        <f>IF(Data_NaamPersoonVastOntslag333="","",Data_NaamPersoonVastOntslag333)</f>
        <v/>
      </c>
      <c r="BV356" s="83" t="str">
        <f>IF(Data_BeeindigingsdatumVastOntslag333="","",Data_BeeindigingsdatumVastOntslag333)</f>
        <v/>
      </c>
      <c r="BY356" s="82" t="str">
        <f>IF(Data_LoonkostenVastOntslag333="","",Data_LoonkostenVastOntslag333)</f>
        <v/>
      </c>
      <c r="CA356" s="76" t="str">
        <f>IF(Data_PersoonAanUitVastOntslag333=-1,"v","")</f>
        <v/>
      </c>
      <c r="CB356" s="41"/>
      <c r="CC356" s="76" t="s">
        <v>160</v>
      </c>
      <c r="CD356" s="41"/>
      <c r="CE356" s="41"/>
      <c r="CF356" s="41"/>
      <c r="CG356" s="41"/>
      <c r="CH356" s="41">
        <f t="shared" si="47"/>
        <v>0</v>
      </c>
      <c r="CI356" s="41">
        <f t="shared" si="45"/>
        <v>0</v>
      </c>
    </row>
    <row r="357" spans="8:87" x14ac:dyDescent="0.25">
      <c r="H357" s="81" t="str">
        <f>IF(Data_NaamPersoonNatVerloop334="","",Data_NaamPersoonNatVerloop334)</f>
        <v/>
      </c>
      <c r="I357" s="41"/>
      <c r="J357" s="41"/>
      <c r="K357" s="83" t="str">
        <f>IF(Data_BeeindigingsdatumNatVerloop334="","",Data_BeeindigingsdatumNatVerloop334)</f>
        <v/>
      </c>
      <c r="L357" s="41"/>
      <c r="M357" s="41"/>
      <c r="N357" s="82" t="str">
        <f>IF(Data_LoonkostenNatVerloop334="","",Data_LoonkostenNatVerloop334)</f>
        <v/>
      </c>
      <c r="O357" s="41"/>
      <c r="P357" s="276" t="s">
        <v>160</v>
      </c>
      <c r="Q357" s="41"/>
      <c r="R357" s="76" t="s">
        <v>160</v>
      </c>
      <c r="S357" s="41"/>
      <c r="T357" s="41"/>
      <c r="U357" s="41"/>
      <c r="V357" s="41"/>
      <c r="W357" s="41">
        <f t="shared" si="40"/>
        <v>0</v>
      </c>
      <c r="X357" s="77" t="str">
        <f t="shared" si="46"/>
        <v/>
      </c>
      <c r="AG357" s="81" t="str">
        <f>IF(Data_NaamPersoonTijd334="","",Data_NaamPersoonTijd334)</f>
        <v/>
      </c>
      <c r="AH357" s="41"/>
      <c r="AI357" s="41"/>
      <c r="AJ357" s="83" t="str">
        <f>IF(Data_BeeindigingsdatumTijd334="","",Data_BeeindigingsdatumTijd334)</f>
        <v/>
      </c>
      <c r="AK357" s="41"/>
      <c r="AL357" s="41"/>
      <c r="AM357" s="82" t="str">
        <f>IF(Data_LoonkostenTijd334="","",Data_LoonkostenTijd334)</f>
        <v/>
      </c>
      <c r="AN357" s="41"/>
      <c r="AO357" s="276" t="str">
        <f>IF(Data_PersoonAanUitTijd334=-1,"v","")</f>
        <v/>
      </c>
      <c r="AP357" s="41"/>
      <c r="AQ357" s="76" t="s">
        <v>160</v>
      </c>
      <c r="AR357" s="41"/>
      <c r="AS357" s="41"/>
      <c r="AT357" s="41"/>
      <c r="AU357" s="41"/>
      <c r="AV357" s="41">
        <f t="shared" si="41"/>
        <v>0</v>
      </c>
      <c r="AW357" s="77">
        <f t="shared" si="42"/>
        <v>0</v>
      </c>
      <c r="AX357" s="41"/>
      <c r="AY357" s="41"/>
      <c r="AZ357" s="41"/>
      <c r="BA357" s="81" t="str">
        <f>IF(Data_NaamPersoonVastVrij334="","",Data_NaamPersoonVastVrij334)</f>
        <v/>
      </c>
      <c r="BB357" s="41"/>
      <c r="BC357" s="41"/>
      <c r="BD357" s="83" t="str">
        <f>IF(Data_BeeindigingsdatumVastVrij334="","",Data_BeeindigingsdatumVastVrij334)</f>
        <v/>
      </c>
      <c r="BE357" s="41"/>
      <c r="BF357" s="41"/>
      <c r="BG357" s="82" t="str">
        <f>IF(Data_LoonkostenVastVrij334="","",Data_LoonkostenVastVrij334)</f>
        <v/>
      </c>
      <c r="BH357" s="41"/>
      <c r="BI357" s="76" t="str">
        <f>IF(Data_PersoonAanUitVastVrij334=-1,"v","")</f>
        <v/>
      </c>
      <c r="BJ357" s="41"/>
      <c r="BK357" s="76" t="s">
        <v>160</v>
      </c>
      <c r="BL357" s="41"/>
      <c r="BM357" s="41"/>
      <c r="BN357" s="41"/>
      <c r="BO357" s="41"/>
      <c r="BP357" s="41">
        <f t="shared" si="43"/>
        <v>0</v>
      </c>
      <c r="BQ357" s="77">
        <f t="shared" si="44"/>
        <v>0</v>
      </c>
      <c r="BS357" s="81" t="str">
        <f>IF(Data_NaamPersoonVastOntslag334="","",Data_NaamPersoonVastOntslag334)</f>
        <v/>
      </c>
      <c r="BV357" s="83" t="str">
        <f>IF(Data_BeeindigingsdatumVastOntslag334="","",Data_BeeindigingsdatumVastOntslag334)</f>
        <v/>
      </c>
      <c r="BY357" s="82" t="str">
        <f>IF(Data_LoonkostenVastOntslag334="","",Data_LoonkostenVastOntslag334)</f>
        <v/>
      </c>
      <c r="CA357" s="76" t="str">
        <f>IF(Data_PersoonAanUitVastOntslag334=-1,"v","")</f>
        <v/>
      </c>
      <c r="CB357" s="41"/>
      <c r="CC357" s="76" t="s">
        <v>160</v>
      </c>
      <c r="CD357" s="41"/>
      <c r="CE357" s="41"/>
      <c r="CF357" s="41"/>
      <c r="CG357" s="41"/>
      <c r="CH357" s="41">
        <f t="shared" si="47"/>
        <v>0</v>
      </c>
      <c r="CI357" s="41">
        <f t="shared" si="45"/>
        <v>0</v>
      </c>
    </row>
    <row r="358" spans="8:87" x14ac:dyDescent="0.25">
      <c r="H358" s="81" t="str">
        <f>IF(Data_NaamPersoonNatVerloop335="","",Data_NaamPersoonNatVerloop335)</f>
        <v/>
      </c>
      <c r="I358" s="41"/>
      <c r="J358" s="41"/>
      <c r="K358" s="83" t="str">
        <f>IF(Data_BeeindigingsdatumNatVerloop335="","",Data_BeeindigingsdatumNatVerloop335)</f>
        <v/>
      </c>
      <c r="L358" s="41"/>
      <c r="M358" s="41"/>
      <c r="N358" s="82" t="str">
        <f>IF(Data_LoonkostenNatVerloop335="","",Data_LoonkostenNatVerloop335)</f>
        <v/>
      </c>
      <c r="O358" s="41"/>
      <c r="P358" s="276" t="s">
        <v>160</v>
      </c>
      <c r="Q358" s="41"/>
      <c r="R358" s="76" t="s">
        <v>160</v>
      </c>
      <c r="S358" s="41"/>
      <c r="T358" s="41"/>
      <c r="U358" s="41"/>
      <c r="V358" s="41"/>
      <c r="W358" s="41">
        <f t="shared" si="40"/>
        <v>0</v>
      </c>
      <c r="X358" s="77" t="str">
        <f t="shared" si="46"/>
        <v/>
      </c>
      <c r="AG358" s="81" t="str">
        <f>IF(Data_NaamPersoonTijd335="","",Data_NaamPersoonTijd335)</f>
        <v/>
      </c>
      <c r="AH358" s="41"/>
      <c r="AI358" s="41"/>
      <c r="AJ358" s="83" t="str">
        <f>IF(Data_BeeindigingsdatumTijd335="","",Data_BeeindigingsdatumTijd335)</f>
        <v/>
      </c>
      <c r="AK358" s="41"/>
      <c r="AL358" s="41"/>
      <c r="AM358" s="82" t="str">
        <f>IF(Data_LoonkostenTijd335="","",Data_LoonkostenTijd335)</f>
        <v/>
      </c>
      <c r="AN358" s="41"/>
      <c r="AO358" s="276" t="str">
        <f>IF(Data_PersoonAanUitTijd335=-1,"v","")</f>
        <v/>
      </c>
      <c r="AP358" s="41"/>
      <c r="AQ358" s="76" t="s">
        <v>160</v>
      </c>
      <c r="AR358" s="41"/>
      <c r="AS358" s="41"/>
      <c r="AT358" s="41"/>
      <c r="AU358" s="41"/>
      <c r="AV358" s="41">
        <f t="shared" si="41"/>
        <v>0</v>
      </c>
      <c r="AW358" s="77">
        <f t="shared" si="42"/>
        <v>0</v>
      </c>
      <c r="AX358" s="41"/>
      <c r="AY358" s="41"/>
      <c r="AZ358" s="41"/>
      <c r="BA358" s="81" t="str">
        <f>IF(Data_NaamPersoonVastVrij335="","",Data_NaamPersoonVastVrij335)</f>
        <v/>
      </c>
      <c r="BB358" s="41"/>
      <c r="BC358" s="41"/>
      <c r="BD358" s="83" t="str">
        <f>IF(Data_BeeindigingsdatumVastVrij335="","",Data_BeeindigingsdatumVastVrij335)</f>
        <v/>
      </c>
      <c r="BE358" s="41"/>
      <c r="BF358" s="41"/>
      <c r="BG358" s="82" t="str">
        <f>IF(Data_LoonkostenVastVrij335="","",Data_LoonkostenVastVrij335)</f>
        <v/>
      </c>
      <c r="BH358" s="41"/>
      <c r="BI358" s="76" t="str">
        <f>IF(Data_PersoonAanUitVastVrij335=-1,"v","")</f>
        <v/>
      </c>
      <c r="BJ358" s="41"/>
      <c r="BK358" s="76" t="s">
        <v>160</v>
      </c>
      <c r="BL358" s="41"/>
      <c r="BM358" s="41"/>
      <c r="BN358" s="41"/>
      <c r="BO358" s="41"/>
      <c r="BP358" s="41">
        <f t="shared" si="43"/>
        <v>0</v>
      </c>
      <c r="BQ358" s="77">
        <f t="shared" si="44"/>
        <v>0</v>
      </c>
      <c r="BS358" s="81" t="str">
        <f>IF(Data_NaamPersoonVastOntslag335="","",Data_NaamPersoonVastOntslag335)</f>
        <v/>
      </c>
      <c r="BV358" s="83" t="str">
        <f>IF(Data_BeeindigingsdatumVastOntslag335="","",Data_BeeindigingsdatumVastOntslag335)</f>
        <v/>
      </c>
      <c r="BY358" s="82" t="str">
        <f>IF(Data_LoonkostenVastOntslag335="","",Data_LoonkostenVastOntslag335)</f>
        <v/>
      </c>
      <c r="CA358" s="76" t="str">
        <f>IF(Data_PersoonAanUitVastOntslag335=-1,"v","")</f>
        <v/>
      </c>
      <c r="CB358" s="41"/>
      <c r="CC358" s="76" t="s">
        <v>160</v>
      </c>
      <c r="CD358" s="41"/>
      <c r="CE358" s="41"/>
      <c r="CF358" s="41"/>
      <c r="CG358" s="41"/>
      <c r="CH358" s="41">
        <f t="shared" si="47"/>
        <v>0</v>
      </c>
      <c r="CI358" s="41">
        <f t="shared" si="45"/>
        <v>0</v>
      </c>
    </row>
    <row r="359" spans="8:87" x14ac:dyDescent="0.25">
      <c r="H359" s="81" t="str">
        <f>IF(Data_NaamPersoonNatVerloop336="","",Data_NaamPersoonNatVerloop336)</f>
        <v/>
      </c>
      <c r="I359" s="41"/>
      <c r="J359" s="41"/>
      <c r="K359" s="83" t="str">
        <f>IF(Data_BeeindigingsdatumNatVerloop336="","",Data_BeeindigingsdatumNatVerloop336)</f>
        <v/>
      </c>
      <c r="L359" s="41"/>
      <c r="M359" s="41"/>
      <c r="N359" s="82" t="str">
        <f>IF(Data_LoonkostenNatVerloop336="","",Data_LoonkostenNatVerloop336)</f>
        <v/>
      </c>
      <c r="O359" s="41"/>
      <c r="P359" s="276" t="s">
        <v>160</v>
      </c>
      <c r="Q359" s="41"/>
      <c r="R359" s="76" t="s">
        <v>160</v>
      </c>
      <c r="S359" s="41"/>
      <c r="T359" s="41"/>
      <c r="U359" s="41"/>
      <c r="V359" s="41"/>
      <c r="W359" s="41">
        <f t="shared" si="40"/>
        <v>0</v>
      </c>
      <c r="X359" s="77" t="str">
        <f t="shared" si="46"/>
        <v/>
      </c>
      <c r="AG359" s="81" t="str">
        <f>IF(Data_NaamPersoonTijd336="","",Data_NaamPersoonTijd336)</f>
        <v/>
      </c>
      <c r="AH359" s="41"/>
      <c r="AI359" s="41"/>
      <c r="AJ359" s="83" t="str">
        <f>IF(Data_BeeindigingsdatumTijd336="","",Data_BeeindigingsdatumTijd336)</f>
        <v/>
      </c>
      <c r="AK359" s="41"/>
      <c r="AL359" s="41"/>
      <c r="AM359" s="82" t="str">
        <f>IF(Data_LoonkostenTijd336="","",Data_LoonkostenTijd336)</f>
        <v/>
      </c>
      <c r="AN359" s="41"/>
      <c r="AO359" s="276" t="str">
        <f>IF(Data_PersoonAanUitTijd336=-1,"v","")</f>
        <v/>
      </c>
      <c r="AP359" s="41"/>
      <c r="AQ359" s="76" t="s">
        <v>160</v>
      </c>
      <c r="AR359" s="41"/>
      <c r="AS359" s="41"/>
      <c r="AT359" s="41"/>
      <c r="AU359" s="41"/>
      <c r="AV359" s="41">
        <f t="shared" si="41"/>
        <v>0</v>
      </c>
      <c r="AW359" s="77">
        <f t="shared" si="42"/>
        <v>0</v>
      </c>
      <c r="AX359" s="41"/>
      <c r="AY359" s="41"/>
      <c r="AZ359" s="41"/>
      <c r="BA359" s="81" t="str">
        <f>IF(Data_NaamPersoonVastVrij336="","",Data_NaamPersoonVastVrij336)</f>
        <v/>
      </c>
      <c r="BB359" s="41"/>
      <c r="BC359" s="41"/>
      <c r="BD359" s="83" t="str">
        <f>IF(Data_BeeindigingsdatumVastVrij336="","",Data_BeeindigingsdatumVastVrij336)</f>
        <v/>
      </c>
      <c r="BE359" s="41"/>
      <c r="BF359" s="41"/>
      <c r="BG359" s="82" t="str">
        <f>IF(Data_LoonkostenVastVrij336="","",Data_LoonkostenVastVrij336)</f>
        <v/>
      </c>
      <c r="BH359" s="41"/>
      <c r="BI359" s="76" t="str">
        <f>IF(Data_PersoonAanUitVastVrij336=-1,"v","")</f>
        <v/>
      </c>
      <c r="BJ359" s="41"/>
      <c r="BK359" s="76" t="s">
        <v>160</v>
      </c>
      <c r="BL359" s="41"/>
      <c r="BM359" s="41"/>
      <c r="BN359" s="41"/>
      <c r="BO359" s="41"/>
      <c r="BP359" s="41">
        <f t="shared" si="43"/>
        <v>0</v>
      </c>
      <c r="BQ359" s="77">
        <f t="shared" si="44"/>
        <v>0</v>
      </c>
      <c r="BS359" s="81" t="str">
        <f>IF(Data_NaamPersoonVastOntslag336="","",Data_NaamPersoonVastOntslag336)</f>
        <v/>
      </c>
      <c r="BV359" s="83" t="str">
        <f>IF(Data_BeeindigingsdatumVastOntslag336="","",Data_BeeindigingsdatumVastOntslag336)</f>
        <v/>
      </c>
      <c r="BY359" s="82" t="str">
        <f>IF(Data_LoonkostenVastOntslag336="","",Data_LoonkostenVastOntslag336)</f>
        <v/>
      </c>
      <c r="CA359" s="76" t="str">
        <f>IF(Data_PersoonAanUitVastOntslag336=-1,"v","")</f>
        <v/>
      </c>
      <c r="CB359" s="41"/>
      <c r="CC359" s="76" t="s">
        <v>160</v>
      </c>
      <c r="CD359" s="41"/>
      <c r="CE359" s="41"/>
      <c r="CF359" s="41"/>
      <c r="CG359" s="41"/>
      <c r="CH359" s="41">
        <f t="shared" si="47"/>
        <v>0</v>
      </c>
      <c r="CI359" s="41">
        <f t="shared" si="45"/>
        <v>0</v>
      </c>
    </row>
    <row r="360" spans="8:87" x14ac:dyDescent="0.25">
      <c r="H360" s="81" t="str">
        <f>IF(Data_NaamPersoonNatVerloop337="","",Data_NaamPersoonNatVerloop337)</f>
        <v/>
      </c>
      <c r="I360" s="41"/>
      <c r="J360" s="41"/>
      <c r="K360" s="83" t="str">
        <f>IF(Data_BeeindigingsdatumNatVerloop337="","",Data_BeeindigingsdatumNatVerloop337)</f>
        <v/>
      </c>
      <c r="L360" s="41"/>
      <c r="M360" s="41"/>
      <c r="N360" s="82" t="str">
        <f>IF(Data_LoonkostenNatVerloop337="","",Data_LoonkostenNatVerloop337)</f>
        <v/>
      </c>
      <c r="O360" s="41"/>
      <c r="P360" s="276" t="s">
        <v>160</v>
      </c>
      <c r="Q360" s="41"/>
      <c r="R360" s="76" t="s">
        <v>160</v>
      </c>
      <c r="S360" s="41"/>
      <c r="T360" s="41"/>
      <c r="U360" s="41"/>
      <c r="V360" s="41"/>
      <c r="W360" s="41">
        <f t="shared" si="40"/>
        <v>0</v>
      </c>
      <c r="X360" s="77" t="str">
        <f t="shared" si="46"/>
        <v/>
      </c>
      <c r="AG360" s="81" t="str">
        <f>IF(Data_NaamPersoonTijd337="","",Data_NaamPersoonTijd337)</f>
        <v/>
      </c>
      <c r="AH360" s="41"/>
      <c r="AI360" s="41"/>
      <c r="AJ360" s="83" t="str">
        <f>IF(Data_BeeindigingsdatumTijd337="","",Data_BeeindigingsdatumTijd337)</f>
        <v/>
      </c>
      <c r="AK360" s="41"/>
      <c r="AL360" s="41"/>
      <c r="AM360" s="82" t="str">
        <f>IF(Data_LoonkostenTijd337="","",Data_LoonkostenTijd337)</f>
        <v/>
      </c>
      <c r="AN360" s="41"/>
      <c r="AO360" s="276" t="str">
        <f>IF(Data_PersoonAanUitTijd337=-1,"v","")</f>
        <v/>
      </c>
      <c r="AP360" s="41"/>
      <c r="AQ360" s="76" t="s">
        <v>160</v>
      </c>
      <c r="AR360" s="41"/>
      <c r="AS360" s="41"/>
      <c r="AT360" s="41"/>
      <c r="AU360" s="41"/>
      <c r="AV360" s="41">
        <f t="shared" si="41"/>
        <v>0</v>
      </c>
      <c r="AW360" s="77">
        <f t="shared" si="42"/>
        <v>0</v>
      </c>
      <c r="AX360" s="41"/>
      <c r="AY360" s="41"/>
      <c r="AZ360" s="41"/>
      <c r="BA360" s="81" t="str">
        <f>IF(Data_NaamPersoonVastVrij337="","",Data_NaamPersoonVastVrij337)</f>
        <v/>
      </c>
      <c r="BB360" s="41"/>
      <c r="BC360" s="41"/>
      <c r="BD360" s="83" t="str">
        <f>IF(Data_BeeindigingsdatumVastVrij337="","",Data_BeeindigingsdatumVastVrij337)</f>
        <v/>
      </c>
      <c r="BE360" s="41"/>
      <c r="BF360" s="41"/>
      <c r="BG360" s="82" t="str">
        <f>IF(Data_LoonkostenVastVrij337="","",Data_LoonkostenVastVrij337)</f>
        <v/>
      </c>
      <c r="BH360" s="41"/>
      <c r="BI360" s="76" t="str">
        <f>IF(Data_PersoonAanUitVastVrij337=-1,"v","")</f>
        <v/>
      </c>
      <c r="BJ360" s="41"/>
      <c r="BK360" s="76" t="s">
        <v>160</v>
      </c>
      <c r="BL360" s="41"/>
      <c r="BM360" s="41"/>
      <c r="BN360" s="41"/>
      <c r="BO360" s="41"/>
      <c r="BP360" s="41">
        <f t="shared" si="43"/>
        <v>0</v>
      </c>
      <c r="BQ360" s="77">
        <f t="shared" si="44"/>
        <v>0</v>
      </c>
      <c r="BS360" s="81" t="str">
        <f>IF(Data_NaamPersoonVastOntslag337="","",Data_NaamPersoonVastOntslag337)</f>
        <v/>
      </c>
      <c r="BV360" s="83" t="str">
        <f>IF(Data_BeeindigingsdatumVastOntslag337="","",Data_BeeindigingsdatumVastOntslag337)</f>
        <v/>
      </c>
      <c r="BY360" s="82" t="str">
        <f>IF(Data_LoonkostenVastOntslag337="","",Data_LoonkostenVastOntslag337)</f>
        <v/>
      </c>
      <c r="CA360" s="76" t="str">
        <f>IF(Data_PersoonAanUitVastOntslag337=-1,"v","")</f>
        <v/>
      </c>
      <c r="CB360" s="41"/>
      <c r="CC360" s="76" t="s">
        <v>160</v>
      </c>
      <c r="CD360" s="41"/>
      <c r="CE360" s="41"/>
      <c r="CF360" s="41"/>
      <c r="CG360" s="41"/>
      <c r="CH360" s="41">
        <f t="shared" si="47"/>
        <v>0</v>
      </c>
      <c r="CI360" s="41">
        <f t="shared" si="45"/>
        <v>0</v>
      </c>
    </row>
    <row r="361" spans="8:87" x14ac:dyDescent="0.25">
      <c r="H361" s="81" t="str">
        <f>IF(Data_NaamPersoonNatVerloop338="","",Data_NaamPersoonNatVerloop338)</f>
        <v/>
      </c>
      <c r="I361" s="41"/>
      <c r="J361" s="41"/>
      <c r="K361" s="83" t="str">
        <f>IF(Data_BeeindigingsdatumNatVerloop338="","",Data_BeeindigingsdatumNatVerloop338)</f>
        <v/>
      </c>
      <c r="L361" s="41"/>
      <c r="M361" s="41"/>
      <c r="N361" s="82" t="str">
        <f>IF(Data_LoonkostenNatVerloop338="","",Data_LoonkostenNatVerloop338)</f>
        <v/>
      </c>
      <c r="O361" s="41"/>
      <c r="P361" s="276" t="s">
        <v>160</v>
      </c>
      <c r="Q361" s="41"/>
      <c r="R361" s="76" t="s">
        <v>160</v>
      </c>
      <c r="S361" s="41"/>
      <c r="T361" s="41"/>
      <c r="U361" s="41"/>
      <c r="V361" s="41"/>
      <c r="W361" s="41">
        <f t="shared" si="40"/>
        <v>0</v>
      </c>
      <c r="X361" s="77" t="str">
        <f t="shared" si="46"/>
        <v/>
      </c>
      <c r="AG361" s="81" t="str">
        <f>IF(Data_NaamPersoonTijd338="","",Data_NaamPersoonTijd338)</f>
        <v/>
      </c>
      <c r="AH361" s="41"/>
      <c r="AI361" s="41"/>
      <c r="AJ361" s="83" t="str">
        <f>IF(Data_BeeindigingsdatumTijd338="","",Data_BeeindigingsdatumTijd338)</f>
        <v/>
      </c>
      <c r="AK361" s="41"/>
      <c r="AL361" s="41"/>
      <c r="AM361" s="82" t="str">
        <f>IF(Data_LoonkostenTijd338="","",Data_LoonkostenTijd338)</f>
        <v/>
      </c>
      <c r="AN361" s="41"/>
      <c r="AO361" s="276" t="str">
        <f>IF(Data_PersoonAanUitTijd338=-1,"v","")</f>
        <v/>
      </c>
      <c r="AP361" s="41"/>
      <c r="AQ361" s="76" t="s">
        <v>160</v>
      </c>
      <c r="AR361" s="41"/>
      <c r="AS361" s="41"/>
      <c r="AT361" s="41"/>
      <c r="AU361" s="41"/>
      <c r="AV361" s="41">
        <f t="shared" si="41"/>
        <v>0</v>
      </c>
      <c r="AW361" s="77">
        <f t="shared" si="42"/>
        <v>0</v>
      </c>
      <c r="AX361" s="41"/>
      <c r="AY361" s="41"/>
      <c r="AZ361" s="41"/>
      <c r="BA361" s="81" t="str">
        <f>IF(Data_NaamPersoonVastVrij338="","",Data_NaamPersoonVastVrij338)</f>
        <v/>
      </c>
      <c r="BB361" s="41"/>
      <c r="BC361" s="41"/>
      <c r="BD361" s="83" t="str">
        <f>IF(Data_BeeindigingsdatumVastVrij338="","",Data_BeeindigingsdatumVastVrij338)</f>
        <v/>
      </c>
      <c r="BE361" s="41"/>
      <c r="BF361" s="41"/>
      <c r="BG361" s="82" t="str">
        <f>IF(Data_LoonkostenVastVrij338="","",Data_LoonkostenVastVrij338)</f>
        <v/>
      </c>
      <c r="BH361" s="41"/>
      <c r="BI361" s="76" t="str">
        <f>IF(Data_PersoonAanUitVastVrij338=-1,"v","")</f>
        <v/>
      </c>
      <c r="BJ361" s="41"/>
      <c r="BK361" s="76" t="s">
        <v>160</v>
      </c>
      <c r="BL361" s="41"/>
      <c r="BM361" s="41"/>
      <c r="BN361" s="41"/>
      <c r="BO361" s="41"/>
      <c r="BP361" s="41">
        <f t="shared" si="43"/>
        <v>0</v>
      </c>
      <c r="BQ361" s="77">
        <f t="shared" si="44"/>
        <v>0</v>
      </c>
      <c r="BS361" s="81" t="str">
        <f>IF(Data_NaamPersoonVastOntslag338="","",Data_NaamPersoonVastOntslag338)</f>
        <v/>
      </c>
      <c r="BV361" s="83" t="str">
        <f>IF(Data_BeeindigingsdatumVastOntslag338="","",Data_BeeindigingsdatumVastOntslag338)</f>
        <v/>
      </c>
      <c r="BY361" s="82" t="str">
        <f>IF(Data_LoonkostenVastOntslag338="","",Data_LoonkostenVastOntslag338)</f>
        <v/>
      </c>
      <c r="CA361" s="76" t="str">
        <f>IF(Data_PersoonAanUitVastOntslag338=-1,"v","")</f>
        <v/>
      </c>
      <c r="CB361" s="41"/>
      <c r="CC361" s="76" t="s">
        <v>160</v>
      </c>
      <c r="CD361" s="41"/>
      <c r="CE361" s="41"/>
      <c r="CF361" s="41"/>
      <c r="CG361" s="41"/>
      <c r="CH361" s="41">
        <f t="shared" si="47"/>
        <v>0</v>
      </c>
      <c r="CI361" s="41">
        <f t="shared" si="45"/>
        <v>0</v>
      </c>
    </row>
    <row r="362" spans="8:87" x14ac:dyDescent="0.25">
      <c r="H362" s="81" t="str">
        <f>IF(Data_NaamPersoonNatVerloop339="","",Data_NaamPersoonNatVerloop339)</f>
        <v/>
      </c>
      <c r="I362" s="41"/>
      <c r="J362" s="41"/>
      <c r="K362" s="83" t="str">
        <f>IF(Data_BeeindigingsdatumNatVerloop339="","",Data_BeeindigingsdatumNatVerloop339)</f>
        <v/>
      </c>
      <c r="L362" s="41"/>
      <c r="M362" s="41"/>
      <c r="N362" s="82" t="str">
        <f>IF(Data_LoonkostenNatVerloop339="","",Data_LoonkostenNatVerloop339)</f>
        <v/>
      </c>
      <c r="O362" s="41"/>
      <c r="P362" s="276" t="s">
        <v>160</v>
      </c>
      <c r="Q362" s="41"/>
      <c r="R362" s="76" t="s">
        <v>160</v>
      </c>
      <c r="S362" s="41"/>
      <c r="T362" s="41"/>
      <c r="U362" s="41"/>
      <c r="V362" s="41"/>
      <c r="W362" s="41">
        <f t="shared" si="40"/>
        <v>0</v>
      </c>
      <c r="X362" s="77" t="str">
        <f t="shared" si="46"/>
        <v/>
      </c>
      <c r="AG362" s="81" t="str">
        <f>IF(Data_NaamPersoonTijd339="","",Data_NaamPersoonTijd339)</f>
        <v/>
      </c>
      <c r="AH362" s="41"/>
      <c r="AI362" s="41"/>
      <c r="AJ362" s="83" t="str">
        <f>IF(Data_BeeindigingsdatumTijd339="","",Data_BeeindigingsdatumTijd339)</f>
        <v/>
      </c>
      <c r="AK362" s="41"/>
      <c r="AL362" s="41"/>
      <c r="AM362" s="82" t="str">
        <f>IF(Data_LoonkostenTijd339="","",Data_LoonkostenTijd339)</f>
        <v/>
      </c>
      <c r="AN362" s="41"/>
      <c r="AO362" s="276" t="str">
        <f>IF(Data_PersoonAanUitTijd339=-1,"v","")</f>
        <v/>
      </c>
      <c r="AP362" s="41"/>
      <c r="AQ362" s="76" t="s">
        <v>160</v>
      </c>
      <c r="AR362" s="41"/>
      <c r="AS362" s="41"/>
      <c r="AT362" s="41"/>
      <c r="AU362" s="41"/>
      <c r="AV362" s="41">
        <f t="shared" si="41"/>
        <v>0</v>
      </c>
      <c r="AW362" s="77">
        <f t="shared" si="42"/>
        <v>0</v>
      </c>
      <c r="AX362" s="41"/>
      <c r="AY362" s="41"/>
      <c r="AZ362" s="41"/>
      <c r="BA362" s="81" t="str">
        <f>IF(Data_NaamPersoonVastVrij339="","",Data_NaamPersoonVastVrij339)</f>
        <v/>
      </c>
      <c r="BB362" s="41"/>
      <c r="BC362" s="41"/>
      <c r="BD362" s="83" t="str">
        <f>IF(Data_BeeindigingsdatumVastVrij339="","",Data_BeeindigingsdatumVastVrij339)</f>
        <v/>
      </c>
      <c r="BE362" s="41"/>
      <c r="BF362" s="41"/>
      <c r="BG362" s="82" t="str">
        <f>IF(Data_LoonkostenVastVrij339="","",Data_LoonkostenVastVrij339)</f>
        <v/>
      </c>
      <c r="BH362" s="41"/>
      <c r="BI362" s="76" t="str">
        <f>IF(Data_PersoonAanUitVastVrij339=-1,"v","")</f>
        <v/>
      </c>
      <c r="BJ362" s="41"/>
      <c r="BK362" s="76" t="s">
        <v>160</v>
      </c>
      <c r="BL362" s="41"/>
      <c r="BM362" s="41"/>
      <c r="BN362" s="41"/>
      <c r="BO362" s="41"/>
      <c r="BP362" s="41">
        <f t="shared" si="43"/>
        <v>0</v>
      </c>
      <c r="BQ362" s="77">
        <f t="shared" si="44"/>
        <v>0</v>
      </c>
      <c r="BS362" s="81" t="str">
        <f>IF(Data_NaamPersoonVastOntslag339="","",Data_NaamPersoonVastOntslag339)</f>
        <v/>
      </c>
      <c r="BV362" s="83" t="str">
        <f>IF(Data_BeeindigingsdatumVastOntslag339="","",Data_BeeindigingsdatumVastOntslag339)</f>
        <v/>
      </c>
      <c r="BY362" s="82" t="str">
        <f>IF(Data_LoonkostenVastOntslag339="","",Data_LoonkostenVastOntslag339)</f>
        <v/>
      </c>
      <c r="CA362" s="76" t="str">
        <f>IF(Data_PersoonAanUitVastOntslag339=-1,"v","")</f>
        <v/>
      </c>
      <c r="CB362" s="41"/>
      <c r="CC362" s="76" t="s">
        <v>160</v>
      </c>
      <c r="CD362" s="41"/>
      <c r="CE362" s="41"/>
      <c r="CF362" s="41"/>
      <c r="CG362" s="41"/>
      <c r="CH362" s="41">
        <f t="shared" si="47"/>
        <v>0</v>
      </c>
      <c r="CI362" s="41">
        <f t="shared" si="45"/>
        <v>0</v>
      </c>
    </row>
    <row r="363" spans="8:87" x14ac:dyDescent="0.25">
      <c r="H363" s="81" t="str">
        <f>IF(Data_NaamPersoonNatVerloop340="","",Data_NaamPersoonNatVerloop340)</f>
        <v/>
      </c>
      <c r="I363" s="41"/>
      <c r="J363" s="41"/>
      <c r="K363" s="83" t="str">
        <f>IF(Data_BeeindigingsdatumNatVerloop340="","",Data_BeeindigingsdatumNatVerloop340)</f>
        <v/>
      </c>
      <c r="L363" s="41"/>
      <c r="M363" s="41"/>
      <c r="N363" s="82" t="str">
        <f>IF(Data_LoonkostenNatVerloop340="","",Data_LoonkostenNatVerloop340)</f>
        <v/>
      </c>
      <c r="O363" s="41"/>
      <c r="P363" s="276" t="s">
        <v>160</v>
      </c>
      <c r="Q363" s="41"/>
      <c r="R363" s="76" t="s">
        <v>160</v>
      </c>
      <c r="S363" s="41"/>
      <c r="T363" s="41"/>
      <c r="U363" s="41"/>
      <c r="V363" s="41"/>
      <c r="W363" s="41">
        <f t="shared" si="40"/>
        <v>0</v>
      </c>
      <c r="X363" s="77" t="str">
        <f t="shared" si="46"/>
        <v/>
      </c>
      <c r="AG363" s="81" t="str">
        <f>IF(Data_NaamPersoonTijd340="","",Data_NaamPersoonTijd340)</f>
        <v/>
      </c>
      <c r="AH363" s="41"/>
      <c r="AI363" s="41"/>
      <c r="AJ363" s="83" t="str">
        <f>IF(Data_BeeindigingsdatumTijd340="","",Data_BeeindigingsdatumTijd340)</f>
        <v/>
      </c>
      <c r="AK363" s="41"/>
      <c r="AL363" s="41"/>
      <c r="AM363" s="82" t="str">
        <f>IF(Data_LoonkostenTijd340="","",Data_LoonkostenTijd340)</f>
        <v/>
      </c>
      <c r="AN363" s="41"/>
      <c r="AO363" s="276" t="str">
        <f>IF(Data_PersoonAanUitTijd340=-1,"v","")</f>
        <v/>
      </c>
      <c r="AP363" s="41"/>
      <c r="AQ363" s="76" t="s">
        <v>160</v>
      </c>
      <c r="AR363" s="41"/>
      <c r="AS363" s="41"/>
      <c r="AT363" s="41"/>
      <c r="AU363" s="41"/>
      <c r="AV363" s="41">
        <f t="shared" si="41"/>
        <v>0</v>
      </c>
      <c r="AW363" s="77">
        <f t="shared" si="42"/>
        <v>0</v>
      </c>
      <c r="AX363" s="41"/>
      <c r="AY363" s="41"/>
      <c r="AZ363" s="41"/>
      <c r="BA363" s="81" t="str">
        <f>IF(Data_NaamPersoonVastVrij340="","",Data_NaamPersoonVastVrij340)</f>
        <v/>
      </c>
      <c r="BB363" s="41"/>
      <c r="BC363" s="41"/>
      <c r="BD363" s="83" t="str">
        <f>IF(Data_BeeindigingsdatumVastVrij340="","",Data_BeeindigingsdatumVastVrij340)</f>
        <v/>
      </c>
      <c r="BE363" s="41"/>
      <c r="BF363" s="41"/>
      <c r="BG363" s="82" t="str">
        <f>IF(Data_LoonkostenVastVrij340="","",Data_LoonkostenVastVrij340)</f>
        <v/>
      </c>
      <c r="BH363" s="41"/>
      <c r="BI363" s="76" t="str">
        <f>IF(Data_PersoonAanUitVastVrij340=-1,"v","")</f>
        <v/>
      </c>
      <c r="BJ363" s="41"/>
      <c r="BK363" s="76" t="s">
        <v>160</v>
      </c>
      <c r="BL363" s="41"/>
      <c r="BM363" s="41"/>
      <c r="BN363" s="41"/>
      <c r="BO363" s="41"/>
      <c r="BP363" s="41">
        <f t="shared" si="43"/>
        <v>0</v>
      </c>
      <c r="BQ363" s="77">
        <f t="shared" si="44"/>
        <v>0</v>
      </c>
      <c r="BS363" s="81" t="str">
        <f>IF(Data_NaamPersoonVastOntslag340="","",Data_NaamPersoonVastOntslag340)</f>
        <v/>
      </c>
      <c r="BV363" s="83" t="str">
        <f>IF(Data_BeeindigingsdatumVastOntslag340="","",Data_BeeindigingsdatumVastOntslag340)</f>
        <v/>
      </c>
      <c r="BY363" s="82" t="str">
        <f>IF(Data_LoonkostenVastOntslag340="","",Data_LoonkostenVastOntslag340)</f>
        <v/>
      </c>
      <c r="CA363" s="76" t="str">
        <f>IF(Data_PersoonAanUitVastOntslag340=-1,"v","")</f>
        <v/>
      </c>
      <c r="CB363" s="41"/>
      <c r="CC363" s="76" t="s">
        <v>160</v>
      </c>
      <c r="CD363" s="41"/>
      <c r="CE363" s="41"/>
      <c r="CF363" s="41"/>
      <c r="CG363" s="41"/>
      <c r="CH363" s="41">
        <f t="shared" si="47"/>
        <v>0</v>
      </c>
      <c r="CI363" s="41">
        <f t="shared" si="45"/>
        <v>0</v>
      </c>
    </row>
    <row r="364" spans="8:87" x14ac:dyDescent="0.25">
      <c r="H364" s="81" t="str">
        <f>IF(Data_NaamPersoonNatVerloop341="","",Data_NaamPersoonNatVerloop341)</f>
        <v/>
      </c>
      <c r="I364" s="41"/>
      <c r="J364" s="41"/>
      <c r="K364" s="83" t="str">
        <f>IF(Data_BeeindigingsdatumNatVerloop341="","",Data_BeeindigingsdatumNatVerloop341)</f>
        <v/>
      </c>
      <c r="L364" s="41"/>
      <c r="M364" s="41"/>
      <c r="N364" s="82" t="str">
        <f>IF(Data_LoonkostenNatVerloop341="","",Data_LoonkostenNatVerloop341)</f>
        <v/>
      </c>
      <c r="O364" s="41"/>
      <c r="P364" s="276" t="s">
        <v>160</v>
      </c>
      <c r="Q364" s="41"/>
      <c r="R364" s="76" t="s">
        <v>160</v>
      </c>
      <c r="S364" s="41"/>
      <c r="T364" s="41"/>
      <c r="U364" s="41"/>
      <c r="V364" s="41"/>
      <c r="W364" s="41">
        <f t="shared" si="40"/>
        <v>0</v>
      </c>
      <c r="X364" s="77" t="str">
        <f t="shared" si="46"/>
        <v/>
      </c>
      <c r="AG364" s="81" t="str">
        <f>IF(Data_NaamPersoonTijd341="","",Data_NaamPersoonTijd341)</f>
        <v/>
      </c>
      <c r="AH364" s="41"/>
      <c r="AI364" s="41"/>
      <c r="AJ364" s="83" t="str">
        <f>IF(Data_BeeindigingsdatumTijd341="","",Data_BeeindigingsdatumTijd341)</f>
        <v/>
      </c>
      <c r="AK364" s="41"/>
      <c r="AL364" s="41"/>
      <c r="AM364" s="82" t="str">
        <f>IF(Data_LoonkostenTijd341="","",Data_LoonkostenTijd341)</f>
        <v/>
      </c>
      <c r="AN364" s="41"/>
      <c r="AO364" s="276" t="str">
        <f>IF(Data_PersoonAanUitTijd341=-1,"v","")</f>
        <v/>
      </c>
      <c r="AP364" s="41"/>
      <c r="AQ364" s="76" t="s">
        <v>160</v>
      </c>
      <c r="AR364" s="41"/>
      <c r="AS364" s="41"/>
      <c r="AT364" s="41"/>
      <c r="AU364" s="41"/>
      <c r="AV364" s="41">
        <f t="shared" si="41"/>
        <v>0</v>
      </c>
      <c r="AW364" s="77">
        <f t="shared" si="42"/>
        <v>0</v>
      </c>
      <c r="AX364" s="41"/>
      <c r="AY364" s="41"/>
      <c r="AZ364" s="41"/>
      <c r="BA364" s="81" t="str">
        <f>IF(Data_NaamPersoonVastVrij341="","",Data_NaamPersoonVastVrij341)</f>
        <v/>
      </c>
      <c r="BB364" s="41"/>
      <c r="BC364" s="41"/>
      <c r="BD364" s="83" t="str">
        <f>IF(Data_BeeindigingsdatumVastVrij341="","",Data_BeeindigingsdatumVastVrij341)</f>
        <v/>
      </c>
      <c r="BE364" s="41"/>
      <c r="BF364" s="41"/>
      <c r="BG364" s="82" t="str">
        <f>IF(Data_LoonkostenVastVrij341="","",Data_LoonkostenVastVrij341)</f>
        <v/>
      </c>
      <c r="BH364" s="41"/>
      <c r="BI364" s="76" t="str">
        <f>IF(Data_PersoonAanUitVastVrij341=-1,"v","")</f>
        <v/>
      </c>
      <c r="BJ364" s="41"/>
      <c r="BK364" s="76" t="s">
        <v>160</v>
      </c>
      <c r="BL364" s="41"/>
      <c r="BM364" s="41"/>
      <c r="BN364" s="41"/>
      <c r="BO364" s="41"/>
      <c r="BP364" s="41">
        <f t="shared" si="43"/>
        <v>0</v>
      </c>
      <c r="BQ364" s="77">
        <f t="shared" si="44"/>
        <v>0</v>
      </c>
      <c r="BS364" s="81" t="str">
        <f>IF(Data_NaamPersoonVastOntslag341="","",Data_NaamPersoonVastOntslag341)</f>
        <v/>
      </c>
      <c r="BV364" s="83" t="str">
        <f>IF(Data_BeeindigingsdatumVastOntslag341="","",Data_BeeindigingsdatumVastOntslag341)</f>
        <v/>
      </c>
      <c r="BY364" s="82" t="str">
        <f>IF(Data_LoonkostenVastOntslag341="","",Data_LoonkostenVastOntslag341)</f>
        <v/>
      </c>
      <c r="CA364" s="76" t="str">
        <f>IF(Data_PersoonAanUitVastOntslag341=-1,"v","")</f>
        <v/>
      </c>
      <c r="CB364" s="41"/>
      <c r="CC364" s="76" t="s">
        <v>160</v>
      </c>
      <c r="CD364" s="41"/>
      <c r="CE364" s="41"/>
      <c r="CF364" s="41"/>
      <c r="CG364" s="41"/>
      <c r="CH364" s="41">
        <f t="shared" si="47"/>
        <v>0</v>
      </c>
      <c r="CI364" s="41">
        <f t="shared" si="45"/>
        <v>0</v>
      </c>
    </row>
    <row r="365" spans="8:87" x14ac:dyDescent="0.25">
      <c r="H365" s="81" t="str">
        <f>IF(Data_NaamPersoonNatVerloop342="","",Data_NaamPersoonNatVerloop342)</f>
        <v/>
      </c>
      <c r="I365" s="41"/>
      <c r="J365" s="41"/>
      <c r="K365" s="83" t="str">
        <f>IF(Data_BeeindigingsdatumNatVerloop342="","",Data_BeeindigingsdatumNatVerloop342)</f>
        <v/>
      </c>
      <c r="L365" s="41"/>
      <c r="M365" s="41"/>
      <c r="N365" s="82" t="str">
        <f>IF(Data_LoonkostenNatVerloop342="","",Data_LoonkostenNatVerloop342)</f>
        <v/>
      </c>
      <c r="O365" s="41"/>
      <c r="P365" s="276" t="s">
        <v>160</v>
      </c>
      <c r="Q365" s="41"/>
      <c r="R365" s="76" t="s">
        <v>160</v>
      </c>
      <c r="S365" s="41"/>
      <c r="T365" s="41"/>
      <c r="U365" s="41"/>
      <c r="V365" s="41"/>
      <c r="W365" s="41">
        <f t="shared" si="40"/>
        <v>0</v>
      </c>
      <c r="X365" s="77" t="str">
        <f t="shared" si="46"/>
        <v/>
      </c>
      <c r="AG365" s="81" t="str">
        <f>IF(Data_NaamPersoonTijd342="","",Data_NaamPersoonTijd342)</f>
        <v/>
      </c>
      <c r="AH365" s="41"/>
      <c r="AI365" s="41"/>
      <c r="AJ365" s="83" t="str">
        <f>IF(Data_BeeindigingsdatumTijd342="","",Data_BeeindigingsdatumTijd342)</f>
        <v/>
      </c>
      <c r="AK365" s="41"/>
      <c r="AL365" s="41"/>
      <c r="AM365" s="82" t="str">
        <f>IF(Data_LoonkostenTijd342="","",Data_LoonkostenTijd342)</f>
        <v/>
      </c>
      <c r="AN365" s="41"/>
      <c r="AO365" s="276" t="str">
        <f>IF(Data_PersoonAanUitTijd342=-1,"v","")</f>
        <v/>
      </c>
      <c r="AP365" s="41"/>
      <c r="AQ365" s="76" t="s">
        <v>160</v>
      </c>
      <c r="AR365" s="41"/>
      <c r="AS365" s="41"/>
      <c r="AT365" s="41"/>
      <c r="AU365" s="41"/>
      <c r="AV365" s="41">
        <f t="shared" si="41"/>
        <v>0</v>
      </c>
      <c r="AW365" s="77">
        <f t="shared" si="42"/>
        <v>0</v>
      </c>
      <c r="AX365" s="41"/>
      <c r="AY365" s="41"/>
      <c r="AZ365" s="41"/>
      <c r="BA365" s="81" t="str">
        <f>IF(Data_NaamPersoonVastVrij342="","",Data_NaamPersoonVastVrij342)</f>
        <v/>
      </c>
      <c r="BB365" s="41"/>
      <c r="BC365" s="41"/>
      <c r="BD365" s="83" t="str">
        <f>IF(Data_BeeindigingsdatumVastVrij342="","",Data_BeeindigingsdatumVastVrij342)</f>
        <v/>
      </c>
      <c r="BE365" s="41"/>
      <c r="BF365" s="41"/>
      <c r="BG365" s="82" t="str">
        <f>IF(Data_LoonkostenVastVrij342="","",Data_LoonkostenVastVrij342)</f>
        <v/>
      </c>
      <c r="BH365" s="41"/>
      <c r="BI365" s="76" t="str">
        <f>IF(Data_PersoonAanUitVastVrij342=-1,"v","")</f>
        <v/>
      </c>
      <c r="BJ365" s="41"/>
      <c r="BK365" s="76" t="s">
        <v>160</v>
      </c>
      <c r="BL365" s="41"/>
      <c r="BM365" s="41"/>
      <c r="BN365" s="41"/>
      <c r="BO365" s="41"/>
      <c r="BP365" s="41">
        <f t="shared" si="43"/>
        <v>0</v>
      </c>
      <c r="BQ365" s="77">
        <f t="shared" si="44"/>
        <v>0</v>
      </c>
      <c r="BS365" s="81" t="str">
        <f>IF(Data_NaamPersoonVastOntslag342="","",Data_NaamPersoonVastOntslag342)</f>
        <v/>
      </c>
      <c r="BV365" s="83" t="str">
        <f>IF(Data_BeeindigingsdatumVastOntslag342="","",Data_BeeindigingsdatumVastOntslag342)</f>
        <v/>
      </c>
      <c r="BY365" s="82" t="str">
        <f>IF(Data_LoonkostenVastOntslag342="","",Data_LoonkostenVastOntslag342)</f>
        <v/>
      </c>
      <c r="CA365" s="76" t="str">
        <f>IF(Data_PersoonAanUitVastOntslag342=-1,"v","")</f>
        <v/>
      </c>
      <c r="CB365" s="41"/>
      <c r="CC365" s="76" t="s">
        <v>160</v>
      </c>
      <c r="CD365" s="41"/>
      <c r="CE365" s="41"/>
      <c r="CF365" s="41"/>
      <c r="CG365" s="41"/>
      <c r="CH365" s="41">
        <f t="shared" si="47"/>
        <v>0</v>
      </c>
      <c r="CI365" s="41">
        <f t="shared" si="45"/>
        <v>0</v>
      </c>
    </row>
    <row r="366" spans="8:87" x14ac:dyDescent="0.25">
      <c r="H366" s="81" t="str">
        <f>IF(Data_NaamPersoonNatVerloop343="","",Data_NaamPersoonNatVerloop343)</f>
        <v/>
      </c>
      <c r="I366" s="41"/>
      <c r="J366" s="41"/>
      <c r="K366" s="83" t="str">
        <f>IF(Data_BeeindigingsdatumNatVerloop343="","",Data_BeeindigingsdatumNatVerloop343)</f>
        <v/>
      </c>
      <c r="L366" s="41"/>
      <c r="M366" s="41"/>
      <c r="N366" s="82" t="str">
        <f>IF(Data_LoonkostenNatVerloop343="","",Data_LoonkostenNatVerloop343)</f>
        <v/>
      </c>
      <c r="O366" s="41"/>
      <c r="P366" s="276" t="s">
        <v>160</v>
      </c>
      <c r="Q366" s="41"/>
      <c r="R366" s="76" t="s">
        <v>160</v>
      </c>
      <c r="S366" s="41"/>
      <c r="T366" s="41"/>
      <c r="U366" s="41"/>
      <c r="V366" s="41"/>
      <c r="W366" s="41">
        <f t="shared" si="40"/>
        <v>0</v>
      </c>
      <c r="X366" s="77" t="str">
        <f t="shared" si="46"/>
        <v/>
      </c>
      <c r="AG366" s="81" t="str">
        <f>IF(Data_NaamPersoonTijd343="","",Data_NaamPersoonTijd343)</f>
        <v/>
      </c>
      <c r="AH366" s="41"/>
      <c r="AI366" s="41"/>
      <c r="AJ366" s="83" t="str">
        <f>IF(Data_BeeindigingsdatumTijd343="","",Data_BeeindigingsdatumTijd343)</f>
        <v/>
      </c>
      <c r="AK366" s="41"/>
      <c r="AL366" s="41"/>
      <c r="AM366" s="82" t="str">
        <f>IF(Data_LoonkostenTijd343="","",Data_LoonkostenTijd343)</f>
        <v/>
      </c>
      <c r="AN366" s="41"/>
      <c r="AO366" s="276" t="str">
        <f>IF(Data_PersoonAanUitTijd343=-1,"v","")</f>
        <v/>
      </c>
      <c r="AP366" s="41"/>
      <c r="AQ366" s="76" t="s">
        <v>160</v>
      </c>
      <c r="AR366" s="41"/>
      <c r="AS366" s="41"/>
      <c r="AT366" s="41"/>
      <c r="AU366" s="41"/>
      <c r="AV366" s="41">
        <f t="shared" si="41"/>
        <v>0</v>
      </c>
      <c r="AW366" s="77">
        <f t="shared" si="42"/>
        <v>0</v>
      </c>
      <c r="AX366" s="41"/>
      <c r="AY366" s="41"/>
      <c r="AZ366" s="41"/>
      <c r="BA366" s="81" t="str">
        <f>IF(Data_NaamPersoonVastVrij343="","",Data_NaamPersoonVastVrij343)</f>
        <v/>
      </c>
      <c r="BB366" s="41"/>
      <c r="BC366" s="41"/>
      <c r="BD366" s="83" t="str">
        <f>IF(Data_BeeindigingsdatumVastVrij343="","",Data_BeeindigingsdatumVastVrij343)</f>
        <v/>
      </c>
      <c r="BE366" s="41"/>
      <c r="BF366" s="41"/>
      <c r="BG366" s="82" t="str">
        <f>IF(Data_LoonkostenVastVrij343="","",Data_LoonkostenVastVrij343)</f>
        <v/>
      </c>
      <c r="BH366" s="41"/>
      <c r="BI366" s="76" t="str">
        <f>IF(Data_PersoonAanUitVastVrij343=-1,"v","")</f>
        <v/>
      </c>
      <c r="BJ366" s="41"/>
      <c r="BK366" s="76" t="s">
        <v>160</v>
      </c>
      <c r="BL366" s="41"/>
      <c r="BM366" s="41"/>
      <c r="BN366" s="41"/>
      <c r="BO366" s="41"/>
      <c r="BP366" s="41">
        <f t="shared" si="43"/>
        <v>0</v>
      </c>
      <c r="BQ366" s="77">
        <f t="shared" si="44"/>
        <v>0</v>
      </c>
      <c r="BS366" s="81" t="str">
        <f>IF(Data_NaamPersoonVastOntslag343="","",Data_NaamPersoonVastOntslag343)</f>
        <v/>
      </c>
      <c r="BV366" s="83" t="str">
        <f>IF(Data_BeeindigingsdatumVastOntslag343="","",Data_BeeindigingsdatumVastOntslag343)</f>
        <v/>
      </c>
      <c r="BY366" s="82" t="str">
        <f>IF(Data_LoonkostenVastOntslag343="","",Data_LoonkostenVastOntslag343)</f>
        <v/>
      </c>
      <c r="CA366" s="76" t="str">
        <f>IF(Data_PersoonAanUitVastOntslag343=-1,"v","")</f>
        <v/>
      </c>
      <c r="CB366" s="41"/>
      <c r="CC366" s="76" t="s">
        <v>160</v>
      </c>
      <c r="CD366" s="41"/>
      <c r="CE366" s="41"/>
      <c r="CF366" s="41"/>
      <c r="CG366" s="41"/>
      <c r="CH366" s="41">
        <f t="shared" si="47"/>
        <v>0</v>
      </c>
      <c r="CI366" s="41">
        <f t="shared" si="45"/>
        <v>0</v>
      </c>
    </row>
    <row r="367" spans="8:87" x14ac:dyDescent="0.25">
      <c r="H367" s="81" t="str">
        <f>IF(Data_NaamPersoonNatVerloop344="","",Data_NaamPersoonNatVerloop344)</f>
        <v/>
      </c>
      <c r="I367" s="41"/>
      <c r="J367" s="41"/>
      <c r="K367" s="83" t="str">
        <f>IF(Data_BeeindigingsdatumNatVerloop344="","",Data_BeeindigingsdatumNatVerloop344)</f>
        <v/>
      </c>
      <c r="L367" s="41"/>
      <c r="M367" s="41"/>
      <c r="N367" s="82" t="str">
        <f>IF(Data_LoonkostenNatVerloop344="","",Data_LoonkostenNatVerloop344)</f>
        <v/>
      </c>
      <c r="O367" s="41"/>
      <c r="P367" s="276" t="s">
        <v>160</v>
      </c>
      <c r="Q367" s="41"/>
      <c r="R367" s="76" t="s">
        <v>160</v>
      </c>
      <c r="S367" s="41"/>
      <c r="T367" s="41"/>
      <c r="U367" s="41"/>
      <c r="V367" s="41"/>
      <c r="W367" s="41">
        <f t="shared" si="40"/>
        <v>0</v>
      </c>
      <c r="X367" s="77" t="str">
        <f t="shared" si="46"/>
        <v/>
      </c>
      <c r="AG367" s="81" t="str">
        <f>IF(Data_NaamPersoonTijd344="","",Data_NaamPersoonTijd344)</f>
        <v/>
      </c>
      <c r="AH367" s="41"/>
      <c r="AI367" s="41"/>
      <c r="AJ367" s="83" t="str">
        <f>IF(Data_BeeindigingsdatumTijd344="","",Data_BeeindigingsdatumTijd344)</f>
        <v/>
      </c>
      <c r="AK367" s="41"/>
      <c r="AL367" s="41"/>
      <c r="AM367" s="82" t="str">
        <f>IF(Data_LoonkostenTijd344="","",Data_LoonkostenTijd344)</f>
        <v/>
      </c>
      <c r="AN367" s="41"/>
      <c r="AO367" s="276" t="str">
        <f>IF(Data_PersoonAanUitTijd344=-1,"v","")</f>
        <v/>
      </c>
      <c r="AP367" s="41"/>
      <c r="AQ367" s="76" t="s">
        <v>160</v>
      </c>
      <c r="AR367" s="41"/>
      <c r="AS367" s="41"/>
      <c r="AT367" s="41"/>
      <c r="AU367" s="41"/>
      <c r="AV367" s="41">
        <f t="shared" si="41"/>
        <v>0</v>
      </c>
      <c r="AW367" s="77">
        <f t="shared" si="42"/>
        <v>0</v>
      </c>
      <c r="AX367" s="41"/>
      <c r="AY367" s="41"/>
      <c r="AZ367" s="41"/>
      <c r="BA367" s="81" t="str">
        <f>IF(Data_NaamPersoonVastVrij344="","",Data_NaamPersoonVastVrij344)</f>
        <v/>
      </c>
      <c r="BB367" s="41"/>
      <c r="BC367" s="41"/>
      <c r="BD367" s="83" t="str">
        <f>IF(Data_BeeindigingsdatumVastVrij344="","",Data_BeeindigingsdatumVastVrij344)</f>
        <v/>
      </c>
      <c r="BE367" s="41"/>
      <c r="BF367" s="41"/>
      <c r="BG367" s="82" t="str">
        <f>IF(Data_LoonkostenVastVrij344="","",Data_LoonkostenVastVrij344)</f>
        <v/>
      </c>
      <c r="BH367" s="41"/>
      <c r="BI367" s="76" t="str">
        <f>IF(Data_PersoonAanUitVastVrij344=-1,"v","")</f>
        <v/>
      </c>
      <c r="BJ367" s="41"/>
      <c r="BK367" s="76" t="s">
        <v>160</v>
      </c>
      <c r="BL367" s="41"/>
      <c r="BM367" s="41"/>
      <c r="BN367" s="41"/>
      <c r="BO367" s="41"/>
      <c r="BP367" s="41">
        <f t="shared" si="43"/>
        <v>0</v>
      </c>
      <c r="BQ367" s="77">
        <f t="shared" si="44"/>
        <v>0</v>
      </c>
      <c r="BS367" s="81" t="str">
        <f>IF(Data_NaamPersoonVastOntslag344="","",Data_NaamPersoonVastOntslag344)</f>
        <v/>
      </c>
      <c r="BV367" s="83" t="str">
        <f>IF(Data_BeeindigingsdatumVastOntslag344="","",Data_BeeindigingsdatumVastOntslag344)</f>
        <v/>
      </c>
      <c r="BY367" s="82" t="str">
        <f>IF(Data_LoonkostenVastOntslag344="","",Data_LoonkostenVastOntslag344)</f>
        <v/>
      </c>
      <c r="CA367" s="76" t="str">
        <f>IF(Data_PersoonAanUitVastOntslag344=-1,"v","")</f>
        <v/>
      </c>
      <c r="CB367" s="41"/>
      <c r="CC367" s="76" t="s">
        <v>160</v>
      </c>
      <c r="CD367" s="41"/>
      <c r="CE367" s="41"/>
      <c r="CF367" s="41"/>
      <c r="CG367" s="41"/>
      <c r="CH367" s="41">
        <f t="shared" si="47"/>
        <v>0</v>
      </c>
      <c r="CI367" s="41">
        <f t="shared" si="45"/>
        <v>0</v>
      </c>
    </row>
    <row r="368" spans="8:87" x14ac:dyDescent="0.25">
      <c r="H368" s="81" t="str">
        <f>IF(Data_NaamPersoonNatVerloop345="","",Data_NaamPersoonNatVerloop345)</f>
        <v/>
      </c>
      <c r="I368" s="41"/>
      <c r="J368" s="41"/>
      <c r="K368" s="83" t="str">
        <f>IF(Data_BeeindigingsdatumNatVerloop345="","",Data_BeeindigingsdatumNatVerloop345)</f>
        <v/>
      </c>
      <c r="L368" s="41"/>
      <c r="M368" s="41"/>
      <c r="N368" s="82" t="str">
        <f>IF(Data_LoonkostenNatVerloop345="","",Data_LoonkostenNatVerloop345)</f>
        <v/>
      </c>
      <c r="O368" s="41"/>
      <c r="P368" s="276" t="s">
        <v>160</v>
      </c>
      <c r="Q368" s="41"/>
      <c r="R368" s="76" t="s">
        <v>160</v>
      </c>
      <c r="S368" s="41"/>
      <c r="T368" s="41"/>
      <c r="U368" s="41"/>
      <c r="V368" s="41"/>
      <c r="W368" s="41">
        <f t="shared" si="40"/>
        <v>0</v>
      </c>
      <c r="X368" s="77" t="str">
        <f t="shared" si="46"/>
        <v/>
      </c>
      <c r="AG368" s="81" t="str">
        <f>IF(Data_NaamPersoonTijd345="","",Data_NaamPersoonTijd345)</f>
        <v/>
      </c>
      <c r="AH368" s="41"/>
      <c r="AI368" s="41"/>
      <c r="AJ368" s="83" t="str">
        <f>IF(Data_BeeindigingsdatumTijd345="","",Data_BeeindigingsdatumTijd345)</f>
        <v/>
      </c>
      <c r="AK368" s="41"/>
      <c r="AL368" s="41"/>
      <c r="AM368" s="82" t="str">
        <f>IF(Data_LoonkostenTijd345="","",Data_LoonkostenTijd345)</f>
        <v/>
      </c>
      <c r="AN368" s="41"/>
      <c r="AO368" s="276" t="str">
        <f>IF(Data_PersoonAanUitTijd345=-1,"v","")</f>
        <v/>
      </c>
      <c r="AP368" s="41"/>
      <c r="AQ368" s="76" t="s">
        <v>160</v>
      </c>
      <c r="AR368" s="41"/>
      <c r="AS368" s="41"/>
      <c r="AT368" s="41"/>
      <c r="AU368" s="41"/>
      <c r="AV368" s="41">
        <f t="shared" si="41"/>
        <v>0</v>
      </c>
      <c r="AW368" s="77">
        <f t="shared" si="42"/>
        <v>0</v>
      </c>
      <c r="AX368" s="41"/>
      <c r="AY368" s="41"/>
      <c r="AZ368" s="41"/>
      <c r="BA368" s="81" t="str">
        <f>IF(Data_NaamPersoonVastVrij345="","",Data_NaamPersoonVastVrij345)</f>
        <v/>
      </c>
      <c r="BB368" s="41"/>
      <c r="BC368" s="41"/>
      <c r="BD368" s="83" t="str">
        <f>IF(Data_BeeindigingsdatumVastVrij345="","",Data_BeeindigingsdatumVastVrij345)</f>
        <v/>
      </c>
      <c r="BE368" s="41"/>
      <c r="BF368" s="41"/>
      <c r="BG368" s="82" t="str">
        <f>IF(Data_LoonkostenVastVrij345="","",Data_LoonkostenVastVrij345)</f>
        <v/>
      </c>
      <c r="BH368" s="41"/>
      <c r="BI368" s="76" t="str">
        <f>IF(Data_PersoonAanUitVastVrij345=-1,"v","")</f>
        <v/>
      </c>
      <c r="BJ368" s="41"/>
      <c r="BK368" s="76" t="s">
        <v>160</v>
      </c>
      <c r="BL368" s="41"/>
      <c r="BM368" s="41"/>
      <c r="BN368" s="41"/>
      <c r="BO368" s="41"/>
      <c r="BP368" s="41">
        <f t="shared" si="43"/>
        <v>0</v>
      </c>
      <c r="BQ368" s="77">
        <f t="shared" si="44"/>
        <v>0</v>
      </c>
      <c r="BS368" s="81" t="str">
        <f>IF(Data_NaamPersoonVastOntslag345="","",Data_NaamPersoonVastOntslag345)</f>
        <v/>
      </c>
      <c r="BV368" s="83" t="str">
        <f>IF(Data_BeeindigingsdatumVastOntslag345="","",Data_BeeindigingsdatumVastOntslag345)</f>
        <v/>
      </c>
      <c r="BY368" s="82" t="str">
        <f>IF(Data_LoonkostenVastOntslag345="","",Data_LoonkostenVastOntslag345)</f>
        <v/>
      </c>
      <c r="CA368" s="76" t="str">
        <f>IF(Data_PersoonAanUitVastOntslag345=-1,"v","")</f>
        <v/>
      </c>
      <c r="CB368" s="41"/>
      <c r="CC368" s="76" t="s">
        <v>160</v>
      </c>
      <c r="CD368" s="41"/>
      <c r="CE368" s="41"/>
      <c r="CF368" s="41"/>
      <c r="CG368" s="41"/>
      <c r="CH368" s="41">
        <f t="shared" si="47"/>
        <v>0</v>
      </c>
      <c r="CI368" s="41">
        <f t="shared" si="45"/>
        <v>0</v>
      </c>
    </row>
    <row r="369" spans="8:87" x14ac:dyDescent="0.25">
      <c r="H369" s="81" t="str">
        <f>IF(Data_NaamPersoonNatVerloop346="","",Data_NaamPersoonNatVerloop346)</f>
        <v/>
      </c>
      <c r="I369" s="41"/>
      <c r="J369" s="41"/>
      <c r="K369" s="83" t="str">
        <f>IF(Data_BeeindigingsdatumNatVerloop346="","",Data_BeeindigingsdatumNatVerloop346)</f>
        <v/>
      </c>
      <c r="L369" s="41"/>
      <c r="M369" s="41"/>
      <c r="N369" s="82" t="str">
        <f>IF(Data_LoonkostenNatVerloop346="","",Data_LoonkostenNatVerloop346)</f>
        <v/>
      </c>
      <c r="O369" s="41"/>
      <c r="P369" s="276" t="s">
        <v>160</v>
      </c>
      <c r="Q369" s="41"/>
      <c r="R369" s="76" t="s">
        <v>160</v>
      </c>
      <c r="S369" s="41"/>
      <c r="T369" s="41"/>
      <c r="U369" s="41"/>
      <c r="V369" s="41"/>
      <c r="W369" s="41">
        <f t="shared" si="40"/>
        <v>0</v>
      </c>
      <c r="X369" s="77" t="str">
        <f t="shared" si="46"/>
        <v/>
      </c>
      <c r="AG369" s="81" t="str">
        <f>IF(Data_NaamPersoonTijd346="","",Data_NaamPersoonTijd346)</f>
        <v/>
      </c>
      <c r="AH369" s="41"/>
      <c r="AI369" s="41"/>
      <c r="AJ369" s="83" t="str">
        <f>IF(Data_BeeindigingsdatumTijd346="","",Data_BeeindigingsdatumTijd346)</f>
        <v/>
      </c>
      <c r="AK369" s="41"/>
      <c r="AL369" s="41"/>
      <c r="AM369" s="82" t="str">
        <f>IF(Data_LoonkostenTijd346="","",Data_LoonkostenTijd346)</f>
        <v/>
      </c>
      <c r="AN369" s="41"/>
      <c r="AO369" s="276" t="str">
        <f>IF(Data_PersoonAanUitTijd346=-1,"v","")</f>
        <v/>
      </c>
      <c r="AP369" s="41"/>
      <c r="AQ369" s="76" t="s">
        <v>160</v>
      </c>
      <c r="AR369" s="41"/>
      <c r="AS369" s="41"/>
      <c r="AT369" s="41"/>
      <c r="AU369" s="41"/>
      <c r="AV369" s="41">
        <f t="shared" si="41"/>
        <v>0</v>
      </c>
      <c r="AW369" s="77">
        <f t="shared" si="42"/>
        <v>0</v>
      </c>
      <c r="AX369" s="41"/>
      <c r="AY369" s="41"/>
      <c r="AZ369" s="41"/>
      <c r="BA369" s="81" t="str">
        <f>IF(Data_NaamPersoonVastVrij346="","",Data_NaamPersoonVastVrij346)</f>
        <v/>
      </c>
      <c r="BB369" s="41"/>
      <c r="BC369" s="41"/>
      <c r="BD369" s="83" t="str">
        <f>IF(Data_BeeindigingsdatumVastVrij346="","",Data_BeeindigingsdatumVastVrij346)</f>
        <v/>
      </c>
      <c r="BE369" s="41"/>
      <c r="BF369" s="41"/>
      <c r="BG369" s="82" t="str">
        <f>IF(Data_LoonkostenVastVrij346="","",Data_LoonkostenVastVrij346)</f>
        <v/>
      </c>
      <c r="BH369" s="41"/>
      <c r="BI369" s="76" t="str">
        <f>IF(Data_PersoonAanUitVastVrij346=-1,"v","")</f>
        <v/>
      </c>
      <c r="BJ369" s="41"/>
      <c r="BK369" s="76" t="s">
        <v>160</v>
      </c>
      <c r="BL369" s="41"/>
      <c r="BM369" s="41"/>
      <c r="BN369" s="41"/>
      <c r="BO369" s="41"/>
      <c r="BP369" s="41">
        <f t="shared" si="43"/>
        <v>0</v>
      </c>
      <c r="BQ369" s="77">
        <f t="shared" si="44"/>
        <v>0</v>
      </c>
      <c r="BS369" s="81" t="str">
        <f>IF(Data_NaamPersoonVastOntslag346="","",Data_NaamPersoonVastOntslag346)</f>
        <v/>
      </c>
      <c r="BV369" s="83" t="str">
        <f>IF(Data_BeeindigingsdatumVastOntslag346="","",Data_BeeindigingsdatumVastOntslag346)</f>
        <v/>
      </c>
      <c r="BY369" s="82" t="str">
        <f>IF(Data_LoonkostenVastOntslag346="","",Data_LoonkostenVastOntslag346)</f>
        <v/>
      </c>
      <c r="CA369" s="76" t="str">
        <f>IF(Data_PersoonAanUitVastOntslag346=-1,"v","")</f>
        <v/>
      </c>
      <c r="CB369" s="41"/>
      <c r="CC369" s="76" t="s">
        <v>160</v>
      </c>
      <c r="CD369" s="41"/>
      <c r="CE369" s="41"/>
      <c r="CF369" s="41"/>
      <c r="CG369" s="41"/>
      <c r="CH369" s="41">
        <f t="shared" si="47"/>
        <v>0</v>
      </c>
      <c r="CI369" s="41">
        <f t="shared" si="45"/>
        <v>0</v>
      </c>
    </row>
    <row r="370" spans="8:87" x14ac:dyDescent="0.25">
      <c r="H370" s="81" t="str">
        <f>IF(Data_NaamPersoonNatVerloop347="","",Data_NaamPersoonNatVerloop347)</f>
        <v/>
      </c>
      <c r="I370" s="41"/>
      <c r="J370" s="41"/>
      <c r="K370" s="83" t="str">
        <f>IF(Data_BeeindigingsdatumNatVerloop347="","",Data_BeeindigingsdatumNatVerloop347)</f>
        <v/>
      </c>
      <c r="L370" s="41"/>
      <c r="M370" s="41"/>
      <c r="N370" s="82" t="str">
        <f>IF(Data_LoonkostenNatVerloop347="","",Data_LoonkostenNatVerloop347)</f>
        <v/>
      </c>
      <c r="O370" s="41"/>
      <c r="P370" s="276" t="s">
        <v>160</v>
      </c>
      <c r="Q370" s="41"/>
      <c r="R370" s="76" t="s">
        <v>160</v>
      </c>
      <c r="S370" s="41"/>
      <c r="T370" s="41"/>
      <c r="U370" s="41"/>
      <c r="V370" s="41"/>
      <c r="W370" s="41">
        <f t="shared" si="40"/>
        <v>0</v>
      </c>
      <c r="X370" s="77" t="str">
        <f t="shared" si="46"/>
        <v/>
      </c>
      <c r="AG370" s="81" t="str">
        <f>IF(Data_NaamPersoonTijd347="","",Data_NaamPersoonTijd347)</f>
        <v/>
      </c>
      <c r="AH370" s="41"/>
      <c r="AI370" s="41"/>
      <c r="AJ370" s="83" t="str">
        <f>IF(Data_BeeindigingsdatumTijd347="","",Data_BeeindigingsdatumTijd347)</f>
        <v/>
      </c>
      <c r="AK370" s="41"/>
      <c r="AL370" s="41"/>
      <c r="AM370" s="82" t="str">
        <f>IF(Data_LoonkostenTijd347="","",Data_LoonkostenTijd347)</f>
        <v/>
      </c>
      <c r="AN370" s="41"/>
      <c r="AO370" s="276" t="str">
        <f>IF(Data_PersoonAanUitTijd347=-1,"v","")</f>
        <v/>
      </c>
      <c r="AP370" s="41"/>
      <c r="AQ370" s="76" t="s">
        <v>160</v>
      </c>
      <c r="AR370" s="41"/>
      <c r="AS370" s="41"/>
      <c r="AT370" s="41"/>
      <c r="AU370" s="41"/>
      <c r="AV370" s="41">
        <f t="shared" si="41"/>
        <v>0</v>
      </c>
      <c r="AW370" s="77">
        <f t="shared" si="42"/>
        <v>0</v>
      </c>
      <c r="AX370" s="41"/>
      <c r="AY370" s="41"/>
      <c r="AZ370" s="41"/>
      <c r="BA370" s="81" t="str">
        <f>IF(Data_NaamPersoonVastVrij347="","",Data_NaamPersoonVastVrij347)</f>
        <v/>
      </c>
      <c r="BB370" s="41"/>
      <c r="BC370" s="41"/>
      <c r="BD370" s="83" t="str">
        <f>IF(Data_BeeindigingsdatumVastVrij347="","",Data_BeeindigingsdatumVastVrij347)</f>
        <v/>
      </c>
      <c r="BE370" s="41"/>
      <c r="BF370" s="41"/>
      <c r="BG370" s="82" t="str">
        <f>IF(Data_LoonkostenVastVrij347="","",Data_LoonkostenVastVrij347)</f>
        <v/>
      </c>
      <c r="BH370" s="41"/>
      <c r="BI370" s="76" t="str">
        <f>IF(Data_PersoonAanUitVastVrij347=-1,"v","")</f>
        <v/>
      </c>
      <c r="BJ370" s="41"/>
      <c r="BK370" s="76" t="s">
        <v>160</v>
      </c>
      <c r="BL370" s="41"/>
      <c r="BM370" s="41"/>
      <c r="BN370" s="41"/>
      <c r="BO370" s="41"/>
      <c r="BP370" s="41">
        <f t="shared" si="43"/>
        <v>0</v>
      </c>
      <c r="BQ370" s="77">
        <f t="shared" si="44"/>
        <v>0</v>
      </c>
      <c r="BS370" s="81" t="str">
        <f>IF(Data_NaamPersoonVastOntslag347="","",Data_NaamPersoonVastOntslag347)</f>
        <v/>
      </c>
      <c r="BV370" s="83" t="str">
        <f>IF(Data_BeeindigingsdatumVastOntslag347="","",Data_BeeindigingsdatumVastOntslag347)</f>
        <v/>
      </c>
      <c r="BY370" s="82" t="str">
        <f>IF(Data_LoonkostenVastOntslag347="","",Data_LoonkostenVastOntslag347)</f>
        <v/>
      </c>
      <c r="CA370" s="76" t="str">
        <f>IF(Data_PersoonAanUitVastOntslag347=-1,"v","")</f>
        <v/>
      </c>
      <c r="CB370" s="41"/>
      <c r="CC370" s="76" t="s">
        <v>160</v>
      </c>
      <c r="CD370" s="41"/>
      <c r="CE370" s="41"/>
      <c r="CF370" s="41"/>
      <c r="CG370" s="41"/>
      <c r="CH370" s="41">
        <f t="shared" si="47"/>
        <v>0</v>
      </c>
      <c r="CI370" s="41">
        <f t="shared" si="45"/>
        <v>0</v>
      </c>
    </row>
    <row r="371" spans="8:87" x14ac:dyDescent="0.25">
      <c r="H371" s="81" t="str">
        <f>IF(Data_NaamPersoonNatVerloop348="","",Data_NaamPersoonNatVerloop348)</f>
        <v/>
      </c>
      <c r="I371" s="41"/>
      <c r="J371" s="41"/>
      <c r="K371" s="83" t="str">
        <f>IF(Data_BeeindigingsdatumNatVerloop348="","",Data_BeeindigingsdatumNatVerloop348)</f>
        <v/>
      </c>
      <c r="L371" s="41"/>
      <c r="M371" s="41"/>
      <c r="N371" s="82" t="str">
        <f>IF(Data_LoonkostenNatVerloop348="","",Data_LoonkostenNatVerloop348)</f>
        <v/>
      </c>
      <c r="O371" s="41"/>
      <c r="P371" s="276" t="s">
        <v>160</v>
      </c>
      <c r="Q371" s="41"/>
      <c r="R371" s="76" t="s">
        <v>160</v>
      </c>
      <c r="S371" s="41"/>
      <c r="T371" s="41"/>
      <c r="U371" s="41"/>
      <c r="V371" s="41"/>
      <c r="W371" s="41">
        <f t="shared" si="40"/>
        <v>0</v>
      </c>
      <c r="X371" s="77" t="str">
        <f t="shared" si="46"/>
        <v/>
      </c>
      <c r="AG371" s="81" t="str">
        <f>IF(Data_NaamPersoonTijd348="","",Data_NaamPersoonTijd348)</f>
        <v/>
      </c>
      <c r="AH371" s="41"/>
      <c r="AI371" s="41"/>
      <c r="AJ371" s="83" t="str">
        <f>IF(Data_BeeindigingsdatumTijd348="","",Data_BeeindigingsdatumTijd348)</f>
        <v/>
      </c>
      <c r="AK371" s="41"/>
      <c r="AL371" s="41"/>
      <c r="AM371" s="82" t="str">
        <f>IF(Data_LoonkostenTijd348="","",Data_LoonkostenTijd348)</f>
        <v/>
      </c>
      <c r="AN371" s="41"/>
      <c r="AO371" s="276" t="str">
        <f>IF(Data_PersoonAanUitTijd348=-1,"v","")</f>
        <v/>
      </c>
      <c r="AP371" s="41"/>
      <c r="AQ371" s="76" t="s">
        <v>160</v>
      </c>
      <c r="AR371" s="41"/>
      <c r="AS371" s="41"/>
      <c r="AT371" s="41"/>
      <c r="AU371" s="41"/>
      <c r="AV371" s="41">
        <f t="shared" si="41"/>
        <v>0</v>
      </c>
      <c r="AW371" s="77">
        <f t="shared" si="42"/>
        <v>0</v>
      </c>
      <c r="AX371" s="41"/>
      <c r="AY371" s="41"/>
      <c r="AZ371" s="41"/>
      <c r="BA371" s="81" t="str">
        <f>IF(Data_NaamPersoonVastVrij348="","",Data_NaamPersoonVastVrij348)</f>
        <v/>
      </c>
      <c r="BB371" s="41"/>
      <c r="BC371" s="41"/>
      <c r="BD371" s="83" t="str">
        <f>IF(Data_BeeindigingsdatumVastVrij348="","",Data_BeeindigingsdatumVastVrij348)</f>
        <v/>
      </c>
      <c r="BE371" s="41"/>
      <c r="BF371" s="41"/>
      <c r="BG371" s="82" t="str">
        <f>IF(Data_LoonkostenVastVrij348="","",Data_LoonkostenVastVrij348)</f>
        <v/>
      </c>
      <c r="BH371" s="41"/>
      <c r="BI371" s="76" t="str">
        <f>IF(Data_PersoonAanUitVastVrij348=-1,"v","")</f>
        <v/>
      </c>
      <c r="BJ371" s="41"/>
      <c r="BK371" s="76" t="s">
        <v>160</v>
      </c>
      <c r="BL371" s="41"/>
      <c r="BM371" s="41"/>
      <c r="BN371" s="41"/>
      <c r="BO371" s="41"/>
      <c r="BP371" s="41">
        <f t="shared" si="43"/>
        <v>0</v>
      </c>
      <c r="BQ371" s="77">
        <f t="shared" si="44"/>
        <v>0</v>
      </c>
      <c r="BS371" s="81" t="str">
        <f>IF(Data_NaamPersoonVastOntslag348="","",Data_NaamPersoonVastOntslag348)</f>
        <v/>
      </c>
      <c r="BV371" s="83" t="str">
        <f>IF(Data_BeeindigingsdatumVastOntslag348="","",Data_BeeindigingsdatumVastOntslag348)</f>
        <v/>
      </c>
      <c r="BY371" s="82" t="str">
        <f>IF(Data_LoonkostenVastOntslag348="","",Data_LoonkostenVastOntslag348)</f>
        <v/>
      </c>
      <c r="CA371" s="76" t="str">
        <f>IF(Data_PersoonAanUitVastOntslag348=-1,"v","")</f>
        <v/>
      </c>
      <c r="CB371" s="41"/>
      <c r="CC371" s="76" t="s">
        <v>160</v>
      </c>
      <c r="CD371" s="41"/>
      <c r="CE371" s="41"/>
      <c r="CF371" s="41"/>
      <c r="CG371" s="41"/>
      <c r="CH371" s="41">
        <f t="shared" si="47"/>
        <v>0</v>
      </c>
      <c r="CI371" s="41">
        <f t="shared" si="45"/>
        <v>0</v>
      </c>
    </row>
    <row r="372" spans="8:87" x14ac:dyDescent="0.25">
      <c r="H372" s="81" t="str">
        <f>IF(Data_NaamPersoonNatVerloop349="","",Data_NaamPersoonNatVerloop349)</f>
        <v/>
      </c>
      <c r="I372" s="41"/>
      <c r="J372" s="41"/>
      <c r="K372" s="83" t="str">
        <f>IF(Data_BeeindigingsdatumNatVerloop349="","",Data_BeeindigingsdatumNatVerloop349)</f>
        <v/>
      </c>
      <c r="L372" s="41"/>
      <c r="M372" s="41"/>
      <c r="N372" s="82" t="str">
        <f>IF(Data_LoonkostenNatVerloop349="","",Data_LoonkostenNatVerloop349)</f>
        <v/>
      </c>
      <c r="O372" s="41"/>
      <c r="P372" s="276" t="s">
        <v>160</v>
      </c>
      <c r="Q372" s="41"/>
      <c r="R372" s="76" t="s">
        <v>160</v>
      </c>
      <c r="S372" s="41"/>
      <c r="T372" s="41"/>
      <c r="U372" s="41"/>
      <c r="V372" s="41"/>
      <c r="W372" s="41">
        <f t="shared" si="40"/>
        <v>0</v>
      </c>
      <c r="X372" s="77" t="str">
        <f t="shared" si="46"/>
        <v/>
      </c>
      <c r="AG372" s="81" t="str">
        <f>IF(Data_NaamPersoonTijd349="","",Data_NaamPersoonTijd349)</f>
        <v/>
      </c>
      <c r="AH372" s="41"/>
      <c r="AI372" s="41"/>
      <c r="AJ372" s="83" t="str">
        <f>IF(Data_BeeindigingsdatumTijd349="","",Data_BeeindigingsdatumTijd349)</f>
        <v/>
      </c>
      <c r="AK372" s="41"/>
      <c r="AL372" s="41"/>
      <c r="AM372" s="82" t="str">
        <f>IF(Data_LoonkostenTijd349="","",Data_LoonkostenTijd349)</f>
        <v/>
      </c>
      <c r="AN372" s="41"/>
      <c r="AO372" s="276" t="str">
        <f>IF(Data_PersoonAanUitTijd349=-1,"v","")</f>
        <v/>
      </c>
      <c r="AP372" s="41"/>
      <c r="AQ372" s="76" t="s">
        <v>160</v>
      </c>
      <c r="AR372" s="41"/>
      <c r="AS372" s="41"/>
      <c r="AT372" s="41"/>
      <c r="AU372" s="41"/>
      <c r="AV372" s="41">
        <f t="shared" si="41"/>
        <v>0</v>
      </c>
      <c r="AW372" s="77">
        <f t="shared" si="42"/>
        <v>0</v>
      </c>
      <c r="AX372" s="41"/>
      <c r="AY372" s="41"/>
      <c r="AZ372" s="41"/>
      <c r="BA372" s="81" t="str">
        <f>IF(Data_NaamPersoonVastVrij349="","",Data_NaamPersoonVastVrij349)</f>
        <v/>
      </c>
      <c r="BB372" s="41"/>
      <c r="BC372" s="41"/>
      <c r="BD372" s="83" t="str">
        <f>IF(Data_BeeindigingsdatumVastVrij349="","",Data_BeeindigingsdatumVastVrij349)</f>
        <v/>
      </c>
      <c r="BE372" s="41"/>
      <c r="BF372" s="41"/>
      <c r="BG372" s="82" t="str">
        <f>IF(Data_LoonkostenVastVrij349="","",Data_LoonkostenVastVrij349)</f>
        <v/>
      </c>
      <c r="BH372" s="41"/>
      <c r="BI372" s="76" t="str">
        <f>IF(Data_PersoonAanUitVastVrij349=-1,"v","")</f>
        <v/>
      </c>
      <c r="BJ372" s="41"/>
      <c r="BK372" s="76" t="s">
        <v>160</v>
      </c>
      <c r="BL372" s="41"/>
      <c r="BM372" s="41"/>
      <c r="BN372" s="41"/>
      <c r="BO372" s="41"/>
      <c r="BP372" s="41">
        <f t="shared" si="43"/>
        <v>0</v>
      </c>
      <c r="BQ372" s="77">
        <f t="shared" si="44"/>
        <v>0</v>
      </c>
      <c r="BS372" s="81" t="str">
        <f>IF(Data_NaamPersoonVastOntslag349="","",Data_NaamPersoonVastOntslag349)</f>
        <v/>
      </c>
      <c r="BV372" s="83" t="str">
        <f>IF(Data_BeeindigingsdatumVastOntslag349="","",Data_BeeindigingsdatumVastOntslag349)</f>
        <v/>
      </c>
      <c r="BY372" s="82" t="str">
        <f>IF(Data_LoonkostenVastOntslag349="","",Data_LoonkostenVastOntslag349)</f>
        <v/>
      </c>
      <c r="CA372" s="76" t="str">
        <f>IF(Data_PersoonAanUitVastOntslag349=-1,"v","")</f>
        <v/>
      </c>
      <c r="CB372" s="41"/>
      <c r="CC372" s="76" t="s">
        <v>160</v>
      </c>
      <c r="CD372" s="41"/>
      <c r="CE372" s="41"/>
      <c r="CF372" s="41"/>
      <c r="CG372" s="41"/>
      <c r="CH372" s="41">
        <f t="shared" si="47"/>
        <v>0</v>
      </c>
      <c r="CI372" s="41">
        <f t="shared" si="45"/>
        <v>0</v>
      </c>
    </row>
    <row r="373" spans="8:87" x14ac:dyDescent="0.25">
      <c r="H373" s="81" t="str">
        <f>IF(Data_NaamPersoonNatVerloop350="","",Data_NaamPersoonNatVerloop350)</f>
        <v/>
      </c>
      <c r="I373" s="41"/>
      <c r="J373" s="41"/>
      <c r="K373" s="83" t="str">
        <f>IF(Data_BeeindigingsdatumNatVerloop350="","",Data_BeeindigingsdatumNatVerloop350)</f>
        <v/>
      </c>
      <c r="L373" s="41"/>
      <c r="M373" s="41"/>
      <c r="N373" s="82" t="str">
        <f>IF(Data_LoonkostenNatVerloop350="","",Data_LoonkostenNatVerloop350)</f>
        <v/>
      </c>
      <c r="O373" s="41"/>
      <c r="P373" s="276" t="s">
        <v>160</v>
      </c>
      <c r="Q373" s="41"/>
      <c r="R373" s="76" t="s">
        <v>160</v>
      </c>
      <c r="S373" s="41"/>
      <c r="T373" s="41"/>
      <c r="U373" s="41"/>
      <c r="V373" s="41"/>
      <c r="W373" s="41">
        <f t="shared" si="40"/>
        <v>0</v>
      </c>
      <c r="X373" s="77" t="str">
        <f t="shared" si="46"/>
        <v/>
      </c>
      <c r="AG373" s="81" t="str">
        <f>IF(Data_NaamPersoonTijd350="","",Data_NaamPersoonTijd350)</f>
        <v/>
      </c>
      <c r="AH373" s="41"/>
      <c r="AI373" s="41"/>
      <c r="AJ373" s="83" t="str">
        <f>IF(Data_BeeindigingsdatumTijd350="","",Data_BeeindigingsdatumTijd350)</f>
        <v/>
      </c>
      <c r="AK373" s="41"/>
      <c r="AL373" s="41"/>
      <c r="AM373" s="82" t="str">
        <f>IF(Data_LoonkostenTijd350="","",Data_LoonkostenTijd350)</f>
        <v/>
      </c>
      <c r="AN373" s="41"/>
      <c r="AO373" s="276" t="str">
        <f>IF(Data_PersoonAanUitTijd350=-1,"v","")</f>
        <v/>
      </c>
      <c r="AP373" s="41"/>
      <c r="AQ373" s="76" t="s">
        <v>160</v>
      </c>
      <c r="AR373" s="41"/>
      <c r="AS373" s="41"/>
      <c r="AT373" s="41"/>
      <c r="AU373" s="41"/>
      <c r="AV373" s="41">
        <f t="shared" si="41"/>
        <v>0</v>
      </c>
      <c r="AW373" s="77">
        <f t="shared" si="42"/>
        <v>0</v>
      </c>
      <c r="AX373" s="41"/>
      <c r="AY373" s="41"/>
      <c r="AZ373" s="41"/>
      <c r="BA373" s="81" t="str">
        <f>IF(Data_NaamPersoonVastVrij350="","",Data_NaamPersoonVastVrij350)</f>
        <v/>
      </c>
      <c r="BB373" s="41"/>
      <c r="BC373" s="41"/>
      <c r="BD373" s="83" t="str">
        <f>IF(Data_BeeindigingsdatumVastVrij350="","",Data_BeeindigingsdatumVastVrij350)</f>
        <v/>
      </c>
      <c r="BE373" s="41"/>
      <c r="BF373" s="41"/>
      <c r="BG373" s="82" t="str">
        <f>IF(Data_LoonkostenVastVrij350="","",Data_LoonkostenVastVrij350)</f>
        <v/>
      </c>
      <c r="BH373" s="41"/>
      <c r="BI373" s="76" t="str">
        <f>IF(Data_PersoonAanUitVastVrij350=-1,"v","")</f>
        <v/>
      </c>
      <c r="BJ373" s="41"/>
      <c r="BK373" s="76" t="s">
        <v>160</v>
      </c>
      <c r="BL373" s="41"/>
      <c r="BM373" s="41"/>
      <c r="BN373" s="41"/>
      <c r="BO373" s="41"/>
      <c r="BP373" s="41">
        <f t="shared" si="43"/>
        <v>0</v>
      </c>
      <c r="BQ373" s="77">
        <f t="shared" si="44"/>
        <v>0</v>
      </c>
      <c r="BS373" s="81" t="str">
        <f>IF(Data_NaamPersoonVastOntslag350="","",Data_NaamPersoonVastOntslag350)</f>
        <v/>
      </c>
      <c r="BV373" s="83" t="str">
        <f>IF(Data_BeeindigingsdatumVastOntslag350="","",Data_BeeindigingsdatumVastOntslag350)</f>
        <v/>
      </c>
      <c r="BY373" s="82" t="str">
        <f>IF(Data_LoonkostenVastOntslag350="","",Data_LoonkostenVastOntslag350)</f>
        <v/>
      </c>
      <c r="CA373" s="76" t="str">
        <f>IF(Data_PersoonAanUitVastOntslag350=-1,"v","")</f>
        <v/>
      </c>
      <c r="CB373" s="41"/>
      <c r="CC373" s="76" t="s">
        <v>160</v>
      </c>
      <c r="CD373" s="41"/>
      <c r="CE373" s="41"/>
      <c r="CF373" s="41"/>
      <c r="CG373" s="41"/>
      <c r="CH373" s="41">
        <f t="shared" si="47"/>
        <v>0</v>
      </c>
      <c r="CI373" s="41">
        <f t="shared" si="45"/>
        <v>0</v>
      </c>
    </row>
    <row r="374" spans="8:87" x14ac:dyDescent="0.25">
      <c r="H374" s="81" t="str">
        <f>IF(Data_NaamPersoonNatVerloop351="","",Data_NaamPersoonNatVerloop351)</f>
        <v/>
      </c>
      <c r="I374" s="41"/>
      <c r="J374" s="41"/>
      <c r="K374" s="83" t="str">
        <f>IF(Data_BeeindigingsdatumNatVerloop351="","",Data_BeeindigingsdatumNatVerloop351)</f>
        <v/>
      </c>
      <c r="L374" s="41"/>
      <c r="M374" s="41"/>
      <c r="N374" s="82" t="str">
        <f>IF(Data_LoonkostenNatVerloop351="","",Data_LoonkostenNatVerloop351)</f>
        <v/>
      </c>
      <c r="O374" s="41"/>
      <c r="P374" s="276" t="s">
        <v>160</v>
      </c>
      <c r="Q374" s="41"/>
      <c r="R374" s="76" t="s">
        <v>160</v>
      </c>
      <c r="S374" s="41"/>
      <c r="T374" s="41"/>
      <c r="U374" s="41"/>
      <c r="V374" s="41"/>
      <c r="W374" s="41">
        <f t="shared" si="40"/>
        <v>0</v>
      </c>
      <c r="X374" s="77" t="str">
        <f t="shared" si="46"/>
        <v/>
      </c>
      <c r="AG374" s="81" t="str">
        <f>IF(Data_NaamPersoonTijd351="","",Data_NaamPersoonTijd351)</f>
        <v/>
      </c>
      <c r="AH374" s="41"/>
      <c r="AI374" s="41"/>
      <c r="AJ374" s="83" t="str">
        <f>IF(Data_BeeindigingsdatumTijd351="","",Data_BeeindigingsdatumTijd351)</f>
        <v/>
      </c>
      <c r="AK374" s="41"/>
      <c r="AL374" s="41"/>
      <c r="AM374" s="82" t="str">
        <f>IF(Data_LoonkostenTijd351="","",Data_LoonkostenTijd351)</f>
        <v/>
      </c>
      <c r="AN374" s="41"/>
      <c r="AO374" s="276" t="str">
        <f>IF(Data_PersoonAanUitTijd351=-1,"v","")</f>
        <v/>
      </c>
      <c r="AP374" s="41"/>
      <c r="AQ374" s="76" t="s">
        <v>160</v>
      </c>
      <c r="AR374" s="41"/>
      <c r="AS374" s="41"/>
      <c r="AT374" s="41"/>
      <c r="AU374" s="41"/>
      <c r="AV374" s="41">
        <f t="shared" si="41"/>
        <v>0</v>
      </c>
      <c r="AW374" s="77">
        <f t="shared" si="42"/>
        <v>0</v>
      </c>
      <c r="AX374" s="41"/>
      <c r="AY374" s="41"/>
      <c r="AZ374" s="41"/>
      <c r="BA374" s="81" t="str">
        <f>IF(Data_NaamPersoonVastVrij351="","",Data_NaamPersoonVastVrij351)</f>
        <v/>
      </c>
      <c r="BB374" s="41"/>
      <c r="BC374" s="41"/>
      <c r="BD374" s="83" t="str">
        <f>IF(Data_BeeindigingsdatumVastVrij351="","",Data_BeeindigingsdatumVastVrij351)</f>
        <v/>
      </c>
      <c r="BE374" s="41"/>
      <c r="BF374" s="41"/>
      <c r="BG374" s="82" t="str">
        <f>IF(Data_LoonkostenVastVrij351="","",Data_LoonkostenVastVrij351)</f>
        <v/>
      </c>
      <c r="BH374" s="41"/>
      <c r="BI374" s="76" t="str">
        <f>IF(Data_PersoonAanUitVastVrij351=-1,"v","")</f>
        <v/>
      </c>
      <c r="BJ374" s="41"/>
      <c r="BK374" s="76" t="s">
        <v>160</v>
      </c>
      <c r="BL374" s="41"/>
      <c r="BM374" s="41"/>
      <c r="BN374" s="41"/>
      <c r="BO374" s="41"/>
      <c r="BP374" s="41">
        <f t="shared" si="43"/>
        <v>0</v>
      </c>
      <c r="BQ374" s="77">
        <f t="shared" si="44"/>
        <v>0</v>
      </c>
      <c r="BS374" s="81" t="str">
        <f>IF(Data_NaamPersoonVastOntslag351="","",Data_NaamPersoonVastOntslag351)</f>
        <v/>
      </c>
      <c r="BV374" s="83" t="str">
        <f>IF(Data_BeeindigingsdatumVastOntslag351="","",Data_BeeindigingsdatumVastOntslag351)</f>
        <v/>
      </c>
      <c r="BY374" s="82" t="str">
        <f>IF(Data_LoonkostenVastOntslag351="","",Data_LoonkostenVastOntslag351)</f>
        <v/>
      </c>
      <c r="CA374" s="76" t="str">
        <f>IF(Data_PersoonAanUitVastOntslag351=-1,"v","")</f>
        <v/>
      </c>
      <c r="CB374" s="41"/>
      <c r="CC374" s="76" t="s">
        <v>160</v>
      </c>
      <c r="CD374" s="41"/>
      <c r="CE374" s="41"/>
      <c r="CF374" s="41"/>
      <c r="CG374" s="41"/>
      <c r="CH374" s="41">
        <f t="shared" si="47"/>
        <v>0</v>
      </c>
      <c r="CI374" s="41">
        <f t="shared" si="45"/>
        <v>0</v>
      </c>
    </row>
    <row r="375" spans="8:87" x14ac:dyDescent="0.25">
      <c r="H375" s="81" t="str">
        <f>IF(Data_NaamPersoonNatVerloop352="","",Data_NaamPersoonNatVerloop352)</f>
        <v/>
      </c>
      <c r="I375" s="41"/>
      <c r="J375" s="41"/>
      <c r="K375" s="83" t="str">
        <f>IF(Data_BeeindigingsdatumNatVerloop352="","",Data_BeeindigingsdatumNatVerloop352)</f>
        <v/>
      </c>
      <c r="L375" s="41"/>
      <c r="M375" s="41"/>
      <c r="N375" s="82" t="str">
        <f>IF(Data_LoonkostenNatVerloop352="","",Data_LoonkostenNatVerloop352)</f>
        <v/>
      </c>
      <c r="O375" s="41"/>
      <c r="P375" s="276" t="s">
        <v>160</v>
      </c>
      <c r="Q375" s="41"/>
      <c r="R375" s="76" t="s">
        <v>160</v>
      </c>
      <c r="S375" s="41"/>
      <c r="T375" s="41"/>
      <c r="U375" s="41"/>
      <c r="V375" s="41"/>
      <c r="W375" s="41">
        <f t="shared" si="40"/>
        <v>0</v>
      </c>
      <c r="X375" s="77" t="str">
        <f t="shared" si="46"/>
        <v/>
      </c>
      <c r="AG375" s="81" t="str">
        <f>IF(Data_NaamPersoonTijd352="","",Data_NaamPersoonTijd352)</f>
        <v/>
      </c>
      <c r="AH375" s="41"/>
      <c r="AI375" s="41"/>
      <c r="AJ375" s="83" t="str">
        <f>IF(Data_BeeindigingsdatumTijd352="","",Data_BeeindigingsdatumTijd352)</f>
        <v/>
      </c>
      <c r="AK375" s="41"/>
      <c r="AL375" s="41"/>
      <c r="AM375" s="82" t="str">
        <f>IF(Data_LoonkostenTijd352="","",Data_LoonkostenTijd352)</f>
        <v/>
      </c>
      <c r="AN375" s="41"/>
      <c r="AO375" s="276" t="str">
        <f>IF(Data_PersoonAanUitTijd352=-1,"v","")</f>
        <v/>
      </c>
      <c r="AP375" s="41"/>
      <c r="AQ375" s="76" t="s">
        <v>160</v>
      </c>
      <c r="AR375" s="41"/>
      <c r="AS375" s="41"/>
      <c r="AT375" s="41"/>
      <c r="AU375" s="41"/>
      <c r="AV375" s="41">
        <f t="shared" si="41"/>
        <v>0</v>
      </c>
      <c r="AW375" s="77">
        <f t="shared" si="42"/>
        <v>0</v>
      </c>
      <c r="AX375" s="41"/>
      <c r="AY375" s="41"/>
      <c r="AZ375" s="41"/>
      <c r="BA375" s="81" t="str">
        <f>IF(Data_NaamPersoonVastVrij352="","",Data_NaamPersoonVastVrij352)</f>
        <v/>
      </c>
      <c r="BB375" s="41"/>
      <c r="BC375" s="41"/>
      <c r="BD375" s="83" t="str">
        <f>IF(Data_BeeindigingsdatumVastVrij352="","",Data_BeeindigingsdatumVastVrij352)</f>
        <v/>
      </c>
      <c r="BE375" s="41"/>
      <c r="BF375" s="41"/>
      <c r="BG375" s="82" t="str">
        <f>IF(Data_LoonkostenVastVrij352="","",Data_LoonkostenVastVrij352)</f>
        <v/>
      </c>
      <c r="BH375" s="41"/>
      <c r="BI375" s="76" t="str">
        <f>IF(Data_PersoonAanUitVastVrij352=-1,"v","")</f>
        <v/>
      </c>
      <c r="BJ375" s="41"/>
      <c r="BK375" s="76" t="s">
        <v>160</v>
      </c>
      <c r="BL375" s="41"/>
      <c r="BM375" s="41"/>
      <c r="BN375" s="41"/>
      <c r="BO375" s="41"/>
      <c r="BP375" s="41">
        <f t="shared" si="43"/>
        <v>0</v>
      </c>
      <c r="BQ375" s="77">
        <f t="shared" si="44"/>
        <v>0</v>
      </c>
      <c r="BS375" s="81" t="str">
        <f>IF(Data_NaamPersoonVastOntslag352="","",Data_NaamPersoonVastOntslag352)</f>
        <v/>
      </c>
      <c r="BV375" s="83" t="str">
        <f>IF(Data_BeeindigingsdatumVastOntslag352="","",Data_BeeindigingsdatumVastOntslag352)</f>
        <v/>
      </c>
      <c r="BY375" s="82" t="str">
        <f>IF(Data_LoonkostenVastOntslag352="","",Data_LoonkostenVastOntslag352)</f>
        <v/>
      </c>
      <c r="CA375" s="76" t="str">
        <f>IF(Data_PersoonAanUitVastOntslag352=-1,"v","")</f>
        <v/>
      </c>
      <c r="CB375" s="41"/>
      <c r="CC375" s="76" t="s">
        <v>160</v>
      </c>
      <c r="CD375" s="41"/>
      <c r="CE375" s="41"/>
      <c r="CF375" s="41"/>
      <c r="CG375" s="41"/>
      <c r="CH375" s="41">
        <f t="shared" si="47"/>
        <v>0</v>
      </c>
      <c r="CI375" s="41">
        <f t="shared" si="45"/>
        <v>0</v>
      </c>
    </row>
    <row r="376" spans="8:87" x14ac:dyDescent="0.25">
      <c r="H376" s="81" t="str">
        <f>IF(Data_NaamPersoonNatVerloop353="","",Data_NaamPersoonNatVerloop353)</f>
        <v/>
      </c>
      <c r="I376" s="41"/>
      <c r="J376" s="41"/>
      <c r="K376" s="83" t="str">
        <f>IF(Data_BeeindigingsdatumNatVerloop353="","",Data_BeeindigingsdatumNatVerloop353)</f>
        <v/>
      </c>
      <c r="L376" s="41"/>
      <c r="M376" s="41"/>
      <c r="N376" s="82" t="str">
        <f>IF(Data_LoonkostenNatVerloop353="","",Data_LoonkostenNatVerloop353)</f>
        <v/>
      </c>
      <c r="O376" s="41"/>
      <c r="P376" s="276" t="s">
        <v>160</v>
      </c>
      <c r="Q376" s="41"/>
      <c r="R376" s="76" t="s">
        <v>160</v>
      </c>
      <c r="S376" s="41"/>
      <c r="T376" s="41"/>
      <c r="U376" s="41"/>
      <c r="V376" s="41"/>
      <c r="W376" s="41">
        <f t="shared" si="40"/>
        <v>0</v>
      </c>
      <c r="X376" s="77" t="str">
        <f t="shared" si="46"/>
        <v/>
      </c>
      <c r="AG376" s="81" t="str">
        <f>IF(Data_NaamPersoonTijd353="","",Data_NaamPersoonTijd353)</f>
        <v/>
      </c>
      <c r="AH376" s="41"/>
      <c r="AI376" s="41"/>
      <c r="AJ376" s="83" t="str">
        <f>IF(Data_BeeindigingsdatumTijd353="","",Data_BeeindigingsdatumTijd353)</f>
        <v/>
      </c>
      <c r="AK376" s="41"/>
      <c r="AL376" s="41"/>
      <c r="AM376" s="82" t="str">
        <f>IF(Data_LoonkostenTijd353="","",Data_LoonkostenTijd353)</f>
        <v/>
      </c>
      <c r="AN376" s="41"/>
      <c r="AO376" s="276" t="str">
        <f>IF(Data_PersoonAanUitTijd353=-1,"v","")</f>
        <v/>
      </c>
      <c r="AP376" s="41"/>
      <c r="AQ376" s="76" t="s">
        <v>160</v>
      </c>
      <c r="AR376" s="41"/>
      <c r="AS376" s="41"/>
      <c r="AT376" s="41"/>
      <c r="AU376" s="41"/>
      <c r="AV376" s="41">
        <f t="shared" si="41"/>
        <v>0</v>
      </c>
      <c r="AW376" s="77">
        <f t="shared" si="42"/>
        <v>0</v>
      </c>
      <c r="AX376" s="41"/>
      <c r="AY376" s="41"/>
      <c r="AZ376" s="41"/>
      <c r="BA376" s="81" t="str">
        <f>IF(Data_NaamPersoonVastVrij353="","",Data_NaamPersoonVastVrij353)</f>
        <v/>
      </c>
      <c r="BB376" s="41"/>
      <c r="BC376" s="41"/>
      <c r="BD376" s="83" t="str">
        <f>IF(Data_BeeindigingsdatumVastVrij353="","",Data_BeeindigingsdatumVastVrij353)</f>
        <v/>
      </c>
      <c r="BE376" s="41"/>
      <c r="BF376" s="41"/>
      <c r="BG376" s="82" t="str">
        <f>IF(Data_LoonkostenVastVrij353="","",Data_LoonkostenVastVrij353)</f>
        <v/>
      </c>
      <c r="BH376" s="41"/>
      <c r="BI376" s="76" t="str">
        <f>IF(Data_PersoonAanUitVastVrij353=-1,"v","")</f>
        <v/>
      </c>
      <c r="BJ376" s="41"/>
      <c r="BK376" s="76" t="s">
        <v>160</v>
      </c>
      <c r="BL376" s="41"/>
      <c r="BM376" s="41"/>
      <c r="BN376" s="41"/>
      <c r="BO376" s="41"/>
      <c r="BP376" s="41">
        <f t="shared" si="43"/>
        <v>0</v>
      </c>
      <c r="BQ376" s="77">
        <f t="shared" si="44"/>
        <v>0</v>
      </c>
      <c r="BS376" s="81" t="str">
        <f>IF(Data_NaamPersoonVastOntslag353="","",Data_NaamPersoonVastOntslag353)</f>
        <v/>
      </c>
      <c r="BV376" s="83" t="str">
        <f>IF(Data_BeeindigingsdatumVastOntslag353="","",Data_BeeindigingsdatumVastOntslag353)</f>
        <v/>
      </c>
      <c r="BY376" s="82" t="str">
        <f>IF(Data_LoonkostenVastOntslag353="","",Data_LoonkostenVastOntslag353)</f>
        <v/>
      </c>
      <c r="CA376" s="76" t="str">
        <f>IF(Data_PersoonAanUitVastOntslag353=-1,"v","")</f>
        <v/>
      </c>
      <c r="CB376" s="41"/>
      <c r="CC376" s="76" t="s">
        <v>160</v>
      </c>
      <c r="CD376" s="41"/>
      <c r="CE376" s="41"/>
      <c r="CF376" s="41"/>
      <c r="CG376" s="41"/>
      <c r="CH376" s="41">
        <f t="shared" si="47"/>
        <v>0</v>
      </c>
      <c r="CI376" s="41">
        <f t="shared" si="45"/>
        <v>0</v>
      </c>
    </row>
    <row r="377" spans="8:87" x14ac:dyDescent="0.25">
      <c r="H377" s="81" t="str">
        <f>IF(Data_NaamPersoonNatVerloop354="","",Data_NaamPersoonNatVerloop354)</f>
        <v/>
      </c>
      <c r="I377" s="41"/>
      <c r="J377" s="41"/>
      <c r="K377" s="83" t="str">
        <f>IF(Data_BeeindigingsdatumNatVerloop354="","",Data_BeeindigingsdatumNatVerloop354)</f>
        <v/>
      </c>
      <c r="L377" s="41"/>
      <c r="M377" s="41"/>
      <c r="N377" s="82" t="str">
        <f>IF(Data_LoonkostenNatVerloop354="","",Data_LoonkostenNatVerloop354)</f>
        <v/>
      </c>
      <c r="O377" s="41"/>
      <c r="P377" s="276" t="s">
        <v>160</v>
      </c>
      <c r="Q377" s="41"/>
      <c r="R377" s="76" t="s">
        <v>160</v>
      </c>
      <c r="S377" s="41"/>
      <c r="T377" s="41"/>
      <c r="U377" s="41"/>
      <c r="V377" s="41"/>
      <c r="W377" s="41">
        <f t="shared" si="40"/>
        <v>0</v>
      </c>
      <c r="X377" s="77" t="str">
        <f t="shared" si="46"/>
        <v/>
      </c>
      <c r="AG377" s="81" t="str">
        <f>IF(Data_NaamPersoonTijd354="","",Data_NaamPersoonTijd354)</f>
        <v/>
      </c>
      <c r="AH377" s="41"/>
      <c r="AI377" s="41"/>
      <c r="AJ377" s="83" t="str">
        <f>IF(Data_BeeindigingsdatumTijd354="","",Data_BeeindigingsdatumTijd354)</f>
        <v/>
      </c>
      <c r="AK377" s="41"/>
      <c r="AL377" s="41"/>
      <c r="AM377" s="82" t="str">
        <f>IF(Data_LoonkostenTijd354="","",Data_LoonkostenTijd354)</f>
        <v/>
      </c>
      <c r="AN377" s="41"/>
      <c r="AO377" s="276" t="str">
        <f>IF(Data_PersoonAanUitTijd354=-1,"v","")</f>
        <v/>
      </c>
      <c r="AP377" s="41"/>
      <c r="AQ377" s="76" t="s">
        <v>160</v>
      </c>
      <c r="AR377" s="41"/>
      <c r="AS377" s="41"/>
      <c r="AT377" s="41"/>
      <c r="AU377" s="41"/>
      <c r="AV377" s="41">
        <f t="shared" si="41"/>
        <v>0</v>
      </c>
      <c r="AW377" s="77">
        <f t="shared" si="42"/>
        <v>0</v>
      </c>
      <c r="AX377" s="41"/>
      <c r="AY377" s="41"/>
      <c r="AZ377" s="41"/>
      <c r="BA377" s="81" t="str">
        <f>IF(Data_NaamPersoonVastVrij354="","",Data_NaamPersoonVastVrij354)</f>
        <v/>
      </c>
      <c r="BB377" s="41"/>
      <c r="BC377" s="41"/>
      <c r="BD377" s="83" t="str">
        <f>IF(Data_BeeindigingsdatumVastVrij354="","",Data_BeeindigingsdatumVastVrij354)</f>
        <v/>
      </c>
      <c r="BE377" s="41"/>
      <c r="BF377" s="41"/>
      <c r="BG377" s="82" t="str">
        <f>IF(Data_LoonkostenVastVrij354="","",Data_LoonkostenVastVrij354)</f>
        <v/>
      </c>
      <c r="BH377" s="41"/>
      <c r="BI377" s="76" t="str">
        <f>IF(Data_PersoonAanUitVastVrij354=-1,"v","")</f>
        <v/>
      </c>
      <c r="BJ377" s="41"/>
      <c r="BK377" s="76" t="s">
        <v>160</v>
      </c>
      <c r="BL377" s="41"/>
      <c r="BM377" s="41"/>
      <c r="BN377" s="41"/>
      <c r="BO377" s="41"/>
      <c r="BP377" s="41">
        <f t="shared" si="43"/>
        <v>0</v>
      </c>
      <c r="BQ377" s="77">
        <f t="shared" si="44"/>
        <v>0</v>
      </c>
      <c r="BS377" s="81" t="str">
        <f>IF(Data_NaamPersoonVastOntslag354="","",Data_NaamPersoonVastOntslag354)</f>
        <v/>
      </c>
      <c r="BV377" s="83" t="str">
        <f>IF(Data_BeeindigingsdatumVastOntslag354="","",Data_BeeindigingsdatumVastOntslag354)</f>
        <v/>
      </c>
      <c r="BY377" s="82" t="str">
        <f>IF(Data_LoonkostenVastOntslag354="","",Data_LoonkostenVastOntslag354)</f>
        <v/>
      </c>
      <c r="CA377" s="76" t="str">
        <f>IF(Data_PersoonAanUitVastOntslag354=-1,"v","")</f>
        <v/>
      </c>
      <c r="CB377" s="41"/>
      <c r="CC377" s="76" t="s">
        <v>160</v>
      </c>
      <c r="CD377" s="41"/>
      <c r="CE377" s="41"/>
      <c r="CF377" s="41"/>
      <c r="CG377" s="41"/>
      <c r="CH377" s="41">
        <f t="shared" si="47"/>
        <v>0</v>
      </c>
      <c r="CI377" s="41">
        <f t="shared" si="45"/>
        <v>0</v>
      </c>
    </row>
    <row r="378" spans="8:87" x14ac:dyDescent="0.25">
      <c r="H378" s="81" t="str">
        <f>IF(Data_NaamPersoonNatVerloop355="","",Data_NaamPersoonNatVerloop355)</f>
        <v/>
      </c>
      <c r="I378" s="41"/>
      <c r="J378" s="41"/>
      <c r="K378" s="83" t="str">
        <f>IF(Data_BeeindigingsdatumNatVerloop355="","",Data_BeeindigingsdatumNatVerloop355)</f>
        <v/>
      </c>
      <c r="L378" s="41"/>
      <c r="M378" s="41"/>
      <c r="N378" s="82" t="str">
        <f>IF(Data_LoonkostenNatVerloop355="","",Data_LoonkostenNatVerloop355)</f>
        <v/>
      </c>
      <c r="O378" s="41"/>
      <c r="P378" s="276" t="s">
        <v>160</v>
      </c>
      <c r="Q378" s="41"/>
      <c r="R378" s="76" t="s">
        <v>160</v>
      </c>
      <c r="S378" s="41"/>
      <c r="T378" s="41"/>
      <c r="U378" s="41"/>
      <c r="V378" s="41"/>
      <c r="W378" s="41">
        <f t="shared" si="40"/>
        <v>0</v>
      </c>
      <c r="X378" s="77" t="str">
        <f t="shared" si="46"/>
        <v/>
      </c>
      <c r="AG378" s="81" t="str">
        <f>IF(Data_NaamPersoonTijd355="","",Data_NaamPersoonTijd355)</f>
        <v/>
      </c>
      <c r="AH378" s="41"/>
      <c r="AI378" s="41"/>
      <c r="AJ378" s="83" t="str">
        <f>IF(Data_BeeindigingsdatumTijd355="","",Data_BeeindigingsdatumTijd355)</f>
        <v/>
      </c>
      <c r="AK378" s="41"/>
      <c r="AL378" s="41"/>
      <c r="AM378" s="82" t="str">
        <f>IF(Data_LoonkostenTijd355="","",Data_LoonkostenTijd355)</f>
        <v/>
      </c>
      <c r="AN378" s="41"/>
      <c r="AO378" s="276" t="str">
        <f>IF(Data_PersoonAanUitTijd355=-1,"v","")</f>
        <v/>
      </c>
      <c r="AP378" s="41"/>
      <c r="AQ378" s="76" t="s">
        <v>160</v>
      </c>
      <c r="AR378" s="41"/>
      <c r="AS378" s="41"/>
      <c r="AT378" s="41"/>
      <c r="AU378" s="41"/>
      <c r="AV378" s="41">
        <f t="shared" si="41"/>
        <v>0</v>
      </c>
      <c r="AW378" s="77">
        <f t="shared" si="42"/>
        <v>0</v>
      </c>
      <c r="AX378" s="41"/>
      <c r="AY378" s="41"/>
      <c r="AZ378" s="41"/>
      <c r="BA378" s="81" t="str">
        <f>IF(Data_NaamPersoonVastVrij355="","",Data_NaamPersoonVastVrij355)</f>
        <v/>
      </c>
      <c r="BB378" s="41"/>
      <c r="BC378" s="41"/>
      <c r="BD378" s="83" t="str">
        <f>IF(Data_BeeindigingsdatumVastVrij355="","",Data_BeeindigingsdatumVastVrij355)</f>
        <v/>
      </c>
      <c r="BE378" s="41"/>
      <c r="BF378" s="41"/>
      <c r="BG378" s="82" t="str">
        <f>IF(Data_LoonkostenVastVrij355="","",Data_LoonkostenVastVrij355)</f>
        <v/>
      </c>
      <c r="BH378" s="41"/>
      <c r="BI378" s="76" t="str">
        <f>IF(Data_PersoonAanUitVastVrij355=-1,"v","")</f>
        <v/>
      </c>
      <c r="BJ378" s="41"/>
      <c r="BK378" s="76" t="s">
        <v>160</v>
      </c>
      <c r="BL378" s="41"/>
      <c r="BM378" s="41"/>
      <c r="BN378" s="41"/>
      <c r="BO378" s="41"/>
      <c r="BP378" s="41">
        <f t="shared" si="43"/>
        <v>0</v>
      </c>
      <c r="BQ378" s="77">
        <f t="shared" si="44"/>
        <v>0</v>
      </c>
      <c r="BS378" s="81" t="str">
        <f>IF(Data_NaamPersoonVastOntslag355="","",Data_NaamPersoonVastOntslag355)</f>
        <v/>
      </c>
      <c r="BV378" s="83" t="str">
        <f>IF(Data_BeeindigingsdatumVastOntslag355="","",Data_BeeindigingsdatumVastOntslag355)</f>
        <v/>
      </c>
      <c r="BY378" s="82" t="str">
        <f>IF(Data_LoonkostenVastOntslag355="","",Data_LoonkostenVastOntslag355)</f>
        <v/>
      </c>
      <c r="CA378" s="76" t="str">
        <f>IF(Data_PersoonAanUitVastOntslag355=-1,"v","")</f>
        <v/>
      </c>
      <c r="CB378" s="41"/>
      <c r="CC378" s="76" t="s">
        <v>160</v>
      </c>
      <c r="CD378" s="41"/>
      <c r="CE378" s="41"/>
      <c r="CF378" s="41"/>
      <c r="CG378" s="41"/>
      <c r="CH378" s="41">
        <f t="shared" si="47"/>
        <v>0</v>
      </c>
      <c r="CI378" s="41">
        <f t="shared" si="45"/>
        <v>0</v>
      </c>
    </row>
    <row r="379" spans="8:87" x14ac:dyDescent="0.25">
      <c r="H379" s="81" t="str">
        <f>IF(Data_NaamPersoonNatVerloop356="","",Data_NaamPersoonNatVerloop356)</f>
        <v/>
      </c>
      <c r="I379" s="41"/>
      <c r="J379" s="41"/>
      <c r="K379" s="83" t="str">
        <f>IF(Data_BeeindigingsdatumNatVerloop356="","",Data_BeeindigingsdatumNatVerloop356)</f>
        <v/>
      </c>
      <c r="L379" s="41"/>
      <c r="M379" s="41"/>
      <c r="N379" s="82" t="str">
        <f>IF(Data_LoonkostenNatVerloop356="","",Data_LoonkostenNatVerloop356)</f>
        <v/>
      </c>
      <c r="O379" s="41"/>
      <c r="P379" s="276" t="s">
        <v>160</v>
      </c>
      <c r="Q379" s="41"/>
      <c r="R379" s="76" t="s">
        <v>160</v>
      </c>
      <c r="S379" s="41"/>
      <c r="T379" s="41"/>
      <c r="U379" s="41"/>
      <c r="V379" s="41"/>
      <c r="W379" s="41">
        <f t="shared" si="40"/>
        <v>0</v>
      </c>
      <c r="X379" s="77" t="str">
        <f t="shared" si="46"/>
        <v/>
      </c>
      <c r="AG379" s="81" t="str">
        <f>IF(Data_NaamPersoonTijd356="","",Data_NaamPersoonTijd356)</f>
        <v/>
      </c>
      <c r="AH379" s="41"/>
      <c r="AI379" s="41"/>
      <c r="AJ379" s="83" t="str">
        <f>IF(Data_BeeindigingsdatumTijd356="","",Data_BeeindigingsdatumTijd356)</f>
        <v/>
      </c>
      <c r="AK379" s="41"/>
      <c r="AL379" s="41"/>
      <c r="AM379" s="82" t="str">
        <f>IF(Data_LoonkostenTijd356="","",Data_LoonkostenTijd356)</f>
        <v/>
      </c>
      <c r="AN379" s="41"/>
      <c r="AO379" s="276" t="str">
        <f>IF(Data_PersoonAanUitTijd356=-1,"v","")</f>
        <v/>
      </c>
      <c r="AP379" s="41"/>
      <c r="AQ379" s="76" t="s">
        <v>160</v>
      </c>
      <c r="AR379" s="41"/>
      <c r="AS379" s="41"/>
      <c r="AT379" s="41"/>
      <c r="AU379" s="41"/>
      <c r="AV379" s="41">
        <f t="shared" si="41"/>
        <v>0</v>
      </c>
      <c r="AW379" s="77">
        <f t="shared" si="42"/>
        <v>0</v>
      </c>
      <c r="AX379" s="41"/>
      <c r="AY379" s="41"/>
      <c r="AZ379" s="41"/>
      <c r="BA379" s="81" t="str">
        <f>IF(Data_NaamPersoonVastVrij356="","",Data_NaamPersoonVastVrij356)</f>
        <v/>
      </c>
      <c r="BB379" s="41"/>
      <c r="BC379" s="41"/>
      <c r="BD379" s="83" t="str">
        <f>IF(Data_BeeindigingsdatumVastVrij356="","",Data_BeeindigingsdatumVastVrij356)</f>
        <v/>
      </c>
      <c r="BE379" s="41"/>
      <c r="BF379" s="41"/>
      <c r="BG379" s="82" t="str">
        <f>IF(Data_LoonkostenVastVrij356="","",Data_LoonkostenVastVrij356)</f>
        <v/>
      </c>
      <c r="BH379" s="41"/>
      <c r="BI379" s="76" t="str">
        <f>IF(Data_PersoonAanUitVastVrij356=-1,"v","")</f>
        <v/>
      </c>
      <c r="BJ379" s="41"/>
      <c r="BK379" s="76" t="s">
        <v>160</v>
      </c>
      <c r="BL379" s="41"/>
      <c r="BM379" s="41"/>
      <c r="BN379" s="41"/>
      <c r="BO379" s="41"/>
      <c r="BP379" s="41">
        <f t="shared" si="43"/>
        <v>0</v>
      </c>
      <c r="BQ379" s="77">
        <f t="shared" si="44"/>
        <v>0</v>
      </c>
      <c r="BS379" s="81" t="str">
        <f>IF(Data_NaamPersoonVastOntslag356="","",Data_NaamPersoonVastOntslag356)</f>
        <v/>
      </c>
      <c r="BV379" s="83" t="str">
        <f>IF(Data_BeeindigingsdatumVastOntslag356="","",Data_BeeindigingsdatumVastOntslag356)</f>
        <v/>
      </c>
      <c r="BY379" s="82" t="str">
        <f>IF(Data_LoonkostenVastOntslag356="","",Data_LoonkostenVastOntslag356)</f>
        <v/>
      </c>
      <c r="CA379" s="76" t="str">
        <f>IF(Data_PersoonAanUitVastOntslag356=-1,"v","")</f>
        <v/>
      </c>
      <c r="CB379" s="41"/>
      <c r="CC379" s="76" t="s">
        <v>160</v>
      </c>
      <c r="CD379" s="41"/>
      <c r="CE379" s="41"/>
      <c r="CF379" s="41"/>
      <c r="CG379" s="41"/>
      <c r="CH379" s="41">
        <f t="shared" si="47"/>
        <v>0</v>
      </c>
      <c r="CI379" s="41">
        <f t="shared" si="45"/>
        <v>0</v>
      </c>
    </row>
    <row r="380" spans="8:87" x14ac:dyDescent="0.25">
      <c r="H380" s="81" t="str">
        <f>IF(Data_NaamPersoonNatVerloop357="","",Data_NaamPersoonNatVerloop357)</f>
        <v/>
      </c>
      <c r="I380" s="41"/>
      <c r="J380" s="41"/>
      <c r="K380" s="83" t="str">
        <f>IF(Data_BeeindigingsdatumNatVerloop357="","",Data_BeeindigingsdatumNatVerloop357)</f>
        <v/>
      </c>
      <c r="L380" s="41"/>
      <c r="M380" s="41"/>
      <c r="N380" s="82" t="str">
        <f>IF(Data_LoonkostenNatVerloop357="","",Data_LoonkostenNatVerloop357)</f>
        <v/>
      </c>
      <c r="O380" s="41"/>
      <c r="P380" s="276" t="s">
        <v>160</v>
      </c>
      <c r="Q380" s="41"/>
      <c r="R380" s="76" t="s">
        <v>160</v>
      </c>
      <c r="S380" s="41"/>
      <c r="T380" s="41"/>
      <c r="U380" s="41"/>
      <c r="V380" s="41"/>
      <c r="W380" s="41">
        <f t="shared" si="40"/>
        <v>0</v>
      </c>
      <c r="X380" s="77" t="str">
        <f t="shared" si="46"/>
        <v/>
      </c>
      <c r="AG380" s="81" t="str">
        <f>IF(Data_NaamPersoonTijd357="","",Data_NaamPersoonTijd357)</f>
        <v/>
      </c>
      <c r="AH380" s="41"/>
      <c r="AI380" s="41"/>
      <c r="AJ380" s="83" t="str">
        <f>IF(Data_BeeindigingsdatumTijd357="","",Data_BeeindigingsdatumTijd357)</f>
        <v/>
      </c>
      <c r="AK380" s="41"/>
      <c r="AL380" s="41"/>
      <c r="AM380" s="82" t="str">
        <f>IF(Data_LoonkostenTijd357="","",Data_LoonkostenTijd357)</f>
        <v/>
      </c>
      <c r="AN380" s="41"/>
      <c r="AO380" s="276" t="str">
        <f>IF(Data_PersoonAanUitTijd357=-1,"v","")</f>
        <v/>
      </c>
      <c r="AP380" s="41"/>
      <c r="AQ380" s="76" t="s">
        <v>160</v>
      </c>
      <c r="AR380" s="41"/>
      <c r="AS380" s="41"/>
      <c r="AT380" s="41"/>
      <c r="AU380" s="41"/>
      <c r="AV380" s="41">
        <f t="shared" si="41"/>
        <v>0</v>
      </c>
      <c r="AW380" s="77">
        <f t="shared" si="42"/>
        <v>0</v>
      </c>
      <c r="AX380" s="41"/>
      <c r="AY380" s="41"/>
      <c r="AZ380" s="41"/>
      <c r="BA380" s="81" t="str">
        <f>IF(Data_NaamPersoonVastVrij357="","",Data_NaamPersoonVastVrij357)</f>
        <v/>
      </c>
      <c r="BB380" s="41"/>
      <c r="BC380" s="41"/>
      <c r="BD380" s="83" t="str">
        <f>IF(Data_BeeindigingsdatumVastVrij357="","",Data_BeeindigingsdatumVastVrij357)</f>
        <v/>
      </c>
      <c r="BE380" s="41"/>
      <c r="BF380" s="41"/>
      <c r="BG380" s="82" t="str">
        <f>IF(Data_LoonkostenVastVrij357="","",Data_LoonkostenVastVrij357)</f>
        <v/>
      </c>
      <c r="BH380" s="41"/>
      <c r="BI380" s="76" t="str">
        <f>IF(Data_PersoonAanUitVastVrij357=-1,"v","")</f>
        <v/>
      </c>
      <c r="BJ380" s="41"/>
      <c r="BK380" s="76" t="s">
        <v>160</v>
      </c>
      <c r="BL380" s="41"/>
      <c r="BM380" s="41"/>
      <c r="BN380" s="41"/>
      <c r="BO380" s="41"/>
      <c r="BP380" s="41">
        <f t="shared" si="43"/>
        <v>0</v>
      </c>
      <c r="BQ380" s="77">
        <f t="shared" si="44"/>
        <v>0</v>
      </c>
      <c r="BS380" s="81" t="str">
        <f>IF(Data_NaamPersoonVastOntslag357="","",Data_NaamPersoonVastOntslag357)</f>
        <v/>
      </c>
      <c r="BV380" s="83" t="str">
        <f>IF(Data_BeeindigingsdatumVastOntslag357="","",Data_BeeindigingsdatumVastOntslag357)</f>
        <v/>
      </c>
      <c r="BY380" s="82" t="str">
        <f>IF(Data_LoonkostenVastOntslag357="","",Data_LoonkostenVastOntslag357)</f>
        <v/>
      </c>
      <c r="CA380" s="76" t="str">
        <f>IF(Data_PersoonAanUitVastOntslag357=-1,"v","")</f>
        <v/>
      </c>
      <c r="CB380" s="41"/>
      <c r="CC380" s="76" t="s">
        <v>160</v>
      </c>
      <c r="CD380" s="41"/>
      <c r="CE380" s="41"/>
      <c r="CF380" s="41"/>
      <c r="CG380" s="41"/>
      <c r="CH380" s="41">
        <f t="shared" si="47"/>
        <v>0</v>
      </c>
      <c r="CI380" s="41">
        <f t="shared" si="45"/>
        <v>0</v>
      </c>
    </row>
    <row r="381" spans="8:87" x14ac:dyDescent="0.25">
      <c r="H381" s="81" t="str">
        <f>IF(Data_NaamPersoonNatVerloop358="","",Data_NaamPersoonNatVerloop358)</f>
        <v/>
      </c>
      <c r="I381" s="41"/>
      <c r="J381" s="41"/>
      <c r="K381" s="83" t="str">
        <f>IF(Data_BeeindigingsdatumNatVerloop358="","",Data_BeeindigingsdatumNatVerloop358)</f>
        <v/>
      </c>
      <c r="L381" s="41"/>
      <c r="M381" s="41"/>
      <c r="N381" s="82" t="str">
        <f>IF(Data_LoonkostenNatVerloop358="","",Data_LoonkostenNatVerloop358)</f>
        <v/>
      </c>
      <c r="O381" s="41"/>
      <c r="P381" s="276" t="s">
        <v>160</v>
      </c>
      <c r="Q381" s="41"/>
      <c r="R381" s="76" t="s">
        <v>160</v>
      </c>
      <c r="S381" s="41"/>
      <c r="T381" s="41"/>
      <c r="U381" s="41"/>
      <c r="V381" s="41"/>
      <c r="W381" s="41">
        <f t="shared" si="40"/>
        <v>0</v>
      </c>
      <c r="X381" s="77" t="str">
        <f t="shared" si="46"/>
        <v/>
      </c>
      <c r="AG381" s="81" t="str">
        <f>IF(Data_NaamPersoonTijd358="","",Data_NaamPersoonTijd358)</f>
        <v/>
      </c>
      <c r="AH381" s="41"/>
      <c r="AI381" s="41"/>
      <c r="AJ381" s="83" t="str">
        <f>IF(Data_BeeindigingsdatumTijd358="","",Data_BeeindigingsdatumTijd358)</f>
        <v/>
      </c>
      <c r="AK381" s="41"/>
      <c r="AL381" s="41"/>
      <c r="AM381" s="82" t="str">
        <f>IF(Data_LoonkostenTijd358="","",Data_LoonkostenTijd358)</f>
        <v/>
      </c>
      <c r="AN381" s="41"/>
      <c r="AO381" s="276" t="str">
        <f>IF(Data_PersoonAanUitTijd358=-1,"v","")</f>
        <v/>
      </c>
      <c r="AP381" s="41"/>
      <c r="AQ381" s="76" t="s">
        <v>160</v>
      </c>
      <c r="AR381" s="41"/>
      <c r="AS381" s="41"/>
      <c r="AT381" s="41"/>
      <c r="AU381" s="41"/>
      <c r="AV381" s="41">
        <f t="shared" si="41"/>
        <v>0</v>
      </c>
      <c r="AW381" s="77">
        <f t="shared" si="42"/>
        <v>0</v>
      </c>
      <c r="AX381" s="41"/>
      <c r="AY381" s="41"/>
      <c r="AZ381" s="41"/>
      <c r="BA381" s="81" t="str">
        <f>IF(Data_NaamPersoonVastVrij358="","",Data_NaamPersoonVastVrij358)</f>
        <v/>
      </c>
      <c r="BB381" s="41"/>
      <c r="BC381" s="41"/>
      <c r="BD381" s="83" t="str">
        <f>IF(Data_BeeindigingsdatumVastVrij358="","",Data_BeeindigingsdatumVastVrij358)</f>
        <v/>
      </c>
      <c r="BE381" s="41"/>
      <c r="BF381" s="41"/>
      <c r="BG381" s="82" t="str">
        <f>IF(Data_LoonkostenVastVrij358="","",Data_LoonkostenVastVrij358)</f>
        <v/>
      </c>
      <c r="BH381" s="41"/>
      <c r="BI381" s="76" t="str">
        <f>IF(Data_PersoonAanUitVastVrij358=-1,"v","")</f>
        <v/>
      </c>
      <c r="BJ381" s="41"/>
      <c r="BK381" s="76" t="s">
        <v>160</v>
      </c>
      <c r="BL381" s="41"/>
      <c r="BM381" s="41"/>
      <c r="BN381" s="41"/>
      <c r="BO381" s="41"/>
      <c r="BP381" s="41">
        <f t="shared" si="43"/>
        <v>0</v>
      </c>
      <c r="BQ381" s="77">
        <f t="shared" si="44"/>
        <v>0</v>
      </c>
      <c r="BS381" s="81" t="str">
        <f>IF(Data_NaamPersoonVastOntslag358="","",Data_NaamPersoonVastOntslag358)</f>
        <v/>
      </c>
      <c r="BV381" s="83" t="str">
        <f>IF(Data_BeeindigingsdatumVastOntslag358="","",Data_BeeindigingsdatumVastOntslag358)</f>
        <v/>
      </c>
      <c r="BY381" s="82" t="str">
        <f>IF(Data_LoonkostenVastOntslag358="","",Data_LoonkostenVastOntslag358)</f>
        <v/>
      </c>
      <c r="CA381" s="76" t="str">
        <f>IF(Data_PersoonAanUitVastOntslag358=-1,"v","")</f>
        <v/>
      </c>
      <c r="CB381" s="41"/>
      <c r="CC381" s="76" t="s">
        <v>160</v>
      </c>
      <c r="CD381" s="41"/>
      <c r="CE381" s="41"/>
      <c r="CF381" s="41"/>
      <c r="CG381" s="41"/>
      <c r="CH381" s="41">
        <f t="shared" si="47"/>
        <v>0</v>
      </c>
      <c r="CI381" s="41">
        <f t="shared" si="45"/>
        <v>0</v>
      </c>
    </row>
    <row r="382" spans="8:87" x14ac:dyDescent="0.25">
      <c r="H382" s="81" t="str">
        <f>IF(Data_NaamPersoonNatVerloop359="","",Data_NaamPersoonNatVerloop359)</f>
        <v/>
      </c>
      <c r="I382" s="41"/>
      <c r="J382" s="41"/>
      <c r="K382" s="83" t="str">
        <f>IF(Data_BeeindigingsdatumNatVerloop359="","",Data_BeeindigingsdatumNatVerloop359)</f>
        <v/>
      </c>
      <c r="L382" s="41"/>
      <c r="M382" s="41"/>
      <c r="N382" s="82" t="str">
        <f>IF(Data_LoonkostenNatVerloop359="","",Data_LoonkostenNatVerloop359)</f>
        <v/>
      </c>
      <c r="O382" s="41"/>
      <c r="P382" s="276" t="s">
        <v>160</v>
      </c>
      <c r="Q382" s="41"/>
      <c r="R382" s="76" t="s">
        <v>160</v>
      </c>
      <c r="S382" s="41"/>
      <c r="T382" s="41"/>
      <c r="U382" s="41"/>
      <c r="V382" s="41"/>
      <c r="W382" s="41">
        <f t="shared" si="40"/>
        <v>0</v>
      </c>
      <c r="X382" s="77" t="str">
        <f t="shared" si="46"/>
        <v/>
      </c>
      <c r="AG382" s="81" t="str">
        <f>IF(Data_NaamPersoonTijd359="","",Data_NaamPersoonTijd359)</f>
        <v/>
      </c>
      <c r="AH382" s="41"/>
      <c r="AI382" s="41"/>
      <c r="AJ382" s="83" t="str">
        <f>IF(Data_BeeindigingsdatumTijd359="","",Data_BeeindigingsdatumTijd359)</f>
        <v/>
      </c>
      <c r="AK382" s="41"/>
      <c r="AL382" s="41"/>
      <c r="AM382" s="82" t="str">
        <f>IF(Data_LoonkostenTijd359="","",Data_LoonkostenTijd359)</f>
        <v/>
      </c>
      <c r="AN382" s="41"/>
      <c r="AO382" s="276" t="str">
        <f>IF(Data_PersoonAanUitTijd359=-1,"v","")</f>
        <v/>
      </c>
      <c r="AP382" s="41"/>
      <c r="AQ382" s="76" t="s">
        <v>160</v>
      </c>
      <c r="AR382" s="41"/>
      <c r="AS382" s="41"/>
      <c r="AT382" s="41"/>
      <c r="AU382" s="41"/>
      <c r="AV382" s="41">
        <f t="shared" si="41"/>
        <v>0</v>
      </c>
      <c r="AW382" s="77">
        <f t="shared" si="42"/>
        <v>0</v>
      </c>
      <c r="AX382" s="41"/>
      <c r="AY382" s="41"/>
      <c r="AZ382" s="41"/>
      <c r="BA382" s="81" t="str">
        <f>IF(Data_NaamPersoonVastVrij359="","",Data_NaamPersoonVastVrij359)</f>
        <v/>
      </c>
      <c r="BB382" s="41"/>
      <c r="BC382" s="41"/>
      <c r="BD382" s="83" t="str">
        <f>IF(Data_BeeindigingsdatumVastVrij359="","",Data_BeeindigingsdatumVastVrij359)</f>
        <v/>
      </c>
      <c r="BE382" s="41"/>
      <c r="BF382" s="41"/>
      <c r="BG382" s="82" t="str">
        <f>IF(Data_LoonkostenVastVrij359="","",Data_LoonkostenVastVrij359)</f>
        <v/>
      </c>
      <c r="BH382" s="41"/>
      <c r="BI382" s="76" t="str">
        <f>IF(Data_PersoonAanUitVastVrij359=-1,"v","")</f>
        <v/>
      </c>
      <c r="BJ382" s="41"/>
      <c r="BK382" s="76" t="s">
        <v>160</v>
      </c>
      <c r="BL382" s="41"/>
      <c r="BM382" s="41"/>
      <c r="BN382" s="41"/>
      <c r="BO382" s="41"/>
      <c r="BP382" s="41">
        <f t="shared" si="43"/>
        <v>0</v>
      </c>
      <c r="BQ382" s="77">
        <f t="shared" si="44"/>
        <v>0</v>
      </c>
      <c r="BS382" s="81" t="str">
        <f>IF(Data_NaamPersoonVastOntslag359="","",Data_NaamPersoonVastOntslag359)</f>
        <v/>
      </c>
      <c r="BV382" s="83" t="str">
        <f>IF(Data_BeeindigingsdatumVastOntslag359="","",Data_BeeindigingsdatumVastOntslag359)</f>
        <v/>
      </c>
      <c r="BY382" s="82" t="str">
        <f>IF(Data_LoonkostenVastOntslag359="","",Data_LoonkostenVastOntslag359)</f>
        <v/>
      </c>
      <c r="CA382" s="76" t="str">
        <f>IF(Data_PersoonAanUitVastOntslag359=-1,"v","")</f>
        <v/>
      </c>
      <c r="CB382" s="41"/>
      <c r="CC382" s="76" t="s">
        <v>160</v>
      </c>
      <c r="CD382" s="41"/>
      <c r="CE382" s="41"/>
      <c r="CF382" s="41"/>
      <c r="CG382" s="41"/>
      <c r="CH382" s="41">
        <f t="shared" si="47"/>
        <v>0</v>
      </c>
      <c r="CI382" s="41">
        <f t="shared" si="45"/>
        <v>0</v>
      </c>
    </row>
    <row r="383" spans="8:87" x14ac:dyDescent="0.25">
      <c r="H383" s="81" t="str">
        <f>IF(Data_NaamPersoonNatVerloop360="","",Data_NaamPersoonNatVerloop360)</f>
        <v/>
      </c>
      <c r="I383" s="41"/>
      <c r="J383" s="41"/>
      <c r="K383" s="83" t="str">
        <f>IF(Data_BeeindigingsdatumNatVerloop360="","",Data_BeeindigingsdatumNatVerloop360)</f>
        <v/>
      </c>
      <c r="L383" s="41"/>
      <c r="M383" s="41"/>
      <c r="N383" s="82" t="str">
        <f>IF(Data_LoonkostenNatVerloop360="","",Data_LoonkostenNatVerloop360)</f>
        <v/>
      </c>
      <c r="O383" s="41"/>
      <c r="P383" s="276" t="s">
        <v>160</v>
      </c>
      <c r="Q383" s="41"/>
      <c r="R383" s="76" t="s">
        <v>160</v>
      </c>
      <c r="S383" s="41"/>
      <c r="T383" s="41"/>
      <c r="U383" s="41"/>
      <c r="V383" s="41"/>
      <c r="W383" s="41">
        <f t="shared" si="40"/>
        <v>0</v>
      </c>
      <c r="X383" s="77" t="str">
        <f t="shared" si="46"/>
        <v/>
      </c>
      <c r="AG383" s="81" t="str">
        <f>IF(Data_NaamPersoonTijd360="","",Data_NaamPersoonTijd360)</f>
        <v/>
      </c>
      <c r="AH383" s="41"/>
      <c r="AI383" s="41"/>
      <c r="AJ383" s="83" t="str">
        <f>IF(Data_BeeindigingsdatumTijd360="","",Data_BeeindigingsdatumTijd360)</f>
        <v/>
      </c>
      <c r="AK383" s="41"/>
      <c r="AL383" s="41"/>
      <c r="AM383" s="82" t="str">
        <f>IF(Data_LoonkostenTijd360="","",Data_LoonkostenTijd360)</f>
        <v/>
      </c>
      <c r="AN383" s="41"/>
      <c r="AO383" s="276" t="str">
        <f>IF(Data_PersoonAanUitTijd360=-1,"v","")</f>
        <v/>
      </c>
      <c r="AP383" s="41"/>
      <c r="AQ383" s="76" t="s">
        <v>160</v>
      </c>
      <c r="AR383" s="41"/>
      <c r="AS383" s="41"/>
      <c r="AT383" s="41"/>
      <c r="AU383" s="41"/>
      <c r="AV383" s="41">
        <f t="shared" si="41"/>
        <v>0</v>
      </c>
      <c r="AW383" s="77">
        <f t="shared" si="42"/>
        <v>0</v>
      </c>
      <c r="AX383" s="41"/>
      <c r="AY383" s="41"/>
      <c r="AZ383" s="41"/>
      <c r="BA383" s="81" t="str">
        <f>IF(Data_NaamPersoonVastVrij360="","",Data_NaamPersoonVastVrij360)</f>
        <v/>
      </c>
      <c r="BB383" s="41"/>
      <c r="BC383" s="41"/>
      <c r="BD383" s="83" t="str">
        <f>IF(Data_BeeindigingsdatumVastVrij360="","",Data_BeeindigingsdatumVastVrij360)</f>
        <v/>
      </c>
      <c r="BE383" s="41"/>
      <c r="BF383" s="41"/>
      <c r="BG383" s="82" t="str">
        <f>IF(Data_LoonkostenVastVrij360="","",Data_LoonkostenVastVrij360)</f>
        <v/>
      </c>
      <c r="BH383" s="41"/>
      <c r="BI383" s="76" t="str">
        <f>IF(Data_PersoonAanUitVastVrij360=-1,"v","")</f>
        <v/>
      </c>
      <c r="BJ383" s="41"/>
      <c r="BK383" s="76" t="s">
        <v>160</v>
      </c>
      <c r="BL383" s="41"/>
      <c r="BM383" s="41"/>
      <c r="BN383" s="41"/>
      <c r="BO383" s="41"/>
      <c r="BP383" s="41">
        <f t="shared" si="43"/>
        <v>0</v>
      </c>
      <c r="BQ383" s="77">
        <f t="shared" si="44"/>
        <v>0</v>
      </c>
      <c r="BS383" s="81" t="str">
        <f>IF(Data_NaamPersoonVastOntslag360="","",Data_NaamPersoonVastOntslag360)</f>
        <v/>
      </c>
      <c r="BV383" s="83" t="str">
        <f>IF(Data_BeeindigingsdatumVastOntslag360="","",Data_BeeindigingsdatumVastOntslag360)</f>
        <v/>
      </c>
      <c r="BY383" s="82" t="str">
        <f>IF(Data_LoonkostenVastOntslag360="","",Data_LoonkostenVastOntslag360)</f>
        <v/>
      </c>
      <c r="CA383" s="76" t="str">
        <f>IF(Data_PersoonAanUitVastOntslag360=-1,"v","")</f>
        <v/>
      </c>
      <c r="CB383" s="41"/>
      <c r="CC383" s="76" t="s">
        <v>160</v>
      </c>
      <c r="CD383" s="41"/>
      <c r="CE383" s="41"/>
      <c r="CF383" s="41"/>
      <c r="CG383" s="41"/>
      <c r="CH383" s="41">
        <f t="shared" si="47"/>
        <v>0</v>
      </c>
      <c r="CI383" s="41">
        <f t="shared" si="45"/>
        <v>0</v>
      </c>
    </row>
    <row r="384" spans="8:87" x14ac:dyDescent="0.25">
      <c r="H384" s="81" t="str">
        <f>IF(Data_NaamPersoonNatVerloop361="","",Data_NaamPersoonNatVerloop361)</f>
        <v/>
      </c>
      <c r="I384" s="41"/>
      <c r="J384" s="41"/>
      <c r="K384" s="83" t="str">
        <f>IF(Data_BeeindigingsdatumNatVerloop361="","",Data_BeeindigingsdatumNatVerloop361)</f>
        <v/>
      </c>
      <c r="L384" s="41"/>
      <c r="M384" s="41"/>
      <c r="N384" s="82" t="str">
        <f>IF(Data_LoonkostenNatVerloop361="","",Data_LoonkostenNatVerloop361)</f>
        <v/>
      </c>
      <c r="O384" s="41"/>
      <c r="P384" s="276" t="s">
        <v>160</v>
      </c>
      <c r="Q384" s="41"/>
      <c r="R384" s="76" t="s">
        <v>160</v>
      </c>
      <c r="S384" s="41"/>
      <c r="T384" s="41"/>
      <c r="U384" s="41"/>
      <c r="V384" s="41"/>
      <c r="W384" s="41">
        <f t="shared" si="40"/>
        <v>0</v>
      </c>
      <c r="X384" s="77" t="str">
        <f t="shared" si="46"/>
        <v/>
      </c>
      <c r="AG384" s="81" t="str">
        <f>IF(Data_NaamPersoonTijd361="","",Data_NaamPersoonTijd361)</f>
        <v/>
      </c>
      <c r="AH384" s="41"/>
      <c r="AI384" s="41"/>
      <c r="AJ384" s="83" t="str">
        <f>IF(Data_BeeindigingsdatumTijd361="","",Data_BeeindigingsdatumTijd361)</f>
        <v/>
      </c>
      <c r="AK384" s="41"/>
      <c r="AL384" s="41"/>
      <c r="AM384" s="82" t="str">
        <f>IF(Data_LoonkostenTijd361="","",Data_LoonkostenTijd361)</f>
        <v/>
      </c>
      <c r="AN384" s="41"/>
      <c r="AO384" s="276" t="str">
        <f>IF(Data_PersoonAanUitTijd361=-1,"v","")</f>
        <v/>
      </c>
      <c r="AP384" s="41"/>
      <c r="AQ384" s="76" t="s">
        <v>160</v>
      </c>
      <c r="AR384" s="41"/>
      <c r="AS384" s="41"/>
      <c r="AT384" s="41"/>
      <c r="AU384" s="41"/>
      <c r="AV384" s="41">
        <f t="shared" si="41"/>
        <v>0</v>
      </c>
      <c r="AW384" s="77">
        <f t="shared" si="42"/>
        <v>0</v>
      </c>
      <c r="AX384" s="41"/>
      <c r="AY384" s="41"/>
      <c r="AZ384" s="41"/>
      <c r="BA384" s="81" t="str">
        <f>IF(Data_NaamPersoonVastVrij361="","",Data_NaamPersoonVastVrij361)</f>
        <v/>
      </c>
      <c r="BB384" s="41"/>
      <c r="BC384" s="41"/>
      <c r="BD384" s="83" t="str">
        <f>IF(Data_BeeindigingsdatumVastVrij361="","",Data_BeeindigingsdatumVastVrij361)</f>
        <v/>
      </c>
      <c r="BE384" s="41"/>
      <c r="BF384" s="41"/>
      <c r="BG384" s="82" t="str">
        <f>IF(Data_LoonkostenVastVrij361="","",Data_LoonkostenVastVrij361)</f>
        <v/>
      </c>
      <c r="BH384" s="41"/>
      <c r="BI384" s="76" t="str">
        <f>IF(Data_PersoonAanUitVastVrij361=-1,"v","")</f>
        <v/>
      </c>
      <c r="BJ384" s="41"/>
      <c r="BK384" s="76" t="s">
        <v>160</v>
      </c>
      <c r="BL384" s="41"/>
      <c r="BM384" s="41"/>
      <c r="BN384" s="41"/>
      <c r="BO384" s="41"/>
      <c r="BP384" s="41">
        <f t="shared" si="43"/>
        <v>0</v>
      </c>
      <c r="BQ384" s="77">
        <f t="shared" si="44"/>
        <v>0</v>
      </c>
      <c r="BS384" s="81" t="str">
        <f>IF(Data_NaamPersoonVastOntslag361="","",Data_NaamPersoonVastOntslag361)</f>
        <v/>
      </c>
      <c r="BV384" s="83" t="str">
        <f>IF(Data_BeeindigingsdatumVastOntslag361="","",Data_BeeindigingsdatumVastOntslag361)</f>
        <v/>
      </c>
      <c r="BY384" s="82" t="str">
        <f>IF(Data_LoonkostenVastOntslag361="","",Data_LoonkostenVastOntslag361)</f>
        <v/>
      </c>
      <c r="CA384" s="76" t="str">
        <f>IF(Data_PersoonAanUitVastOntslag361=-1,"v","")</f>
        <v/>
      </c>
      <c r="CB384" s="41"/>
      <c r="CC384" s="76" t="s">
        <v>160</v>
      </c>
      <c r="CD384" s="41"/>
      <c r="CE384" s="41"/>
      <c r="CF384" s="41"/>
      <c r="CG384" s="41"/>
      <c r="CH384" s="41">
        <f t="shared" si="47"/>
        <v>0</v>
      </c>
      <c r="CI384" s="41">
        <f t="shared" si="45"/>
        <v>0</v>
      </c>
    </row>
    <row r="385" spans="8:87" x14ac:dyDescent="0.25">
      <c r="H385" s="81" t="str">
        <f>IF(Data_NaamPersoonNatVerloop362="","",Data_NaamPersoonNatVerloop362)</f>
        <v/>
      </c>
      <c r="I385" s="41"/>
      <c r="J385" s="41"/>
      <c r="K385" s="83" t="str">
        <f>IF(Data_BeeindigingsdatumNatVerloop362="","",Data_BeeindigingsdatumNatVerloop362)</f>
        <v/>
      </c>
      <c r="L385" s="41"/>
      <c r="M385" s="41"/>
      <c r="N385" s="82" t="str">
        <f>IF(Data_LoonkostenNatVerloop362="","",Data_LoonkostenNatVerloop362)</f>
        <v/>
      </c>
      <c r="O385" s="41"/>
      <c r="P385" s="276" t="s">
        <v>160</v>
      </c>
      <c r="Q385" s="41"/>
      <c r="R385" s="76" t="s">
        <v>160</v>
      </c>
      <c r="S385" s="41"/>
      <c r="T385" s="41"/>
      <c r="U385" s="41"/>
      <c r="V385" s="41"/>
      <c r="W385" s="41">
        <f t="shared" si="40"/>
        <v>0</v>
      </c>
      <c r="X385" s="77" t="str">
        <f t="shared" si="46"/>
        <v/>
      </c>
      <c r="AG385" s="81" t="str">
        <f>IF(Data_NaamPersoonTijd362="","",Data_NaamPersoonTijd362)</f>
        <v/>
      </c>
      <c r="AH385" s="41"/>
      <c r="AI385" s="41"/>
      <c r="AJ385" s="83" t="str">
        <f>IF(Data_BeeindigingsdatumTijd362="","",Data_BeeindigingsdatumTijd362)</f>
        <v/>
      </c>
      <c r="AK385" s="41"/>
      <c r="AL385" s="41"/>
      <c r="AM385" s="82" t="str">
        <f>IF(Data_LoonkostenTijd362="","",Data_LoonkostenTijd362)</f>
        <v/>
      </c>
      <c r="AN385" s="41"/>
      <c r="AO385" s="276" t="str">
        <f>IF(Data_PersoonAanUitTijd362=-1,"v","")</f>
        <v/>
      </c>
      <c r="AP385" s="41"/>
      <c r="AQ385" s="76" t="s">
        <v>160</v>
      </c>
      <c r="AR385" s="41"/>
      <c r="AS385" s="41"/>
      <c r="AT385" s="41"/>
      <c r="AU385" s="41"/>
      <c r="AV385" s="41">
        <f t="shared" si="41"/>
        <v>0</v>
      </c>
      <c r="AW385" s="77">
        <f t="shared" si="42"/>
        <v>0</v>
      </c>
      <c r="AX385" s="41"/>
      <c r="AY385" s="41"/>
      <c r="AZ385" s="41"/>
      <c r="BA385" s="81" t="str">
        <f>IF(Data_NaamPersoonVastVrij362="","",Data_NaamPersoonVastVrij362)</f>
        <v/>
      </c>
      <c r="BB385" s="41"/>
      <c r="BC385" s="41"/>
      <c r="BD385" s="83" t="str">
        <f>IF(Data_BeeindigingsdatumVastVrij362="","",Data_BeeindigingsdatumVastVrij362)</f>
        <v/>
      </c>
      <c r="BE385" s="41"/>
      <c r="BF385" s="41"/>
      <c r="BG385" s="82" t="str">
        <f>IF(Data_LoonkostenVastVrij362="","",Data_LoonkostenVastVrij362)</f>
        <v/>
      </c>
      <c r="BH385" s="41"/>
      <c r="BI385" s="76" t="str">
        <f>IF(Data_PersoonAanUitVastVrij362=-1,"v","")</f>
        <v/>
      </c>
      <c r="BJ385" s="41"/>
      <c r="BK385" s="76" t="s">
        <v>160</v>
      </c>
      <c r="BL385" s="41"/>
      <c r="BM385" s="41"/>
      <c r="BN385" s="41"/>
      <c r="BO385" s="41"/>
      <c r="BP385" s="41">
        <f t="shared" si="43"/>
        <v>0</v>
      </c>
      <c r="BQ385" s="77">
        <f t="shared" si="44"/>
        <v>0</v>
      </c>
      <c r="BS385" s="81" t="str">
        <f>IF(Data_NaamPersoonVastOntslag362="","",Data_NaamPersoonVastOntslag362)</f>
        <v/>
      </c>
      <c r="BV385" s="83" t="str">
        <f>IF(Data_BeeindigingsdatumVastOntslag362="","",Data_BeeindigingsdatumVastOntslag362)</f>
        <v/>
      </c>
      <c r="BY385" s="82" t="str">
        <f>IF(Data_LoonkostenVastOntslag362="","",Data_LoonkostenVastOntslag362)</f>
        <v/>
      </c>
      <c r="CA385" s="76" t="str">
        <f>IF(Data_PersoonAanUitVastOntslag362=-1,"v","")</f>
        <v/>
      </c>
      <c r="CB385" s="41"/>
      <c r="CC385" s="76" t="s">
        <v>160</v>
      </c>
      <c r="CD385" s="41"/>
      <c r="CE385" s="41"/>
      <c r="CF385" s="41"/>
      <c r="CG385" s="41"/>
      <c r="CH385" s="41">
        <f t="shared" si="47"/>
        <v>0</v>
      </c>
      <c r="CI385" s="41">
        <f t="shared" si="45"/>
        <v>0</v>
      </c>
    </row>
    <row r="386" spans="8:87" x14ac:dyDescent="0.25">
      <c r="H386" s="81" t="str">
        <f>IF(Data_NaamPersoonNatVerloop363="","",Data_NaamPersoonNatVerloop363)</f>
        <v/>
      </c>
      <c r="I386" s="41"/>
      <c r="J386" s="41"/>
      <c r="K386" s="83" t="str">
        <f>IF(Data_BeeindigingsdatumNatVerloop363="","",Data_BeeindigingsdatumNatVerloop363)</f>
        <v/>
      </c>
      <c r="L386" s="41"/>
      <c r="M386" s="41"/>
      <c r="N386" s="82" t="str">
        <f>IF(Data_LoonkostenNatVerloop363="","",Data_LoonkostenNatVerloop363)</f>
        <v/>
      </c>
      <c r="O386" s="41"/>
      <c r="P386" s="276" t="s">
        <v>160</v>
      </c>
      <c r="Q386" s="41"/>
      <c r="R386" s="76" t="s">
        <v>160</v>
      </c>
      <c r="S386" s="41"/>
      <c r="T386" s="41"/>
      <c r="U386" s="41"/>
      <c r="V386" s="41"/>
      <c r="W386" s="41">
        <f t="shared" si="40"/>
        <v>0</v>
      </c>
      <c r="X386" s="77" t="str">
        <f t="shared" si="46"/>
        <v/>
      </c>
      <c r="AG386" s="81" t="str">
        <f>IF(Data_NaamPersoonTijd363="","",Data_NaamPersoonTijd363)</f>
        <v/>
      </c>
      <c r="AH386" s="41"/>
      <c r="AI386" s="41"/>
      <c r="AJ386" s="83" t="str">
        <f>IF(Data_BeeindigingsdatumTijd363="","",Data_BeeindigingsdatumTijd363)</f>
        <v/>
      </c>
      <c r="AK386" s="41"/>
      <c r="AL386" s="41"/>
      <c r="AM386" s="82" t="str">
        <f>IF(Data_LoonkostenTijd363="","",Data_LoonkostenTijd363)</f>
        <v/>
      </c>
      <c r="AN386" s="41"/>
      <c r="AO386" s="276" t="str">
        <f>IF(Data_PersoonAanUitTijd363=-1,"v","")</f>
        <v/>
      </c>
      <c r="AP386" s="41"/>
      <c r="AQ386" s="76" t="s">
        <v>160</v>
      </c>
      <c r="AR386" s="41"/>
      <c r="AS386" s="41"/>
      <c r="AT386" s="41"/>
      <c r="AU386" s="41"/>
      <c r="AV386" s="41">
        <f t="shared" si="41"/>
        <v>0</v>
      </c>
      <c r="AW386" s="77">
        <f t="shared" si="42"/>
        <v>0</v>
      </c>
      <c r="AX386" s="41"/>
      <c r="AY386" s="41"/>
      <c r="AZ386" s="41"/>
      <c r="BA386" s="81" t="str">
        <f>IF(Data_NaamPersoonVastVrij363="","",Data_NaamPersoonVastVrij363)</f>
        <v/>
      </c>
      <c r="BB386" s="41"/>
      <c r="BC386" s="41"/>
      <c r="BD386" s="83" t="str">
        <f>IF(Data_BeeindigingsdatumVastVrij363="","",Data_BeeindigingsdatumVastVrij363)</f>
        <v/>
      </c>
      <c r="BE386" s="41"/>
      <c r="BF386" s="41"/>
      <c r="BG386" s="82" t="str">
        <f>IF(Data_LoonkostenVastVrij363="","",Data_LoonkostenVastVrij363)</f>
        <v/>
      </c>
      <c r="BH386" s="41"/>
      <c r="BI386" s="76" t="str">
        <f>IF(Data_PersoonAanUitVastVrij363=-1,"v","")</f>
        <v/>
      </c>
      <c r="BJ386" s="41"/>
      <c r="BK386" s="76" t="s">
        <v>160</v>
      </c>
      <c r="BL386" s="41"/>
      <c r="BM386" s="41"/>
      <c r="BN386" s="41"/>
      <c r="BO386" s="41"/>
      <c r="BP386" s="41">
        <f t="shared" si="43"/>
        <v>0</v>
      </c>
      <c r="BQ386" s="77">
        <f t="shared" si="44"/>
        <v>0</v>
      </c>
      <c r="BS386" s="81" t="str">
        <f>IF(Data_NaamPersoonVastOntslag363="","",Data_NaamPersoonVastOntslag363)</f>
        <v/>
      </c>
      <c r="BV386" s="83" t="str">
        <f>IF(Data_BeeindigingsdatumVastOntslag363="","",Data_BeeindigingsdatumVastOntslag363)</f>
        <v/>
      </c>
      <c r="BY386" s="82" t="str">
        <f>IF(Data_LoonkostenVastOntslag363="","",Data_LoonkostenVastOntslag363)</f>
        <v/>
      </c>
      <c r="CA386" s="76" t="str">
        <f>IF(Data_PersoonAanUitVastOntslag363=-1,"v","")</f>
        <v/>
      </c>
      <c r="CB386" s="41"/>
      <c r="CC386" s="76" t="s">
        <v>160</v>
      </c>
      <c r="CD386" s="41"/>
      <c r="CE386" s="41"/>
      <c r="CF386" s="41"/>
      <c r="CG386" s="41"/>
      <c r="CH386" s="41">
        <f t="shared" si="47"/>
        <v>0</v>
      </c>
      <c r="CI386" s="41">
        <f t="shared" si="45"/>
        <v>0</v>
      </c>
    </row>
    <row r="387" spans="8:87" x14ac:dyDescent="0.25">
      <c r="H387" s="81" t="str">
        <f>IF(Data_NaamPersoonNatVerloop364="","",Data_NaamPersoonNatVerloop364)</f>
        <v/>
      </c>
      <c r="I387" s="41"/>
      <c r="J387" s="41"/>
      <c r="K387" s="83" t="str">
        <f>IF(Data_BeeindigingsdatumNatVerloop364="","",Data_BeeindigingsdatumNatVerloop364)</f>
        <v/>
      </c>
      <c r="L387" s="41"/>
      <c r="M387" s="41"/>
      <c r="N387" s="82" t="str">
        <f>IF(Data_LoonkostenNatVerloop364="","",Data_LoonkostenNatVerloop364)</f>
        <v/>
      </c>
      <c r="O387" s="41"/>
      <c r="P387" s="276" t="s">
        <v>160</v>
      </c>
      <c r="Q387" s="41"/>
      <c r="R387" s="76" t="s">
        <v>160</v>
      </c>
      <c r="S387" s="41"/>
      <c r="T387" s="41"/>
      <c r="U387" s="41"/>
      <c r="V387" s="41"/>
      <c r="W387" s="41">
        <f t="shared" si="40"/>
        <v>0</v>
      </c>
      <c r="X387" s="77" t="str">
        <f t="shared" si="46"/>
        <v/>
      </c>
      <c r="AG387" s="81" t="str">
        <f>IF(Data_NaamPersoonTijd364="","",Data_NaamPersoonTijd364)</f>
        <v/>
      </c>
      <c r="AH387" s="41"/>
      <c r="AI387" s="41"/>
      <c r="AJ387" s="83" t="str">
        <f>IF(Data_BeeindigingsdatumTijd364="","",Data_BeeindigingsdatumTijd364)</f>
        <v/>
      </c>
      <c r="AK387" s="41"/>
      <c r="AL387" s="41"/>
      <c r="AM387" s="82" t="str">
        <f>IF(Data_LoonkostenTijd364="","",Data_LoonkostenTijd364)</f>
        <v/>
      </c>
      <c r="AN387" s="41"/>
      <c r="AO387" s="276" t="str">
        <f>IF(Data_PersoonAanUitTijd364=-1,"v","")</f>
        <v/>
      </c>
      <c r="AP387" s="41"/>
      <c r="AQ387" s="76" t="s">
        <v>160</v>
      </c>
      <c r="AR387" s="41"/>
      <c r="AS387" s="41"/>
      <c r="AT387" s="41"/>
      <c r="AU387" s="41"/>
      <c r="AV387" s="41">
        <f t="shared" si="41"/>
        <v>0</v>
      </c>
      <c r="AW387" s="77">
        <f t="shared" si="42"/>
        <v>0</v>
      </c>
      <c r="AX387" s="41"/>
      <c r="AY387" s="41"/>
      <c r="AZ387" s="41"/>
      <c r="BA387" s="81" t="str">
        <f>IF(Data_NaamPersoonVastVrij364="","",Data_NaamPersoonVastVrij364)</f>
        <v/>
      </c>
      <c r="BB387" s="41"/>
      <c r="BC387" s="41"/>
      <c r="BD387" s="83" t="str">
        <f>IF(Data_BeeindigingsdatumVastVrij364="","",Data_BeeindigingsdatumVastVrij364)</f>
        <v/>
      </c>
      <c r="BE387" s="41"/>
      <c r="BF387" s="41"/>
      <c r="BG387" s="82" t="str">
        <f>IF(Data_LoonkostenVastVrij364="","",Data_LoonkostenVastVrij364)</f>
        <v/>
      </c>
      <c r="BH387" s="41"/>
      <c r="BI387" s="76" t="str">
        <f>IF(Data_PersoonAanUitVastVrij364=-1,"v","")</f>
        <v/>
      </c>
      <c r="BJ387" s="41"/>
      <c r="BK387" s="76" t="s">
        <v>160</v>
      </c>
      <c r="BL387" s="41"/>
      <c r="BM387" s="41"/>
      <c r="BN387" s="41"/>
      <c r="BO387" s="41"/>
      <c r="BP387" s="41">
        <f t="shared" si="43"/>
        <v>0</v>
      </c>
      <c r="BQ387" s="77">
        <f t="shared" si="44"/>
        <v>0</v>
      </c>
      <c r="BS387" s="81" t="str">
        <f>IF(Data_NaamPersoonVastOntslag364="","",Data_NaamPersoonVastOntslag364)</f>
        <v/>
      </c>
      <c r="BV387" s="83" t="str">
        <f>IF(Data_BeeindigingsdatumVastOntslag364="","",Data_BeeindigingsdatumVastOntslag364)</f>
        <v/>
      </c>
      <c r="BY387" s="82" t="str">
        <f>IF(Data_LoonkostenVastOntslag364="","",Data_LoonkostenVastOntslag364)</f>
        <v/>
      </c>
      <c r="CA387" s="76" t="str">
        <f>IF(Data_PersoonAanUitVastOntslag364=-1,"v","")</f>
        <v/>
      </c>
      <c r="CB387" s="41"/>
      <c r="CC387" s="76" t="s">
        <v>160</v>
      </c>
      <c r="CD387" s="41"/>
      <c r="CE387" s="41"/>
      <c r="CF387" s="41"/>
      <c r="CG387" s="41"/>
      <c r="CH387" s="41">
        <f t="shared" si="47"/>
        <v>0</v>
      </c>
      <c r="CI387" s="41">
        <f t="shared" si="45"/>
        <v>0</v>
      </c>
    </row>
    <row r="388" spans="8:87" x14ac:dyDescent="0.25">
      <c r="H388" s="81" t="str">
        <f>IF(Data_NaamPersoonNatVerloop365="","",Data_NaamPersoonNatVerloop365)</f>
        <v/>
      </c>
      <c r="I388" s="41"/>
      <c r="J388" s="41"/>
      <c r="K388" s="83" t="str">
        <f>IF(Data_BeeindigingsdatumNatVerloop365="","",Data_BeeindigingsdatumNatVerloop365)</f>
        <v/>
      </c>
      <c r="L388" s="41"/>
      <c r="M388" s="41"/>
      <c r="N388" s="82" t="str">
        <f>IF(Data_LoonkostenNatVerloop365="","",Data_LoonkostenNatVerloop365)</f>
        <v/>
      </c>
      <c r="O388" s="41"/>
      <c r="P388" s="276" t="s">
        <v>160</v>
      </c>
      <c r="Q388" s="41"/>
      <c r="R388" s="76" t="s">
        <v>160</v>
      </c>
      <c r="S388" s="41"/>
      <c r="T388" s="41"/>
      <c r="U388" s="41"/>
      <c r="V388" s="41"/>
      <c r="W388" s="41">
        <f t="shared" si="40"/>
        <v>0</v>
      </c>
      <c r="X388" s="77" t="str">
        <f t="shared" si="46"/>
        <v/>
      </c>
      <c r="AG388" s="81" t="str">
        <f>IF(Data_NaamPersoonTijd365="","",Data_NaamPersoonTijd365)</f>
        <v/>
      </c>
      <c r="AH388" s="41"/>
      <c r="AI388" s="41"/>
      <c r="AJ388" s="83" t="str">
        <f>IF(Data_BeeindigingsdatumTijd365="","",Data_BeeindigingsdatumTijd365)</f>
        <v/>
      </c>
      <c r="AK388" s="41"/>
      <c r="AL388" s="41"/>
      <c r="AM388" s="82" t="str">
        <f>IF(Data_LoonkostenTijd365="","",Data_LoonkostenTijd365)</f>
        <v/>
      </c>
      <c r="AN388" s="41"/>
      <c r="AO388" s="276" t="str">
        <f>IF(Data_PersoonAanUitTijd365=-1,"v","")</f>
        <v/>
      </c>
      <c r="AP388" s="41"/>
      <c r="AQ388" s="76" t="s">
        <v>160</v>
      </c>
      <c r="AR388" s="41"/>
      <c r="AS388" s="41"/>
      <c r="AT388" s="41"/>
      <c r="AU388" s="41"/>
      <c r="AV388" s="41">
        <f t="shared" si="41"/>
        <v>0</v>
      </c>
      <c r="AW388" s="77">
        <f t="shared" si="42"/>
        <v>0</v>
      </c>
      <c r="AX388" s="41"/>
      <c r="AY388" s="41"/>
      <c r="AZ388" s="41"/>
      <c r="BA388" s="81" t="str">
        <f>IF(Data_NaamPersoonVastVrij365="","",Data_NaamPersoonVastVrij365)</f>
        <v/>
      </c>
      <c r="BB388" s="41"/>
      <c r="BC388" s="41"/>
      <c r="BD388" s="83" t="str">
        <f>IF(Data_BeeindigingsdatumVastVrij365="","",Data_BeeindigingsdatumVastVrij365)</f>
        <v/>
      </c>
      <c r="BE388" s="41"/>
      <c r="BF388" s="41"/>
      <c r="BG388" s="82" t="str">
        <f>IF(Data_LoonkostenVastVrij365="","",Data_LoonkostenVastVrij365)</f>
        <v/>
      </c>
      <c r="BH388" s="41"/>
      <c r="BI388" s="76" t="str">
        <f>IF(Data_PersoonAanUitVastVrij365=-1,"v","")</f>
        <v/>
      </c>
      <c r="BJ388" s="41"/>
      <c r="BK388" s="76" t="s">
        <v>160</v>
      </c>
      <c r="BL388" s="41"/>
      <c r="BM388" s="41"/>
      <c r="BN388" s="41"/>
      <c r="BO388" s="41"/>
      <c r="BP388" s="41">
        <f t="shared" si="43"/>
        <v>0</v>
      </c>
      <c r="BQ388" s="77">
        <f t="shared" si="44"/>
        <v>0</v>
      </c>
      <c r="BS388" s="81" t="str">
        <f>IF(Data_NaamPersoonVastOntslag365="","",Data_NaamPersoonVastOntslag365)</f>
        <v/>
      </c>
      <c r="BV388" s="83" t="str">
        <f>IF(Data_BeeindigingsdatumVastOntslag365="","",Data_BeeindigingsdatumVastOntslag365)</f>
        <v/>
      </c>
      <c r="BY388" s="82" t="str">
        <f>IF(Data_LoonkostenVastOntslag365="","",Data_LoonkostenVastOntslag365)</f>
        <v/>
      </c>
      <c r="CA388" s="76" t="str">
        <f>IF(Data_PersoonAanUitVastOntslag365=-1,"v","")</f>
        <v/>
      </c>
      <c r="CB388" s="41"/>
      <c r="CC388" s="76" t="s">
        <v>160</v>
      </c>
      <c r="CD388" s="41"/>
      <c r="CE388" s="41"/>
      <c r="CF388" s="41"/>
      <c r="CG388" s="41"/>
      <c r="CH388" s="41">
        <f t="shared" si="47"/>
        <v>0</v>
      </c>
      <c r="CI388" s="41">
        <f t="shared" si="45"/>
        <v>0</v>
      </c>
    </row>
    <row r="389" spans="8:87" x14ac:dyDescent="0.25">
      <c r="H389" s="81" t="str">
        <f>IF(Data_NaamPersoonNatVerloop366="","",Data_NaamPersoonNatVerloop366)</f>
        <v/>
      </c>
      <c r="I389" s="41"/>
      <c r="J389" s="41"/>
      <c r="K389" s="83" t="str">
        <f>IF(Data_BeeindigingsdatumNatVerloop366="","",Data_BeeindigingsdatumNatVerloop366)</f>
        <v/>
      </c>
      <c r="L389" s="41"/>
      <c r="M389" s="41"/>
      <c r="N389" s="82" t="str">
        <f>IF(Data_LoonkostenNatVerloop366="","",Data_LoonkostenNatVerloop366)</f>
        <v/>
      </c>
      <c r="O389" s="41"/>
      <c r="P389" s="276" t="s">
        <v>160</v>
      </c>
      <c r="Q389" s="41"/>
      <c r="R389" s="76" t="s">
        <v>160</v>
      </c>
      <c r="S389" s="41"/>
      <c r="T389" s="41"/>
      <c r="U389" s="41"/>
      <c r="V389" s="41"/>
      <c r="W389" s="41">
        <f t="shared" si="40"/>
        <v>0</v>
      </c>
      <c r="X389" s="77" t="str">
        <f t="shared" si="46"/>
        <v/>
      </c>
      <c r="AG389" s="81" t="str">
        <f>IF(Data_NaamPersoonTijd366="","",Data_NaamPersoonTijd366)</f>
        <v/>
      </c>
      <c r="AH389" s="41"/>
      <c r="AI389" s="41"/>
      <c r="AJ389" s="83" t="str">
        <f>IF(Data_BeeindigingsdatumTijd366="","",Data_BeeindigingsdatumTijd366)</f>
        <v/>
      </c>
      <c r="AK389" s="41"/>
      <c r="AL389" s="41"/>
      <c r="AM389" s="82" t="str">
        <f>IF(Data_LoonkostenTijd366="","",Data_LoonkostenTijd366)</f>
        <v/>
      </c>
      <c r="AN389" s="41"/>
      <c r="AO389" s="276" t="str">
        <f>IF(Data_PersoonAanUitTijd366=-1,"v","")</f>
        <v/>
      </c>
      <c r="AP389" s="41"/>
      <c r="AQ389" s="76" t="s">
        <v>160</v>
      </c>
      <c r="AR389" s="41"/>
      <c r="AS389" s="41"/>
      <c r="AT389" s="41"/>
      <c r="AU389" s="41"/>
      <c r="AV389" s="41">
        <f t="shared" si="41"/>
        <v>0</v>
      </c>
      <c r="AW389" s="77">
        <f t="shared" si="42"/>
        <v>0</v>
      </c>
      <c r="AX389" s="41"/>
      <c r="AY389" s="41"/>
      <c r="AZ389" s="41"/>
      <c r="BA389" s="81" t="str">
        <f>IF(Data_NaamPersoonVastVrij366="","",Data_NaamPersoonVastVrij366)</f>
        <v/>
      </c>
      <c r="BB389" s="41"/>
      <c r="BC389" s="41"/>
      <c r="BD389" s="83" t="str">
        <f>IF(Data_BeeindigingsdatumVastVrij366="","",Data_BeeindigingsdatumVastVrij366)</f>
        <v/>
      </c>
      <c r="BE389" s="41"/>
      <c r="BF389" s="41"/>
      <c r="BG389" s="82" t="str">
        <f>IF(Data_LoonkostenVastVrij366="","",Data_LoonkostenVastVrij366)</f>
        <v/>
      </c>
      <c r="BH389" s="41"/>
      <c r="BI389" s="76" t="str">
        <f>IF(Data_PersoonAanUitVastVrij366=-1,"v","")</f>
        <v/>
      </c>
      <c r="BJ389" s="41"/>
      <c r="BK389" s="76" t="s">
        <v>160</v>
      </c>
      <c r="BL389" s="41"/>
      <c r="BM389" s="41"/>
      <c r="BN389" s="41"/>
      <c r="BO389" s="41"/>
      <c r="BP389" s="41">
        <f t="shared" si="43"/>
        <v>0</v>
      </c>
      <c r="BQ389" s="77">
        <f t="shared" si="44"/>
        <v>0</v>
      </c>
      <c r="BS389" s="81" t="str">
        <f>IF(Data_NaamPersoonVastOntslag366="","",Data_NaamPersoonVastOntslag366)</f>
        <v/>
      </c>
      <c r="BV389" s="83" t="str">
        <f>IF(Data_BeeindigingsdatumVastOntslag366="","",Data_BeeindigingsdatumVastOntslag366)</f>
        <v/>
      </c>
      <c r="BY389" s="82" t="str">
        <f>IF(Data_LoonkostenVastOntslag366="","",Data_LoonkostenVastOntslag366)</f>
        <v/>
      </c>
      <c r="CA389" s="76" t="str">
        <f>IF(Data_PersoonAanUitVastOntslag366=-1,"v","")</f>
        <v/>
      </c>
      <c r="CB389" s="41"/>
      <c r="CC389" s="76" t="s">
        <v>160</v>
      </c>
      <c r="CD389" s="41"/>
      <c r="CE389" s="41"/>
      <c r="CF389" s="41"/>
      <c r="CG389" s="41"/>
      <c r="CH389" s="41">
        <f t="shared" si="47"/>
        <v>0</v>
      </c>
      <c r="CI389" s="41">
        <f t="shared" si="45"/>
        <v>0</v>
      </c>
    </row>
    <row r="390" spans="8:87" x14ac:dyDescent="0.25">
      <c r="H390" s="81" t="str">
        <f>IF(Data_NaamPersoonNatVerloop367="","",Data_NaamPersoonNatVerloop367)</f>
        <v/>
      </c>
      <c r="I390" s="41"/>
      <c r="J390" s="41"/>
      <c r="K390" s="83" t="str">
        <f>IF(Data_BeeindigingsdatumNatVerloop367="","",Data_BeeindigingsdatumNatVerloop367)</f>
        <v/>
      </c>
      <c r="L390" s="41"/>
      <c r="M390" s="41"/>
      <c r="N390" s="82" t="str">
        <f>IF(Data_LoonkostenNatVerloop367="","",Data_LoonkostenNatVerloop367)</f>
        <v/>
      </c>
      <c r="O390" s="41"/>
      <c r="P390" s="276" t="s">
        <v>160</v>
      </c>
      <c r="Q390" s="41"/>
      <c r="R390" s="76" t="s">
        <v>160</v>
      </c>
      <c r="S390" s="41"/>
      <c r="T390" s="41"/>
      <c r="U390" s="41"/>
      <c r="V390" s="41"/>
      <c r="W390" s="41">
        <f t="shared" si="40"/>
        <v>0</v>
      </c>
      <c r="X390" s="77" t="str">
        <f t="shared" si="46"/>
        <v/>
      </c>
      <c r="AG390" s="81" t="str">
        <f>IF(Data_NaamPersoonTijd367="","",Data_NaamPersoonTijd367)</f>
        <v/>
      </c>
      <c r="AH390" s="41"/>
      <c r="AI390" s="41"/>
      <c r="AJ390" s="83" t="str">
        <f>IF(Data_BeeindigingsdatumTijd367="","",Data_BeeindigingsdatumTijd367)</f>
        <v/>
      </c>
      <c r="AK390" s="41"/>
      <c r="AL390" s="41"/>
      <c r="AM390" s="82" t="str">
        <f>IF(Data_LoonkostenTijd367="","",Data_LoonkostenTijd367)</f>
        <v/>
      </c>
      <c r="AN390" s="41"/>
      <c r="AO390" s="276" t="str">
        <f>IF(Data_PersoonAanUitTijd367=-1,"v","")</f>
        <v/>
      </c>
      <c r="AP390" s="41"/>
      <c r="AQ390" s="76" t="s">
        <v>160</v>
      </c>
      <c r="AR390" s="41"/>
      <c r="AS390" s="41"/>
      <c r="AT390" s="41"/>
      <c r="AU390" s="41"/>
      <c r="AV390" s="41">
        <f t="shared" si="41"/>
        <v>0</v>
      </c>
      <c r="AW390" s="77">
        <f t="shared" si="42"/>
        <v>0</v>
      </c>
      <c r="AX390" s="41"/>
      <c r="AY390" s="41"/>
      <c r="AZ390" s="41"/>
      <c r="BA390" s="81" t="str">
        <f>IF(Data_NaamPersoonVastVrij367="","",Data_NaamPersoonVastVrij367)</f>
        <v/>
      </c>
      <c r="BB390" s="41"/>
      <c r="BC390" s="41"/>
      <c r="BD390" s="83" t="str">
        <f>IF(Data_BeeindigingsdatumVastVrij367="","",Data_BeeindigingsdatumVastVrij367)</f>
        <v/>
      </c>
      <c r="BE390" s="41"/>
      <c r="BF390" s="41"/>
      <c r="BG390" s="82" t="str">
        <f>IF(Data_LoonkostenVastVrij367="","",Data_LoonkostenVastVrij367)</f>
        <v/>
      </c>
      <c r="BH390" s="41"/>
      <c r="BI390" s="76" t="str">
        <f>IF(Data_PersoonAanUitVastVrij367=-1,"v","")</f>
        <v/>
      </c>
      <c r="BJ390" s="41"/>
      <c r="BK390" s="76" t="s">
        <v>160</v>
      </c>
      <c r="BL390" s="41"/>
      <c r="BM390" s="41"/>
      <c r="BN390" s="41"/>
      <c r="BO390" s="41"/>
      <c r="BP390" s="41">
        <f t="shared" si="43"/>
        <v>0</v>
      </c>
      <c r="BQ390" s="77">
        <f t="shared" si="44"/>
        <v>0</v>
      </c>
      <c r="BS390" s="81" t="str">
        <f>IF(Data_NaamPersoonVastOntslag367="","",Data_NaamPersoonVastOntslag367)</f>
        <v/>
      </c>
      <c r="BV390" s="83" t="str">
        <f>IF(Data_BeeindigingsdatumVastOntslag367="","",Data_BeeindigingsdatumVastOntslag367)</f>
        <v/>
      </c>
      <c r="BY390" s="82" t="str">
        <f>IF(Data_LoonkostenVastOntslag367="","",Data_LoonkostenVastOntslag367)</f>
        <v/>
      </c>
      <c r="CA390" s="76" t="str">
        <f>IF(Data_PersoonAanUitVastOntslag367=-1,"v","")</f>
        <v/>
      </c>
      <c r="CB390" s="41"/>
      <c r="CC390" s="76" t="s">
        <v>160</v>
      </c>
      <c r="CD390" s="41"/>
      <c r="CE390" s="41"/>
      <c r="CF390" s="41"/>
      <c r="CG390" s="41"/>
      <c r="CH390" s="41">
        <f t="shared" si="47"/>
        <v>0</v>
      </c>
      <c r="CI390" s="41">
        <f t="shared" si="45"/>
        <v>0</v>
      </c>
    </row>
    <row r="391" spans="8:87" x14ac:dyDescent="0.25">
      <c r="H391" s="81" t="str">
        <f>IF(Data_NaamPersoonNatVerloop368="","",Data_NaamPersoonNatVerloop368)</f>
        <v/>
      </c>
      <c r="I391" s="41"/>
      <c r="J391" s="41"/>
      <c r="K391" s="83" t="str">
        <f>IF(Data_BeeindigingsdatumNatVerloop368="","",Data_BeeindigingsdatumNatVerloop368)</f>
        <v/>
      </c>
      <c r="L391" s="41"/>
      <c r="M391" s="41"/>
      <c r="N391" s="82" t="str">
        <f>IF(Data_LoonkostenNatVerloop368="","",Data_LoonkostenNatVerloop368)</f>
        <v/>
      </c>
      <c r="O391" s="41"/>
      <c r="P391" s="276" t="s">
        <v>160</v>
      </c>
      <c r="Q391" s="41"/>
      <c r="R391" s="76" t="s">
        <v>160</v>
      </c>
      <c r="S391" s="41"/>
      <c r="T391" s="41"/>
      <c r="U391" s="41"/>
      <c r="V391" s="41"/>
      <c r="W391" s="41">
        <f t="shared" si="40"/>
        <v>0</v>
      </c>
      <c r="X391" s="77" t="str">
        <f t="shared" si="46"/>
        <v/>
      </c>
      <c r="AG391" s="81" t="str">
        <f>IF(Data_NaamPersoonTijd368="","",Data_NaamPersoonTijd368)</f>
        <v/>
      </c>
      <c r="AH391" s="41"/>
      <c r="AI391" s="41"/>
      <c r="AJ391" s="83" t="str">
        <f>IF(Data_BeeindigingsdatumTijd368="","",Data_BeeindigingsdatumTijd368)</f>
        <v/>
      </c>
      <c r="AK391" s="41"/>
      <c r="AL391" s="41"/>
      <c r="AM391" s="82" t="str">
        <f>IF(Data_LoonkostenTijd368="","",Data_LoonkostenTijd368)</f>
        <v/>
      </c>
      <c r="AN391" s="41"/>
      <c r="AO391" s="276" t="str">
        <f>IF(Data_PersoonAanUitTijd368=-1,"v","")</f>
        <v/>
      </c>
      <c r="AP391" s="41"/>
      <c r="AQ391" s="76" t="s">
        <v>160</v>
      </c>
      <c r="AR391" s="41"/>
      <c r="AS391" s="41"/>
      <c r="AT391" s="41"/>
      <c r="AU391" s="41"/>
      <c r="AV391" s="41">
        <f t="shared" si="41"/>
        <v>0</v>
      </c>
      <c r="AW391" s="77">
        <f t="shared" si="42"/>
        <v>0</v>
      </c>
      <c r="AX391" s="41"/>
      <c r="AY391" s="41"/>
      <c r="AZ391" s="41"/>
      <c r="BA391" s="81" t="str">
        <f>IF(Data_NaamPersoonVastVrij368="","",Data_NaamPersoonVastVrij368)</f>
        <v/>
      </c>
      <c r="BB391" s="41"/>
      <c r="BC391" s="41"/>
      <c r="BD391" s="83" t="str">
        <f>IF(Data_BeeindigingsdatumVastVrij368="","",Data_BeeindigingsdatumVastVrij368)</f>
        <v/>
      </c>
      <c r="BE391" s="41"/>
      <c r="BF391" s="41"/>
      <c r="BG391" s="82" t="str">
        <f>IF(Data_LoonkostenVastVrij368="","",Data_LoonkostenVastVrij368)</f>
        <v/>
      </c>
      <c r="BH391" s="41"/>
      <c r="BI391" s="76" t="str">
        <f>IF(Data_PersoonAanUitVastVrij368=-1,"v","")</f>
        <v/>
      </c>
      <c r="BJ391" s="41"/>
      <c r="BK391" s="76" t="s">
        <v>160</v>
      </c>
      <c r="BL391" s="41"/>
      <c r="BM391" s="41"/>
      <c r="BN391" s="41"/>
      <c r="BO391" s="41"/>
      <c r="BP391" s="41">
        <f t="shared" si="43"/>
        <v>0</v>
      </c>
      <c r="BQ391" s="77">
        <f t="shared" si="44"/>
        <v>0</v>
      </c>
      <c r="BS391" s="81" t="str">
        <f>IF(Data_NaamPersoonVastOntslag368="","",Data_NaamPersoonVastOntslag368)</f>
        <v/>
      </c>
      <c r="BV391" s="83" t="str">
        <f>IF(Data_BeeindigingsdatumVastOntslag368="","",Data_BeeindigingsdatumVastOntslag368)</f>
        <v/>
      </c>
      <c r="BY391" s="82" t="str">
        <f>IF(Data_LoonkostenVastOntslag368="","",Data_LoonkostenVastOntslag368)</f>
        <v/>
      </c>
      <c r="CA391" s="76" t="str">
        <f>IF(Data_PersoonAanUitVastOntslag368=-1,"v","")</f>
        <v/>
      </c>
      <c r="CB391" s="41"/>
      <c r="CC391" s="76" t="s">
        <v>160</v>
      </c>
      <c r="CD391" s="41"/>
      <c r="CE391" s="41"/>
      <c r="CF391" s="41"/>
      <c r="CG391" s="41"/>
      <c r="CH391" s="41">
        <f t="shared" si="47"/>
        <v>0</v>
      </c>
      <c r="CI391" s="41">
        <f t="shared" si="45"/>
        <v>0</v>
      </c>
    </row>
    <row r="392" spans="8:87" x14ac:dyDescent="0.25">
      <c r="H392" s="81" t="str">
        <f>IF(Data_NaamPersoonNatVerloop369="","",Data_NaamPersoonNatVerloop369)</f>
        <v/>
      </c>
      <c r="I392" s="41"/>
      <c r="J392" s="41"/>
      <c r="K392" s="83" t="str">
        <f>IF(Data_BeeindigingsdatumNatVerloop369="","",Data_BeeindigingsdatumNatVerloop369)</f>
        <v/>
      </c>
      <c r="L392" s="41"/>
      <c r="M392" s="41"/>
      <c r="N392" s="82" t="str">
        <f>IF(Data_LoonkostenNatVerloop369="","",Data_LoonkostenNatVerloop369)</f>
        <v/>
      </c>
      <c r="O392" s="41"/>
      <c r="P392" s="276" t="s">
        <v>160</v>
      </c>
      <c r="Q392" s="41"/>
      <c r="R392" s="76" t="s">
        <v>160</v>
      </c>
      <c r="S392" s="41"/>
      <c r="T392" s="41"/>
      <c r="U392" s="41"/>
      <c r="V392" s="41"/>
      <c r="W392" s="41">
        <f t="shared" si="40"/>
        <v>0</v>
      </c>
      <c r="X392" s="77" t="str">
        <f t="shared" si="46"/>
        <v/>
      </c>
      <c r="AG392" s="81" t="str">
        <f>IF(Data_NaamPersoonTijd369="","",Data_NaamPersoonTijd369)</f>
        <v/>
      </c>
      <c r="AH392" s="41"/>
      <c r="AI392" s="41"/>
      <c r="AJ392" s="83" t="str">
        <f>IF(Data_BeeindigingsdatumTijd369="","",Data_BeeindigingsdatumTijd369)</f>
        <v/>
      </c>
      <c r="AK392" s="41"/>
      <c r="AL392" s="41"/>
      <c r="AM392" s="82" t="str">
        <f>IF(Data_LoonkostenTijd369="","",Data_LoonkostenTijd369)</f>
        <v/>
      </c>
      <c r="AN392" s="41"/>
      <c r="AO392" s="276" t="str">
        <f>IF(Data_PersoonAanUitTijd369=-1,"v","")</f>
        <v/>
      </c>
      <c r="AP392" s="41"/>
      <c r="AQ392" s="76" t="s">
        <v>160</v>
      </c>
      <c r="AR392" s="41"/>
      <c r="AS392" s="41"/>
      <c r="AT392" s="41"/>
      <c r="AU392" s="41"/>
      <c r="AV392" s="41">
        <f t="shared" si="41"/>
        <v>0</v>
      </c>
      <c r="AW392" s="77">
        <f t="shared" si="42"/>
        <v>0</v>
      </c>
      <c r="AX392" s="41"/>
      <c r="AY392" s="41"/>
      <c r="AZ392" s="41"/>
      <c r="BA392" s="81" t="str">
        <f>IF(Data_NaamPersoonVastVrij369="","",Data_NaamPersoonVastVrij369)</f>
        <v/>
      </c>
      <c r="BB392" s="41"/>
      <c r="BC392" s="41"/>
      <c r="BD392" s="83" t="str">
        <f>IF(Data_BeeindigingsdatumVastVrij369="","",Data_BeeindigingsdatumVastVrij369)</f>
        <v/>
      </c>
      <c r="BE392" s="41"/>
      <c r="BF392" s="41"/>
      <c r="BG392" s="82" t="str">
        <f>IF(Data_LoonkostenVastVrij369="","",Data_LoonkostenVastVrij369)</f>
        <v/>
      </c>
      <c r="BH392" s="41"/>
      <c r="BI392" s="76" t="str">
        <f>IF(Data_PersoonAanUitVastVrij369=-1,"v","")</f>
        <v/>
      </c>
      <c r="BJ392" s="41"/>
      <c r="BK392" s="76" t="s">
        <v>160</v>
      </c>
      <c r="BL392" s="41"/>
      <c r="BM392" s="41"/>
      <c r="BN392" s="41"/>
      <c r="BO392" s="41"/>
      <c r="BP392" s="41">
        <f t="shared" si="43"/>
        <v>0</v>
      </c>
      <c r="BQ392" s="77">
        <f t="shared" si="44"/>
        <v>0</v>
      </c>
      <c r="BS392" s="81" t="str">
        <f>IF(Data_NaamPersoonVastOntslag369="","",Data_NaamPersoonVastOntslag369)</f>
        <v/>
      </c>
      <c r="BV392" s="83" t="str">
        <f>IF(Data_BeeindigingsdatumVastOntslag369="","",Data_BeeindigingsdatumVastOntslag369)</f>
        <v/>
      </c>
      <c r="BY392" s="82" t="str">
        <f>IF(Data_LoonkostenVastOntslag369="","",Data_LoonkostenVastOntslag369)</f>
        <v/>
      </c>
      <c r="CA392" s="76" t="str">
        <f>IF(Data_PersoonAanUitVastOntslag369=-1,"v","")</f>
        <v/>
      </c>
      <c r="CB392" s="41"/>
      <c r="CC392" s="76" t="s">
        <v>160</v>
      </c>
      <c r="CD392" s="41"/>
      <c r="CE392" s="41"/>
      <c r="CF392" s="41"/>
      <c r="CG392" s="41"/>
      <c r="CH392" s="41">
        <f t="shared" si="47"/>
        <v>0</v>
      </c>
      <c r="CI392" s="41">
        <f t="shared" si="45"/>
        <v>0</v>
      </c>
    </row>
    <row r="393" spans="8:87" x14ac:dyDescent="0.25">
      <c r="H393" s="81" t="str">
        <f>IF(Data_NaamPersoonNatVerloop370="","",Data_NaamPersoonNatVerloop370)</f>
        <v/>
      </c>
      <c r="I393" s="41"/>
      <c r="J393" s="41"/>
      <c r="K393" s="83" t="str">
        <f>IF(Data_BeeindigingsdatumNatVerloop370="","",Data_BeeindigingsdatumNatVerloop370)</f>
        <v/>
      </c>
      <c r="L393" s="41"/>
      <c r="M393" s="41"/>
      <c r="N393" s="82" t="str">
        <f>IF(Data_LoonkostenNatVerloop370="","",Data_LoonkostenNatVerloop370)</f>
        <v/>
      </c>
      <c r="O393" s="41"/>
      <c r="P393" s="276" t="s">
        <v>160</v>
      </c>
      <c r="Q393" s="41"/>
      <c r="R393" s="76" t="s">
        <v>160</v>
      </c>
      <c r="S393" s="41"/>
      <c r="T393" s="41"/>
      <c r="U393" s="41"/>
      <c r="V393" s="41"/>
      <c r="W393" s="41">
        <f t="shared" si="40"/>
        <v>0</v>
      </c>
      <c r="X393" s="77" t="str">
        <f t="shared" si="46"/>
        <v/>
      </c>
      <c r="AG393" s="81" t="str">
        <f>IF(Data_NaamPersoonTijd370="","",Data_NaamPersoonTijd370)</f>
        <v/>
      </c>
      <c r="AH393" s="41"/>
      <c r="AI393" s="41"/>
      <c r="AJ393" s="83" t="str">
        <f>IF(Data_BeeindigingsdatumTijd370="","",Data_BeeindigingsdatumTijd370)</f>
        <v/>
      </c>
      <c r="AK393" s="41"/>
      <c r="AL393" s="41"/>
      <c r="AM393" s="82" t="str">
        <f>IF(Data_LoonkostenTijd370="","",Data_LoonkostenTijd370)</f>
        <v/>
      </c>
      <c r="AN393" s="41"/>
      <c r="AO393" s="276" t="str">
        <f>IF(Data_PersoonAanUitTijd370=-1,"v","")</f>
        <v/>
      </c>
      <c r="AP393" s="41"/>
      <c r="AQ393" s="76" t="s">
        <v>160</v>
      </c>
      <c r="AR393" s="41"/>
      <c r="AS393" s="41"/>
      <c r="AT393" s="41"/>
      <c r="AU393" s="41"/>
      <c r="AV393" s="41">
        <f t="shared" si="41"/>
        <v>0</v>
      </c>
      <c r="AW393" s="77">
        <f t="shared" si="42"/>
        <v>0</v>
      </c>
      <c r="AX393" s="41"/>
      <c r="AY393" s="41"/>
      <c r="AZ393" s="41"/>
      <c r="BA393" s="81" t="str">
        <f>IF(Data_NaamPersoonVastVrij370="","",Data_NaamPersoonVastVrij370)</f>
        <v/>
      </c>
      <c r="BB393" s="41"/>
      <c r="BC393" s="41"/>
      <c r="BD393" s="83" t="str">
        <f>IF(Data_BeeindigingsdatumVastVrij370="","",Data_BeeindigingsdatumVastVrij370)</f>
        <v/>
      </c>
      <c r="BE393" s="41"/>
      <c r="BF393" s="41"/>
      <c r="BG393" s="82" t="str">
        <f>IF(Data_LoonkostenVastVrij370="","",Data_LoonkostenVastVrij370)</f>
        <v/>
      </c>
      <c r="BH393" s="41"/>
      <c r="BI393" s="76" t="str">
        <f>IF(Data_PersoonAanUitVastVrij370=-1,"v","")</f>
        <v/>
      </c>
      <c r="BJ393" s="41"/>
      <c r="BK393" s="76" t="s">
        <v>160</v>
      </c>
      <c r="BL393" s="41"/>
      <c r="BM393" s="41"/>
      <c r="BN393" s="41"/>
      <c r="BO393" s="41"/>
      <c r="BP393" s="41">
        <f t="shared" si="43"/>
        <v>0</v>
      </c>
      <c r="BQ393" s="77">
        <f t="shared" si="44"/>
        <v>0</v>
      </c>
      <c r="BS393" s="81" t="str">
        <f>IF(Data_NaamPersoonVastOntslag370="","",Data_NaamPersoonVastOntslag370)</f>
        <v/>
      </c>
      <c r="BV393" s="83" t="str">
        <f>IF(Data_BeeindigingsdatumVastOntslag370="","",Data_BeeindigingsdatumVastOntslag370)</f>
        <v/>
      </c>
      <c r="BY393" s="82" t="str">
        <f>IF(Data_LoonkostenVastOntslag370="","",Data_LoonkostenVastOntslag370)</f>
        <v/>
      </c>
      <c r="CA393" s="76" t="str">
        <f>IF(Data_PersoonAanUitVastOntslag370=-1,"v","")</f>
        <v/>
      </c>
      <c r="CB393" s="41"/>
      <c r="CC393" s="76" t="s">
        <v>160</v>
      </c>
      <c r="CD393" s="41"/>
      <c r="CE393" s="41"/>
      <c r="CF393" s="41"/>
      <c r="CG393" s="41"/>
      <c r="CH393" s="41">
        <f t="shared" si="47"/>
        <v>0</v>
      </c>
      <c r="CI393" s="41">
        <f t="shared" si="45"/>
        <v>0</v>
      </c>
    </row>
    <row r="394" spans="8:87" x14ac:dyDescent="0.25">
      <c r="H394" s="81" t="str">
        <f>IF(Data_NaamPersoonNatVerloop371="","",Data_NaamPersoonNatVerloop371)</f>
        <v/>
      </c>
      <c r="I394" s="41"/>
      <c r="J394" s="41"/>
      <c r="K394" s="83" t="str">
        <f>IF(Data_BeeindigingsdatumNatVerloop371="","",Data_BeeindigingsdatumNatVerloop371)</f>
        <v/>
      </c>
      <c r="L394" s="41"/>
      <c r="M394" s="41"/>
      <c r="N394" s="82" t="str">
        <f>IF(Data_LoonkostenNatVerloop371="","",Data_LoonkostenNatVerloop371)</f>
        <v/>
      </c>
      <c r="O394" s="41"/>
      <c r="P394" s="276" t="s">
        <v>160</v>
      </c>
      <c r="Q394" s="41"/>
      <c r="R394" s="76" t="s">
        <v>160</v>
      </c>
      <c r="S394" s="41"/>
      <c r="T394" s="41"/>
      <c r="U394" s="41"/>
      <c r="V394" s="41"/>
      <c r="W394" s="41">
        <f t="shared" si="40"/>
        <v>0</v>
      </c>
      <c r="X394" s="77" t="str">
        <f t="shared" si="46"/>
        <v/>
      </c>
      <c r="AG394" s="81" t="str">
        <f>IF(Data_NaamPersoonTijd371="","",Data_NaamPersoonTijd371)</f>
        <v/>
      </c>
      <c r="AH394" s="41"/>
      <c r="AI394" s="41"/>
      <c r="AJ394" s="83" t="str">
        <f>IF(Data_BeeindigingsdatumTijd371="","",Data_BeeindigingsdatumTijd371)</f>
        <v/>
      </c>
      <c r="AK394" s="41"/>
      <c r="AL394" s="41"/>
      <c r="AM394" s="82" t="str">
        <f>IF(Data_LoonkostenTijd371="","",Data_LoonkostenTijd371)</f>
        <v/>
      </c>
      <c r="AN394" s="41"/>
      <c r="AO394" s="276" t="str">
        <f>IF(Data_PersoonAanUitTijd371=-1,"v","")</f>
        <v/>
      </c>
      <c r="AP394" s="41"/>
      <c r="AQ394" s="76" t="s">
        <v>160</v>
      </c>
      <c r="AR394" s="41"/>
      <c r="AS394" s="41"/>
      <c r="AT394" s="41"/>
      <c r="AU394" s="41"/>
      <c r="AV394" s="41">
        <f t="shared" si="41"/>
        <v>0</v>
      </c>
      <c r="AW394" s="77">
        <f t="shared" si="42"/>
        <v>0</v>
      </c>
      <c r="AX394" s="41"/>
      <c r="AY394" s="41"/>
      <c r="AZ394" s="41"/>
      <c r="BA394" s="81" t="str">
        <f>IF(Data_NaamPersoonVastVrij371="","",Data_NaamPersoonVastVrij371)</f>
        <v/>
      </c>
      <c r="BB394" s="41"/>
      <c r="BC394" s="41"/>
      <c r="BD394" s="83" t="str">
        <f>IF(Data_BeeindigingsdatumVastVrij371="","",Data_BeeindigingsdatumVastVrij371)</f>
        <v/>
      </c>
      <c r="BE394" s="41"/>
      <c r="BF394" s="41"/>
      <c r="BG394" s="82" t="str">
        <f>IF(Data_LoonkostenVastVrij371="","",Data_LoonkostenVastVrij371)</f>
        <v/>
      </c>
      <c r="BH394" s="41"/>
      <c r="BI394" s="76" t="str">
        <f>IF(Data_PersoonAanUitVastVrij371=-1,"v","")</f>
        <v/>
      </c>
      <c r="BJ394" s="41"/>
      <c r="BK394" s="76" t="s">
        <v>160</v>
      </c>
      <c r="BL394" s="41"/>
      <c r="BM394" s="41"/>
      <c r="BN394" s="41"/>
      <c r="BO394" s="41"/>
      <c r="BP394" s="41">
        <f t="shared" si="43"/>
        <v>0</v>
      </c>
      <c r="BQ394" s="77">
        <f t="shared" si="44"/>
        <v>0</v>
      </c>
      <c r="BS394" s="81" t="str">
        <f>IF(Data_NaamPersoonVastOntslag371="","",Data_NaamPersoonVastOntslag371)</f>
        <v/>
      </c>
      <c r="BV394" s="83" t="str">
        <f>IF(Data_BeeindigingsdatumVastOntslag371="","",Data_BeeindigingsdatumVastOntslag371)</f>
        <v/>
      </c>
      <c r="BY394" s="82" t="str">
        <f>IF(Data_LoonkostenVastOntslag371="","",Data_LoonkostenVastOntslag371)</f>
        <v/>
      </c>
      <c r="CA394" s="76" t="str">
        <f>IF(Data_PersoonAanUitVastOntslag371=-1,"v","")</f>
        <v/>
      </c>
      <c r="CB394" s="41"/>
      <c r="CC394" s="76" t="s">
        <v>160</v>
      </c>
      <c r="CD394" s="41"/>
      <c r="CE394" s="41"/>
      <c r="CF394" s="41"/>
      <c r="CG394" s="41"/>
      <c r="CH394" s="41">
        <f t="shared" si="47"/>
        <v>0</v>
      </c>
      <c r="CI394" s="41">
        <f t="shared" si="45"/>
        <v>0</v>
      </c>
    </row>
    <row r="395" spans="8:87" x14ac:dyDescent="0.25">
      <c r="H395" s="81" t="str">
        <f>IF(Data_NaamPersoonNatVerloop372="","",Data_NaamPersoonNatVerloop372)</f>
        <v/>
      </c>
      <c r="I395" s="41"/>
      <c r="J395" s="41"/>
      <c r="K395" s="83" t="str">
        <f>IF(Data_BeeindigingsdatumNatVerloop372="","",Data_BeeindigingsdatumNatVerloop372)</f>
        <v/>
      </c>
      <c r="L395" s="41"/>
      <c r="M395" s="41"/>
      <c r="N395" s="82" t="str">
        <f>IF(Data_LoonkostenNatVerloop372="","",Data_LoonkostenNatVerloop372)</f>
        <v/>
      </c>
      <c r="O395" s="41"/>
      <c r="P395" s="276" t="s">
        <v>160</v>
      </c>
      <c r="Q395" s="41"/>
      <c r="R395" s="76" t="s">
        <v>160</v>
      </c>
      <c r="S395" s="41"/>
      <c r="T395" s="41"/>
      <c r="U395" s="41"/>
      <c r="V395" s="41"/>
      <c r="W395" s="41">
        <f t="shared" si="40"/>
        <v>0</v>
      </c>
      <c r="X395" s="77" t="str">
        <f t="shared" si="46"/>
        <v/>
      </c>
      <c r="AG395" s="81" t="str">
        <f>IF(Data_NaamPersoonTijd372="","",Data_NaamPersoonTijd372)</f>
        <v/>
      </c>
      <c r="AH395" s="41"/>
      <c r="AI395" s="41"/>
      <c r="AJ395" s="83" t="str">
        <f>IF(Data_BeeindigingsdatumTijd372="","",Data_BeeindigingsdatumTijd372)</f>
        <v/>
      </c>
      <c r="AK395" s="41"/>
      <c r="AL395" s="41"/>
      <c r="AM395" s="82" t="str">
        <f>IF(Data_LoonkostenTijd372="","",Data_LoonkostenTijd372)</f>
        <v/>
      </c>
      <c r="AN395" s="41"/>
      <c r="AO395" s="276" t="str">
        <f>IF(Data_PersoonAanUitTijd372=-1,"v","")</f>
        <v/>
      </c>
      <c r="AP395" s="41"/>
      <c r="AQ395" s="76" t="s">
        <v>160</v>
      </c>
      <c r="AR395" s="41"/>
      <c r="AS395" s="41"/>
      <c r="AT395" s="41"/>
      <c r="AU395" s="41"/>
      <c r="AV395" s="41">
        <f t="shared" si="41"/>
        <v>0</v>
      </c>
      <c r="AW395" s="77">
        <f t="shared" si="42"/>
        <v>0</v>
      </c>
      <c r="AX395" s="41"/>
      <c r="AY395" s="41"/>
      <c r="AZ395" s="41"/>
      <c r="BA395" s="81" t="str">
        <f>IF(Data_NaamPersoonVastVrij372="","",Data_NaamPersoonVastVrij372)</f>
        <v/>
      </c>
      <c r="BB395" s="41"/>
      <c r="BC395" s="41"/>
      <c r="BD395" s="83" t="str">
        <f>IF(Data_BeeindigingsdatumVastVrij372="","",Data_BeeindigingsdatumVastVrij372)</f>
        <v/>
      </c>
      <c r="BE395" s="41"/>
      <c r="BF395" s="41"/>
      <c r="BG395" s="82" t="str">
        <f>IF(Data_LoonkostenVastVrij372="","",Data_LoonkostenVastVrij372)</f>
        <v/>
      </c>
      <c r="BH395" s="41"/>
      <c r="BI395" s="76" t="str">
        <f>IF(Data_PersoonAanUitVastVrij372=-1,"v","")</f>
        <v/>
      </c>
      <c r="BJ395" s="41"/>
      <c r="BK395" s="76" t="s">
        <v>160</v>
      </c>
      <c r="BL395" s="41"/>
      <c r="BM395" s="41"/>
      <c r="BN395" s="41"/>
      <c r="BO395" s="41"/>
      <c r="BP395" s="41">
        <f t="shared" si="43"/>
        <v>0</v>
      </c>
      <c r="BQ395" s="77">
        <f t="shared" si="44"/>
        <v>0</v>
      </c>
      <c r="BS395" s="81" t="str">
        <f>IF(Data_NaamPersoonVastOntslag372="","",Data_NaamPersoonVastOntslag372)</f>
        <v/>
      </c>
      <c r="BV395" s="83" t="str">
        <f>IF(Data_BeeindigingsdatumVastOntslag372="","",Data_BeeindigingsdatumVastOntslag372)</f>
        <v/>
      </c>
      <c r="BY395" s="82" t="str">
        <f>IF(Data_LoonkostenVastOntslag372="","",Data_LoonkostenVastOntslag372)</f>
        <v/>
      </c>
      <c r="CA395" s="76" t="str">
        <f>IF(Data_PersoonAanUitVastOntslag372=-1,"v","")</f>
        <v/>
      </c>
      <c r="CB395" s="41"/>
      <c r="CC395" s="76" t="s">
        <v>160</v>
      </c>
      <c r="CD395" s="41"/>
      <c r="CE395" s="41"/>
      <c r="CF395" s="41"/>
      <c r="CG395" s="41"/>
      <c r="CH395" s="41">
        <f t="shared" si="47"/>
        <v>0</v>
      </c>
      <c r="CI395" s="41">
        <f t="shared" si="45"/>
        <v>0</v>
      </c>
    </row>
    <row r="396" spans="8:87" x14ac:dyDescent="0.25">
      <c r="H396" s="81" t="str">
        <f>IF(Data_NaamPersoonNatVerloop373="","",Data_NaamPersoonNatVerloop373)</f>
        <v/>
      </c>
      <c r="I396" s="41"/>
      <c r="J396" s="41"/>
      <c r="K396" s="83" t="str">
        <f>IF(Data_BeeindigingsdatumNatVerloop373="","",Data_BeeindigingsdatumNatVerloop373)</f>
        <v/>
      </c>
      <c r="L396" s="41"/>
      <c r="M396" s="41"/>
      <c r="N396" s="82" t="str">
        <f>IF(Data_LoonkostenNatVerloop373="","",Data_LoonkostenNatVerloop373)</f>
        <v/>
      </c>
      <c r="O396" s="41"/>
      <c r="P396" s="276" t="s">
        <v>160</v>
      </c>
      <c r="Q396" s="41"/>
      <c r="R396" s="76" t="s">
        <v>160</v>
      </c>
      <c r="S396" s="41"/>
      <c r="T396" s="41"/>
      <c r="U396" s="41"/>
      <c r="V396" s="41"/>
      <c r="W396" s="41">
        <f t="shared" si="40"/>
        <v>0</v>
      </c>
      <c r="X396" s="77" t="str">
        <f t="shared" si="46"/>
        <v/>
      </c>
      <c r="AG396" s="81" t="str">
        <f>IF(Data_NaamPersoonTijd373="","",Data_NaamPersoonTijd373)</f>
        <v/>
      </c>
      <c r="AH396" s="41"/>
      <c r="AI396" s="41"/>
      <c r="AJ396" s="83" t="str">
        <f>IF(Data_BeeindigingsdatumTijd373="","",Data_BeeindigingsdatumTijd373)</f>
        <v/>
      </c>
      <c r="AK396" s="41"/>
      <c r="AL396" s="41"/>
      <c r="AM396" s="82" t="str">
        <f>IF(Data_LoonkostenTijd373="","",Data_LoonkostenTijd373)</f>
        <v/>
      </c>
      <c r="AN396" s="41"/>
      <c r="AO396" s="276" t="str">
        <f>IF(Data_PersoonAanUitTijd373=-1,"v","")</f>
        <v/>
      </c>
      <c r="AP396" s="41"/>
      <c r="AQ396" s="76" t="s">
        <v>160</v>
      </c>
      <c r="AR396" s="41"/>
      <c r="AS396" s="41"/>
      <c r="AT396" s="41"/>
      <c r="AU396" s="41"/>
      <c r="AV396" s="41">
        <f t="shared" si="41"/>
        <v>0</v>
      </c>
      <c r="AW396" s="77">
        <f t="shared" si="42"/>
        <v>0</v>
      </c>
      <c r="AX396" s="41"/>
      <c r="AY396" s="41"/>
      <c r="AZ396" s="41"/>
      <c r="BA396" s="81" t="str">
        <f>IF(Data_NaamPersoonVastVrij373="","",Data_NaamPersoonVastVrij373)</f>
        <v/>
      </c>
      <c r="BB396" s="41"/>
      <c r="BC396" s="41"/>
      <c r="BD396" s="83" t="str">
        <f>IF(Data_BeeindigingsdatumVastVrij373="","",Data_BeeindigingsdatumVastVrij373)</f>
        <v/>
      </c>
      <c r="BE396" s="41"/>
      <c r="BF396" s="41"/>
      <c r="BG396" s="82" t="str">
        <f>IF(Data_LoonkostenVastVrij373="","",Data_LoonkostenVastVrij373)</f>
        <v/>
      </c>
      <c r="BH396" s="41"/>
      <c r="BI396" s="76" t="str">
        <f>IF(Data_PersoonAanUitVastVrij373=-1,"v","")</f>
        <v/>
      </c>
      <c r="BJ396" s="41"/>
      <c r="BK396" s="76" t="s">
        <v>160</v>
      </c>
      <c r="BL396" s="41"/>
      <c r="BM396" s="41"/>
      <c r="BN396" s="41"/>
      <c r="BO396" s="41"/>
      <c r="BP396" s="41">
        <f t="shared" si="43"/>
        <v>0</v>
      </c>
      <c r="BQ396" s="77">
        <f t="shared" si="44"/>
        <v>0</v>
      </c>
      <c r="BS396" s="81" t="str">
        <f>IF(Data_NaamPersoonVastOntslag373="","",Data_NaamPersoonVastOntslag373)</f>
        <v/>
      </c>
      <c r="BV396" s="83" t="str">
        <f>IF(Data_BeeindigingsdatumVastOntslag373="","",Data_BeeindigingsdatumVastOntslag373)</f>
        <v/>
      </c>
      <c r="BY396" s="82" t="str">
        <f>IF(Data_LoonkostenVastOntslag373="","",Data_LoonkostenVastOntslag373)</f>
        <v/>
      </c>
      <c r="CA396" s="76" t="str">
        <f>IF(Data_PersoonAanUitVastOntslag373=-1,"v","")</f>
        <v/>
      </c>
      <c r="CB396" s="41"/>
      <c r="CC396" s="76" t="s">
        <v>160</v>
      </c>
      <c r="CD396" s="41"/>
      <c r="CE396" s="41"/>
      <c r="CF396" s="41"/>
      <c r="CG396" s="41"/>
      <c r="CH396" s="41">
        <f t="shared" si="47"/>
        <v>0</v>
      </c>
      <c r="CI396" s="41">
        <f t="shared" si="45"/>
        <v>0</v>
      </c>
    </row>
    <row r="397" spans="8:87" x14ac:dyDescent="0.25">
      <c r="H397" s="81" t="str">
        <f>IF(Data_NaamPersoonNatVerloop374="","",Data_NaamPersoonNatVerloop374)</f>
        <v/>
      </c>
      <c r="I397" s="41"/>
      <c r="J397" s="41"/>
      <c r="K397" s="83" t="str">
        <f>IF(Data_BeeindigingsdatumNatVerloop374="","",Data_BeeindigingsdatumNatVerloop374)</f>
        <v/>
      </c>
      <c r="L397" s="41"/>
      <c r="M397" s="41"/>
      <c r="N397" s="82" t="str">
        <f>IF(Data_LoonkostenNatVerloop374="","",Data_LoonkostenNatVerloop374)</f>
        <v/>
      </c>
      <c r="O397" s="41"/>
      <c r="P397" s="276" t="s">
        <v>160</v>
      </c>
      <c r="Q397" s="41"/>
      <c r="R397" s="76" t="s">
        <v>160</v>
      </c>
      <c r="S397" s="41"/>
      <c r="T397" s="41"/>
      <c r="U397" s="41"/>
      <c r="V397" s="41"/>
      <c r="W397" s="41">
        <f t="shared" si="40"/>
        <v>0</v>
      </c>
      <c r="X397" s="77" t="str">
        <f t="shared" si="46"/>
        <v/>
      </c>
      <c r="AG397" s="81" t="str">
        <f>IF(Data_NaamPersoonTijd374="","",Data_NaamPersoonTijd374)</f>
        <v/>
      </c>
      <c r="AH397" s="41"/>
      <c r="AI397" s="41"/>
      <c r="AJ397" s="83" t="str">
        <f>IF(Data_BeeindigingsdatumTijd374="","",Data_BeeindigingsdatumTijd374)</f>
        <v/>
      </c>
      <c r="AK397" s="41"/>
      <c r="AL397" s="41"/>
      <c r="AM397" s="82" t="str">
        <f>IF(Data_LoonkostenTijd374="","",Data_LoonkostenTijd374)</f>
        <v/>
      </c>
      <c r="AN397" s="41"/>
      <c r="AO397" s="276" t="str">
        <f>IF(Data_PersoonAanUitTijd374=-1,"v","")</f>
        <v/>
      </c>
      <c r="AP397" s="41"/>
      <c r="AQ397" s="76" t="s">
        <v>160</v>
      </c>
      <c r="AR397" s="41"/>
      <c r="AS397" s="41"/>
      <c r="AT397" s="41"/>
      <c r="AU397" s="41"/>
      <c r="AV397" s="41">
        <f t="shared" si="41"/>
        <v>0</v>
      </c>
      <c r="AW397" s="77">
        <f t="shared" si="42"/>
        <v>0</v>
      </c>
      <c r="AX397" s="41"/>
      <c r="AY397" s="41"/>
      <c r="AZ397" s="41"/>
      <c r="BA397" s="81" t="str">
        <f>IF(Data_NaamPersoonVastVrij374="","",Data_NaamPersoonVastVrij374)</f>
        <v/>
      </c>
      <c r="BB397" s="41"/>
      <c r="BC397" s="41"/>
      <c r="BD397" s="83" t="str">
        <f>IF(Data_BeeindigingsdatumVastVrij374="","",Data_BeeindigingsdatumVastVrij374)</f>
        <v/>
      </c>
      <c r="BE397" s="41"/>
      <c r="BF397" s="41"/>
      <c r="BG397" s="82" t="str">
        <f>IF(Data_LoonkostenVastVrij374="","",Data_LoonkostenVastVrij374)</f>
        <v/>
      </c>
      <c r="BH397" s="41"/>
      <c r="BI397" s="76" t="str">
        <f>IF(Data_PersoonAanUitVastVrij374=-1,"v","")</f>
        <v/>
      </c>
      <c r="BJ397" s="41"/>
      <c r="BK397" s="76" t="s">
        <v>160</v>
      </c>
      <c r="BL397" s="41"/>
      <c r="BM397" s="41"/>
      <c r="BN397" s="41"/>
      <c r="BO397" s="41"/>
      <c r="BP397" s="41">
        <f t="shared" si="43"/>
        <v>0</v>
      </c>
      <c r="BQ397" s="77">
        <f t="shared" si="44"/>
        <v>0</v>
      </c>
      <c r="BS397" s="81" t="str">
        <f>IF(Data_NaamPersoonVastOntslag374="","",Data_NaamPersoonVastOntslag374)</f>
        <v/>
      </c>
      <c r="BV397" s="83" t="str">
        <f>IF(Data_BeeindigingsdatumVastOntslag374="","",Data_BeeindigingsdatumVastOntslag374)</f>
        <v/>
      </c>
      <c r="BY397" s="82" t="str">
        <f>IF(Data_LoonkostenVastOntslag374="","",Data_LoonkostenVastOntslag374)</f>
        <v/>
      </c>
      <c r="CA397" s="76" t="str">
        <f>IF(Data_PersoonAanUitVastOntslag374=-1,"v","")</f>
        <v/>
      </c>
      <c r="CB397" s="41"/>
      <c r="CC397" s="76" t="s">
        <v>160</v>
      </c>
      <c r="CD397" s="41"/>
      <c r="CE397" s="41"/>
      <c r="CF397" s="41"/>
      <c r="CG397" s="41"/>
      <c r="CH397" s="41">
        <f t="shared" si="47"/>
        <v>0</v>
      </c>
      <c r="CI397" s="41">
        <f t="shared" si="45"/>
        <v>0</v>
      </c>
    </row>
    <row r="398" spans="8:87" x14ac:dyDescent="0.25">
      <c r="H398" s="81" t="str">
        <f>IF(Data_NaamPersoonNatVerloop375="","",Data_NaamPersoonNatVerloop375)</f>
        <v/>
      </c>
      <c r="I398" s="41"/>
      <c r="J398" s="41"/>
      <c r="K398" s="83" t="str">
        <f>IF(Data_BeeindigingsdatumNatVerloop375="","",Data_BeeindigingsdatumNatVerloop375)</f>
        <v/>
      </c>
      <c r="L398" s="41"/>
      <c r="M398" s="41"/>
      <c r="N398" s="82" t="str">
        <f>IF(Data_LoonkostenNatVerloop375="","",Data_LoonkostenNatVerloop375)</f>
        <v/>
      </c>
      <c r="O398" s="41"/>
      <c r="P398" s="276" t="s">
        <v>160</v>
      </c>
      <c r="Q398" s="41"/>
      <c r="R398" s="76" t="s">
        <v>160</v>
      </c>
      <c r="S398" s="41"/>
      <c r="T398" s="41"/>
      <c r="U398" s="41"/>
      <c r="V398" s="41"/>
      <c r="W398" s="41">
        <f t="shared" si="40"/>
        <v>0</v>
      </c>
      <c r="X398" s="77" t="str">
        <f t="shared" si="46"/>
        <v/>
      </c>
      <c r="AG398" s="81" t="str">
        <f>IF(Data_NaamPersoonTijd375="","",Data_NaamPersoonTijd375)</f>
        <v/>
      </c>
      <c r="AH398" s="41"/>
      <c r="AI398" s="41"/>
      <c r="AJ398" s="83" t="str">
        <f>IF(Data_BeeindigingsdatumTijd375="","",Data_BeeindigingsdatumTijd375)</f>
        <v/>
      </c>
      <c r="AK398" s="41"/>
      <c r="AL398" s="41"/>
      <c r="AM398" s="82" t="str">
        <f>IF(Data_LoonkostenTijd375="","",Data_LoonkostenTijd375)</f>
        <v/>
      </c>
      <c r="AN398" s="41"/>
      <c r="AO398" s="276" t="str">
        <f>IF(Data_PersoonAanUitTijd375=-1,"v","")</f>
        <v/>
      </c>
      <c r="AP398" s="41"/>
      <c r="AQ398" s="76" t="s">
        <v>160</v>
      </c>
      <c r="AR398" s="41"/>
      <c r="AS398" s="41"/>
      <c r="AT398" s="41"/>
      <c r="AU398" s="41"/>
      <c r="AV398" s="41">
        <f t="shared" si="41"/>
        <v>0</v>
      </c>
      <c r="AW398" s="77">
        <f t="shared" si="42"/>
        <v>0</v>
      </c>
      <c r="AX398" s="41"/>
      <c r="AY398" s="41"/>
      <c r="AZ398" s="41"/>
      <c r="BA398" s="81" t="str">
        <f>IF(Data_NaamPersoonVastVrij375="","",Data_NaamPersoonVastVrij375)</f>
        <v/>
      </c>
      <c r="BB398" s="41"/>
      <c r="BC398" s="41"/>
      <c r="BD398" s="83" t="str">
        <f>IF(Data_BeeindigingsdatumVastVrij375="","",Data_BeeindigingsdatumVastVrij375)</f>
        <v/>
      </c>
      <c r="BE398" s="41"/>
      <c r="BF398" s="41"/>
      <c r="BG398" s="82" t="str">
        <f>IF(Data_LoonkostenVastVrij375="","",Data_LoonkostenVastVrij375)</f>
        <v/>
      </c>
      <c r="BH398" s="41"/>
      <c r="BI398" s="76" t="str">
        <f>IF(Data_PersoonAanUitVastVrij375=-1,"v","")</f>
        <v/>
      </c>
      <c r="BJ398" s="41"/>
      <c r="BK398" s="76" t="s">
        <v>160</v>
      </c>
      <c r="BL398" s="41"/>
      <c r="BM398" s="41"/>
      <c r="BN398" s="41"/>
      <c r="BO398" s="41"/>
      <c r="BP398" s="41">
        <f t="shared" si="43"/>
        <v>0</v>
      </c>
      <c r="BQ398" s="77">
        <f t="shared" si="44"/>
        <v>0</v>
      </c>
      <c r="BS398" s="81" t="str">
        <f>IF(Data_NaamPersoonVastOntslag375="","",Data_NaamPersoonVastOntslag375)</f>
        <v/>
      </c>
      <c r="BV398" s="83" t="str">
        <f>IF(Data_BeeindigingsdatumVastOntslag375="","",Data_BeeindigingsdatumVastOntslag375)</f>
        <v/>
      </c>
      <c r="BY398" s="82" t="str">
        <f>IF(Data_LoonkostenVastOntslag375="","",Data_LoonkostenVastOntslag375)</f>
        <v/>
      </c>
      <c r="CA398" s="76" t="str">
        <f>IF(Data_PersoonAanUitVastOntslag375=-1,"v","")</f>
        <v/>
      </c>
      <c r="CB398" s="41"/>
      <c r="CC398" s="76" t="s">
        <v>160</v>
      </c>
      <c r="CD398" s="41"/>
      <c r="CE398" s="41"/>
      <c r="CF398" s="41"/>
      <c r="CG398" s="41"/>
      <c r="CH398" s="41">
        <f t="shared" si="47"/>
        <v>0</v>
      </c>
      <c r="CI398" s="41">
        <f t="shared" si="45"/>
        <v>0</v>
      </c>
    </row>
    <row r="399" spans="8:87" x14ac:dyDescent="0.25">
      <c r="H399" s="81" t="str">
        <f>IF(Data_NaamPersoonNatVerloop376="","",Data_NaamPersoonNatVerloop376)</f>
        <v/>
      </c>
      <c r="I399" s="41"/>
      <c r="J399" s="41"/>
      <c r="K399" s="83" t="str">
        <f>IF(Data_BeeindigingsdatumNatVerloop376="","",Data_BeeindigingsdatumNatVerloop376)</f>
        <v/>
      </c>
      <c r="L399" s="41"/>
      <c r="M399" s="41"/>
      <c r="N399" s="82" t="str">
        <f>IF(Data_LoonkostenNatVerloop376="","",Data_LoonkostenNatVerloop376)</f>
        <v/>
      </c>
      <c r="O399" s="41"/>
      <c r="P399" s="276" t="s">
        <v>160</v>
      </c>
      <c r="Q399" s="41"/>
      <c r="R399" s="76" t="s">
        <v>160</v>
      </c>
      <c r="S399" s="41"/>
      <c r="T399" s="41"/>
      <c r="U399" s="41"/>
      <c r="V399" s="41"/>
      <c r="W399" s="41">
        <f t="shared" si="40"/>
        <v>0</v>
      </c>
      <c r="X399" s="77" t="str">
        <f t="shared" si="46"/>
        <v/>
      </c>
      <c r="AG399" s="81" t="str">
        <f>IF(Data_NaamPersoonTijd376="","",Data_NaamPersoonTijd376)</f>
        <v/>
      </c>
      <c r="AH399" s="41"/>
      <c r="AI399" s="41"/>
      <c r="AJ399" s="83" t="str">
        <f>IF(Data_BeeindigingsdatumTijd376="","",Data_BeeindigingsdatumTijd376)</f>
        <v/>
      </c>
      <c r="AK399" s="41"/>
      <c r="AL399" s="41"/>
      <c r="AM399" s="82" t="str">
        <f>IF(Data_LoonkostenTijd376="","",Data_LoonkostenTijd376)</f>
        <v/>
      </c>
      <c r="AN399" s="41"/>
      <c r="AO399" s="276" t="str">
        <f>IF(Data_PersoonAanUitTijd376=-1,"v","")</f>
        <v/>
      </c>
      <c r="AP399" s="41"/>
      <c r="AQ399" s="76" t="s">
        <v>160</v>
      </c>
      <c r="AR399" s="41"/>
      <c r="AS399" s="41"/>
      <c r="AT399" s="41"/>
      <c r="AU399" s="41"/>
      <c r="AV399" s="41">
        <f t="shared" si="41"/>
        <v>0</v>
      </c>
      <c r="AW399" s="77">
        <f t="shared" si="42"/>
        <v>0</v>
      </c>
      <c r="AX399" s="41"/>
      <c r="AY399" s="41"/>
      <c r="AZ399" s="41"/>
      <c r="BA399" s="81" t="str">
        <f>IF(Data_NaamPersoonVastVrij376="","",Data_NaamPersoonVastVrij376)</f>
        <v/>
      </c>
      <c r="BB399" s="41"/>
      <c r="BC399" s="41"/>
      <c r="BD399" s="83" t="str">
        <f>IF(Data_BeeindigingsdatumVastVrij376="","",Data_BeeindigingsdatumVastVrij376)</f>
        <v/>
      </c>
      <c r="BE399" s="41"/>
      <c r="BF399" s="41"/>
      <c r="BG399" s="82" t="str">
        <f>IF(Data_LoonkostenVastVrij376="","",Data_LoonkostenVastVrij376)</f>
        <v/>
      </c>
      <c r="BH399" s="41"/>
      <c r="BI399" s="76" t="str">
        <f>IF(Data_PersoonAanUitVastVrij376=-1,"v","")</f>
        <v/>
      </c>
      <c r="BJ399" s="41"/>
      <c r="BK399" s="76" t="s">
        <v>160</v>
      </c>
      <c r="BL399" s="41"/>
      <c r="BM399" s="41"/>
      <c r="BN399" s="41"/>
      <c r="BO399" s="41"/>
      <c r="BP399" s="41">
        <f t="shared" si="43"/>
        <v>0</v>
      </c>
      <c r="BQ399" s="77">
        <f t="shared" si="44"/>
        <v>0</v>
      </c>
      <c r="BS399" s="81" t="str">
        <f>IF(Data_NaamPersoonVastOntslag376="","",Data_NaamPersoonVastOntslag376)</f>
        <v/>
      </c>
      <c r="BV399" s="83" t="str">
        <f>IF(Data_BeeindigingsdatumVastOntslag376="","",Data_BeeindigingsdatumVastOntslag376)</f>
        <v/>
      </c>
      <c r="BY399" s="82" t="str">
        <f>IF(Data_LoonkostenVastOntslag376="","",Data_LoonkostenVastOntslag376)</f>
        <v/>
      </c>
      <c r="CA399" s="76" t="str">
        <f>IF(Data_PersoonAanUitVastOntslag376=-1,"v","")</f>
        <v/>
      </c>
      <c r="CB399" s="41"/>
      <c r="CC399" s="76" t="s">
        <v>160</v>
      </c>
      <c r="CD399" s="41"/>
      <c r="CE399" s="41"/>
      <c r="CF399" s="41"/>
      <c r="CG399" s="41"/>
      <c r="CH399" s="41">
        <f t="shared" si="47"/>
        <v>0</v>
      </c>
      <c r="CI399" s="41">
        <f t="shared" si="45"/>
        <v>0</v>
      </c>
    </row>
    <row r="400" spans="8:87" x14ac:dyDescent="0.25">
      <c r="H400" s="81" t="str">
        <f>IF(Data_NaamPersoonNatVerloop377="","",Data_NaamPersoonNatVerloop377)</f>
        <v/>
      </c>
      <c r="I400" s="41"/>
      <c r="J400" s="41"/>
      <c r="K400" s="83" t="str">
        <f>IF(Data_BeeindigingsdatumNatVerloop377="","",Data_BeeindigingsdatumNatVerloop377)</f>
        <v/>
      </c>
      <c r="L400" s="41"/>
      <c r="M400" s="41"/>
      <c r="N400" s="82" t="str">
        <f>IF(Data_LoonkostenNatVerloop377="","",Data_LoonkostenNatVerloop377)</f>
        <v/>
      </c>
      <c r="O400" s="41"/>
      <c r="P400" s="276" t="s">
        <v>160</v>
      </c>
      <c r="Q400" s="41"/>
      <c r="R400" s="76" t="s">
        <v>160</v>
      </c>
      <c r="S400" s="41"/>
      <c r="T400" s="41"/>
      <c r="U400" s="41"/>
      <c r="V400" s="41"/>
      <c r="W400" s="41">
        <f t="shared" si="40"/>
        <v>0</v>
      </c>
      <c r="X400" s="77" t="str">
        <f t="shared" si="46"/>
        <v/>
      </c>
      <c r="AG400" s="81" t="str">
        <f>IF(Data_NaamPersoonTijd377="","",Data_NaamPersoonTijd377)</f>
        <v/>
      </c>
      <c r="AH400" s="41"/>
      <c r="AI400" s="41"/>
      <c r="AJ400" s="83" t="str">
        <f>IF(Data_BeeindigingsdatumTijd377="","",Data_BeeindigingsdatumTijd377)</f>
        <v/>
      </c>
      <c r="AK400" s="41"/>
      <c r="AL400" s="41"/>
      <c r="AM400" s="82" t="str">
        <f>IF(Data_LoonkostenTijd377="","",Data_LoonkostenTijd377)</f>
        <v/>
      </c>
      <c r="AN400" s="41"/>
      <c r="AO400" s="276" t="str">
        <f>IF(Data_PersoonAanUitTijd377=-1,"v","")</f>
        <v/>
      </c>
      <c r="AP400" s="41"/>
      <c r="AQ400" s="76" t="s">
        <v>160</v>
      </c>
      <c r="AR400" s="41"/>
      <c r="AS400" s="41"/>
      <c r="AT400" s="41"/>
      <c r="AU400" s="41"/>
      <c r="AV400" s="41">
        <f t="shared" si="41"/>
        <v>0</v>
      </c>
      <c r="AW400" s="77">
        <f t="shared" si="42"/>
        <v>0</v>
      </c>
      <c r="AX400" s="41"/>
      <c r="AY400" s="41"/>
      <c r="AZ400" s="41"/>
      <c r="BA400" s="81" t="str">
        <f>IF(Data_NaamPersoonVastVrij377="","",Data_NaamPersoonVastVrij377)</f>
        <v/>
      </c>
      <c r="BB400" s="41"/>
      <c r="BC400" s="41"/>
      <c r="BD400" s="83" t="str">
        <f>IF(Data_BeeindigingsdatumVastVrij377="","",Data_BeeindigingsdatumVastVrij377)</f>
        <v/>
      </c>
      <c r="BE400" s="41"/>
      <c r="BF400" s="41"/>
      <c r="BG400" s="82" t="str">
        <f>IF(Data_LoonkostenVastVrij377="","",Data_LoonkostenVastVrij377)</f>
        <v/>
      </c>
      <c r="BH400" s="41"/>
      <c r="BI400" s="76" t="str">
        <f>IF(Data_PersoonAanUitVastVrij377=-1,"v","")</f>
        <v/>
      </c>
      <c r="BJ400" s="41"/>
      <c r="BK400" s="76" t="s">
        <v>160</v>
      </c>
      <c r="BL400" s="41"/>
      <c r="BM400" s="41"/>
      <c r="BN400" s="41"/>
      <c r="BO400" s="41"/>
      <c r="BP400" s="41">
        <f t="shared" si="43"/>
        <v>0</v>
      </c>
      <c r="BQ400" s="77">
        <f t="shared" si="44"/>
        <v>0</v>
      </c>
      <c r="BS400" s="81" t="str">
        <f>IF(Data_NaamPersoonVastOntslag377="","",Data_NaamPersoonVastOntslag377)</f>
        <v/>
      </c>
      <c r="BV400" s="83" t="str">
        <f>IF(Data_BeeindigingsdatumVastOntslag377="","",Data_BeeindigingsdatumVastOntslag377)</f>
        <v/>
      </c>
      <c r="BY400" s="82" t="str">
        <f>IF(Data_LoonkostenVastOntslag377="","",Data_LoonkostenVastOntslag377)</f>
        <v/>
      </c>
      <c r="CA400" s="76" t="str">
        <f>IF(Data_PersoonAanUitVastOntslag377=-1,"v","")</f>
        <v/>
      </c>
      <c r="CB400" s="41"/>
      <c r="CC400" s="76" t="s">
        <v>160</v>
      </c>
      <c r="CD400" s="41"/>
      <c r="CE400" s="41"/>
      <c r="CF400" s="41"/>
      <c r="CG400" s="41"/>
      <c r="CH400" s="41">
        <f t="shared" si="47"/>
        <v>0</v>
      </c>
      <c r="CI400" s="41">
        <f t="shared" si="45"/>
        <v>0</v>
      </c>
    </row>
    <row r="401" spans="8:87" x14ac:dyDescent="0.25">
      <c r="H401" s="81" t="str">
        <f>IF(Data_NaamPersoonNatVerloop378="","",Data_NaamPersoonNatVerloop378)</f>
        <v/>
      </c>
      <c r="I401" s="41"/>
      <c r="J401" s="41"/>
      <c r="K401" s="83" t="str">
        <f>IF(Data_BeeindigingsdatumNatVerloop378="","",Data_BeeindigingsdatumNatVerloop378)</f>
        <v/>
      </c>
      <c r="L401" s="41"/>
      <c r="M401" s="41"/>
      <c r="N401" s="82" t="str">
        <f>IF(Data_LoonkostenNatVerloop378="","",Data_LoonkostenNatVerloop378)</f>
        <v/>
      </c>
      <c r="O401" s="41"/>
      <c r="P401" s="276" t="s">
        <v>160</v>
      </c>
      <c r="Q401" s="41"/>
      <c r="R401" s="76" t="s">
        <v>160</v>
      </c>
      <c r="S401" s="41"/>
      <c r="T401" s="41"/>
      <c r="U401" s="41"/>
      <c r="V401" s="41"/>
      <c r="W401" s="41">
        <f t="shared" si="40"/>
        <v>0</v>
      </c>
      <c r="X401" s="77" t="str">
        <f t="shared" si="46"/>
        <v/>
      </c>
      <c r="AG401" s="81" t="str">
        <f>IF(Data_NaamPersoonTijd378="","",Data_NaamPersoonTijd378)</f>
        <v/>
      </c>
      <c r="AH401" s="41"/>
      <c r="AI401" s="41"/>
      <c r="AJ401" s="83" t="str">
        <f>IF(Data_BeeindigingsdatumTijd378="","",Data_BeeindigingsdatumTijd378)</f>
        <v/>
      </c>
      <c r="AK401" s="41"/>
      <c r="AL401" s="41"/>
      <c r="AM401" s="82" t="str">
        <f>IF(Data_LoonkostenTijd378="","",Data_LoonkostenTijd378)</f>
        <v/>
      </c>
      <c r="AN401" s="41"/>
      <c r="AO401" s="276" t="str">
        <f>IF(Data_PersoonAanUitTijd378=-1,"v","")</f>
        <v/>
      </c>
      <c r="AP401" s="41"/>
      <c r="AQ401" s="76" t="s">
        <v>160</v>
      </c>
      <c r="AR401" s="41"/>
      <c r="AS401" s="41"/>
      <c r="AT401" s="41"/>
      <c r="AU401" s="41"/>
      <c r="AV401" s="41">
        <f t="shared" si="41"/>
        <v>0</v>
      </c>
      <c r="AW401" s="77">
        <f t="shared" si="42"/>
        <v>0</v>
      </c>
      <c r="AX401" s="41"/>
      <c r="AY401" s="41"/>
      <c r="AZ401" s="41"/>
      <c r="BA401" s="81" t="str">
        <f>IF(Data_NaamPersoonVastVrij378="","",Data_NaamPersoonVastVrij378)</f>
        <v/>
      </c>
      <c r="BB401" s="41"/>
      <c r="BC401" s="41"/>
      <c r="BD401" s="83" t="str">
        <f>IF(Data_BeeindigingsdatumVastVrij378="","",Data_BeeindigingsdatumVastVrij378)</f>
        <v/>
      </c>
      <c r="BE401" s="41"/>
      <c r="BF401" s="41"/>
      <c r="BG401" s="82" t="str">
        <f>IF(Data_LoonkostenVastVrij378="","",Data_LoonkostenVastVrij378)</f>
        <v/>
      </c>
      <c r="BH401" s="41"/>
      <c r="BI401" s="76" t="str">
        <f>IF(Data_PersoonAanUitVastVrij378=-1,"v","")</f>
        <v/>
      </c>
      <c r="BJ401" s="41"/>
      <c r="BK401" s="76" t="s">
        <v>160</v>
      </c>
      <c r="BL401" s="41"/>
      <c r="BM401" s="41"/>
      <c r="BN401" s="41"/>
      <c r="BO401" s="41"/>
      <c r="BP401" s="41">
        <f t="shared" si="43"/>
        <v>0</v>
      </c>
      <c r="BQ401" s="77">
        <f t="shared" si="44"/>
        <v>0</v>
      </c>
      <c r="BS401" s="81" t="str">
        <f>IF(Data_NaamPersoonVastOntslag378="","",Data_NaamPersoonVastOntslag378)</f>
        <v/>
      </c>
      <c r="BV401" s="83" t="str">
        <f>IF(Data_BeeindigingsdatumVastOntslag378="","",Data_BeeindigingsdatumVastOntslag378)</f>
        <v/>
      </c>
      <c r="BY401" s="82" t="str">
        <f>IF(Data_LoonkostenVastOntslag378="","",Data_LoonkostenVastOntslag378)</f>
        <v/>
      </c>
      <c r="CA401" s="76" t="str">
        <f>IF(Data_PersoonAanUitVastOntslag378=-1,"v","")</f>
        <v/>
      </c>
      <c r="CB401" s="41"/>
      <c r="CC401" s="76" t="s">
        <v>160</v>
      </c>
      <c r="CD401" s="41"/>
      <c r="CE401" s="41"/>
      <c r="CF401" s="41"/>
      <c r="CG401" s="41"/>
      <c r="CH401" s="41">
        <f t="shared" si="47"/>
        <v>0</v>
      </c>
      <c r="CI401" s="41">
        <f t="shared" si="45"/>
        <v>0</v>
      </c>
    </row>
    <row r="402" spans="8:87" x14ac:dyDescent="0.25">
      <c r="H402" s="81" t="str">
        <f>IF(Data_NaamPersoonNatVerloop379="","",Data_NaamPersoonNatVerloop379)</f>
        <v/>
      </c>
      <c r="I402" s="41"/>
      <c r="J402" s="41"/>
      <c r="K402" s="83" t="str">
        <f>IF(Data_BeeindigingsdatumNatVerloop379="","",Data_BeeindigingsdatumNatVerloop379)</f>
        <v/>
      </c>
      <c r="L402" s="41"/>
      <c r="M402" s="41"/>
      <c r="N402" s="82" t="str">
        <f>IF(Data_LoonkostenNatVerloop379="","",Data_LoonkostenNatVerloop379)</f>
        <v/>
      </c>
      <c r="O402" s="41"/>
      <c r="P402" s="276" t="s">
        <v>160</v>
      </c>
      <c r="Q402" s="41"/>
      <c r="R402" s="76" t="s">
        <v>160</v>
      </c>
      <c r="S402" s="41"/>
      <c r="T402" s="41"/>
      <c r="U402" s="41"/>
      <c r="V402" s="41"/>
      <c r="W402" s="41">
        <f t="shared" si="40"/>
        <v>0</v>
      </c>
      <c r="X402" s="77" t="str">
        <f t="shared" si="46"/>
        <v/>
      </c>
      <c r="AG402" s="81" t="str">
        <f>IF(Data_NaamPersoonTijd379="","",Data_NaamPersoonTijd379)</f>
        <v/>
      </c>
      <c r="AH402" s="41"/>
      <c r="AI402" s="41"/>
      <c r="AJ402" s="83" t="str">
        <f>IF(Data_BeeindigingsdatumTijd379="","",Data_BeeindigingsdatumTijd379)</f>
        <v/>
      </c>
      <c r="AK402" s="41"/>
      <c r="AL402" s="41"/>
      <c r="AM402" s="82" t="str">
        <f>IF(Data_LoonkostenTijd379="","",Data_LoonkostenTijd379)</f>
        <v/>
      </c>
      <c r="AN402" s="41"/>
      <c r="AO402" s="276" t="str">
        <f>IF(Data_PersoonAanUitTijd379=-1,"v","")</f>
        <v/>
      </c>
      <c r="AP402" s="41"/>
      <c r="AQ402" s="76" t="s">
        <v>160</v>
      </c>
      <c r="AR402" s="41"/>
      <c r="AS402" s="41"/>
      <c r="AT402" s="41"/>
      <c r="AU402" s="41"/>
      <c r="AV402" s="41">
        <f t="shared" si="41"/>
        <v>0</v>
      </c>
      <c r="AW402" s="77">
        <f t="shared" si="42"/>
        <v>0</v>
      </c>
      <c r="AX402" s="41"/>
      <c r="AY402" s="41"/>
      <c r="AZ402" s="41"/>
      <c r="BA402" s="81" t="str">
        <f>IF(Data_NaamPersoonVastVrij379="","",Data_NaamPersoonVastVrij379)</f>
        <v/>
      </c>
      <c r="BB402" s="41"/>
      <c r="BC402" s="41"/>
      <c r="BD402" s="83" t="str">
        <f>IF(Data_BeeindigingsdatumVastVrij379="","",Data_BeeindigingsdatumVastVrij379)</f>
        <v/>
      </c>
      <c r="BE402" s="41"/>
      <c r="BF402" s="41"/>
      <c r="BG402" s="82" t="str">
        <f>IF(Data_LoonkostenVastVrij379="","",Data_LoonkostenVastVrij379)</f>
        <v/>
      </c>
      <c r="BH402" s="41"/>
      <c r="BI402" s="76" t="str">
        <f>IF(Data_PersoonAanUitVastVrij379=-1,"v","")</f>
        <v/>
      </c>
      <c r="BJ402" s="41"/>
      <c r="BK402" s="76" t="s">
        <v>160</v>
      </c>
      <c r="BL402" s="41"/>
      <c r="BM402" s="41"/>
      <c r="BN402" s="41"/>
      <c r="BO402" s="41"/>
      <c r="BP402" s="41">
        <f t="shared" si="43"/>
        <v>0</v>
      </c>
      <c r="BQ402" s="77">
        <f t="shared" si="44"/>
        <v>0</v>
      </c>
      <c r="BS402" s="81" t="str">
        <f>IF(Data_NaamPersoonVastOntslag379="","",Data_NaamPersoonVastOntslag379)</f>
        <v/>
      </c>
      <c r="BV402" s="83" t="str">
        <f>IF(Data_BeeindigingsdatumVastOntslag379="","",Data_BeeindigingsdatumVastOntslag379)</f>
        <v/>
      </c>
      <c r="BY402" s="82" t="str">
        <f>IF(Data_LoonkostenVastOntslag379="","",Data_LoonkostenVastOntslag379)</f>
        <v/>
      </c>
      <c r="CA402" s="76" t="str">
        <f>IF(Data_PersoonAanUitVastOntslag379=-1,"v","")</f>
        <v/>
      </c>
      <c r="CB402" s="41"/>
      <c r="CC402" s="76" t="s">
        <v>160</v>
      </c>
      <c r="CD402" s="41"/>
      <c r="CE402" s="41"/>
      <c r="CF402" s="41"/>
      <c r="CG402" s="41"/>
      <c r="CH402" s="41">
        <f t="shared" si="47"/>
        <v>0</v>
      </c>
      <c r="CI402" s="41">
        <f t="shared" si="45"/>
        <v>0</v>
      </c>
    </row>
    <row r="403" spans="8:87" x14ac:dyDescent="0.25">
      <c r="H403" s="81" t="str">
        <f>IF(Data_NaamPersoonNatVerloop380="","",Data_NaamPersoonNatVerloop380)</f>
        <v/>
      </c>
      <c r="I403" s="41"/>
      <c r="J403" s="41"/>
      <c r="K403" s="83" t="str">
        <f>IF(Data_BeeindigingsdatumNatVerloop380="","",Data_BeeindigingsdatumNatVerloop380)</f>
        <v/>
      </c>
      <c r="L403" s="41"/>
      <c r="M403" s="41"/>
      <c r="N403" s="82" t="str">
        <f>IF(Data_LoonkostenNatVerloop380="","",Data_LoonkostenNatVerloop380)</f>
        <v/>
      </c>
      <c r="O403" s="41"/>
      <c r="P403" s="276" t="s">
        <v>160</v>
      </c>
      <c r="Q403" s="41"/>
      <c r="R403" s="76" t="s">
        <v>160</v>
      </c>
      <c r="S403" s="41"/>
      <c r="T403" s="41"/>
      <c r="U403" s="41"/>
      <c r="V403" s="41"/>
      <c r="W403" s="41">
        <f t="shared" si="40"/>
        <v>0</v>
      </c>
      <c r="X403" s="77" t="str">
        <f t="shared" si="46"/>
        <v/>
      </c>
      <c r="AG403" s="81" t="str">
        <f>IF(Data_NaamPersoonTijd380="","",Data_NaamPersoonTijd380)</f>
        <v/>
      </c>
      <c r="AH403" s="41"/>
      <c r="AI403" s="41"/>
      <c r="AJ403" s="83" t="str">
        <f>IF(Data_BeeindigingsdatumTijd380="","",Data_BeeindigingsdatumTijd380)</f>
        <v/>
      </c>
      <c r="AK403" s="41"/>
      <c r="AL403" s="41"/>
      <c r="AM403" s="82" t="str">
        <f>IF(Data_LoonkostenTijd380="","",Data_LoonkostenTijd380)</f>
        <v/>
      </c>
      <c r="AN403" s="41"/>
      <c r="AO403" s="276" t="str">
        <f>IF(Data_PersoonAanUitTijd380=-1,"v","")</f>
        <v/>
      </c>
      <c r="AP403" s="41"/>
      <c r="AQ403" s="76" t="s">
        <v>160</v>
      </c>
      <c r="AR403" s="41"/>
      <c r="AS403" s="41"/>
      <c r="AT403" s="41"/>
      <c r="AU403" s="41"/>
      <c r="AV403" s="41">
        <f t="shared" si="41"/>
        <v>0</v>
      </c>
      <c r="AW403" s="77">
        <f t="shared" si="42"/>
        <v>0</v>
      </c>
      <c r="AX403" s="41"/>
      <c r="AY403" s="41"/>
      <c r="AZ403" s="41"/>
      <c r="BA403" s="81" t="str">
        <f>IF(Data_NaamPersoonVastVrij380="","",Data_NaamPersoonVastVrij380)</f>
        <v/>
      </c>
      <c r="BB403" s="41"/>
      <c r="BC403" s="41"/>
      <c r="BD403" s="83" t="str">
        <f>IF(Data_BeeindigingsdatumVastVrij380="","",Data_BeeindigingsdatumVastVrij380)</f>
        <v/>
      </c>
      <c r="BE403" s="41"/>
      <c r="BF403" s="41"/>
      <c r="BG403" s="82" t="str">
        <f>IF(Data_LoonkostenVastVrij380="","",Data_LoonkostenVastVrij380)</f>
        <v/>
      </c>
      <c r="BH403" s="41"/>
      <c r="BI403" s="76" t="str">
        <f>IF(Data_PersoonAanUitVastVrij380=-1,"v","")</f>
        <v/>
      </c>
      <c r="BJ403" s="41"/>
      <c r="BK403" s="76" t="s">
        <v>160</v>
      </c>
      <c r="BL403" s="41"/>
      <c r="BM403" s="41"/>
      <c r="BN403" s="41"/>
      <c r="BO403" s="41"/>
      <c r="BP403" s="41">
        <f t="shared" si="43"/>
        <v>0</v>
      </c>
      <c r="BQ403" s="77">
        <f t="shared" si="44"/>
        <v>0</v>
      </c>
      <c r="BS403" s="81" t="str">
        <f>IF(Data_NaamPersoonVastOntslag380="","",Data_NaamPersoonVastOntslag380)</f>
        <v/>
      </c>
      <c r="BV403" s="83" t="str">
        <f>IF(Data_BeeindigingsdatumVastOntslag380="","",Data_BeeindigingsdatumVastOntslag380)</f>
        <v/>
      </c>
      <c r="BY403" s="82" t="str">
        <f>IF(Data_LoonkostenVastOntslag380="","",Data_LoonkostenVastOntslag380)</f>
        <v/>
      </c>
      <c r="CA403" s="76" t="str">
        <f>IF(Data_PersoonAanUitVastOntslag380=-1,"v","")</f>
        <v/>
      </c>
      <c r="CB403" s="41"/>
      <c r="CC403" s="76" t="s">
        <v>160</v>
      </c>
      <c r="CD403" s="41"/>
      <c r="CE403" s="41"/>
      <c r="CF403" s="41"/>
      <c r="CG403" s="41"/>
      <c r="CH403" s="41">
        <f t="shared" si="47"/>
        <v>0</v>
      </c>
      <c r="CI403" s="41">
        <f t="shared" si="45"/>
        <v>0</v>
      </c>
    </row>
    <row r="404" spans="8:87" x14ac:dyDescent="0.25">
      <c r="H404" s="81" t="str">
        <f>IF(Data_NaamPersoonNatVerloop381="","",Data_NaamPersoonNatVerloop381)</f>
        <v/>
      </c>
      <c r="I404" s="41"/>
      <c r="J404" s="41"/>
      <c r="K404" s="83" t="str">
        <f>IF(Data_BeeindigingsdatumNatVerloop381="","",Data_BeeindigingsdatumNatVerloop381)</f>
        <v/>
      </c>
      <c r="L404" s="41"/>
      <c r="M404" s="41"/>
      <c r="N404" s="82" t="str">
        <f>IF(Data_LoonkostenNatVerloop381="","",Data_LoonkostenNatVerloop381)</f>
        <v/>
      </c>
      <c r="O404" s="41"/>
      <c r="P404" s="276" t="s">
        <v>160</v>
      </c>
      <c r="Q404" s="41"/>
      <c r="R404" s="76" t="s">
        <v>160</v>
      </c>
      <c r="S404" s="41"/>
      <c r="T404" s="41"/>
      <c r="U404" s="41"/>
      <c r="V404" s="41"/>
      <c r="W404" s="41">
        <f t="shared" si="40"/>
        <v>0</v>
      </c>
      <c r="X404" s="77" t="str">
        <f t="shared" si="46"/>
        <v/>
      </c>
      <c r="AG404" s="81" t="str">
        <f>IF(Data_NaamPersoonTijd381="","",Data_NaamPersoonTijd381)</f>
        <v/>
      </c>
      <c r="AH404" s="41"/>
      <c r="AI404" s="41"/>
      <c r="AJ404" s="83" t="str">
        <f>IF(Data_BeeindigingsdatumTijd381="","",Data_BeeindigingsdatumTijd381)</f>
        <v/>
      </c>
      <c r="AK404" s="41"/>
      <c r="AL404" s="41"/>
      <c r="AM404" s="82" t="str">
        <f>IF(Data_LoonkostenTijd381="","",Data_LoonkostenTijd381)</f>
        <v/>
      </c>
      <c r="AN404" s="41"/>
      <c r="AO404" s="276" t="str">
        <f>IF(Data_PersoonAanUitTijd381=-1,"v","")</f>
        <v/>
      </c>
      <c r="AP404" s="41"/>
      <c r="AQ404" s="76" t="s">
        <v>160</v>
      </c>
      <c r="AR404" s="41"/>
      <c r="AS404" s="41"/>
      <c r="AT404" s="41"/>
      <c r="AU404" s="41"/>
      <c r="AV404" s="41">
        <f t="shared" si="41"/>
        <v>0</v>
      </c>
      <c r="AW404" s="77">
        <f t="shared" si="42"/>
        <v>0</v>
      </c>
      <c r="AX404" s="41"/>
      <c r="AY404" s="41"/>
      <c r="AZ404" s="41"/>
      <c r="BA404" s="81" t="str">
        <f>IF(Data_NaamPersoonVastVrij381="","",Data_NaamPersoonVastVrij381)</f>
        <v/>
      </c>
      <c r="BB404" s="41"/>
      <c r="BC404" s="41"/>
      <c r="BD404" s="83" t="str">
        <f>IF(Data_BeeindigingsdatumVastVrij381="","",Data_BeeindigingsdatumVastVrij381)</f>
        <v/>
      </c>
      <c r="BE404" s="41"/>
      <c r="BF404" s="41"/>
      <c r="BG404" s="82" t="str">
        <f>IF(Data_LoonkostenVastVrij381="","",Data_LoonkostenVastVrij381)</f>
        <v/>
      </c>
      <c r="BH404" s="41"/>
      <c r="BI404" s="76" t="str">
        <f>IF(Data_PersoonAanUitVastVrij381=-1,"v","")</f>
        <v/>
      </c>
      <c r="BJ404" s="41"/>
      <c r="BK404" s="76" t="s">
        <v>160</v>
      </c>
      <c r="BL404" s="41"/>
      <c r="BM404" s="41"/>
      <c r="BN404" s="41"/>
      <c r="BO404" s="41"/>
      <c r="BP404" s="41">
        <f t="shared" si="43"/>
        <v>0</v>
      </c>
      <c r="BQ404" s="77">
        <f t="shared" si="44"/>
        <v>0</v>
      </c>
      <c r="BS404" s="81" t="str">
        <f>IF(Data_NaamPersoonVastOntslag381="","",Data_NaamPersoonVastOntslag381)</f>
        <v/>
      </c>
      <c r="BV404" s="83" t="str">
        <f>IF(Data_BeeindigingsdatumVastOntslag381="","",Data_BeeindigingsdatumVastOntslag381)</f>
        <v/>
      </c>
      <c r="BY404" s="82" t="str">
        <f>IF(Data_LoonkostenVastOntslag381="","",Data_LoonkostenVastOntslag381)</f>
        <v/>
      </c>
      <c r="CA404" s="76" t="str">
        <f>IF(Data_PersoonAanUitVastOntslag381=-1,"v","")</f>
        <v/>
      </c>
      <c r="CB404" s="41"/>
      <c r="CC404" s="76" t="s">
        <v>160</v>
      </c>
      <c r="CD404" s="41"/>
      <c r="CE404" s="41"/>
      <c r="CF404" s="41"/>
      <c r="CG404" s="41"/>
      <c r="CH404" s="41">
        <f t="shared" si="47"/>
        <v>0</v>
      </c>
      <c r="CI404" s="41">
        <f t="shared" si="45"/>
        <v>0</v>
      </c>
    </row>
    <row r="405" spans="8:87" x14ac:dyDescent="0.25">
      <c r="H405" s="81" t="str">
        <f>IF(Data_NaamPersoonNatVerloop382="","",Data_NaamPersoonNatVerloop382)</f>
        <v/>
      </c>
      <c r="I405" s="41"/>
      <c r="J405" s="41"/>
      <c r="K405" s="83" t="str">
        <f>IF(Data_BeeindigingsdatumNatVerloop382="","",Data_BeeindigingsdatumNatVerloop382)</f>
        <v/>
      </c>
      <c r="L405" s="41"/>
      <c r="M405" s="41"/>
      <c r="N405" s="82" t="str">
        <f>IF(Data_LoonkostenNatVerloop382="","",Data_LoonkostenNatVerloop382)</f>
        <v/>
      </c>
      <c r="O405" s="41"/>
      <c r="P405" s="276" t="s">
        <v>160</v>
      </c>
      <c r="Q405" s="41"/>
      <c r="R405" s="76" t="s">
        <v>160</v>
      </c>
      <c r="S405" s="41"/>
      <c r="T405" s="41"/>
      <c r="U405" s="41"/>
      <c r="V405" s="41"/>
      <c r="W405" s="41">
        <f t="shared" si="40"/>
        <v>0</v>
      </c>
      <c r="X405" s="77" t="str">
        <f t="shared" si="46"/>
        <v/>
      </c>
      <c r="AG405" s="81" t="str">
        <f>IF(Data_NaamPersoonTijd382="","",Data_NaamPersoonTijd382)</f>
        <v/>
      </c>
      <c r="AH405" s="41"/>
      <c r="AI405" s="41"/>
      <c r="AJ405" s="83" t="str">
        <f>IF(Data_BeeindigingsdatumTijd382="","",Data_BeeindigingsdatumTijd382)</f>
        <v/>
      </c>
      <c r="AK405" s="41"/>
      <c r="AL405" s="41"/>
      <c r="AM405" s="82" t="str">
        <f>IF(Data_LoonkostenTijd382="","",Data_LoonkostenTijd382)</f>
        <v/>
      </c>
      <c r="AN405" s="41"/>
      <c r="AO405" s="276" t="str">
        <f>IF(Data_PersoonAanUitTijd382=-1,"v","")</f>
        <v/>
      </c>
      <c r="AP405" s="41"/>
      <c r="AQ405" s="76" t="s">
        <v>160</v>
      </c>
      <c r="AR405" s="41"/>
      <c r="AS405" s="41"/>
      <c r="AT405" s="41"/>
      <c r="AU405" s="41"/>
      <c r="AV405" s="41">
        <f t="shared" si="41"/>
        <v>0</v>
      </c>
      <c r="AW405" s="77">
        <f t="shared" si="42"/>
        <v>0</v>
      </c>
      <c r="AX405" s="41"/>
      <c r="AY405" s="41"/>
      <c r="AZ405" s="41"/>
      <c r="BA405" s="81" t="str">
        <f>IF(Data_NaamPersoonVastVrij382="","",Data_NaamPersoonVastVrij382)</f>
        <v/>
      </c>
      <c r="BB405" s="41"/>
      <c r="BC405" s="41"/>
      <c r="BD405" s="83" t="str">
        <f>IF(Data_BeeindigingsdatumVastVrij382="","",Data_BeeindigingsdatumVastVrij382)</f>
        <v/>
      </c>
      <c r="BE405" s="41"/>
      <c r="BF405" s="41"/>
      <c r="BG405" s="82" t="str">
        <f>IF(Data_LoonkostenVastVrij382="","",Data_LoonkostenVastVrij382)</f>
        <v/>
      </c>
      <c r="BH405" s="41"/>
      <c r="BI405" s="76" t="str">
        <f>IF(Data_PersoonAanUitVastVrij382=-1,"v","")</f>
        <v/>
      </c>
      <c r="BJ405" s="41"/>
      <c r="BK405" s="76" t="s">
        <v>160</v>
      </c>
      <c r="BL405" s="41"/>
      <c r="BM405" s="41"/>
      <c r="BN405" s="41"/>
      <c r="BO405" s="41"/>
      <c r="BP405" s="41">
        <f t="shared" si="43"/>
        <v>0</v>
      </c>
      <c r="BQ405" s="77">
        <f t="shared" si="44"/>
        <v>0</v>
      </c>
      <c r="BS405" s="81" t="str">
        <f>IF(Data_NaamPersoonVastOntslag382="","",Data_NaamPersoonVastOntslag382)</f>
        <v/>
      </c>
      <c r="BV405" s="83" t="str">
        <f>IF(Data_BeeindigingsdatumVastOntslag382="","",Data_BeeindigingsdatumVastOntslag382)</f>
        <v/>
      </c>
      <c r="BY405" s="82" t="str">
        <f>IF(Data_LoonkostenVastOntslag382="","",Data_LoonkostenVastOntslag382)</f>
        <v/>
      </c>
      <c r="CA405" s="76" t="str">
        <f>IF(Data_PersoonAanUitVastOntslag382=-1,"v","")</f>
        <v/>
      </c>
      <c r="CB405" s="41"/>
      <c r="CC405" s="76" t="s">
        <v>160</v>
      </c>
      <c r="CD405" s="41"/>
      <c r="CE405" s="41"/>
      <c r="CF405" s="41"/>
      <c r="CG405" s="41"/>
      <c r="CH405" s="41">
        <f t="shared" si="47"/>
        <v>0</v>
      </c>
      <c r="CI405" s="41">
        <f t="shared" si="45"/>
        <v>0</v>
      </c>
    </row>
    <row r="406" spans="8:87" x14ac:dyDescent="0.25">
      <c r="H406" s="81" t="str">
        <f>IF(Data_NaamPersoonNatVerloop383="","",Data_NaamPersoonNatVerloop383)</f>
        <v/>
      </c>
      <c r="I406" s="41"/>
      <c r="J406" s="41"/>
      <c r="K406" s="83" t="str">
        <f>IF(Data_BeeindigingsdatumNatVerloop383="","",Data_BeeindigingsdatumNatVerloop383)</f>
        <v/>
      </c>
      <c r="L406" s="41"/>
      <c r="M406" s="41"/>
      <c r="N406" s="82" t="str">
        <f>IF(Data_LoonkostenNatVerloop383="","",Data_LoonkostenNatVerloop383)</f>
        <v/>
      </c>
      <c r="O406" s="41"/>
      <c r="P406" s="276" t="s">
        <v>160</v>
      </c>
      <c r="Q406" s="41"/>
      <c r="R406" s="76" t="s">
        <v>160</v>
      </c>
      <c r="S406" s="41"/>
      <c r="T406" s="41"/>
      <c r="U406" s="41"/>
      <c r="V406" s="41"/>
      <c r="W406" s="41">
        <f t="shared" si="40"/>
        <v>0</v>
      </c>
      <c r="X406" s="77" t="str">
        <f t="shared" si="46"/>
        <v/>
      </c>
      <c r="AG406" s="81" t="str">
        <f>IF(Data_NaamPersoonTijd383="","",Data_NaamPersoonTijd383)</f>
        <v/>
      </c>
      <c r="AH406" s="41"/>
      <c r="AI406" s="41"/>
      <c r="AJ406" s="83" t="str">
        <f>IF(Data_BeeindigingsdatumTijd383="","",Data_BeeindigingsdatumTijd383)</f>
        <v/>
      </c>
      <c r="AK406" s="41"/>
      <c r="AL406" s="41"/>
      <c r="AM406" s="82" t="str">
        <f>IF(Data_LoonkostenTijd383="","",Data_LoonkostenTijd383)</f>
        <v/>
      </c>
      <c r="AN406" s="41"/>
      <c r="AO406" s="276" t="str">
        <f>IF(Data_PersoonAanUitTijd383=-1,"v","")</f>
        <v/>
      </c>
      <c r="AP406" s="41"/>
      <c r="AQ406" s="76" t="s">
        <v>160</v>
      </c>
      <c r="AR406" s="41"/>
      <c r="AS406" s="41"/>
      <c r="AT406" s="41"/>
      <c r="AU406" s="41"/>
      <c r="AV406" s="41">
        <f t="shared" si="41"/>
        <v>0</v>
      </c>
      <c r="AW406" s="77">
        <f t="shared" si="42"/>
        <v>0</v>
      </c>
      <c r="AX406" s="41"/>
      <c r="AY406" s="41"/>
      <c r="AZ406" s="41"/>
      <c r="BA406" s="81" t="str">
        <f>IF(Data_NaamPersoonVastVrij383="","",Data_NaamPersoonVastVrij383)</f>
        <v/>
      </c>
      <c r="BB406" s="41"/>
      <c r="BC406" s="41"/>
      <c r="BD406" s="83" t="str">
        <f>IF(Data_BeeindigingsdatumVastVrij383="","",Data_BeeindigingsdatumVastVrij383)</f>
        <v/>
      </c>
      <c r="BE406" s="41"/>
      <c r="BF406" s="41"/>
      <c r="BG406" s="82" t="str">
        <f>IF(Data_LoonkostenVastVrij383="","",Data_LoonkostenVastVrij383)</f>
        <v/>
      </c>
      <c r="BH406" s="41"/>
      <c r="BI406" s="76" t="str">
        <f>IF(Data_PersoonAanUitVastVrij383=-1,"v","")</f>
        <v/>
      </c>
      <c r="BJ406" s="41"/>
      <c r="BK406" s="76" t="s">
        <v>160</v>
      </c>
      <c r="BL406" s="41"/>
      <c r="BM406" s="41"/>
      <c r="BN406" s="41"/>
      <c r="BO406" s="41"/>
      <c r="BP406" s="41">
        <f t="shared" si="43"/>
        <v>0</v>
      </c>
      <c r="BQ406" s="77">
        <f t="shared" si="44"/>
        <v>0</v>
      </c>
      <c r="BS406" s="81" t="str">
        <f>IF(Data_NaamPersoonVastOntslag383="","",Data_NaamPersoonVastOntslag383)</f>
        <v/>
      </c>
      <c r="BV406" s="83" t="str">
        <f>IF(Data_BeeindigingsdatumVastOntslag383="","",Data_BeeindigingsdatumVastOntslag383)</f>
        <v/>
      </c>
      <c r="BY406" s="82" t="str">
        <f>IF(Data_LoonkostenVastOntslag383="","",Data_LoonkostenVastOntslag383)</f>
        <v/>
      </c>
      <c r="CA406" s="76" t="str">
        <f>IF(Data_PersoonAanUitVastOntslag383=-1,"v","")</f>
        <v/>
      </c>
      <c r="CB406" s="41"/>
      <c r="CC406" s="76" t="s">
        <v>160</v>
      </c>
      <c r="CD406" s="41"/>
      <c r="CE406" s="41"/>
      <c r="CF406" s="41"/>
      <c r="CG406" s="41"/>
      <c r="CH406" s="41">
        <f t="shared" si="47"/>
        <v>0</v>
      </c>
      <c r="CI406" s="41">
        <f t="shared" si="45"/>
        <v>0</v>
      </c>
    </row>
    <row r="407" spans="8:87" x14ac:dyDescent="0.25">
      <c r="H407" s="81" t="str">
        <f>IF(Data_NaamPersoonNatVerloop384="","",Data_NaamPersoonNatVerloop384)</f>
        <v/>
      </c>
      <c r="I407" s="41"/>
      <c r="J407" s="41"/>
      <c r="K407" s="83" t="str">
        <f>IF(Data_BeeindigingsdatumNatVerloop384="","",Data_BeeindigingsdatumNatVerloop384)</f>
        <v/>
      </c>
      <c r="L407" s="41"/>
      <c r="M407" s="41"/>
      <c r="N407" s="82" t="str">
        <f>IF(Data_LoonkostenNatVerloop384="","",Data_LoonkostenNatVerloop384)</f>
        <v/>
      </c>
      <c r="O407" s="41"/>
      <c r="P407" s="276" t="s">
        <v>160</v>
      </c>
      <c r="Q407" s="41"/>
      <c r="R407" s="76" t="s">
        <v>160</v>
      </c>
      <c r="S407" s="41"/>
      <c r="T407" s="41"/>
      <c r="U407" s="41"/>
      <c r="V407" s="41"/>
      <c r="W407" s="41">
        <f t="shared" si="40"/>
        <v>0</v>
      </c>
      <c r="X407" s="77" t="str">
        <f t="shared" si="46"/>
        <v/>
      </c>
      <c r="AG407" s="81" t="str">
        <f>IF(Data_NaamPersoonTijd384="","",Data_NaamPersoonTijd384)</f>
        <v/>
      </c>
      <c r="AH407" s="41"/>
      <c r="AI407" s="41"/>
      <c r="AJ407" s="83" t="str">
        <f>IF(Data_BeeindigingsdatumTijd384="","",Data_BeeindigingsdatumTijd384)</f>
        <v/>
      </c>
      <c r="AK407" s="41"/>
      <c r="AL407" s="41"/>
      <c r="AM407" s="82" t="str">
        <f>IF(Data_LoonkostenTijd384="","",Data_LoonkostenTijd384)</f>
        <v/>
      </c>
      <c r="AN407" s="41"/>
      <c r="AO407" s="276" t="str">
        <f>IF(Data_PersoonAanUitTijd384=-1,"v","")</f>
        <v/>
      </c>
      <c r="AP407" s="41"/>
      <c r="AQ407" s="76" t="s">
        <v>160</v>
      </c>
      <c r="AR407" s="41"/>
      <c r="AS407" s="41"/>
      <c r="AT407" s="41"/>
      <c r="AU407" s="41"/>
      <c r="AV407" s="41">
        <f t="shared" si="41"/>
        <v>0</v>
      </c>
      <c r="AW407" s="77">
        <f t="shared" si="42"/>
        <v>0</v>
      </c>
      <c r="AX407" s="41"/>
      <c r="AY407" s="41"/>
      <c r="AZ407" s="41"/>
      <c r="BA407" s="81" t="str">
        <f>IF(Data_NaamPersoonVastVrij384="","",Data_NaamPersoonVastVrij384)</f>
        <v/>
      </c>
      <c r="BB407" s="41"/>
      <c r="BC407" s="41"/>
      <c r="BD407" s="83" t="str">
        <f>IF(Data_BeeindigingsdatumVastVrij384="","",Data_BeeindigingsdatumVastVrij384)</f>
        <v/>
      </c>
      <c r="BE407" s="41"/>
      <c r="BF407" s="41"/>
      <c r="BG407" s="82" t="str">
        <f>IF(Data_LoonkostenVastVrij384="","",Data_LoonkostenVastVrij384)</f>
        <v/>
      </c>
      <c r="BH407" s="41"/>
      <c r="BI407" s="76" t="str">
        <f>IF(Data_PersoonAanUitVastVrij384=-1,"v","")</f>
        <v/>
      </c>
      <c r="BJ407" s="41"/>
      <c r="BK407" s="76" t="s">
        <v>160</v>
      </c>
      <c r="BL407" s="41"/>
      <c r="BM407" s="41"/>
      <c r="BN407" s="41"/>
      <c r="BO407" s="41"/>
      <c r="BP407" s="41">
        <f t="shared" si="43"/>
        <v>0</v>
      </c>
      <c r="BQ407" s="77">
        <f t="shared" si="44"/>
        <v>0</v>
      </c>
      <c r="BS407" s="81" t="str">
        <f>IF(Data_NaamPersoonVastOntslag384="","",Data_NaamPersoonVastOntslag384)</f>
        <v/>
      </c>
      <c r="BV407" s="83" t="str">
        <f>IF(Data_BeeindigingsdatumVastOntslag384="","",Data_BeeindigingsdatumVastOntslag384)</f>
        <v/>
      </c>
      <c r="BY407" s="82" t="str">
        <f>IF(Data_LoonkostenVastOntslag384="","",Data_LoonkostenVastOntslag384)</f>
        <v/>
      </c>
      <c r="CA407" s="76" t="str">
        <f>IF(Data_PersoonAanUitVastOntslag384=-1,"v","")</f>
        <v/>
      </c>
      <c r="CB407" s="41"/>
      <c r="CC407" s="76" t="s">
        <v>160</v>
      </c>
      <c r="CD407" s="41"/>
      <c r="CE407" s="41"/>
      <c r="CF407" s="41"/>
      <c r="CG407" s="41"/>
      <c r="CH407" s="41">
        <f t="shared" si="47"/>
        <v>0</v>
      </c>
      <c r="CI407" s="41">
        <f t="shared" si="45"/>
        <v>0</v>
      </c>
    </row>
    <row r="408" spans="8:87" x14ac:dyDescent="0.25">
      <c r="H408" s="81" t="str">
        <f>IF(Data_NaamPersoonNatVerloop385="","",Data_NaamPersoonNatVerloop385)</f>
        <v/>
      </c>
      <c r="I408" s="41"/>
      <c r="J408" s="41"/>
      <c r="K408" s="83" t="str">
        <f>IF(Data_BeeindigingsdatumNatVerloop385="","",Data_BeeindigingsdatumNatVerloop385)</f>
        <v/>
      </c>
      <c r="L408" s="41"/>
      <c r="M408" s="41"/>
      <c r="N408" s="82" t="str">
        <f>IF(Data_LoonkostenNatVerloop385="","",Data_LoonkostenNatVerloop385)</f>
        <v/>
      </c>
      <c r="O408" s="41"/>
      <c r="P408" s="276" t="s">
        <v>160</v>
      </c>
      <c r="Q408" s="41"/>
      <c r="R408" s="76" t="s">
        <v>160</v>
      </c>
      <c r="S408" s="41"/>
      <c r="T408" s="41"/>
      <c r="U408" s="41"/>
      <c r="V408" s="41"/>
      <c r="W408" s="41">
        <f t="shared" ref="W408:W471" si="48">IF($AO408="v",M408,T408)</f>
        <v>0</v>
      </c>
      <c r="X408" s="77" t="str">
        <f t="shared" si="46"/>
        <v/>
      </c>
      <c r="AG408" s="81" t="str">
        <f>IF(Data_NaamPersoonTijd385="","",Data_NaamPersoonTijd385)</f>
        <v/>
      </c>
      <c r="AH408" s="41"/>
      <c r="AI408" s="41"/>
      <c r="AJ408" s="83" t="str">
        <f>IF(Data_BeeindigingsdatumTijd385="","",Data_BeeindigingsdatumTijd385)</f>
        <v/>
      </c>
      <c r="AK408" s="41"/>
      <c r="AL408" s="41"/>
      <c r="AM408" s="82" t="str">
        <f>IF(Data_LoonkostenTijd385="","",Data_LoonkostenTijd385)</f>
        <v/>
      </c>
      <c r="AN408" s="41"/>
      <c r="AO408" s="276" t="str">
        <f>IF(Data_PersoonAanUitTijd385=-1,"v","")</f>
        <v/>
      </c>
      <c r="AP408" s="41"/>
      <c r="AQ408" s="76" t="s">
        <v>160</v>
      </c>
      <c r="AR408" s="41"/>
      <c r="AS408" s="41"/>
      <c r="AT408" s="41"/>
      <c r="AU408" s="41"/>
      <c r="AV408" s="41">
        <f t="shared" ref="AV408:AV471" si="49">IF($AO408="v",AL408,AS408)</f>
        <v>0</v>
      </c>
      <c r="AW408" s="77">
        <f t="shared" ref="AW408:AW471" si="50">IF(AND($AO408="v",$AQ408="v"),AM408,IF(AND($AO408="v",$AQ408&lt;&gt;"v"),AT408,0))</f>
        <v>0</v>
      </c>
      <c r="AX408" s="41"/>
      <c r="AY408" s="41"/>
      <c r="AZ408" s="41"/>
      <c r="BA408" s="81" t="str">
        <f>IF(Data_NaamPersoonVastVrij385="","",Data_NaamPersoonVastVrij385)</f>
        <v/>
      </c>
      <c r="BB408" s="41"/>
      <c r="BC408" s="41"/>
      <c r="BD408" s="83" t="str">
        <f>IF(Data_BeeindigingsdatumVastVrij385="","",Data_BeeindigingsdatumVastVrij385)</f>
        <v/>
      </c>
      <c r="BE408" s="41"/>
      <c r="BF408" s="41"/>
      <c r="BG408" s="82" t="str">
        <f>IF(Data_LoonkostenVastVrij385="","",Data_LoonkostenVastVrij385)</f>
        <v/>
      </c>
      <c r="BH408" s="41"/>
      <c r="BI408" s="76" t="str">
        <f>IF(Data_PersoonAanUitVastVrij385=-1,"v","")</f>
        <v/>
      </c>
      <c r="BJ408" s="41"/>
      <c r="BK408" s="76" t="s">
        <v>160</v>
      </c>
      <c r="BL408" s="41"/>
      <c r="BM408" s="41"/>
      <c r="BN408" s="41"/>
      <c r="BO408" s="41"/>
      <c r="BP408" s="41">
        <f t="shared" ref="BP408:BP471" si="51">IF($BI408="v",BF408,BM408)</f>
        <v>0</v>
      </c>
      <c r="BQ408" s="77">
        <f t="shared" ref="BQ408:BQ471" si="52">IF(AND($BI408="v",$BK408="v"),BG408,IF(AND($BI408="v",$BK408&lt;&gt;"v"),BN408,0))</f>
        <v>0</v>
      </c>
      <c r="BS408" s="81" t="str">
        <f>IF(Data_NaamPersoonVastOntslag385="","",Data_NaamPersoonVastOntslag385)</f>
        <v/>
      </c>
      <c r="BV408" s="83" t="str">
        <f>IF(Data_BeeindigingsdatumVastOntslag385="","",Data_BeeindigingsdatumVastOntslag385)</f>
        <v/>
      </c>
      <c r="BY408" s="82" t="str">
        <f>IF(Data_LoonkostenVastOntslag385="","",Data_LoonkostenVastOntslag385)</f>
        <v/>
      </c>
      <c r="CA408" s="76" t="str">
        <f>IF(Data_PersoonAanUitVastOntslag385=-1,"v","")</f>
        <v/>
      </c>
      <c r="CB408" s="41"/>
      <c r="CC408" s="76" t="s">
        <v>160</v>
      </c>
      <c r="CD408" s="41"/>
      <c r="CE408" s="41"/>
      <c r="CF408" s="41"/>
      <c r="CG408" s="41"/>
      <c r="CH408" s="41">
        <f t="shared" si="47"/>
        <v>0</v>
      </c>
      <c r="CI408" s="41">
        <f t="shared" ref="CI408:CI471" si="53">IF(AND($CA408="v",$CC408="v"),BY408,IF(AND($CA408="v",$CC408&lt;&gt;"v"),CF407,0))</f>
        <v>0</v>
      </c>
    </row>
    <row r="409" spans="8:87" x14ac:dyDescent="0.25">
      <c r="H409" s="81" t="str">
        <f>IF(Data_NaamPersoonNatVerloop386="","",Data_NaamPersoonNatVerloop386)</f>
        <v/>
      </c>
      <c r="I409" s="41"/>
      <c r="J409" s="41"/>
      <c r="K409" s="83" t="str">
        <f>IF(Data_BeeindigingsdatumNatVerloop386="","",Data_BeeindigingsdatumNatVerloop386)</f>
        <v/>
      </c>
      <c r="L409" s="41"/>
      <c r="M409" s="41"/>
      <c r="N409" s="82" t="str">
        <f>IF(Data_LoonkostenNatVerloop386="","",Data_LoonkostenNatVerloop386)</f>
        <v/>
      </c>
      <c r="O409" s="41"/>
      <c r="P409" s="276" t="s">
        <v>160</v>
      </c>
      <c r="Q409" s="41"/>
      <c r="R409" s="76" t="s">
        <v>160</v>
      </c>
      <c r="S409" s="41"/>
      <c r="T409" s="41"/>
      <c r="U409" s="41"/>
      <c r="V409" s="41"/>
      <c r="W409" s="41">
        <f t="shared" si="48"/>
        <v>0</v>
      </c>
      <c r="X409" s="77" t="str">
        <f t="shared" ref="X409:X472" si="54">IF(AND($P409="v",$R409="v"),N409,IF(AND($P409="v",$R409&lt;&gt;"v"),U409,0))</f>
        <v/>
      </c>
      <c r="AG409" s="81" t="str">
        <f>IF(Data_NaamPersoonTijd386="","",Data_NaamPersoonTijd386)</f>
        <v/>
      </c>
      <c r="AH409" s="41"/>
      <c r="AI409" s="41"/>
      <c r="AJ409" s="83" t="str">
        <f>IF(Data_BeeindigingsdatumTijd386="","",Data_BeeindigingsdatumTijd386)</f>
        <v/>
      </c>
      <c r="AK409" s="41"/>
      <c r="AL409" s="41"/>
      <c r="AM409" s="82" t="str">
        <f>IF(Data_LoonkostenTijd386="","",Data_LoonkostenTijd386)</f>
        <v/>
      </c>
      <c r="AN409" s="41"/>
      <c r="AO409" s="276" t="str">
        <f>IF(Data_PersoonAanUitTijd386=-1,"v","")</f>
        <v/>
      </c>
      <c r="AP409" s="41"/>
      <c r="AQ409" s="76" t="s">
        <v>160</v>
      </c>
      <c r="AR409" s="41"/>
      <c r="AS409" s="41"/>
      <c r="AT409" s="41"/>
      <c r="AU409" s="41"/>
      <c r="AV409" s="41">
        <f t="shared" si="49"/>
        <v>0</v>
      </c>
      <c r="AW409" s="77">
        <f t="shared" si="50"/>
        <v>0</v>
      </c>
      <c r="AX409" s="41"/>
      <c r="AY409" s="41"/>
      <c r="AZ409" s="41"/>
      <c r="BA409" s="81" t="str">
        <f>IF(Data_NaamPersoonVastVrij386="","",Data_NaamPersoonVastVrij386)</f>
        <v/>
      </c>
      <c r="BB409" s="41"/>
      <c r="BC409" s="41"/>
      <c r="BD409" s="83" t="str">
        <f>IF(Data_BeeindigingsdatumVastVrij386="","",Data_BeeindigingsdatumVastVrij386)</f>
        <v/>
      </c>
      <c r="BE409" s="41"/>
      <c r="BF409" s="41"/>
      <c r="BG409" s="82" t="str">
        <f>IF(Data_LoonkostenVastVrij386="","",Data_LoonkostenVastVrij386)</f>
        <v/>
      </c>
      <c r="BH409" s="41"/>
      <c r="BI409" s="76" t="str">
        <f>IF(Data_PersoonAanUitVastVrij386=-1,"v","")</f>
        <v/>
      </c>
      <c r="BJ409" s="41"/>
      <c r="BK409" s="76" t="s">
        <v>160</v>
      </c>
      <c r="BL409" s="41"/>
      <c r="BM409" s="41"/>
      <c r="BN409" s="41"/>
      <c r="BO409" s="41"/>
      <c r="BP409" s="41">
        <f t="shared" si="51"/>
        <v>0</v>
      </c>
      <c r="BQ409" s="77">
        <f t="shared" si="52"/>
        <v>0</v>
      </c>
      <c r="BS409" s="81" t="str">
        <f>IF(Data_NaamPersoonVastOntslag386="","",Data_NaamPersoonVastOntslag386)</f>
        <v/>
      </c>
      <c r="BV409" s="83" t="str">
        <f>IF(Data_BeeindigingsdatumVastOntslag386="","",Data_BeeindigingsdatumVastOntslag386)</f>
        <v/>
      </c>
      <c r="BY409" s="82" t="str">
        <f>IF(Data_LoonkostenVastOntslag386="","",Data_LoonkostenVastOntslag386)</f>
        <v/>
      </c>
      <c r="CA409" s="76" t="str">
        <f>IF(Data_PersoonAanUitVastOntslag386=-1,"v","")</f>
        <v/>
      </c>
      <c r="CB409" s="41"/>
      <c r="CC409" s="76" t="s">
        <v>160</v>
      </c>
      <c r="CD409" s="41"/>
      <c r="CE409" s="41"/>
      <c r="CF409" s="41"/>
      <c r="CG409" s="41"/>
      <c r="CH409" s="41">
        <f t="shared" ref="CH409:CH472" si="55">IF($CA409="v",BX409,CE409)</f>
        <v>0</v>
      </c>
      <c r="CI409" s="41">
        <f t="shared" si="53"/>
        <v>0</v>
      </c>
    </row>
    <row r="410" spans="8:87" x14ac:dyDescent="0.25">
      <c r="H410" s="81" t="str">
        <f>IF(Data_NaamPersoonNatVerloop387="","",Data_NaamPersoonNatVerloop387)</f>
        <v/>
      </c>
      <c r="I410" s="41"/>
      <c r="J410" s="41"/>
      <c r="K410" s="83" t="str">
        <f>IF(Data_BeeindigingsdatumNatVerloop387="","",Data_BeeindigingsdatumNatVerloop387)</f>
        <v/>
      </c>
      <c r="L410" s="41"/>
      <c r="M410" s="41"/>
      <c r="N410" s="82" t="str">
        <f>IF(Data_LoonkostenNatVerloop387="","",Data_LoonkostenNatVerloop387)</f>
        <v/>
      </c>
      <c r="O410" s="41"/>
      <c r="P410" s="276" t="s">
        <v>160</v>
      </c>
      <c r="Q410" s="41"/>
      <c r="R410" s="76" t="s">
        <v>160</v>
      </c>
      <c r="S410" s="41"/>
      <c r="T410" s="41"/>
      <c r="U410" s="41"/>
      <c r="V410" s="41"/>
      <c r="W410" s="41">
        <f t="shared" si="48"/>
        <v>0</v>
      </c>
      <c r="X410" s="77" t="str">
        <f t="shared" si="54"/>
        <v/>
      </c>
      <c r="AG410" s="81" t="str">
        <f>IF(Data_NaamPersoonTijd387="","",Data_NaamPersoonTijd387)</f>
        <v/>
      </c>
      <c r="AH410" s="41"/>
      <c r="AI410" s="41"/>
      <c r="AJ410" s="83" t="str">
        <f>IF(Data_BeeindigingsdatumTijd387="","",Data_BeeindigingsdatumTijd387)</f>
        <v/>
      </c>
      <c r="AK410" s="41"/>
      <c r="AL410" s="41"/>
      <c r="AM410" s="82" t="str">
        <f>IF(Data_LoonkostenTijd387="","",Data_LoonkostenTijd387)</f>
        <v/>
      </c>
      <c r="AN410" s="41"/>
      <c r="AO410" s="276" t="str">
        <f>IF(Data_PersoonAanUitTijd387=-1,"v","")</f>
        <v/>
      </c>
      <c r="AP410" s="41"/>
      <c r="AQ410" s="76" t="s">
        <v>160</v>
      </c>
      <c r="AR410" s="41"/>
      <c r="AS410" s="41"/>
      <c r="AT410" s="41"/>
      <c r="AU410" s="41"/>
      <c r="AV410" s="41">
        <f t="shared" si="49"/>
        <v>0</v>
      </c>
      <c r="AW410" s="77">
        <f t="shared" si="50"/>
        <v>0</v>
      </c>
      <c r="AX410" s="41"/>
      <c r="AY410" s="41"/>
      <c r="AZ410" s="41"/>
      <c r="BA410" s="81" t="str">
        <f>IF(Data_NaamPersoonVastVrij387="","",Data_NaamPersoonVastVrij387)</f>
        <v/>
      </c>
      <c r="BB410" s="41"/>
      <c r="BC410" s="41"/>
      <c r="BD410" s="83" t="str">
        <f>IF(Data_BeeindigingsdatumVastVrij387="","",Data_BeeindigingsdatumVastVrij387)</f>
        <v/>
      </c>
      <c r="BE410" s="41"/>
      <c r="BF410" s="41"/>
      <c r="BG410" s="82" t="str">
        <f>IF(Data_LoonkostenVastVrij387="","",Data_LoonkostenVastVrij387)</f>
        <v/>
      </c>
      <c r="BH410" s="41"/>
      <c r="BI410" s="76" t="str">
        <f>IF(Data_PersoonAanUitVastVrij387=-1,"v","")</f>
        <v/>
      </c>
      <c r="BJ410" s="41"/>
      <c r="BK410" s="76" t="s">
        <v>160</v>
      </c>
      <c r="BL410" s="41"/>
      <c r="BM410" s="41"/>
      <c r="BN410" s="41"/>
      <c r="BO410" s="41"/>
      <c r="BP410" s="41">
        <f t="shared" si="51"/>
        <v>0</v>
      </c>
      <c r="BQ410" s="77">
        <f t="shared" si="52"/>
        <v>0</v>
      </c>
      <c r="BS410" s="81" t="str">
        <f>IF(Data_NaamPersoonVastOntslag387="","",Data_NaamPersoonVastOntslag387)</f>
        <v/>
      </c>
      <c r="BV410" s="83" t="str">
        <f>IF(Data_BeeindigingsdatumVastOntslag387="","",Data_BeeindigingsdatumVastOntslag387)</f>
        <v/>
      </c>
      <c r="BY410" s="82" t="str">
        <f>IF(Data_LoonkostenVastOntslag387="","",Data_LoonkostenVastOntslag387)</f>
        <v/>
      </c>
      <c r="CA410" s="76" t="str">
        <f>IF(Data_PersoonAanUitVastOntslag387=-1,"v","")</f>
        <v/>
      </c>
      <c r="CB410" s="41"/>
      <c r="CC410" s="76" t="s">
        <v>160</v>
      </c>
      <c r="CD410" s="41"/>
      <c r="CE410" s="41"/>
      <c r="CF410" s="41"/>
      <c r="CG410" s="41"/>
      <c r="CH410" s="41">
        <f t="shared" si="55"/>
        <v>0</v>
      </c>
      <c r="CI410" s="41">
        <f t="shared" si="53"/>
        <v>0</v>
      </c>
    </row>
    <row r="411" spans="8:87" x14ac:dyDescent="0.25">
      <c r="H411" s="81" t="str">
        <f>IF(Data_NaamPersoonNatVerloop388="","",Data_NaamPersoonNatVerloop388)</f>
        <v/>
      </c>
      <c r="I411" s="41"/>
      <c r="J411" s="41"/>
      <c r="K411" s="83" t="str">
        <f>IF(Data_BeeindigingsdatumNatVerloop388="","",Data_BeeindigingsdatumNatVerloop388)</f>
        <v/>
      </c>
      <c r="L411" s="41"/>
      <c r="M411" s="41"/>
      <c r="N411" s="82" t="str">
        <f>IF(Data_LoonkostenNatVerloop388="","",Data_LoonkostenNatVerloop388)</f>
        <v/>
      </c>
      <c r="O411" s="41"/>
      <c r="P411" s="276" t="s">
        <v>160</v>
      </c>
      <c r="Q411" s="41"/>
      <c r="R411" s="76" t="s">
        <v>160</v>
      </c>
      <c r="S411" s="41"/>
      <c r="T411" s="41"/>
      <c r="U411" s="41"/>
      <c r="V411" s="41"/>
      <c r="W411" s="41">
        <f t="shared" si="48"/>
        <v>0</v>
      </c>
      <c r="X411" s="77" t="str">
        <f t="shared" si="54"/>
        <v/>
      </c>
      <c r="AG411" s="81" t="str">
        <f>IF(Data_NaamPersoonTijd388="","",Data_NaamPersoonTijd388)</f>
        <v/>
      </c>
      <c r="AH411" s="41"/>
      <c r="AI411" s="41"/>
      <c r="AJ411" s="83" t="str">
        <f>IF(Data_BeeindigingsdatumTijd388="","",Data_BeeindigingsdatumTijd388)</f>
        <v/>
      </c>
      <c r="AK411" s="41"/>
      <c r="AL411" s="41"/>
      <c r="AM411" s="82" t="str">
        <f>IF(Data_LoonkostenTijd388="","",Data_LoonkostenTijd388)</f>
        <v/>
      </c>
      <c r="AN411" s="41"/>
      <c r="AO411" s="276" t="str">
        <f>IF(Data_PersoonAanUitTijd388=-1,"v","")</f>
        <v/>
      </c>
      <c r="AP411" s="41"/>
      <c r="AQ411" s="76" t="s">
        <v>160</v>
      </c>
      <c r="AR411" s="41"/>
      <c r="AS411" s="41"/>
      <c r="AT411" s="41"/>
      <c r="AU411" s="41"/>
      <c r="AV411" s="41">
        <f t="shared" si="49"/>
        <v>0</v>
      </c>
      <c r="AW411" s="77">
        <f t="shared" si="50"/>
        <v>0</v>
      </c>
      <c r="AX411" s="41"/>
      <c r="AY411" s="41"/>
      <c r="AZ411" s="41"/>
      <c r="BA411" s="81" t="str">
        <f>IF(Data_NaamPersoonVastVrij388="","",Data_NaamPersoonVastVrij388)</f>
        <v/>
      </c>
      <c r="BB411" s="41"/>
      <c r="BC411" s="41"/>
      <c r="BD411" s="83" t="str">
        <f>IF(Data_BeeindigingsdatumVastVrij388="","",Data_BeeindigingsdatumVastVrij388)</f>
        <v/>
      </c>
      <c r="BE411" s="41"/>
      <c r="BF411" s="41"/>
      <c r="BG411" s="82" t="str">
        <f>IF(Data_LoonkostenVastVrij388="","",Data_LoonkostenVastVrij388)</f>
        <v/>
      </c>
      <c r="BH411" s="41"/>
      <c r="BI411" s="76" t="str">
        <f>IF(Data_PersoonAanUitVastVrij388=-1,"v","")</f>
        <v/>
      </c>
      <c r="BJ411" s="41"/>
      <c r="BK411" s="76" t="s">
        <v>160</v>
      </c>
      <c r="BL411" s="41"/>
      <c r="BM411" s="41"/>
      <c r="BN411" s="41"/>
      <c r="BO411" s="41"/>
      <c r="BP411" s="41">
        <f t="shared" si="51"/>
        <v>0</v>
      </c>
      <c r="BQ411" s="77">
        <f t="shared" si="52"/>
        <v>0</v>
      </c>
      <c r="BS411" s="81" t="str">
        <f>IF(Data_NaamPersoonVastOntslag388="","",Data_NaamPersoonVastOntslag388)</f>
        <v/>
      </c>
      <c r="BV411" s="83" t="str">
        <f>IF(Data_BeeindigingsdatumVastOntslag388="","",Data_BeeindigingsdatumVastOntslag388)</f>
        <v/>
      </c>
      <c r="BY411" s="82" t="str">
        <f>IF(Data_LoonkostenVastOntslag388="","",Data_LoonkostenVastOntslag388)</f>
        <v/>
      </c>
      <c r="CA411" s="76" t="str">
        <f>IF(Data_PersoonAanUitVastOntslag388=-1,"v","")</f>
        <v/>
      </c>
      <c r="CB411" s="41"/>
      <c r="CC411" s="76" t="s">
        <v>160</v>
      </c>
      <c r="CD411" s="41"/>
      <c r="CE411" s="41"/>
      <c r="CF411" s="41"/>
      <c r="CG411" s="41"/>
      <c r="CH411" s="41">
        <f t="shared" si="55"/>
        <v>0</v>
      </c>
      <c r="CI411" s="41">
        <f t="shared" si="53"/>
        <v>0</v>
      </c>
    </row>
    <row r="412" spans="8:87" x14ac:dyDescent="0.25">
      <c r="H412" s="81" t="str">
        <f>IF(Data_NaamPersoonNatVerloop389="","",Data_NaamPersoonNatVerloop389)</f>
        <v/>
      </c>
      <c r="I412" s="41"/>
      <c r="J412" s="41"/>
      <c r="K412" s="83" t="str">
        <f>IF(Data_BeeindigingsdatumNatVerloop389="","",Data_BeeindigingsdatumNatVerloop389)</f>
        <v/>
      </c>
      <c r="L412" s="41"/>
      <c r="M412" s="41"/>
      <c r="N412" s="82" t="str">
        <f>IF(Data_LoonkostenNatVerloop389="","",Data_LoonkostenNatVerloop389)</f>
        <v/>
      </c>
      <c r="O412" s="41"/>
      <c r="P412" s="276" t="s">
        <v>160</v>
      </c>
      <c r="Q412" s="41"/>
      <c r="R412" s="76" t="s">
        <v>160</v>
      </c>
      <c r="S412" s="41"/>
      <c r="T412" s="41"/>
      <c r="U412" s="41"/>
      <c r="V412" s="41"/>
      <c r="W412" s="41">
        <f t="shared" si="48"/>
        <v>0</v>
      </c>
      <c r="X412" s="77" t="str">
        <f t="shared" si="54"/>
        <v/>
      </c>
      <c r="AG412" s="81" t="str">
        <f>IF(Data_NaamPersoonTijd389="","",Data_NaamPersoonTijd389)</f>
        <v/>
      </c>
      <c r="AH412" s="41"/>
      <c r="AI412" s="41"/>
      <c r="AJ412" s="83" t="str">
        <f>IF(Data_BeeindigingsdatumTijd389="","",Data_BeeindigingsdatumTijd389)</f>
        <v/>
      </c>
      <c r="AK412" s="41"/>
      <c r="AL412" s="41"/>
      <c r="AM412" s="82" t="str">
        <f>IF(Data_LoonkostenTijd389="","",Data_LoonkostenTijd389)</f>
        <v/>
      </c>
      <c r="AN412" s="41"/>
      <c r="AO412" s="276" t="str">
        <f>IF(Data_PersoonAanUitTijd389=-1,"v","")</f>
        <v/>
      </c>
      <c r="AP412" s="41"/>
      <c r="AQ412" s="76" t="s">
        <v>160</v>
      </c>
      <c r="AR412" s="41"/>
      <c r="AS412" s="41"/>
      <c r="AT412" s="41"/>
      <c r="AU412" s="41"/>
      <c r="AV412" s="41">
        <f t="shared" si="49"/>
        <v>0</v>
      </c>
      <c r="AW412" s="77">
        <f t="shared" si="50"/>
        <v>0</v>
      </c>
      <c r="AX412" s="41"/>
      <c r="AY412" s="41"/>
      <c r="AZ412" s="41"/>
      <c r="BA412" s="81" t="str">
        <f>IF(Data_NaamPersoonVastVrij389="","",Data_NaamPersoonVastVrij389)</f>
        <v/>
      </c>
      <c r="BB412" s="41"/>
      <c r="BC412" s="41"/>
      <c r="BD412" s="83" t="str">
        <f>IF(Data_BeeindigingsdatumVastVrij389="","",Data_BeeindigingsdatumVastVrij389)</f>
        <v/>
      </c>
      <c r="BE412" s="41"/>
      <c r="BF412" s="41"/>
      <c r="BG412" s="82" t="str">
        <f>IF(Data_LoonkostenVastVrij389="","",Data_LoonkostenVastVrij389)</f>
        <v/>
      </c>
      <c r="BH412" s="41"/>
      <c r="BI412" s="76" t="str">
        <f>IF(Data_PersoonAanUitVastVrij389=-1,"v","")</f>
        <v/>
      </c>
      <c r="BJ412" s="41"/>
      <c r="BK412" s="76" t="s">
        <v>160</v>
      </c>
      <c r="BL412" s="41"/>
      <c r="BM412" s="41"/>
      <c r="BN412" s="41"/>
      <c r="BO412" s="41"/>
      <c r="BP412" s="41">
        <f t="shared" si="51"/>
        <v>0</v>
      </c>
      <c r="BQ412" s="77">
        <f t="shared" si="52"/>
        <v>0</v>
      </c>
      <c r="BS412" s="81" t="str">
        <f>IF(Data_NaamPersoonVastOntslag389="","",Data_NaamPersoonVastOntslag389)</f>
        <v/>
      </c>
      <c r="BV412" s="83" t="str">
        <f>IF(Data_BeeindigingsdatumVastOntslag389="","",Data_BeeindigingsdatumVastOntslag389)</f>
        <v/>
      </c>
      <c r="BY412" s="82" t="str">
        <f>IF(Data_LoonkostenVastOntslag389="","",Data_LoonkostenVastOntslag389)</f>
        <v/>
      </c>
      <c r="CA412" s="76" t="str">
        <f>IF(Data_PersoonAanUitVastOntslag389=-1,"v","")</f>
        <v/>
      </c>
      <c r="CB412" s="41"/>
      <c r="CC412" s="76" t="s">
        <v>160</v>
      </c>
      <c r="CD412" s="41"/>
      <c r="CE412" s="41"/>
      <c r="CF412" s="41"/>
      <c r="CG412" s="41"/>
      <c r="CH412" s="41">
        <f t="shared" si="55"/>
        <v>0</v>
      </c>
      <c r="CI412" s="41">
        <f t="shared" si="53"/>
        <v>0</v>
      </c>
    </row>
    <row r="413" spans="8:87" x14ac:dyDescent="0.25">
      <c r="H413" s="81" t="str">
        <f>IF(Data_NaamPersoonNatVerloop390="","",Data_NaamPersoonNatVerloop390)</f>
        <v/>
      </c>
      <c r="I413" s="41"/>
      <c r="J413" s="41"/>
      <c r="K413" s="83" t="str">
        <f>IF(Data_BeeindigingsdatumNatVerloop390="","",Data_BeeindigingsdatumNatVerloop390)</f>
        <v/>
      </c>
      <c r="L413" s="41"/>
      <c r="M413" s="41"/>
      <c r="N413" s="82" t="str">
        <f>IF(Data_LoonkostenNatVerloop390="","",Data_LoonkostenNatVerloop390)</f>
        <v/>
      </c>
      <c r="O413" s="41"/>
      <c r="P413" s="276" t="s">
        <v>160</v>
      </c>
      <c r="Q413" s="41"/>
      <c r="R413" s="76" t="s">
        <v>160</v>
      </c>
      <c r="S413" s="41"/>
      <c r="T413" s="41"/>
      <c r="U413" s="41"/>
      <c r="V413" s="41"/>
      <c r="W413" s="41">
        <f t="shared" si="48"/>
        <v>0</v>
      </c>
      <c r="X413" s="77" t="str">
        <f t="shared" si="54"/>
        <v/>
      </c>
      <c r="AG413" s="81" t="str">
        <f>IF(Data_NaamPersoonTijd390="","",Data_NaamPersoonTijd390)</f>
        <v/>
      </c>
      <c r="AH413" s="41"/>
      <c r="AI413" s="41"/>
      <c r="AJ413" s="83" t="str">
        <f>IF(Data_BeeindigingsdatumTijd390="","",Data_BeeindigingsdatumTijd390)</f>
        <v/>
      </c>
      <c r="AK413" s="41"/>
      <c r="AL413" s="41"/>
      <c r="AM413" s="82" t="str">
        <f>IF(Data_LoonkostenTijd390="","",Data_LoonkostenTijd390)</f>
        <v/>
      </c>
      <c r="AN413" s="41"/>
      <c r="AO413" s="276" t="str">
        <f>IF(Data_PersoonAanUitTijd390=-1,"v","")</f>
        <v/>
      </c>
      <c r="AP413" s="41"/>
      <c r="AQ413" s="76" t="s">
        <v>160</v>
      </c>
      <c r="AR413" s="41"/>
      <c r="AS413" s="41"/>
      <c r="AT413" s="41"/>
      <c r="AU413" s="41"/>
      <c r="AV413" s="41">
        <f t="shared" si="49"/>
        <v>0</v>
      </c>
      <c r="AW413" s="77">
        <f t="shared" si="50"/>
        <v>0</v>
      </c>
      <c r="AX413" s="41"/>
      <c r="AY413" s="41"/>
      <c r="AZ413" s="41"/>
      <c r="BA413" s="81" t="str">
        <f>IF(Data_NaamPersoonVastVrij390="","",Data_NaamPersoonVastVrij390)</f>
        <v/>
      </c>
      <c r="BB413" s="41"/>
      <c r="BC413" s="41"/>
      <c r="BD413" s="83" t="str">
        <f>IF(Data_BeeindigingsdatumVastVrij390="","",Data_BeeindigingsdatumVastVrij390)</f>
        <v/>
      </c>
      <c r="BE413" s="41"/>
      <c r="BF413" s="41"/>
      <c r="BG413" s="82" t="str">
        <f>IF(Data_LoonkostenVastVrij390="","",Data_LoonkostenVastVrij390)</f>
        <v/>
      </c>
      <c r="BH413" s="41"/>
      <c r="BI413" s="76" t="str">
        <f>IF(Data_PersoonAanUitVastVrij390=-1,"v","")</f>
        <v/>
      </c>
      <c r="BJ413" s="41"/>
      <c r="BK413" s="76" t="s">
        <v>160</v>
      </c>
      <c r="BL413" s="41"/>
      <c r="BM413" s="41"/>
      <c r="BN413" s="41"/>
      <c r="BO413" s="41"/>
      <c r="BP413" s="41">
        <f t="shared" si="51"/>
        <v>0</v>
      </c>
      <c r="BQ413" s="77">
        <f t="shared" si="52"/>
        <v>0</v>
      </c>
      <c r="BS413" s="81" t="str">
        <f>IF(Data_NaamPersoonVastOntslag390="","",Data_NaamPersoonVastOntslag390)</f>
        <v/>
      </c>
      <c r="BV413" s="83" t="str">
        <f>IF(Data_BeeindigingsdatumVastOntslag390="","",Data_BeeindigingsdatumVastOntslag390)</f>
        <v/>
      </c>
      <c r="BY413" s="82" t="str">
        <f>IF(Data_LoonkostenVastOntslag390="","",Data_LoonkostenVastOntslag390)</f>
        <v/>
      </c>
      <c r="CA413" s="76" t="str">
        <f>IF(Data_PersoonAanUitVastOntslag390=-1,"v","")</f>
        <v/>
      </c>
      <c r="CB413" s="41"/>
      <c r="CC413" s="76" t="s">
        <v>160</v>
      </c>
      <c r="CD413" s="41"/>
      <c r="CE413" s="41"/>
      <c r="CF413" s="41"/>
      <c r="CG413" s="41"/>
      <c r="CH413" s="41">
        <f t="shared" si="55"/>
        <v>0</v>
      </c>
      <c r="CI413" s="41">
        <f t="shared" si="53"/>
        <v>0</v>
      </c>
    </row>
    <row r="414" spans="8:87" x14ac:dyDescent="0.25">
      <c r="H414" s="81" t="str">
        <f>IF(Data_NaamPersoonNatVerloop391="","",Data_NaamPersoonNatVerloop391)</f>
        <v/>
      </c>
      <c r="I414" s="41"/>
      <c r="J414" s="41"/>
      <c r="K414" s="83" t="str">
        <f>IF(Data_BeeindigingsdatumNatVerloop391="","",Data_BeeindigingsdatumNatVerloop391)</f>
        <v/>
      </c>
      <c r="L414" s="41"/>
      <c r="M414" s="41"/>
      <c r="N414" s="82" t="str">
        <f>IF(Data_LoonkostenNatVerloop391="","",Data_LoonkostenNatVerloop391)</f>
        <v/>
      </c>
      <c r="O414" s="41"/>
      <c r="P414" s="276" t="s">
        <v>160</v>
      </c>
      <c r="Q414" s="41"/>
      <c r="R414" s="76" t="s">
        <v>160</v>
      </c>
      <c r="S414" s="41"/>
      <c r="T414" s="41"/>
      <c r="U414" s="41"/>
      <c r="V414" s="41"/>
      <c r="W414" s="41">
        <f t="shared" si="48"/>
        <v>0</v>
      </c>
      <c r="X414" s="77" t="str">
        <f t="shared" si="54"/>
        <v/>
      </c>
      <c r="AG414" s="81" t="str">
        <f>IF(Data_NaamPersoonTijd391="","",Data_NaamPersoonTijd391)</f>
        <v/>
      </c>
      <c r="AH414" s="41"/>
      <c r="AI414" s="41"/>
      <c r="AJ414" s="83" t="str">
        <f>IF(Data_BeeindigingsdatumTijd391="","",Data_BeeindigingsdatumTijd391)</f>
        <v/>
      </c>
      <c r="AK414" s="41"/>
      <c r="AL414" s="41"/>
      <c r="AM414" s="82" t="str">
        <f>IF(Data_LoonkostenTijd391="","",Data_LoonkostenTijd391)</f>
        <v/>
      </c>
      <c r="AN414" s="41"/>
      <c r="AO414" s="276" t="str">
        <f>IF(Data_PersoonAanUitTijd391=-1,"v","")</f>
        <v/>
      </c>
      <c r="AP414" s="41"/>
      <c r="AQ414" s="76" t="s">
        <v>160</v>
      </c>
      <c r="AR414" s="41"/>
      <c r="AS414" s="41"/>
      <c r="AT414" s="41"/>
      <c r="AU414" s="41"/>
      <c r="AV414" s="41">
        <f t="shared" si="49"/>
        <v>0</v>
      </c>
      <c r="AW414" s="77">
        <f t="shared" si="50"/>
        <v>0</v>
      </c>
      <c r="AX414" s="41"/>
      <c r="AY414" s="41"/>
      <c r="AZ414" s="41"/>
      <c r="BA414" s="81" t="str">
        <f>IF(Data_NaamPersoonVastVrij391="","",Data_NaamPersoonVastVrij391)</f>
        <v/>
      </c>
      <c r="BB414" s="41"/>
      <c r="BC414" s="41"/>
      <c r="BD414" s="83" t="str">
        <f>IF(Data_BeeindigingsdatumVastVrij391="","",Data_BeeindigingsdatumVastVrij391)</f>
        <v/>
      </c>
      <c r="BE414" s="41"/>
      <c r="BF414" s="41"/>
      <c r="BG414" s="82" t="str">
        <f>IF(Data_LoonkostenVastVrij391="","",Data_LoonkostenVastVrij391)</f>
        <v/>
      </c>
      <c r="BH414" s="41"/>
      <c r="BI414" s="76" t="str">
        <f>IF(Data_PersoonAanUitVastVrij391=-1,"v","")</f>
        <v/>
      </c>
      <c r="BJ414" s="41"/>
      <c r="BK414" s="76" t="s">
        <v>160</v>
      </c>
      <c r="BL414" s="41"/>
      <c r="BM414" s="41"/>
      <c r="BN414" s="41"/>
      <c r="BO414" s="41"/>
      <c r="BP414" s="41">
        <f t="shared" si="51"/>
        <v>0</v>
      </c>
      <c r="BQ414" s="77">
        <f t="shared" si="52"/>
        <v>0</v>
      </c>
      <c r="BS414" s="81" t="str">
        <f>IF(Data_NaamPersoonVastOntslag391="","",Data_NaamPersoonVastOntslag391)</f>
        <v/>
      </c>
      <c r="BV414" s="83" t="str">
        <f>IF(Data_BeeindigingsdatumVastOntslag391="","",Data_BeeindigingsdatumVastOntslag391)</f>
        <v/>
      </c>
      <c r="BY414" s="82" t="str">
        <f>IF(Data_LoonkostenVastOntslag391="","",Data_LoonkostenVastOntslag391)</f>
        <v/>
      </c>
      <c r="CA414" s="76" t="str">
        <f>IF(Data_PersoonAanUitVastOntslag391=-1,"v","")</f>
        <v/>
      </c>
      <c r="CB414" s="41"/>
      <c r="CC414" s="76" t="s">
        <v>160</v>
      </c>
      <c r="CD414" s="41"/>
      <c r="CE414" s="41"/>
      <c r="CF414" s="41"/>
      <c r="CG414" s="41"/>
      <c r="CH414" s="41">
        <f t="shared" si="55"/>
        <v>0</v>
      </c>
      <c r="CI414" s="41">
        <f t="shared" si="53"/>
        <v>0</v>
      </c>
    </row>
    <row r="415" spans="8:87" x14ac:dyDescent="0.25">
      <c r="H415" s="81" t="str">
        <f>IF(Data_NaamPersoonNatVerloop392="","",Data_NaamPersoonNatVerloop392)</f>
        <v/>
      </c>
      <c r="I415" s="41"/>
      <c r="J415" s="41"/>
      <c r="K415" s="83" t="str">
        <f>IF(Data_BeeindigingsdatumNatVerloop392="","",Data_BeeindigingsdatumNatVerloop392)</f>
        <v/>
      </c>
      <c r="L415" s="41"/>
      <c r="M415" s="41"/>
      <c r="N415" s="82" t="str">
        <f>IF(Data_LoonkostenNatVerloop392="","",Data_LoonkostenNatVerloop392)</f>
        <v/>
      </c>
      <c r="O415" s="41"/>
      <c r="P415" s="276" t="s">
        <v>160</v>
      </c>
      <c r="Q415" s="41"/>
      <c r="R415" s="76" t="s">
        <v>160</v>
      </c>
      <c r="S415" s="41"/>
      <c r="T415" s="41"/>
      <c r="U415" s="41"/>
      <c r="V415" s="41"/>
      <c r="W415" s="41">
        <f t="shared" si="48"/>
        <v>0</v>
      </c>
      <c r="X415" s="77" t="str">
        <f t="shared" si="54"/>
        <v/>
      </c>
      <c r="AG415" s="81" t="str">
        <f>IF(Data_NaamPersoonTijd392="","",Data_NaamPersoonTijd392)</f>
        <v/>
      </c>
      <c r="AH415" s="41"/>
      <c r="AI415" s="41"/>
      <c r="AJ415" s="83" t="str">
        <f>IF(Data_BeeindigingsdatumTijd392="","",Data_BeeindigingsdatumTijd392)</f>
        <v/>
      </c>
      <c r="AK415" s="41"/>
      <c r="AL415" s="41"/>
      <c r="AM415" s="82" t="str">
        <f>IF(Data_LoonkostenTijd392="","",Data_LoonkostenTijd392)</f>
        <v/>
      </c>
      <c r="AN415" s="41"/>
      <c r="AO415" s="276" t="str">
        <f>IF(Data_PersoonAanUitTijd392=-1,"v","")</f>
        <v/>
      </c>
      <c r="AP415" s="41"/>
      <c r="AQ415" s="76" t="s">
        <v>160</v>
      </c>
      <c r="AR415" s="41"/>
      <c r="AS415" s="41"/>
      <c r="AT415" s="41"/>
      <c r="AU415" s="41"/>
      <c r="AV415" s="41">
        <f t="shared" si="49"/>
        <v>0</v>
      </c>
      <c r="AW415" s="77">
        <f t="shared" si="50"/>
        <v>0</v>
      </c>
      <c r="AX415" s="41"/>
      <c r="AY415" s="41"/>
      <c r="AZ415" s="41"/>
      <c r="BA415" s="81" t="str">
        <f>IF(Data_NaamPersoonVastVrij392="","",Data_NaamPersoonVastVrij392)</f>
        <v/>
      </c>
      <c r="BB415" s="41"/>
      <c r="BC415" s="41"/>
      <c r="BD415" s="83" t="str">
        <f>IF(Data_BeeindigingsdatumVastVrij392="","",Data_BeeindigingsdatumVastVrij392)</f>
        <v/>
      </c>
      <c r="BE415" s="41"/>
      <c r="BF415" s="41"/>
      <c r="BG415" s="82" t="str">
        <f>IF(Data_LoonkostenVastVrij392="","",Data_LoonkostenVastVrij392)</f>
        <v/>
      </c>
      <c r="BH415" s="41"/>
      <c r="BI415" s="76" t="str">
        <f>IF(Data_PersoonAanUitVastVrij392=-1,"v","")</f>
        <v/>
      </c>
      <c r="BJ415" s="41"/>
      <c r="BK415" s="76" t="s">
        <v>160</v>
      </c>
      <c r="BL415" s="41"/>
      <c r="BM415" s="41"/>
      <c r="BN415" s="41"/>
      <c r="BO415" s="41"/>
      <c r="BP415" s="41">
        <f t="shared" si="51"/>
        <v>0</v>
      </c>
      <c r="BQ415" s="77">
        <f t="shared" si="52"/>
        <v>0</v>
      </c>
      <c r="BS415" s="81" t="str">
        <f>IF(Data_NaamPersoonVastOntslag392="","",Data_NaamPersoonVastOntslag392)</f>
        <v/>
      </c>
      <c r="BV415" s="83" t="str">
        <f>IF(Data_BeeindigingsdatumVastOntslag392="","",Data_BeeindigingsdatumVastOntslag392)</f>
        <v/>
      </c>
      <c r="BY415" s="82" t="str">
        <f>IF(Data_LoonkostenVastOntslag392="","",Data_LoonkostenVastOntslag392)</f>
        <v/>
      </c>
      <c r="CA415" s="76" t="str">
        <f>IF(Data_PersoonAanUitVastOntslag392=-1,"v","")</f>
        <v/>
      </c>
      <c r="CB415" s="41"/>
      <c r="CC415" s="76" t="s">
        <v>160</v>
      </c>
      <c r="CD415" s="41"/>
      <c r="CE415" s="41"/>
      <c r="CF415" s="41"/>
      <c r="CG415" s="41"/>
      <c r="CH415" s="41">
        <f t="shared" si="55"/>
        <v>0</v>
      </c>
      <c r="CI415" s="41">
        <f t="shared" si="53"/>
        <v>0</v>
      </c>
    </row>
    <row r="416" spans="8:87" x14ac:dyDescent="0.25">
      <c r="H416" s="81" t="str">
        <f>IF(Data_NaamPersoonNatVerloop393="","",Data_NaamPersoonNatVerloop393)</f>
        <v/>
      </c>
      <c r="I416" s="41"/>
      <c r="J416" s="41"/>
      <c r="K416" s="83" t="str">
        <f>IF(Data_BeeindigingsdatumNatVerloop393="","",Data_BeeindigingsdatumNatVerloop393)</f>
        <v/>
      </c>
      <c r="L416" s="41"/>
      <c r="M416" s="41"/>
      <c r="N416" s="82" t="str">
        <f>IF(Data_LoonkostenNatVerloop393="","",Data_LoonkostenNatVerloop393)</f>
        <v/>
      </c>
      <c r="O416" s="41"/>
      <c r="P416" s="276" t="s">
        <v>160</v>
      </c>
      <c r="Q416" s="41"/>
      <c r="R416" s="76" t="s">
        <v>160</v>
      </c>
      <c r="S416" s="41"/>
      <c r="T416" s="41"/>
      <c r="U416" s="41"/>
      <c r="V416" s="41"/>
      <c r="W416" s="41">
        <f t="shared" si="48"/>
        <v>0</v>
      </c>
      <c r="X416" s="77" t="str">
        <f t="shared" si="54"/>
        <v/>
      </c>
      <c r="AG416" s="81" t="str">
        <f>IF(Data_NaamPersoonTijd393="","",Data_NaamPersoonTijd393)</f>
        <v/>
      </c>
      <c r="AH416" s="41"/>
      <c r="AI416" s="41"/>
      <c r="AJ416" s="83" t="str">
        <f>IF(Data_BeeindigingsdatumTijd393="","",Data_BeeindigingsdatumTijd393)</f>
        <v/>
      </c>
      <c r="AK416" s="41"/>
      <c r="AL416" s="41"/>
      <c r="AM416" s="82" t="str">
        <f>IF(Data_LoonkostenTijd393="","",Data_LoonkostenTijd393)</f>
        <v/>
      </c>
      <c r="AN416" s="41"/>
      <c r="AO416" s="276" t="str">
        <f>IF(Data_PersoonAanUitTijd393=-1,"v","")</f>
        <v/>
      </c>
      <c r="AP416" s="41"/>
      <c r="AQ416" s="76" t="s">
        <v>160</v>
      </c>
      <c r="AR416" s="41"/>
      <c r="AS416" s="41"/>
      <c r="AT416" s="41"/>
      <c r="AU416" s="41"/>
      <c r="AV416" s="41">
        <f t="shared" si="49"/>
        <v>0</v>
      </c>
      <c r="AW416" s="77">
        <f t="shared" si="50"/>
        <v>0</v>
      </c>
      <c r="AX416" s="41"/>
      <c r="AY416" s="41"/>
      <c r="AZ416" s="41"/>
      <c r="BA416" s="81" t="str">
        <f>IF(Data_NaamPersoonVastVrij393="","",Data_NaamPersoonVastVrij393)</f>
        <v/>
      </c>
      <c r="BB416" s="41"/>
      <c r="BC416" s="41"/>
      <c r="BD416" s="83" t="str">
        <f>IF(Data_BeeindigingsdatumVastVrij393="","",Data_BeeindigingsdatumVastVrij393)</f>
        <v/>
      </c>
      <c r="BE416" s="41"/>
      <c r="BF416" s="41"/>
      <c r="BG416" s="82" t="str">
        <f>IF(Data_LoonkostenVastVrij393="","",Data_LoonkostenVastVrij393)</f>
        <v/>
      </c>
      <c r="BH416" s="41"/>
      <c r="BI416" s="76" t="str">
        <f>IF(Data_PersoonAanUitVastVrij393=-1,"v","")</f>
        <v/>
      </c>
      <c r="BJ416" s="41"/>
      <c r="BK416" s="76" t="s">
        <v>160</v>
      </c>
      <c r="BL416" s="41"/>
      <c r="BM416" s="41"/>
      <c r="BN416" s="41"/>
      <c r="BO416" s="41"/>
      <c r="BP416" s="41">
        <f t="shared" si="51"/>
        <v>0</v>
      </c>
      <c r="BQ416" s="77">
        <f t="shared" si="52"/>
        <v>0</v>
      </c>
      <c r="BS416" s="81" t="str">
        <f>IF(Data_NaamPersoonVastOntslag393="","",Data_NaamPersoonVastOntslag393)</f>
        <v/>
      </c>
      <c r="BV416" s="83" t="str">
        <f>IF(Data_BeeindigingsdatumVastOntslag393="","",Data_BeeindigingsdatumVastOntslag393)</f>
        <v/>
      </c>
      <c r="BY416" s="82" t="str">
        <f>IF(Data_LoonkostenVastOntslag393="","",Data_LoonkostenVastOntslag393)</f>
        <v/>
      </c>
      <c r="CA416" s="76" t="str">
        <f>IF(Data_PersoonAanUitVastOntslag393=-1,"v","")</f>
        <v/>
      </c>
      <c r="CB416" s="41"/>
      <c r="CC416" s="76" t="s">
        <v>160</v>
      </c>
      <c r="CD416" s="41"/>
      <c r="CE416" s="41"/>
      <c r="CF416" s="41"/>
      <c r="CG416" s="41"/>
      <c r="CH416" s="41">
        <f t="shared" si="55"/>
        <v>0</v>
      </c>
      <c r="CI416" s="41">
        <f t="shared" si="53"/>
        <v>0</v>
      </c>
    </row>
    <row r="417" spans="8:87" x14ac:dyDescent="0.25">
      <c r="H417" s="81" t="str">
        <f>IF(Data_NaamPersoonNatVerloop394="","",Data_NaamPersoonNatVerloop394)</f>
        <v/>
      </c>
      <c r="I417" s="41"/>
      <c r="J417" s="41"/>
      <c r="K417" s="83" t="str">
        <f>IF(Data_BeeindigingsdatumNatVerloop394="","",Data_BeeindigingsdatumNatVerloop394)</f>
        <v/>
      </c>
      <c r="L417" s="41"/>
      <c r="M417" s="41"/>
      <c r="N417" s="82" t="str">
        <f>IF(Data_LoonkostenNatVerloop394="","",Data_LoonkostenNatVerloop394)</f>
        <v/>
      </c>
      <c r="O417" s="41"/>
      <c r="P417" s="276" t="s">
        <v>160</v>
      </c>
      <c r="Q417" s="41"/>
      <c r="R417" s="76" t="s">
        <v>160</v>
      </c>
      <c r="S417" s="41"/>
      <c r="T417" s="41"/>
      <c r="U417" s="41"/>
      <c r="V417" s="41"/>
      <c r="W417" s="41">
        <f t="shared" si="48"/>
        <v>0</v>
      </c>
      <c r="X417" s="77" t="str">
        <f t="shared" si="54"/>
        <v/>
      </c>
      <c r="AG417" s="81" t="str">
        <f>IF(Data_NaamPersoonTijd394="","",Data_NaamPersoonTijd394)</f>
        <v/>
      </c>
      <c r="AH417" s="41"/>
      <c r="AI417" s="41"/>
      <c r="AJ417" s="83" t="str">
        <f>IF(Data_BeeindigingsdatumTijd394="","",Data_BeeindigingsdatumTijd394)</f>
        <v/>
      </c>
      <c r="AK417" s="41"/>
      <c r="AL417" s="41"/>
      <c r="AM417" s="82" t="str">
        <f>IF(Data_LoonkostenTijd394="","",Data_LoonkostenTijd394)</f>
        <v/>
      </c>
      <c r="AN417" s="41"/>
      <c r="AO417" s="276" t="str">
        <f>IF(Data_PersoonAanUitTijd394=-1,"v","")</f>
        <v/>
      </c>
      <c r="AP417" s="41"/>
      <c r="AQ417" s="76" t="s">
        <v>160</v>
      </c>
      <c r="AR417" s="41"/>
      <c r="AS417" s="41"/>
      <c r="AT417" s="41"/>
      <c r="AU417" s="41"/>
      <c r="AV417" s="41">
        <f t="shared" si="49"/>
        <v>0</v>
      </c>
      <c r="AW417" s="77">
        <f t="shared" si="50"/>
        <v>0</v>
      </c>
      <c r="AX417" s="41"/>
      <c r="AY417" s="41"/>
      <c r="AZ417" s="41"/>
      <c r="BA417" s="81" t="str">
        <f>IF(Data_NaamPersoonVastVrij394="","",Data_NaamPersoonVastVrij394)</f>
        <v/>
      </c>
      <c r="BB417" s="41"/>
      <c r="BC417" s="41"/>
      <c r="BD417" s="83" t="str">
        <f>IF(Data_BeeindigingsdatumVastVrij394="","",Data_BeeindigingsdatumVastVrij394)</f>
        <v/>
      </c>
      <c r="BE417" s="41"/>
      <c r="BF417" s="41"/>
      <c r="BG417" s="82" t="str">
        <f>IF(Data_LoonkostenVastVrij394="","",Data_LoonkostenVastVrij394)</f>
        <v/>
      </c>
      <c r="BH417" s="41"/>
      <c r="BI417" s="76" t="str">
        <f>IF(Data_PersoonAanUitVastVrij394=-1,"v","")</f>
        <v/>
      </c>
      <c r="BJ417" s="41"/>
      <c r="BK417" s="76" t="s">
        <v>160</v>
      </c>
      <c r="BL417" s="41"/>
      <c r="BM417" s="41"/>
      <c r="BN417" s="41"/>
      <c r="BO417" s="41"/>
      <c r="BP417" s="41">
        <f t="shared" si="51"/>
        <v>0</v>
      </c>
      <c r="BQ417" s="77">
        <f t="shared" si="52"/>
        <v>0</v>
      </c>
      <c r="BS417" s="81" t="str">
        <f>IF(Data_NaamPersoonVastOntslag394="","",Data_NaamPersoonVastOntslag394)</f>
        <v/>
      </c>
      <c r="BV417" s="83" t="str">
        <f>IF(Data_BeeindigingsdatumVastOntslag394="","",Data_BeeindigingsdatumVastOntslag394)</f>
        <v/>
      </c>
      <c r="BY417" s="82" t="str">
        <f>IF(Data_LoonkostenVastOntslag394="","",Data_LoonkostenVastOntslag394)</f>
        <v/>
      </c>
      <c r="CA417" s="76" t="str">
        <f>IF(Data_PersoonAanUitVastOntslag394=-1,"v","")</f>
        <v/>
      </c>
      <c r="CB417" s="41"/>
      <c r="CC417" s="76" t="s">
        <v>160</v>
      </c>
      <c r="CD417" s="41"/>
      <c r="CE417" s="41"/>
      <c r="CF417" s="41"/>
      <c r="CG417" s="41"/>
      <c r="CH417" s="41">
        <f t="shared" si="55"/>
        <v>0</v>
      </c>
      <c r="CI417" s="41">
        <f t="shared" si="53"/>
        <v>0</v>
      </c>
    </row>
    <row r="418" spans="8:87" x14ac:dyDescent="0.25">
      <c r="H418" s="81" t="str">
        <f>IF(Data_NaamPersoonNatVerloop395="","",Data_NaamPersoonNatVerloop395)</f>
        <v/>
      </c>
      <c r="I418" s="41"/>
      <c r="J418" s="41"/>
      <c r="K418" s="83" t="str">
        <f>IF(Data_BeeindigingsdatumNatVerloop395="","",Data_BeeindigingsdatumNatVerloop395)</f>
        <v/>
      </c>
      <c r="L418" s="41"/>
      <c r="M418" s="41"/>
      <c r="N418" s="82" t="str">
        <f>IF(Data_LoonkostenNatVerloop395="","",Data_LoonkostenNatVerloop395)</f>
        <v/>
      </c>
      <c r="O418" s="41"/>
      <c r="P418" s="276" t="s">
        <v>160</v>
      </c>
      <c r="Q418" s="41"/>
      <c r="R418" s="76" t="s">
        <v>160</v>
      </c>
      <c r="S418" s="41"/>
      <c r="T418" s="41"/>
      <c r="U418" s="41"/>
      <c r="V418" s="41"/>
      <c r="W418" s="41">
        <f t="shared" si="48"/>
        <v>0</v>
      </c>
      <c r="X418" s="77" t="str">
        <f t="shared" si="54"/>
        <v/>
      </c>
      <c r="AG418" s="81" t="str">
        <f>IF(Data_NaamPersoonTijd395="","",Data_NaamPersoonTijd395)</f>
        <v/>
      </c>
      <c r="AH418" s="41"/>
      <c r="AI418" s="41"/>
      <c r="AJ418" s="83" t="str">
        <f>IF(Data_BeeindigingsdatumTijd395="","",Data_BeeindigingsdatumTijd395)</f>
        <v/>
      </c>
      <c r="AK418" s="41"/>
      <c r="AL418" s="41"/>
      <c r="AM418" s="82" t="str">
        <f>IF(Data_LoonkostenTijd395="","",Data_LoonkostenTijd395)</f>
        <v/>
      </c>
      <c r="AN418" s="41"/>
      <c r="AO418" s="276" t="str">
        <f>IF(Data_PersoonAanUitTijd395=-1,"v","")</f>
        <v/>
      </c>
      <c r="AP418" s="41"/>
      <c r="AQ418" s="76" t="s">
        <v>160</v>
      </c>
      <c r="AR418" s="41"/>
      <c r="AS418" s="41"/>
      <c r="AT418" s="41"/>
      <c r="AU418" s="41"/>
      <c r="AV418" s="41">
        <f t="shared" si="49"/>
        <v>0</v>
      </c>
      <c r="AW418" s="77">
        <f t="shared" si="50"/>
        <v>0</v>
      </c>
      <c r="AX418" s="41"/>
      <c r="AY418" s="41"/>
      <c r="AZ418" s="41"/>
      <c r="BA418" s="81" t="str">
        <f>IF(Data_NaamPersoonVastVrij395="","",Data_NaamPersoonVastVrij395)</f>
        <v/>
      </c>
      <c r="BB418" s="41"/>
      <c r="BC418" s="41"/>
      <c r="BD418" s="83" t="str">
        <f>IF(Data_BeeindigingsdatumVastVrij395="","",Data_BeeindigingsdatumVastVrij395)</f>
        <v/>
      </c>
      <c r="BE418" s="41"/>
      <c r="BF418" s="41"/>
      <c r="BG418" s="82" t="str">
        <f>IF(Data_LoonkostenVastVrij395="","",Data_LoonkostenVastVrij395)</f>
        <v/>
      </c>
      <c r="BH418" s="41"/>
      <c r="BI418" s="76" t="str">
        <f>IF(Data_PersoonAanUitVastVrij395=-1,"v","")</f>
        <v/>
      </c>
      <c r="BJ418" s="41"/>
      <c r="BK418" s="76" t="s">
        <v>160</v>
      </c>
      <c r="BL418" s="41"/>
      <c r="BM418" s="41"/>
      <c r="BN418" s="41"/>
      <c r="BO418" s="41"/>
      <c r="BP418" s="41">
        <f t="shared" si="51"/>
        <v>0</v>
      </c>
      <c r="BQ418" s="77">
        <f t="shared" si="52"/>
        <v>0</v>
      </c>
      <c r="BS418" s="81" t="str">
        <f>IF(Data_NaamPersoonVastOntslag395="","",Data_NaamPersoonVastOntslag395)</f>
        <v/>
      </c>
      <c r="BV418" s="83" t="str">
        <f>IF(Data_BeeindigingsdatumVastOntslag395="","",Data_BeeindigingsdatumVastOntslag395)</f>
        <v/>
      </c>
      <c r="BY418" s="82" t="str">
        <f>IF(Data_LoonkostenVastOntslag395="","",Data_LoonkostenVastOntslag395)</f>
        <v/>
      </c>
      <c r="CA418" s="76" t="str">
        <f>IF(Data_PersoonAanUitVastOntslag395=-1,"v","")</f>
        <v/>
      </c>
      <c r="CB418" s="41"/>
      <c r="CC418" s="76" t="s">
        <v>160</v>
      </c>
      <c r="CD418" s="41"/>
      <c r="CE418" s="41"/>
      <c r="CF418" s="41"/>
      <c r="CG418" s="41"/>
      <c r="CH418" s="41">
        <f t="shared" si="55"/>
        <v>0</v>
      </c>
      <c r="CI418" s="41">
        <f t="shared" si="53"/>
        <v>0</v>
      </c>
    </row>
    <row r="419" spans="8:87" x14ac:dyDescent="0.25">
      <c r="H419" s="81" t="str">
        <f>IF(Data_NaamPersoonNatVerloop396="","",Data_NaamPersoonNatVerloop396)</f>
        <v/>
      </c>
      <c r="I419" s="41"/>
      <c r="J419" s="41"/>
      <c r="K419" s="83" t="str">
        <f>IF(Data_BeeindigingsdatumNatVerloop396="","",Data_BeeindigingsdatumNatVerloop396)</f>
        <v/>
      </c>
      <c r="L419" s="41"/>
      <c r="M419" s="41"/>
      <c r="N419" s="82" t="str">
        <f>IF(Data_LoonkostenNatVerloop396="","",Data_LoonkostenNatVerloop396)</f>
        <v/>
      </c>
      <c r="O419" s="41"/>
      <c r="P419" s="276" t="s">
        <v>160</v>
      </c>
      <c r="Q419" s="41"/>
      <c r="R419" s="76" t="s">
        <v>160</v>
      </c>
      <c r="S419" s="41"/>
      <c r="T419" s="41"/>
      <c r="U419" s="41"/>
      <c r="V419" s="41"/>
      <c r="W419" s="41">
        <f t="shared" si="48"/>
        <v>0</v>
      </c>
      <c r="X419" s="77" t="str">
        <f t="shared" si="54"/>
        <v/>
      </c>
      <c r="AG419" s="81" t="str">
        <f>IF(Data_NaamPersoonTijd396="","",Data_NaamPersoonTijd396)</f>
        <v/>
      </c>
      <c r="AH419" s="41"/>
      <c r="AI419" s="41"/>
      <c r="AJ419" s="83" t="str">
        <f>IF(Data_BeeindigingsdatumTijd396="","",Data_BeeindigingsdatumTijd396)</f>
        <v/>
      </c>
      <c r="AK419" s="41"/>
      <c r="AL419" s="41"/>
      <c r="AM419" s="82" t="str">
        <f>IF(Data_LoonkostenTijd396="","",Data_LoonkostenTijd396)</f>
        <v/>
      </c>
      <c r="AN419" s="41"/>
      <c r="AO419" s="276" t="str">
        <f>IF(Data_PersoonAanUitTijd396=-1,"v","")</f>
        <v/>
      </c>
      <c r="AP419" s="41"/>
      <c r="AQ419" s="76" t="s">
        <v>160</v>
      </c>
      <c r="AR419" s="41"/>
      <c r="AS419" s="41"/>
      <c r="AT419" s="41"/>
      <c r="AU419" s="41"/>
      <c r="AV419" s="41">
        <f t="shared" si="49"/>
        <v>0</v>
      </c>
      <c r="AW419" s="77">
        <f t="shared" si="50"/>
        <v>0</v>
      </c>
      <c r="AX419" s="41"/>
      <c r="AY419" s="41"/>
      <c r="AZ419" s="41"/>
      <c r="BA419" s="81" t="str">
        <f>IF(Data_NaamPersoonVastVrij396="","",Data_NaamPersoonVastVrij396)</f>
        <v/>
      </c>
      <c r="BB419" s="41"/>
      <c r="BC419" s="41"/>
      <c r="BD419" s="83" t="str">
        <f>IF(Data_BeeindigingsdatumVastVrij396="","",Data_BeeindigingsdatumVastVrij396)</f>
        <v/>
      </c>
      <c r="BE419" s="41"/>
      <c r="BF419" s="41"/>
      <c r="BG419" s="82" t="str">
        <f>IF(Data_LoonkostenVastVrij396="","",Data_LoonkostenVastVrij396)</f>
        <v/>
      </c>
      <c r="BH419" s="41"/>
      <c r="BI419" s="76" t="str">
        <f>IF(Data_PersoonAanUitVastVrij396=-1,"v","")</f>
        <v/>
      </c>
      <c r="BJ419" s="41"/>
      <c r="BK419" s="76" t="s">
        <v>160</v>
      </c>
      <c r="BL419" s="41"/>
      <c r="BM419" s="41"/>
      <c r="BN419" s="41"/>
      <c r="BO419" s="41"/>
      <c r="BP419" s="41">
        <f t="shared" si="51"/>
        <v>0</v>
      </c>
      <c r="BQ419" s="77">
        <f t="shared" si="52"/>
        <v>0</v>
      </c>
      <c r="BS419" s="81" t="str">
        <f>IF(Data_NaamPersoonVastOntslag396="","",Data_NaamPersoonVastOntslag396)</f>
        <v/>
      </c>
      <c r="BV419" s="83" t="str">
        <f>IF(Data_BeeindigingsdatumVastOntslag396="","",Data_BeeindigingsdatumVastOntslag396)</f>
        <v/>
      </c>
      <c r="BY419" s="82" t="str">
        <f>IF(Data_LoonkostenVastOntslag396="","",Data_LoonkostenVastOntslag396)</f>
        <v/>
      </c>
      <c r="CA419" s="76" t="str">
        <f>IF(Data_PersoonAanUitVastOntslag396=-1,"v","")</f>
        <v/>
      </c>
      <c r="CB419" s="41"/>
      <c r="CC419" s="76" t="s">
        <v>160</v>
      </c>
      <c r="CD419" s="41"/>
      <c r="CE419" s="41"/>
      <c r="CF419" s="41"/>
      <c r="CG419" s="41"/>
      <c r="CH419" s="41">
        <f t="shared" si="55"/>
        <v>0</v>
      </c>
      <c r="CI419" s="41">
        <f t="shared" si="53"/>
        <v>0</v>
      </c>
    </row>
    <row r="420" spans="8:87" x14ac:dyDescent="0.25">
      <c r="H420" s="81" t="str">
        <f>IF(Data_NaamPersoonNatVerloop397="","",Data_NaamPersoonNatVerloop397)</f>
        <v/>
      </c>
      <c r="I420" s="41"/>
      <c r="J420" s="41"/>
      <c r="K420" s="83" t="str">
        <f>IF(Data_BeeindigingsdatumNatVerloop397="","",Data_BeeindigingsdatumNatVerloop397)</f>
        <v/>
      </c>
      <c r="L420" s="41"/>
      <c r="M420" s="41"/>
      <c r="N420" s="82" t="str">
        <f>IF(Data_LoonkostenNatVerloop397="","",Data_LoonkostenNatVerloop397)</f>
        <v/>
      </c>
      <c r="O420" s="41"/>
      <c r="P420" s="276" t="s">
        <v>160</v>
      </c>
      <c r="Q420" s="41"/>
      <c r="R420" s="76" t="s">
        <v>160</v>
      </c>
      <c r="S420" s="41"/>
      <c r="T420" s="41"/>
      <c r="U420" s="41"/>
      <c r="V420" s="41"/>
      <c r="W420" s="41">
        <f t="shared" si="48"/>
        <v>0</v>
      </c>
      <c r="X420" s="77" t="str">
        <f t="shared" si="54"/>
        <v/>
      </c>
      <c r="AG420" s="81" t="str">
        <f>IF(Data_NaamPersoonTijd397="","",Data_NaamPersoonTijd397)</f>
        <v/>
      </c>
      <c r="AH420" s="41"/>
      <c r="AI420" s="41"/>
      <c r="AJ420" s="83" t="str">
        <f>IF(Data_BeeindigingsdatumTijd397="","",Data_BeeindigingsdatumTijd397)</f>
        <v/>
      </c>
      <c r="AK420" s="41"/>
      <c r="AL420" s="41"/>
      <c r="AM420" s="82" t="str">
        <f>IF(Data_LoonkostenTijd397="","",Data_LoonkostenTijd397)</f>
        <v/>
      </c>
      <c r="AN420" s="41"/>
      <c r="AO420" s="276" t="str">
        <f>IF(Data_PersoonAanUitTijd397=-1,"v","")</f>
        <v/>
      </c>
      <c r="AP420" s="41"/>
      <c r="AQ420" s="76" t="s">
        <v>160</v>
      </c>
      <c r="AR420" s="41"/>
      <c r="AS420" s="41"/>
      <c r="AT420" s="41"/>
      <c r="AU420" s="41"/>
      <c r="AV420" s="41">
        <f t="shared" si="49"/>
        <v>0</v>
      </c>
      <c r="AW420" s="77">
        <f t="shared" si="50"/>
        <v>0</v>
      </c>
      <c r="AX420" s="41"/>
      <c r="AY420" s="41"/>
      <c r="AZ420" s="41"/>
      <c r="BA420" s="81" t="str">
        <f>IF(Data_NaamPersoonVastVrij397="","",Data_NaamPersoonVastVrij397)</f>
        <v/>
      </c>
      <c r="BB420" s="41"/>
      <c r="BC420" s="41"/>
      <c r="BD420" s="83" t="str">
        <f>IF(Data_BeeindigingsdatumVastVrij397="","",Data_BeeindigingsdatumVastVrij397)</f>
        <v/>
      </c>
      <c r="BE420" s="41"/>
      <c r="BF420" s="41"/>
      <c r="BG420" s="82" t="str">
        <f>IF(Data_LoonkostenVastVrij397="","",Data_LoonkostenVastVrij397)</f>
        <v/>
      </c>
      <c r="BH420" s="41"/>
      <c r="BI420" s="76" t="str">
        <f>IF(Data_PersoonAanUitVastVrij397=-1,"v","")</f>
        <v/>
      </c>
      <c r="BJ420" s="41"/>
      <c r="BK420" s="76" t="s">
        <v>160</v>
      </c>
      <c r="BL420" s="41"/>
      <c r="BM420" s="41"/>
      <c r="BN420" s="41"/>
      <c r="BO420" s="41"/>
      <c r="BP420" s="41">
        <f t="shared" si="51"/>
        <v>0</v>
      </c>
      <c r="BQ420" s="77">
        <f t="shared" si="52"/>
        <v>0</v>
      </c>
      <c r="BS420" s="81" t="str">
        <f>IF(Data_NaamPersoonVastOntslag397="","",Data_NaamPersoonVastOntslag397)</f>
        <v/>
      </c>
      <c r="BV420" s="83" t="str">
        <f>IF(Data_BeeindigingsdatumVastOntslag397="","",Data_BeeindigingsdatumVastOntslag397)</f>
        <v/>
      </c>
      <c r="BY420" s="82" t="str">
        <f>IF(Data_LoonkostenVastOntslag397="","",Data_LoonkostenVastOntslag397)</f>
        <v/>
      </c>
      <c r="CA420" s="76" t="str">
        <f>IF(Data_PersoonAanUitVastOntslag397=-1,"v","")</f>
        <v/>
      </c>
      <c r="CB420" s="41"/>
      <c r="CC420" s="76" t="s">
        <v>160</v>
      </c>
      <c r="CD420" s="41"/>
      <c r="CE420" s="41"/>
      <c r="CF420" s="41"/>
      <c r="CG420" s="41"/>
      <c r="CH420" s="41">
        <f t="shared" si="55"/>
        <v>0</v>
      </c>
      <c r="CI420" s="41">
        <f t="shared" si="53"/>
        <v>0</v>
      </c>
    </row>
    <row r="421" spans="8:87" x14ac:dyDescent="0.25">
      <c r="H421" s="81" t="str">
        <f>IF(Data_NaamPersoonNatVerloop398="","",Data_NaamPersoonNatVerloop398)</f>
        <v/>
      </c>
      <c r="I421" s="41"/>
      <c r="J421" s="41"/>
      <c r="K421" s="83" t="str">
        <f>IF(Data_BeeindigingsdatumNatVerloop398="","",Data_BeeindigingsdatumNatVerloop398)</f>
        <v/>
      </c>
      <c r="L421" s="41"/>
      <c r="M421" s="41"/>
      <c r="N421" s="82" t="str">
        <f>IF(Data_LoonkostenNatVerloop398="","",Data_LoonkostenNatVerloop398)</f>
        <v/>
      </c>
      <c r="O421" s="41"/>
      <c r="P421" s="276" t="s">
        <v>160</v>
      </c>
      <c r="Q421" s="41"/>
      <c r="R421" s="76" t="s">
        <v>160</v>
      </c>
      <c r="S421" s="41"/>
      <c r="T421" s="41"/>
      <c r="U421" s="41"/>
      <c r="V421" s="41"/>
      <c r="W421" s="41">
        <f t="shared" si="48"/>
        <v>0</v>
      </c>
      <c r="X421" s="77" t="str">
        <f t="shared" si="54"/>
        <v/>
      </c>
      <c r="AG421" s="81" t="str">
        <f>IF(Data_NaamPersoonTijd398="","",Data_NaamPersoonTijd398)</f>
        <v/>
      </c>
      <c r="AH421" s="41"/>
      <c r="AI421" s="41"/>
      <c r="AJ421" s="83" t="str">
        <f>IF(Data_BeeindigingsdatumTijd398="","",Data_BeeindigingsdatumTijd398)</f>
        <v/>
      </c>
      <c r="AK421" s="41"/>
      <c r="AL421" s="41"/>
      <c r="AM421" s="82" t="str">
        <f>IF(Data_LoonkostenTijd398="","",Data_LoonkostenTijd398)</f>
        <v/>
      </c>
      <c r="AN421" s="41"/>
      <c r="AO421" s="276" t="str">
        <f>IF(Data_PersoonAanUitTijd398=-1,"v","")</f>
        <v/>
      </c>
      <c r="AP421" s="41"/>
      <c r="AQ421" s="76" t="s">
        <v>160</v>
      </c>
      <c r="AR421" s="41"/>
      <c r="AS421" s="41"/>
      <c r="AT421" s="41"/>
      <c r="AU421" s="41"/>
      <c r="AV421" s="41">
        <f t="shared" si="49"/>
        <v>0</v>
      </c>
      <c r="AW421" s="77">
        <f t="shared" si="50"/>
        <v>0</v>
      </c>
      <c r="AX421" s="41"/>
      <c r="AY421" s="41"/>
      <c r="AZ421" s="41"/>
      <c r="BA421" s="81" t="str">
        <f>IF(Data_NaamPersoonVastVrij398="","",Data_NaamPersoonVastVrij398)</f>
        <v/>
      </c>
      <c r="BB421" s="41"/>
      <c r="BC421" s="41"/>
      <c r="BD421" s="83" t="str">
        <f>IF(Data_BeeindigingsdatumVastVrij398="","",Data_BeeindigingsdatumVastVrij398)</f>
        <v/>
      </c>
      <c r="BE421" s="41"/>
      <c r="BF421" s="41"/>
      <c r="BG421" s="82" t="str">
        <f>IF(Data_LoonkostenVastVrij398="","",Data_LoonkostenVastVrij398)</f>
        <v/>
      </c>
      <c r="BH421" s="41"/>
      <c r="BI421" s="76" t="str">
        <f>IF(Data_PersoonAanUitVastVrij398=-1,"v","")</f>
        <v/>
      </c>
      <c r="BJ421" s="41"/>
      <c r="BK421" s="76" t="s">
        <v>160</v>
      </c>
      <c r="BL421" s="41"/>
      <c r="BM421" s="41"/>
      <c r="BN421" s="41"/>
      <c r="BO421" s="41"/>
      <c r="BP421" s="41">
        <f t="shared" si="51"/>
        <v>0</v>
      </c>
      <c r="BQ421" s="77">
        <f t="shared" si="52"/>
        <v>0</v>
      </c>
      <c r="BS421" s="81" t="str">
        <f>IF(Data_NaamPersoonVastOntslag398="","",Data_NaamPersoonVastOntslag398)</f>
        <v/>
      </c>
      <c r="BV421" s="83" t="str">
        <f>IF(Data_BeeindigingsdatumVastOntslag398="","",Data_BeeindigingsdatumVastOntslag398)</f>
        <v/>
      </c>
      <c r="BY421" s="82" t="str">
        <f>IF(Data_LoonkostenVastOntslag398="","",Data_LoonkostenVastOntslag398)</f>
        <v/>
      </c>
      <c r="CA421" s="76" t="str">
        <f>IF(Data_PersoonAanUitVastOntslag398=-1,"v","")</f>
        <v/>
      </c>
      <c r="CB421" s="41"/>
      <c r="CC421" s="76" t="s">
        <v>160</v>
      </c>
      <c r="CD421" s="41"/>
      <c r="CE421" s="41"/>
      <c r="CF421" s="41"/>
      <c r="CG421" s="41"/>
      <c r="CH421" s="41">
        <f t="shared" si="55"/>
        <v>0</v>
      </c>
      <c r="CI421" s="41">
        <f t="shared" si="53"/>
        <v>0</v>
      </c>
    </row>
    <row r="422" spans="8:87" x14ac:dyDescent="0.25">
      <c r="H422" s="81" t="str">
        <f>IF(Data_NaamPersoonNatVerloop399="","",Data_NaamPersoonNatVerloop399)</f>
        <v/>
      </c>
      <c r="I422" s="41"/>
      <c r="J422" s="41"/>
      <c r="K422" s="83" t="str">
        <f>IF(Data_BeeindigingsdatumNatVerloop399="","",Data_BeeindigingsdatumNatVerloop399)</f>
        <v/>
      </c>
      <c r="L422" s="41"/>
      <c r="M422" s="41"/>
      <c r="N422" s="82" t="str">
        <f>IF(Data_LoonkostenNatVerloop399="","",Data_LoonkostenNatVerloop399)</f>
        <v/>
      </c>
      <c r="O422" s="41"/>
      <c r="P422" s="276" t="s">
        <v>160</v>
      </c>
      <c r="Q422" s="41"/>
      <c r="R422" s="76" t="s">
        <v>160</v>
      </c>
      <c r="S422" s="41"/>
      <c r="T422" s="41"/>
      <c r="U422" s="41"/>
      <c r="V422" s="41"/>
      <c r="W422" s="41">
        <f t="shared" si="48"/>
        <v>0</v>
      </c>
      <c r="X422" s="77" t="str">
        <f t="shared" si="54"/>
        <v/>
      </c>
      <c r="AG422" s="81" t="str">
        <f>IF(Data_NaamPersoonTijd399="","",Data_NaamPersoonTijd399)</f>
        <v/>
      </c>
      <c r="AH422" s="41"/>
      <c r="AI422" s="41"/>
      <c r="AJ422" s="83" t="str">
        <f>IF(Data_BeeindigingsdatumTijd399="","",Data_BeeindigingsdatumTijd399)</f>
        <v/>
      </c>
      <c r="AK422" s="41"/>
      <c r="AL422" s="41"/>
      <c r="AM422" s="82" t="str">
        <f>IF(Data_LoonkostenTijd399="","",Data_LoonkostenTijd399)</f>
        <v/>
      </c>
      <c r="AN422" s="41"/>
      <c r="AO422" s="276" t="str">
        <f>IF(Data_PersoonAanUitTijd399=-1,"v","")</f>
        <v/>
      </c>
      <c r="AP422" s="41"/>
      <c r="AQ422" s="76" t="s">
        <v>160</v>
      </c>
      <c r="AR422" s="41"/>
      <c r="AS422" s="41"/>
      <c r="AT422" s="41"/>
      <c r="AU422" s="41"/>
      <c r="AV422" s="41">
        <f t="shared" si="49"/>
        <v>0</v>
      </c>
      <c r="AW422" s="77">
        <f t="shared" si="50"/>
        <v>0</v>
      </c>
      <c r="AX422" s="41"/>
      <c r="AY422" s="41"/>
      <c r="AZ422" s="41"/>
      <c r="BA422" s="81" t="str">
        <f>IF(Data_NaamPersoonVastVrij399="","",Data_NaamPersoonVastVrij399)</f>
        <v/>
      </c>
      <c r="BB422" s="41"/>
      <c r="BC422" s="41"/>
      <c r="BD422" s="83" t="str">
        <f>IF(Data_BeeindigingsdatumVastVrij399="","",Data_BeeindigingsdatumVastVrij399)</f>
        <v/>
      </c>
      <c r="BE422" s="41"/>
      <c r="BF422" s="41"/>
      <c r="BG422" s="82" t="str">
        <f>IF(Data_LoonkostenVastVrij399="","",Data_LoonkostenVastVrij399)</f>
        <v/>
      </c>
      <c r="BH422" s="41"/>
      <c r="BI422" s="76" t="str">
        <f>IF(Data_PersoonAanUitVastVrij399=-1,"v","")</f>
        <v/>
      </c>
      <c r="BJ422" s="41"/>
      <c r="BK422" s="76" t="s">
        <v>160</v>
      </c>
      <c r="BL422" s="41"/>
      <c r="BM422" s="41"/>
      <c r="BN422" s="41"/>
      <c r="BO422" s="41"/>
      <c r="BP422" s="41">
        <f t="shared" si="51"/>
        <v>0</v>
      </c>
      <c r="BQ422" s="77">
        <f t="shared" si="52"/>
        <v>0</v>
      </c>
      <c r="BS422" s="81" t="str">
        <f>IF(Data_NaamPersoonVastOntslag399="","",Data_NaamPersoonVastOntslag399)</f>
        <v/>
      </c>
      <c r="BV422" s="83" t="str">
        <f>IF(Data_BeeindigingsdatumVastOntslag399="","",Data_BeeindigingsdatumVastOntslag399)</f>
        <v/>
      </c>
      <c r="BY422" s="82" t="str">
        <f>IF(Data_LoonkostenVastOntslag399="","",Data_LoonkostenVastOntslag399)</f>
        <v/>
      </c>
      <c r="CA422" s="76" t="str">
        <f>IF(Data_PersoonAanUitVastOntslag399=-1,"v","")</f>
        <v/>
      </c>
      <c r="CB422" s="41"/>
      <c r="CC422" s="76" t="s">
        <v>160</v>
      </c>
      <c r="CD422" s="41"/>
      <c r="CE422" s="41"/>
      <c r="CF422" s="41"/>
      <c r="CG422" s="41"/>
      <c r="CH422" s="41">
        <f t="shared" si="55"/>
        <v>0</v>
      </c>
      <c r="CI422" s="41">
        <f t="shared" si="53"/>
        <v>0</v>
      </c>
    </row>
    <row r="423" spans="8:87" x14ac:dyDescent="0.25">
      <c r="H423" s="81" t="str">
        <f>IF(Data_NaamPersoonNatVerloop400="","",Data_NaamPersoonNatVerloop400)</f>
        <v/>
      </c>
      <c r="I423" s="41"/>
      <c r="J423" s="41"/>
      <c r="K423" s="83" t="str">
        <f>IF(Data_BeeindigingsdatumNatVerloop400="","",Data_BeeindigingsdatumNatVerloop400)</f>
        <v/>
      </c>
      <c r="L423" s="41"/>
      <c r="M423" s="41"/>
      <c r="N423" s="82" t="str">
        <f>IF(Data_LoonkostenNatVerloop400="","",Data_LoonkostenNatVerloop400)</f>
        <v/>
      </c>
      <c r="O423" s="41"/>
      <c r="P423" s="276" t="s">
        <v>160</v>
      </c>
      <c r="Q423" s="41"/>
      <c r="R423" s="76" t="s">
        <v>160</v>
      </c>
      <c r="S423" s="41"/>
      <c r="T423" s="41"/>
      <c r="U423" s="41"/>
      <c r="V423" s="41"/>
      <c r="W423" s="41">
        <f t="shared" si="48"/>
        <v>0</v>
      </c>
      <c r="X423" s="77" t="str">
        <f t="shared" si="54"/>
        <v/>
      </c>
      <c r="AG423" s="81" t="str">
        <f>IF(Data_NaamPersoonTijd400="","",Data_NaamPersoonTijd400)</f>
        <v/>
      </c>
      <c r="AH423" s="41"/>
      <c r="AI423" s="41"/>
      <c r="AJ423" s="83" t="str">
        <f>IF(Data_BeeindigingsdatumTijd400="","",Data_BeeindigingsdatumTijd400)</f>
        <v/>
      </c>
      <c r="AK423" s="41"/>
      <c r="AL423" s="41"/>
      <c r="AM423" s="82" t="str">
        <f>IF(Data_LoonkostenTijd400="","",Data_LoonkostenTijd400)</f>
        <v/>
      </c>
      <c r="AN423" s="41"/>
      <c r="AO423" s="276" t="str">
        <f>IF(Data_PersoonAanUitTijd400=-1,"v","")</f>
        <v/>
      </c>
      <c r="AP423" s="41"/>
      <c r="AQ423" s="76" t="s">
        <v>160</v>
      </c>
      <c r="AR423" s="41"/>
      <c r="AS423" s="41"/>
      <c r="AT423" s="41"/>
      <c r="AU423" s="41"/>
      <c r="AV423" s="41">
        <f t="shared" si="49"/>
        <v>0</v>
      </c>
      <c r="AW423" s="77">
        <f t="shared" si="50"/>
        <v>0</v>
      </c>
      <c r="AX423" s="41"/>
      <c r="AY423" s="41"/>
      <c r="AZ423" s="41"/>
      <c r="BA423" s="81" t="str">
        <f>IF(Data_NaamPersoonVastVrij400="","",Data_NaamPersoonVastVrij400)</f>
        <v/>
      </c>
      <c r="BB423" s="41"/>
      <c r="BC423" s="41"/>
      <c r="BD423" s="83" t="str">
        <f>IF(Data_BeeindigingsdatumVastVrij400="","",Data_BeeindigingsdatumVastVrij400)</f>
        <v/>
      </c>
      <c r="BE423" s="41"/>
      <c r="BF423" s="41"/>
      <c r="BG423" s="82" t="str">
        <f>IF(Data_LoonkostenVastVrij400="","",Data_LoonkostenVastVrij400)</f>
        <v/>
      </c>
      <c r="BH423" s="41"/>
      <c r="BI423" s="76" t="str">
        <f>IF(Data_PersoonAanUitVastVrij400=-1,"v","")</f>
        <v/>
      </c>
      <c r="BJ423" s="41"/>
      <c r="BK423" s="76" t="s">
        <v>160</v>
      </c>
      <c r="BL423" s="41"/>
      <c r="BM423" s="41"/>
      <c r="BN423" s="41"/>
      <c r="BO423" s="41"/>
      <c r="BP423" s="41">
        <f t="shared" si="51"/>
        <v>0</v>
      </c>
      <c r="BQ423" s="77">
        <f t="shared" si="52"/>
        <v>0</v>
      </c>
      <c r="BS423" s="81" t="str">
        <f>IF(Data_NaamPersoonVastOntslag400="","",Data_NaamPersoonVastOntslag400)</f>
        <v/>
      </c>
      <c r="BV423" s="83" t="str">
        <f>IF(Data_BeeindigingsdatumVastOntslag400="","",Data_BeeindigingsdatumVastOntslag400)</f>
        <v/>
      </c>
      <c r="BY423" s="82" t="str">
        <f>IF(Data_LoonkostenVastOntslag400="","",Data_LoonkostenVastOntslag400)</f>
        <v/>
      </c>
      <c r="CA423" s="76" t="str">
        <f>IF(Data_PersoonAanUitVastOntslag400=-1,"v","")</f>
        <v/>
      </c>
      <c r="CB423" s="41"/>
      <c r="CC423" s="76" t="s">
        <v>160</v>
      </c>
      <c r="CD423" s="41"/>
      <c r="CE423" s="41"/>
      <c r="CF423" s="41"/>
      <c r="CG423" s="41"/>
      <c r="CH423" s="41">
        <f t="shared" si="55"/>
        <v>0</v>
      </c>
      <c r="CI423" s="41">
        <f t="shared" si="53"/>
        <v>0</v>
      </c>
    </row>
    <row r="424" spans="8:87" x14ac:dyDescent="0.25">
      <c r="H424" s="81" t="str">
        <f>IF(Data_NaamPersoonNatVerloop401="","",Data_NaamPersoonNatVerloop401)</f>
        <v/>
      </c>
      <c r="I424" s="41"/>
      <c r="J424" s="41"/>
      <c r="K424" s="83" t="str">
        <f>IF(Data_BeeindigingsdatumNatVerloop401="","",Data_BeeindigingsdatumNatVerloop401)</f>
        <v/>
      </c>
      <c r="L424" s="41"/>
      <c r="M424" s="41"/>
      <c r="N424" s="82" t="str">
        <f>IF(Data_LoonkostenNatVerloop401="","",Data_LoonkostenNatVerloop401)</f>
        <v/>
      </c>
      <c r="O424" s="41"/>
      <c r="P424" s="276" t="s">
        <v>160</v>
      </c>
      <c r="Q424" s="41"/>
      <c r="R424" s="76" t="s">
        <v>160</v>
      </c>
      <c r="S424" s="41"/>
      <c r="T424" s="41"/>
      <c r="U424" s="41"/>
      <c r="V424" s="41"/>
      <c r="W424" s="41">
        <f t="shared" si="48"/>
        <v>0</v>
      </c>
      <c r="X424" s="77" t="str">
        <f t="shared" si="54"/>
        <v/>
      </c>
      <c r="AG424" s="81" t="str">
        <f>IF(Data_NaamPersoonTijd401="","",Data_NaamPersoonTijd401)</f>
        <v/>
      </c>
      <c r="AH424" s="41"/>
      <c r="AI424" s="41"/>
      <c r="AJ424" s="83" t="str">
        <f>IF(Data_BeeindigingsdatumTijd401="","",Data_BeeindigingsdatumTijd401)</f>
        <v/>
      </c>
      <c r="AK424" s="41"/>
      <c r="AL424" s="41"/>
      <c r="AM424" s="82" t="str">
        <f>IF(Data_LoonkostenTijd401="","",Data_LoonkostenTijd401)</f>
        <v/>
      </c>
      <c r="AN424" s="41"/>
      <c r="AO424" s="276" t="str">
        <f>IF(Data_PersoonAanUitTijd401=-1,"v","")</f>
        <v/>
      </c>
      <c r="AP424" s="41"/>
      <c r="AQ424" s="76" t="s">
        <v>160</v>
      </c>
      <c r="AR424" s="41"/>
      <c r="AS424" s="41"/>
      <c r="AT424" s="41"/>
      <c r="AU424" s="41"/>
      <c r="AV424" s="41">
        <f t="shared" si="49"/>
        <v>0</v>
      </c>
      <c r="AW424" s="77">
        <f t="shared" si="50"/>
        <v>0</v>
      </c>
      <c r="AX424" s="41"/>
      <c r="AY424" s="41"/>
      <c r="AZ424" s="41"/>
      <c r="BA424" s="81" t="str">
        <f>IF(Data_NaamPersoonVastVrij401="","",Data_NaamPersoonVastVrij401)</f>
        <v/>
      </c>
      <c r="BB424" s="41"/>
      <c r="BC424" s="41"/>
      <c r="BD424" s="83" t="str">
        <f>IF(Data_BeeindigingsdatumVastVrij401="","",Data_BeeindigingsdatumVastVrij401)</f>
        <v/>
      </c>
      <c r="BE424" s="41"/>
      <c r="BF424" s="41"/>
      <c r="BG424" s="82" t="str">
        <f>IF(Data_LoonkostenVastVrij401="","",Data_LoonkostenVastVrij401)</f>
        <v/>
      </c>
      <c r="BH424" s="41"/>
      <c r="BI424" s="76" t="str">
        <f>IF(Data_PersoonAanUitVastVrij401=-1,"v","")</f>
        <v/>
      </c>
      <c r="BJ424" s="41"/>
      <c r="BK424" s="76" t="s">
        <v>160</v>
      </c>
      <c r="BL424" s="41"/>
      <c r="BM424" s="41"/>
      <c r="BN424" s="41"/>
      <c r="BO424" s="41"/>
      <c r="BP424" s="41">
        <f t="shared" si="51"/>
        <v>0</v>
      </c>
      <c r="BQ424" s="77">
        <f t="shared" si="52"/>
        <v>0</v>
      </c>
      <c r="BS424" s="81" t="str">
        <f>IF(Data_NaamPersoonVastOntslag401="","",Data_NaamPersoonVastOntslag401)</f>
        <v/>
      </c>
      <c r="BV424" s="83" t="str">
        <f>IF(Data_BeeindigingsdatumVastOntslag401="","",Data_BeeindigingsdatumVastOntslag401)</f>
        <v/>
      </c>
      <c r="BY424" s="82" t="str">
        <f>IF(Data_LoonkostenVastOntslag401="","",Data_LoonkostenVastOntslag401)</f>
        <v/>
      </c>
      <c r="CA424" s="76" t="str">
        <f>IF(Data_PersoonAanUitVastOntslag401=-1,"v","")</f>
        <v/>
      </c>
      <c r="CB424" s="41"/>
      <c r="CC424" s="76" t="s">
        <v>160</v>
      </c>
      <c r="CD424" s="41"/>
      <c r="CE424" s="41"/>
      <c r="CF424" s="41"/>
      <c r="CG424" s="41"/>
      <c r="CH424" s="41">
        <f t="shared" si="55"/>
        <v>0</v>
      </c>
      <c r="CI424" s="41">
        <f t="shared" si="53"/>
        <v>0</v>
      </c>
    </row>
    <row r="425" spans="8:87" x14ac:dyDescent="0.25">
      <c r="H425" s="81" t="str">
        <f>IF(Data_NaamPersoonNatVerloop402="","",Data_NaamPersoonNatVerloop402)</f>
        <v/>
      </c>
      <c r="I425" s="41"/>
      <c r="J425" s="41"/>
      <c r="K425" s="83" t="str">
        <f>IF(Data_BeeindigingsdatumNatVerloop402="","",Data_BeeindigingsdatumNatVerloop402)</f>
        <v/>
      </c>
      <c r="L425" s="41"/>
      <c r="M425" s="41"/>
      <c r="N425" s="82" t="str">
        <f>IF(Data_LoonkostenNatVerloop402="","",Data_LoonkostenNatVerloop402)</f>
        <v/>
      </c>
      <c r="O425" s="41"/>
      <c r="P425" s="276" t="s">
        <v>160</v>
      </c>
      <c r="Q425" s="41"/>
      <c r="R425" s="76" t="s">
        <v>160</v>
      </c>
      <c r="S425" s="41"/>
      <c r="T425" s="41"/>
      <c r="U425" s="41"/>
      <c r="V425" s="41"/>
      <c r="W425" s="41">
        <f t="shared" si="48"/>
        <v>0</v>
      </c>
      <c r="X425" s="77" t="str">
        <f t="shared" si="54"/>
        <v/>
      </c>
      <c r="AG425" s="81" t="str">
        <f>IF(Data_NaamPersoonTijd402="","",Data_NaamPersoonTijd402)</f>
        <v/>
      </c>
      <c r="AH425" s="41"/>
      <c r="AI425" s="41"/>
      <c r="AJ425" s="83" t="str">
        <f>IF(Data_BeeindigingsdatumTijd402="","",Data_BeeindigingsdatumTijd402)</f>
        <v/>
      </c>
      <c r="AK425" s="41"/>
      <c r="AL425" s="41"/>
      <c r="AM425" s="82" t="str">
        <f>IF(Data_LoonkostenTijd402="","",Data_LoonkostenTijd402)</f>
        <v/>
      </c>
      <c r="AN425" s="41"/>
      <c r="AO425" s="276" t="str">
        <f>IF(Data_PersoonAanUitTijd402=-1,"v","")</f>
        <v/>
      </c>
      <c r="AP425" s="41"/>
      <c r="AQ425" s="76" t="s">
        <v>160</v>
      </c>
      <c r="AR425" s="41"/>
      <c r="AS425" s="41"/>
      <c r="AT425" s="41"/>
      <c r="AU425" s="41"/>
      <c r="AV425" s="41">
        <f t="shared" si="49"/>
        <v>0</v>
      </c>
      <c r="AW425" s="77">
        <f t="shared" si="50"/>
        <v>0</v>
      </c>
      <c r="AX425" s="41"/>
      <c r="AY425" s="41"/>
      <c r="AZ425" s="41"/>
      <c r="BA425" s="81" t="str">
        <f>IF(Data_NaamPersoonVastVrij402="","",Data_NaamPersoonVastVrij402)</f>
        <v/>
      </c>
      <c r="BB425" s="41"/>
      <c r="BC425" s="41"/>
      <c r="BD425" s="83" t="str">
        <f>IF(Data_BeeindigingsdatumVastVrij402="","",Data_BeeindigingsdatumVastVrij402)</f>
        <v/>
      </c>
      <c r="BE425" s="41"/>
      <c r="BF425" s="41"/>
      <c r="BG425" s="82" t="str">
        <f>IF(Data_LoonkostenVastVrij402="","",Data_LoonkostenVastVrij402)</f>
        <v/>
      </c>
      <c r="BH425" s="41"/>
      <c r="BI425" s="76" t="str">
        <f>IF(Data_PersoonAanUitVastVrij402=-1,"v","")</f>
        <v/>
      </c>
      <c r="BJ425" s="41"/>
      <c r="BK425" s="76" t="s">
        <v>160</v>
      </c>
      <c r="BL425" s="41"/>
      <c r="BM425" s="41"/>
      <c r="BN425" s="41"/>
      <c r="BO425" s="41"/>
      <c r="BP425" s="41">
        <f t="shared" si="51"/>
        <v>0</v>
      </c>
      <c r="BQ425" s="77">
        <f t="shared" si="52"/>
        <v>0</v>
      </c>
      <c r="BS425" s="81" t="str">
        <f>IF(Data_NaamPersoonVastOntslag402="","",Data_NaamPersoonVastOntslag402)</f>
        <v/>
      </c>
      <c r="BV425" s="83" t="str">
        <f>IF(Data_BeeindigingsdatumVastOntslag402="","",Data_BeeindigingsdatumVastOntslag402)</f>
        <v/>
      </c>
      <c r="BY425" s="82" t="str">
        <f>IF(Data_LoonkostenVastOntslag402="","",Data_LoonkostenVastOntslag402)</f>
        <v/>
      </c>
      <c r="CA425" s="76" t="str">
        <f>IF(Data_PersoonAanUitVastOntslag402=-1,"v","")</f>
        <v/>
      </c>
      <c r="CB425" s="41"/>
      <c r="CC425" s="76" t="s">
        <v>160</v>
      </c>
      <c r="CD425" s="41"/>
      <c r="CE425" s="41"/>
      <c r="CF425" s="41"/>
      <c r="CG425" s="41"/>
      <c r="CH425" s="41">
        <f t="shared" si="55"/>
        <v>0</v>
      </c>
      <c r="CI425" s="41">
        <f t="shared" si="53"/>
        <v>0</v>
      </c>
    </row>
    <row r="426" spans="8:87" x14ac:dyDescent="0.25">
      <c r="H426" s="81" t="str">
        <f>IF(Data_NaamPersoonNatVerloop403="","",Data_NaamPersoonNatVerloop403)</f>
        <v/>
      </c>
      <c r="I426" s="41"/>
      <c r="J426" s="41"/>
      <c r="K426" s="83" t="str">
        <f>IF(Data_BeeindigingsdatumNatVerloop403="","",Data_BeeindigingsdatumNatVerloop403)</f>
        <v/>
      </c>
      <c r="L426" s="41"/>
      <c r="M426" s="41"/>
      <c r="N426" s="82" t="str">
        <f>IF(Data_LoonkostenNatVerloop403="","",Data_LoonkostenNatVerloop403)</f>
        <v/>
      </c>
      <c r="O426" s="41"/>
      <c r="P426" s="276" t="s">
        <v>160</v>
      </c>
      <c r="Q426" s="41"/>
      <c r="R426" s="76" t="s">
        <v>160</v>
      </c>
      <c r="S426" s="41"/>
      <c r="T426" s="41"/>
      <c r="U426" s="41"/>
      <c r="V426" s="41"/>
      <c r="W426" s="41">
        <f t="shared" si="48"/>
        <v>0</v>
      </c>
      <c r="X426" s="77" t="str">
        <f t="shared" si="54"/>
        <v/>
      </c>
      <c r="AG426" s="81" t="str">
        <f>IF(Data_NaamPersoonTijd403="","",Data_NaamPersoonTijd403)</f>
        <v/>
      </c>
      <c r="AH426" s="41"/>
      <c r="AI426" s="41"/>
      <c r="AJ426" s="83" t="str">
        <f>IF(Data_BeeindigingsdatumTijd403="","",Data_BeeindigingsdatumTijd403)</f>
        <v/>
      </c>
      <c r="AK426" s="41"/>
      <c r="AL426" s="41"/>
      <c r="AM426" s="82" t="str">
        <f>IF(Data_LoonkostenTijd403="","",Data_LoonkostenTijd403)</f>
        <v/>
      </c>
      <c r="AN426" s="41"/>
      <c r="AO426" s="276" t="str">
        <f>IF(Data_PersoonAanUitTijd403=-1,"v","")</f>
        <v/>
      </c>
      <c r="AP426" s="41"/>
      <c r="AQ426" s="76" t="s">
        <v>160</v>
      </c>
      <c r="AR426" s="41"/>
      <c r="AS426" s="41"/>
      <c r="AT426" s="41"/>
      <c r="AU426" s="41"/>
      <c r="AV426" s="41">
        <f t="shared" si="49"/>
        <v>0</v>
      </c>
      <c r="AW426" s="77">
        <f t="shared" si="50"/>
        <v>0</v>
      </c>
      <c r="AX426" s="41"/>
      <c r="AY426" s="41"/>
      <c r="AZ426" s="41"/>
      <c r="BA426" s="81" t="str">
        <f>IF(Data_NaamPersoonVastVrij403="","",Data_NaamPersoonVastVrij403)</f>
        <v/>
      </c>
      <c r="BB426" s="41"/>
      <c r="BC426" s="41"/>
      <c r="BD426" s="83" t="str">
        <f>IF(Data_BeeindigingsdatumVastVrij403="","",Data_BeeindigingsdatumVastVrij403)</f>
        <v/>
      </c>
      <c r="BE426" s="41"/>
      <c r="BF426" s="41"/>
      <c r="BG426" s="82" t="str">
        <f>IF(Data_LoonkostenVastVrij403="","",Data_LoonkostenVastVrij403)</f>
        <v/>
      </c>
      <c r="BH426" s="41"/>
      <c r="BI426" s="76" t="str">
        <f>IF(Data_PersoonAanUitVastVrij403=-1,"v","")</f>
        <v/>
      </c>
      <c r="BJ426" s="41"/>
      <c r="BK426" s="76" t="s">
        <v>160</v>
      </c>
      <c r="BL426" s="41"/>
      <c r="BM426" s="41"/>
      <c r="BN426" s="41"/>
      <c r="BO426" s="41"/>
      <c r="BP426" s="41">
        <f t="shared" si="51"/>
        <v>0</v>
      </c>
      <c r="BQ426" s="77">
        <f t="shared" si="52"/>
        <v>0</v>
      </c>
      <c r="BS426" s="81" t="str">
        <f>IF(Data_NaamPersoonVastOntslag403="","",Data_NaamPersoonVastOntslag403)</f>
        <v/>
      </c>
      <c r="BV426" s="83" t="str">
        <f>IF(Data_BeeindigingsdatumVastOntslag403="","",Data_BeeindigingsdatumVastOntslag403)</f>
        <v/>
      </c>
      <c r="BY426" s="82" t="str">
        <f>IF(Data_LoonkostenVastOntslag403="","",Data_LoonkostenVastOntslag403)</f>
        <v/>
      </c>
      <c r="CA426" s="76" t="str">
        <f>IF(Data_PersoonAanUitVastOntslag403=-1,"v","")</f>
        <v/>
      </c>
      <c r="CB426" s="41"/>
      <c r="CC426" s="76" t="s">
        <v>160</v>
      </c>
      <c r="CD426" s="41"/>
      <c r="CE426" s="41"/>
      <c r="CF426" s="41"/>
      <c r="CG426" s="41"/>
      <c r="CH426" s="41">
        <f t="shared" si="55"/>
        <v>0</v>
      </c>
      <c r="CI426" s="41">
        <f t="shared" si="53"/>
        <v>0</v>
      </c>
    </row>
    <row r="427" spans="8:87" x14ac:dyDescent="0.25">
      <c r="H427" s="81" t="str">
        <f>IF(Data_NaamPersoonNatVerloop404="","",Data_NaamPersoonNatVerloop404)</f>
        <v/>
      </c>
      <c r="I427" s="41"/>
      <c r="J427" s="41"/>
      <c r="K427" s="83" t="str">
        <f>IF(Data_BeeindigingsdatumNatVerloop404="","",Data_BeeindigingsdatumNatVerloop404)</f>
        <v/>
      </c>
      <c r="L427" s="41"/>
      <c r="M427" s="41"/>
      <c r="N427" s="82" t="str">
        <f>IF(Data_LoonkostenNatVerloop404="","",Data_LoonkostenNatVerloop404)</f>
        <v/>
      </c>
      <c r="O427" s="41"/>
      <c r="P427" s="276" t="s">
        <v>160</v>
      </c>
      <c r="Q427" s="41"/>
      <c r="R427" s="76" t="s">
        <v>160</v>
      </c>
      <c r="S427" s="41"/>
      <c r="T427" s="41"/>
      <c r="U427" s="41"/>
      <c r="V427" s="41"/>
      <c r="W427" s="41">
        <f t="shared" si="48"/>
        <v>0</v>
      </c>
      <c r="X427" s="77" t="str">
        <f t="shared" si="54"/>
        <v/>
      </c>
      <c r="AG427" s="81" t="str">
        <f>IF(Data_NaamPersoonTijd404="","",Data_NaamPersoonTijd404)</f>
        <v/>
      </c>
      <c r="AH427" s="41"/>
      <c r="AI427" s="41"/>
      <c r="AJ427" s="83" t="str">
        <f>IF(Data_BeeindigingsdatumTijd404="","",Data_BeeindigingsdatumTijd404)</f>
        <v/>
      </c>
      <c r="AK427" s="41"/>
      <c r="AL427" s="41"/>
      <c r="AM427" s="82" t="str">
        <f>IF(Data_LoonkostenTijd404="","",Data_LoonkostenTijd404)</f>
        <v/>
      </c>
      <c r="AN427" s="41"/>
      <c r="AO427" s="276" t="str">
        <f>IF(Data_PersoonAanUitTijd404=-1,"v","")</f>
        <v/>
      </c>
      <c r="AP427" s="41"/>
      <c r="AQ427" s="76" t="s">
        <v>160</v>
      </c>
      <c r="AR427" s="41"/>
      <c r="AS427" s="41"/>
      <c r="AT427" s="41"/>
      <c r="AU427" s="41"/>
      <c r="AV427" s="41">
        <f t="shared" si="49"/>
        <v>0</v>
      </c>
      <c r="AW427" s="77">
        <f t="shared" si="50"/>
        <v>0</v>
      </c>
      <c r="AX427" s="41"/>
      <c r="AY427" s="41"/>
      <c r="AZ427" s="41"/>
      <c r="BA427" s="81" t="str">
        <f>IF(Data_NaamPersoonVastVrij404="","",Data_NaamPersoonVastVrij404)</f>
        <v/>
      </c>
      <c r="BB427" s="41"/>
      <c r="BC427" s="41"/>
      <c r="BD427" s="83" t="str">
        <f>IF(Data_BeeindigingsdatumVastVrij404="","",Data_BeeindigingsdatumVastVrij404)</f>
        <v/>
      </c>
      <c r="BE427" s="41"/>
      <c r="BF427" s="41"/>
      <c r="BG427" s="82" t="str">
        <f>IF(Data_LoonkostenVastVrij404="","",Data_LoonkostenVastVrij404)</f>
        <v/>
      </c>
      <c r="BH427" s="41"/>
      <c r="BI427" s="76" t="str">
        <f>IF(Data_PersoonAanUitVastVrij404=-1,"v","")</f>
        <v/>
      </c>
      <c r="BJ427" s="41"/>
      <c r="BK427" s="76" t="s">
        <v>160</v>
      </c>
      <c r="BL427" s="41"/>
      <c r="BM427" s="41"/>
      <c r="BN427" s="41"/>
      <c r="BO427" s="41"/>
      <c r="BP427" s="41">
        <f t="shared" si="51"/>
        <v>0</v>
      </c>
      <c r="BQ427" s="77">
        <f t="shared" si="52"/>
        <v>0</v>
      </c>
      <c r="BS427" s="81" t="str">
        <f>IF(Data_NaamPersoonVastOntslag404="","",Data_NaamPersoonVastOntslag404)</f>
        <v/>
      </c>
      <c r="BV427" s="83" t="str">
        <f>IF(Data_BeeindigingsdatumVastOntslag404="","",Data_BeeindigingsdatumVastOntslag404)</f>
        <v/>
      </c>
      <c r="BY427" s="82" t="str">
        <f>IF(Data_LoonkostenVastOntslag404="","",Data_LoonkostenVastOntslag404)</f>
        <v/>
      </c>
      <c r="CA427" s="76" t="str">
        <f>IF(Data_PersoonAanUitVastOntslag404=-1,"v","")</f>
        <v/>
      </c>
      <c r="CB427" s="41"/>
      <c r="CC427" s="76" t="s">
        <v>160</v>
      </c>
      <c r="CD427" s="41"/>
      <c r="CE427" s="41"/>
      <c r="CF427" s="41"/>
      <c r="CG427" s="41"/>
      <c r="CH427" s="41">
        <f t="shared" si="55"/>
        <v>0</v>
      </c>
      <c r="CI427" s="41">
        <f t="shared" si="53"/>
        <v>0</v>
      </c>
    </row>
    <row r="428" spans="8:87" x14ac:dyDescent="0.25">
      <c r="H428" s="81" t="str">
        <f>IF(Data_NaamPersoonNatVerloop405="","",Data_NaamPersoonNatVerloop405)</f>
        <v/>
      </c>
      <c r="I428" s="41"/>
      <c r="J428" s="41"/>
      <c r="K428" s="83" t="str">
        <f>IF(Data_BeeindigingsdatumNatVerloop405="","",Data_BeeindigingsdatumNatVerloop405)</f>
        <v/>
      </c>
      <c r="L428" s="41"/>
      <c r="M428" s="41"/>
      <c r="N428" s="82" t="str">
        <f>IF(Data_LoonkostenNatVerloop405="","",Data_LoonkostenNatVerloop405)</f>
        <v/>
      </c>
      <c r="O428" s="41"/>
      <c r="P428" s="276" t="s">
        <v>160</v>
      </c>
      <c r="Q428" s="41"/>
      <c r="R428" s="76" t="s">
        <v>160</v>
      </c>
      <c r="S428" s="41"/>
      <c r="T428" s="41"/>
      <c r="U428" s="41"/>
      <c r="V428" s="41"/>
      <c r="W428" s="41">
        <f t="shared" si="48"/>
        <v>0</v>
      </c>
      <c r="X428" s="77" t="str">
        <f t="shared" si="54"/>
        <v/>
      </c>
      <c r="AG428" s="81" t="str">
        <f>IF(Data_NaamPersoonTijd405="","",Data_NaamPersoonTijd405)</f>
        <v/>
      </c>
      <c r="AH428" s="41"/>
      <c r="AI428" s="41"/>
      <c r="AJ428" s="83" t="str">
        <f>IF(Data_BeeindigingsdatumTijd405="","",Data_BeeindigingsdatumTijd405)</f>
        <v/>
      </c>
      <c r="AK428" s="41"/>
      <c r="AL428" s="41"/>
      <c r="AM428" s="82" t="str">
        <f>IF(Data_LoonkostenTijd405="","",Data_LoonkostenTijd405)</f>
        <v/>
      </c>
      <c r="AN428" s="41"/>
      <c r="AO428" s="276" t="str">
        <f>IF(Data_PersoonAanUitTijd405=-1,"v","")</f>
        <v/>
      </c>
      <c r="AP428" s="41"/>
      <c r="AQ428" s="76" t="s">
        <v>160</v>
      </c>
      <c r="AR428" s="41"/>
      <c r="AS428" s="41"/>
      <c r="AT428" s="41"/>
      <c r="AU428" s="41"/>
      <c r="AV428" s="41">
        <f t="shared" si="49"/>
        <v>0</v>
      </c>
      <c r="AW428" s="77">
        <f t="shared" si="50"/>
        <v>0</v>
      </c>
      <c r="AX428" s="41"/>
      <c r="AY428" s="41"/>
      <c r="AZ428" s="41"/>
      <c r="BA428" s="81" t="str">
        <f>IF(Data_NaamPersoonVastVrij405="","",Data_NaamPersoonVastVrij405)</f>
        <v/>
      </c>
      <c r="BB428" s="41"/>
      <c r="BC428" s="41"/>
      <c r="BD428" s="83" t="str">
        <f>IF(Data_BeeindigingsdatumVastVrij405="","",Data_BeeindigingsdatumVastVrij405)</f>
        <v/>
      </c>
      <c r="BE428" s="41"/>
      <c r="BF428" s="41"/>
      <c r="BG428" s="82" t="str">
        <f>IF(Data_LoonkostenVastVrij405="","",Data_LoonkostenVastVrij405)</f>
        <v/>
      </c>
      <c r="BH428" s="41"/>
      <c r="BI428" s="76" t="str">
        <f>IF(Data_PersoonAanUitVastVrij405=-1,"v","")</f>
        <v/>
      </c>
      <c r="BJ428" s="41"/>
      <c r="BK428" s="76" t="s">
        <v>160</v>
      </c>
      <c r="BL428" s="41"/>
      <c r="BM428" s="41"/>
      <c r="BN428" s="41"/>
      <c r="BO428" s="41"/>
      <c r="BP428" s="41">
        <f t="shared" si="51"/>
        <v>0</v>
      </c>
      <c r="BQ428" s="77">
        <f t="shared" si="52"/>
        <v>0</v>
      </c>
      <c r="BS428" s="81" t="str">
        <f>IF(Data_NaamPersoonVastOntslag405="","",Data_NaamPersoonVastOntslag405)</f>
        <v/>
      </c>
      <c r="BV428" s="83" t="str">
        <f>IF(Data_BeeindigingsdatumVastOntslag405="","",Data_BeeindigingsdatumVastOntslag405)</f>
        <v/>
      </c>
      <c r="BY428" s="82" t="str">
        <f>IF(Data_LoonkostenVastOntslag405="","",Data_LoonkostenVastOntslag405)</f>
        <v/>
      </c>
      <c r="CA428" s="76" t="str">
        <f>IF(Data_PersoonAanUitVastOntslag405=-1,"v","")</f>
        <v/>
      </c>
      <c r="CB428" s="41"/>
      <c r="CC428" s="76" t="s">
        <v>160</v>
      </c>
      <c r="CD428" s="41"/>
      <c r="CE428" s="41"/>
      <c r="CF428" s="41"/>
      <c r="CG428" s="41"/>
      <c r="CH428" s="41">
        <f t="shared" si="55"/>
        <v>0</v>
      </c>
      <c r="CI428" s="41">
        <f t="shared" si="53"/>
        <v>0</v>
      </c>
    </row>
    <row r="429" spans="8:87" x14ac:dyDescent="0.25">
      <c r="H429" s="81" t="str">
        <f>IF(Data_NaamPersoonNatVerloop406="","",Data_NaamPersoonNatVerloop406)</f>
        <v/>
      </c>
      <c r="I429" s="41"/>
      <c r="J429" s="41"/>
      <c r="K429" s="83" t="str">
        <f>IF(Data_BeeindigingsdatumNatVerloop406="","",Data_BeeindigingsdatumNatVerloop406)</f>
        <v/>
      </c>
      <c r="L429" s="41"/>
      <c r="M429" s="41"/>
      <c r="N429" s="82" t="str">
        <f>IF(Data_LoonkostenNatVerloop406="","",Data_LoonkostenNatVerloop406)</f>
        <v/>
      </c>
      <c r="O429" s="41"/>
      <c r="P429" s="276" t="s">
        <v>160</v>
      </c>
      <c r="Q429" s="41"/>
      <c r="R429" s="76" t="s">
        <v>160</v>
      </c>
      <c r="S429" s="41"/>
      <c r="T429" s="41"/>
      <c r="U429" s="41"/>
      <c r="V429" s="41"/>
      <c r="W429" s="41">
        <f t="shared" si="48"/>
        <v>0</v>
      </c>
      <c r="X429" s="77" t="str">
        <f t="shared" si="54"/>
        <v/>
      </c>
      <c r="AG429" s="81" t="str">
        <f>IF(Data_NaamPersoonTijd406="","",Data_NaamPersoonTijd406)</f>
        <v/>
      </c>
      <c r="AH429" s="41"/>
      <c r="AI429" s="41"/>
      <c r="AJ429" s="83" t="str">
        <f>IF(Data_BeeindigingsdatumTijd406="","",Data_BeeindigingsdatumTijd406)</f>
        <v/>
      </c>
      <c r="AK429" s="41"/>
      <c r="AL429" s="41"/>
      <c r="AM429" s="82" t="str">
        <f>IF(Data_LoonkostenTijd406="","",Data_LoonkostenTijd406)</f>
        <v/>
      </c>
      <c r="AN429" s="41"/>
      <c r="AO429" s="276" t="str">
        <f>IF(Data_PersoonAanUitTijd406=-1,"v","")</f>
        <v/>
      </c>
      <c r="AP429" s="41"/>
      <c r="AQ429" s="76" t="s">
        <v>160</v>
      </c>
      <c r="AR429" s="41"/>
      <c r="AS429" s="41"/>
      <c r="AT429" s="41"/>
      <c r="AU429" s="41"/>
      <c r="AV429" s="41">
        <f t="shared" si="49"/>
        <v>0</v>
      </c>
      <c r="AW429" s="77">
        <f t="shared" si="50"/>
        <v>0</v>
      </c>
      <c r="AX429" s="41"/>
      <c r="AY429" s="41"/>
      <c r="AZ429" s="41"/>
      <c r="BA429" s="81" t="str">
        <f>IF(Data_NaamPersoonVastVrij406="","",Data_NaamPersoonVastVrij406)</f>
        <v/>
      </c>
      <c r="BB429" s="41"/>
      <c r="BC429" s="41"/>
      <c r="BD429" s="83" t="str">
        <f>IF(Data_BeeindigingsdatumVastVrij406="","",Data_BeeindigingsdatumVastVrij406)</f>
        <v/>
      </c>
      <c r="BE429" s="41"/>
      <c r="BF429" s="41"/>
      <c r="BG429" s="82" t="str">
        <f>IF(Data_LoonkostenVastVrij406="","",Data_LoonkostenVastVrij406)</f>
        <v/>
      </c>
      <c r="BH429" s="41"/>
      <c r="BI429" s="76" t="str">
        <f>IF(Data_PersoonAanUitVastVrij406=-1,"v","")</f>
        <v/>
      </c>
      <c r="BJ429" s="41"/>
      <c r="BK429" s="76" t="s">
        <v>160</v>
      </c>
      <c r="BL429" s="41"/>
      <c r="BM429" s="41"/>
      <c r="BN429" s="41"/>
      <c r="BO429" s="41"/>
      <c r="BP429" s="41">
        <f t="shared" si="51"/>
        <v>0</v>
      </c>
      <c r="BQ429" s="77">
        <f t="shared" si="52"/>
        <v>0</v>
      </c>
      <c r="BS429" s="81" t="str">
        <f>IF(Data_NaamPersoonVastOntslag406="","",Data_NaamPersoonVastOntslag406)</f>
        <v/>
      </c>
      <c r="BV429" s="83" t="str">
        <f>IF(Data_BeeindigingsdatumVastOntslag406="","",Data_BeeindigingsdatumVastOntslag406)</f>
        <v/>
      </c>
      <c r="BY429" s="82" t="str">
        <f>IF(Data_LoonkostenVastOntslag406="","",Data_LoonkostenVastOntslag406)</f>
        <v/>
      </c>
      <c r="CA429" s="76" t="str">
        <f>IF(Data_PersoonAanUitVastOntslag406=-1,"v","")</f>
        <v/>
      </c>
      <c r="CB429" s="41"/>
      <c r="CC429" s="76" t="s">
        <v>160</v>
      </c>
      <c r="CD429" s="41"/>
      <c r="CE429" s="41"/>
      <c r="CF429" s="41"/>
      <c r="CG429" s="41"/>
      <c r="CH429" s="41">
        <f t="shared" si="55"/>
        <v>0</v>
      </c>
      <c r="CI429" s="41">
        <f t="shared" si="53"/>
        <v>0</v>
      </c>
    </row>
    <row r="430" spans="8:87" x14ac:dyDescent="0.25">
      <c r="H430" s="81" t="str">
        <f>IF(Data_NaamPersoonNatVerloop407="","",Data_NaamPersoonNatVerloop407)</f>
        <v/>
      </c>
      <c r="I430" s="41"/>
      <c r="J430" s="41"/>
      <c r="K430" s="83" t="str">
        <f>IF(Data_BeeindigingsdatumNatVerloop407="","",Data_BeeindigingsdatumNatVerloop407)</f>
        <v/>
      </c>
      <c r="L430" s="41"/>
      <c r="M430" s="41"/>
      <c r="N430" s="82" t="str">
        <f>IF(Data_LoonkostenNatVerloop407="","",Data_LoonkostenNatVerloop407)</f>
        <v/>
      </c>
      <c r="O430" s="41"/>
      <c r="P430" s="276" t="s">
        <v>160</v>
      </c>
      <c r="Q430" s="41"/>
      <c r="R430" s="76" t="s">
        <v>160</v>
      </c>
      <c r="S430" s="41"/>
      <c r="T430" s="41"/>
      <c r="U430" s="41"/>
      <c r="V430" s="41"/>
      <c r="W430" s="41">
        <f t="shared" si="48"/>
        <v>0</v>
      </c>
      <c r="X430" s="77" t="str">
        <f t="shared" si="54"/>
        <v/>
      </c>
      <c r="AG430" s="81" t="str">
        <f>IF(Data_NaamPersoonTijd407="","",Data_NaamPersoonTijd407)</f>
        <v/>
      </c>
      <c r="AH430" s="41"/>
      <c r="AI430" s="41"/>
      <c r="AJ430" s="83" t="str">
        <f>IF(Data_BeeindigingsdatumTijd407="","",Data_BeeindigingsdatumTijd407)</f>
        <v/>
      </c>
      <c r="AK430" s="41"/>
      <c r="AL430" s="41"/>
      <c r="AM430" s="82" t="str">
        <f>IF(Data_LoonkostenTijd407="","",Data_LoonkostenTijd407)</f>
        <v/>
      </c>
      <c r="AN430" s="41"/>
      <c r="AO430" s="276" t="str">
        <f>IF(Data_PersoonAanUitTijd407=-1,"v","")</f>
        <v/>
      </c>
      <c r="AP430" s="41"/>
      <c r="AQ430" s="76" t="s">
        <v>160</v>
      </c>
      <c r="AR430" s="41"/>
      <c r="AS430" s="41"/>
      <c r="AT430" s="41"/>
      <c r="AU430" s="41"/>
      <c r="AV430" s="41">
        <f t="shared" si="49"/>
        <v>0</v>
      </c>
      <c r="AW430" s="77">
        <f t="shared" si="50"/>
        <v>0</v>
      </c>
      <c r="AX430" s="41"/>
      <c r="AY430" s="41"/>
      <c r="AZ430" s="41"/>
      <c r="BA430" s="81" t="str">
        <f>IF(Data_NaamPersoonVastVrij407="","",Data_NaamPersoonVastVrij407)</f>
        <v/>
      </c>
      <c r="BB430" s="41"/>
      <c r="BC430" s="41"/>
      <c r="BD430" s="83" t="str">
        <f>IF(Data_BeeindigingsdatumVastVrij407="","",Data_BeeindigingsdatumVastVrij407)</f>
        <v/>
      </c>
      <c r="BE430" s="41"/>
      <c r="BF430" s="41"/>
      <c r="BG430" s="82" t="str">
        <f>IF(Data_LoonkostenVastVrij407="","",Data_LoonkostenVastVrij407)</f>
        <v/>
      </c>
      <c r="BH430" s="41"/>
      <c r="BI430" s="76" t="str">
        <f>IF(Data_PersoonAanUitVastVrij407=-1,"v","")</f>
        <v/>
      </c>
      <c r="BJ430" s="41"/>
      <c r="BK430" s="76" t="s">
        <v>160</v>
      </c>
      <c r="BL430" s="41"/>
      <c r="BM430" s="41"/>
      <c r="BN430" s="41"/>
      <c r="BO430" s="41"/>
      <c r="BP430" s="41">
        <f t="shared" si="51"/>
        <v>0</v>
      </c>
      <c r="BQ430" s="77">
        <f t="shared" si="52"/>
        <v>0</v>
      </c>
      <c r="BS430" s="81" t="str">
        <f>IF(Data_NaamPersoonVastOntslag407="","",Data_NaamPersoonVastOntslag407)</f>
        <v/>
      </c>
      <c r="BV430" s="83" t="str">
        <f>IF(Data_BeeindigingsdatumVastOntslag407="","",Data_BeeindigingsdatumVastOntslag407)</f>
        <v/>
      </c>
      <c r="BY430" s="82" t="str">
        <f>IF(Data_LoonkostenVastOntslag407="","",Data_LoonkostenVastOntslag407)</f>
        <v/>
      </c>
      <c r="CA430" s="76" t="str">
        <f>IF(Data_PersoonAanUitVastOntslag407=-1,"v","")</f>
        <v/>
      </c>
      <c r="CB430" s="41"/>
      <c r="CC430" s="76" t="s">
        <v>160</v>
      </c>
      <c r="CD430" s="41"/>
      <c r="CE430" s="41"/>
      <c r="CF430" s="41"/>
      <c r="CG430" s="41"/>
      <c r="CH430" s="41">
        <f t="shared" si="55"/>
        <v>0</v>
      </c>
      <c r="CI430" s="41">
        <f t="shared" si="53"/>
        <v>0</v>
      </c>
    </row>
    <row r="431" spans="8:87" x14ac:dyDescent="0.25">
      <c r="H431" s="81" t="str">
        <f>IF(Data_NaamPersoonNatVerloop408="","",Data_NaamPersoonNatVerloop408)</f>
        <v/>
      </c>
      <c r="I431" s="41"/>
      <c r="J431" s="41"/>
      <c r="K431" s="83" t="str">
        <f>IF(Data_BeeindigingsdatumNatVerloop408="","",Data_BeeindigingsdatumNatVerloop408)</f>
        <v/>
      </c>
      <c r="L431" s="41"/>
      <c r="M431" s="41"/>
      <c r="N431" s="82" t="str">
        <f>IF(Data_LoonkostenNatVerloop408="","",Data_LoonkostenNatVerloop408)</f>
        <v/>
      </c>
      <c r="O431" s="41"/>
      <c r="P431" s="276" t="s">
        <v>160</v>
      </c>
      <c r="Q431" s="41"/>
      <c r="R431" s="76" t="s">
        <v>160</v>
      </c>
      <c r="S431" s="41"/>
      <c r="T431" s="41"/>
      <c r="U431" s="41"/>
      <c r="V431" s="41"/>
      <c r="W431" s="41">
        <f t="shared" si="48"/>
        <v>0</v>
      </c>
      <c r="X431" s="77" t="str">
        <f t="shared" si="54"/>
        <v/>
      </c>
      <c r="AG431" s="81" t="str">
        <f>IF(Data_NaamPersoonTijd408="","",Data_NaamPersoonTijd408)</f>
        <v/>
      </c>
      <c r="AH431" s="41"/>
      <c r="AI431" s="41"/>
      <c r="AJ431" s="83" t="str">
        <f>IF(Data_BeeindigingsdatumTijd408="","",Data_BeeindigingsdatumTijd408)</f>
        <v/>
      </c>
      <c r="AK431" s="41"/>
      <c r="AL431" s="41"/>
      <c r="AM431" s="82" t="str">
        <f>IF(Data_LoonkostenTijd408="","",Data_LoonkostenTijd408)</f>
        <v/>
      </c>
      <c r="AN431" s="41"/>
      <c r="AO431" s="276" t="str">
        <f>IF(Data_PersoonAanUitTijd408=-1,"v","")</f>
        <v/>
      </c>
      <c r="AP431" s="41"/>
      <c r="AQ431" s="76" t="s">
        <v>160</v>
      </c>
      <c r="AR431" s="41"/>
      <c r="AS431" s="41"/>
      <c r="AT431" s="41"/>
      <c r="AU431" s="41"/>
      <c r="AV431" s="41">
        <f t="shared" si="49"/>
        <v>0</v>
      </c>
      <c r="AW431" s="77">
        <f t="shared" si="50"/>
        <v>0</v>
      </c>
      <c r="AX431" s="41"/>
      <c r="AY431" s="41"/>
      <c r="AZ431" s="41"/>
      <c r="BA431" s="81" t="str">
        <f>IF(Data_NaamPersoonVastVrij408="","",Data_NaamPersoonVastVrij408)</f>
        <v/>
      </c>
      <c r="BB431" s="41"/>
      <c r="BC431" s="41"/>
      <c r="BD431" s="83" t="str">
        <f>IF(Data_BeeindigingsdatumVastVrij408="","",Data_BeeindigingsdatumVastVrij408)</f>
        <v/>
      </c>
      <c r="BE431" s="41"/>
      <c r="BF431" s="41"/>
      <c r="BG431" s="82" t="str">
        <f>IF(Data_LoonkostenVastVrij408="","",Data_LoonkostenVastVrij408)</f>
        <v/>
      </c>
      <c r="BH431" s="41"/>
      <c r="BI431" s="76" t="str">
        <f>IF(Data_PersoonAanUitVastVrij408=-1,"v","")</f>
        <v/>
      </c>
      <c r="BJ431" s="41"/>
      <c r="BK431" s="76" t="s">
        <v>160</v>
      </c>
      <c r="BL431" s="41"/>
      <c r="BM431" s="41"/>
      <c r="BN431" s="41"/>
      <c r="BO431" s="41"/>
      <c r="BP431" s="41">
        <f t="shared" si="51"/>
        <v>0</v>
      </c>
      <c r="BQ431" s="77">
        <f t="shared" si="52"/>
        <v>0</v>
      </c>
      <c r="BS431" s="81" t="str">
        <f>IF(Data_NaamPersoonVastOntslag408="","",Data_NaamPersoonVastOntslag408)</f>
        <v/>
      </c>
      <c r="BV431" s="83" t="str">
        <f>IF(Data_BeeindigingsdatumVastOntslag408="","",Data_BeeindigingsdatumVastOntslag408)</f>
        <v/>
      </c>
      <c r="BY431" s="82" t="str">
        <f>IF(Data_LoonkostenVastOntslag408="","",Data_LoonkostenVastOntslag408)</f>
        <v/>
      </c>
      <c r="CA431" s="76" t="str">
        <f>IF(Data_PersoonAanUitVastOntslag408=-1,"v","")</f>
        <v/>
      </c>
      <c r="CB431" s="41"/>
      <c r="CC431" s="76" t="s">
        <v>160</v>
      </c>
      <c r="CD431" s="41"/>
      <c r="CE431" s="41"/>
      <c r="CF431" s="41"/>
      <c r="CG431" s="41"/>
      <c r="CH431" s="41">
        <f t="shared" si="55"/>
        <v>0</v>
      </c>
      <c r="CI431" s="41">
        <f t="shared" si="53"/>
        <v>0</v>
      </c>
    </row>
    <row r="432" spans="8:87" x14ac:dyDescent="0.25">
      <c r="H432" s="81" t="str">
        <f>IF(Data_NaamPersoonNatVerloop409="","",Data_NaamPersoonNatVerloop409)</f>
        <v/>
      </c>
      <c r="I432" s="41"/>
      <c r="J432" s="41"/>
      <c r="K432" s="83" t="str">
        <f>IF(Data_BeeindigingsdatumNatVerloop409="","",Data_BeeindigingsdatumNatVerloop409)</f>
        <v/>
      </c>
      <c r="L432" s="41"/>
      <c r="M432" s="41"/>
      <c r="N432" s="82" t="str">
        <f>IF(Data_LoonkostenNatVerloop409="","",Data_LoonkostenNatVerloop409)</f>
        <v/>
      </c>
      <c r="O432" s="41"/>
      <c r="P432" s="276" t="s">
        <v>160</v>
      </c>
      <c r="Q432" s="41"/>
      <c r="R432" s="76" t="s">
        <v>160</v>
      </c>
      <c r="S432" s="41"/>
      <c r="T432" s="41"/>
      <c r="U432" s="41"/>
      <c r="V432" s="41"/>
      <c r="W432" s="41">
        <f t="shared" si="48"/>
        <v>0</v>
      </c>
      <c r="X432" s="77" t="str">
        <f t="shared" si="54"/>
        <v/>
      </c>
      <c r="AG432" s="81" t="str">
        <f>IF(Data_NaamPersoonTijd409="","",Data_NaamPersoonTijd409)</f>
        <v/>
      </c>
      <c r="AH432" s="41"/>
      <c r="AI432" s="41"/>
      <c r="AJ432" s="83" t="str">
        <f>IF(Data_BeeindigingsdatumTijd409="","",Data_BeeindigingsdatumTijd409)</f>
        <v/>
      </c>
      <c r="AK432" s="41"/>
      <c r="AL432" s="41"/>
      <c r="AM432" s="82" t="str">
        <f>IF(Data_LoonkostenTijd409="","",Data_LoonkostenTijd409)</f>
        <v/>
      </c>
      <c r="AN432" s="41"/>
      <c r="AO432" s="276" t="str">
        <f>IF(Data_PersoonAanUitTijd409=-1,"v","")</f>
        <v/>
      </c>
      <c r="AP432" s="41"/>
      <c r="AQ432" s="76" t="s">
        <v>160</v>
      </c>
      <c r="AR432" s="41"/>
      <c r="AS432" s="41"/>
      <c r="AT432" s="41"/>
      <c r="AU432" s="41"/>
      <c r="AV432" s="41">
        <f t="shared" si="49"/>
        <v>0</v>
      </c>
      <c r="AW432" s="77">
        <f t="shared" si="50"/>
        <v>0</v>
      </c>
      <c r="AX432" s="41"/>
      <c r="AY432" s="41"/>
      <c r="AZ432" s="41"/>
      <c r="BA432" s="81" t="str">
        <f>IF(Data_NaamPersoonVastVrij409="","",Data_NaamPersoonVastVrij409)</f>
        <v/>
      </c>
      <c r="BB432" s="41"/>
      <c r="BC432" s="41"/>
      <c r="BD432" s="83" t="str">
        <f>IF(Data_BeeindigingsdatumVastVrij409="","",Data_BeeindigingsdatumVastVrij409)</f>
        <v/>
      </c>
      <c r="BE432" s="41"/>
      <c r="BF432" s="41"/>
      <c r="BG432" s="82" t="str">
        <f>IF(Data_LoonkostenVastVrij409="","",Data_LoonkostenVastVrij409)</f>
        <v/>
      </c>
      <c r="BH432" s="41"/>
      <c r="BI432" s="76" t="str">
        <f>IF(Data_PersoonAanUitVastVrij409=-1,"v","")</f>
        <v/>
      </c>
      <c r="BJ432" s="41"/>
      <c r="BK432" s="76" t="s">
        <v>160</v>
      </c>
      <c r="BL432" s="41"/>
      <c r="BM432" s="41"/>
      <c r="BN432" s="41"/>
      <c r="BO432" s="41"/>
      <c r="BP432" s="41">
        <f t="shared" si="51"/>
        <v>0</v>
      </c>
      <c r="BQ432" s="77">
        <f t="shared" si="52"/>
        <v>0</v>
      </c>
      <c r="BS432" s="81" t="str">
        <f>IF(Data_NaamPersoonVastOntslag409="","",Data_NaamPersoonVastOntslag409)</f>
        <v/>
      </c>
      <c r="BV432" s="83" t="str">
        <f>IF(Data_BeeindigingsdatumVastOntslag409="","",Data_BeeindigingsdatumVastOntslag409)</f>
        <v/>
      </c>
      <c r="BY432" s="82" t="str">
        <f>IF(Data_LoonkostenVastOntslag409="","",Data_LoonkostenVastOntslag409)</f>
        <v/>
      </c>
      <c r="CA432" s="76" t="str">
        <f>IF(Data_PersoonAanUitVastOntslag409=-1,"v","")</f>
        <v/>
      </c>
      <c r="CB432" s="41"/>
      <c r="CC432" s="76" t="s">
        <v>160</v>
      </c>
      <c r="CD432" s="41"/>
      <c r="CE432" s="41"/>
      <c r="CF432" s="41"/>
      <c r="CG432" s="41"/>
      <c r="CH432" s="41">
        <f t="shared" si="55"/>
        <v>0</v>
      </c>
      <c r="CI432" s="41">
        <f t="shared" si="53"/>
        <v>0</v>
      </c>
    </row>
    <row r="433" spans="8:87" x14ac:dyDescent="0.25">
      <c r="H433" s="81" t="str">
        <f>IF(Data_NaamPersoonNatVerloop410="","",Data_NaamPersoonNatVerloop410)</f>
        <v/>
      </c>
      <c r="I433" s="41"/>
      <c r="J433" s="41"/>
      <c r="K433" s="83" t="str">
        <f>IF(Data_BeeindigingsdatumNatVerloop410="","",Data_BeeindigingsdatumNatVerloop410)</f>
        <v/>
      </c>
      <c r="L433" s="41"/>
      <c r="M433" s="41"/>
      <c r="N433" s="82" t="str">
        <f>IF(Data_LoonkostenNatVerloop410="","",Data_LoonkostenNatVerloop410)</f>
        <v/>
      </c>
      <c r="O433" s="41"/>
      <c r="P433" s="276" t="s">
        <v>160</v>
      </c>
      <c r="Q433" s="41"/>
      <c r="R433" s="76" t="s">
        <v>160</v>
      </c>
      <c r="S433" s="41"/>
      <c r="T433" s="41"/>
      <c r="U433" s="41"/>
      <c r="V433" s="41"/>
      <c r="W433" s="41">
        <f t="shared" si="48"/>
        <v>0</v>
      </c>
      <c r="X433" s="77" t="str">
        <f t="shared" si="54"/>
        <v/>
      </c>
      <c r="AG433" s="81" t="str">
        <f>IF(Data_NaamPersoonTijd410="","",Data_NaamPersoonTijd410)</f>
        <v/>
      </c>
      <c r="AH433" s="41"/>
      <c r="AI433" s="41"/>
      <c r="AJ433" s="83" t="str">
        <f>IF(Data_BeeindigingsdatumTijd410="","",Data_BeeindigingsdatumTijd410)</f>
        <v/>
      </c>
      <c r="AK433" s="41"/>
      <c r="AL433" s="41"/>
      <c r="AM433" s="82" t="str">
        <f>IF(Data_LoonkostenTijd410="","",Data_LoonkostenTijd410)</f>
        <v/>
      </c>
      <c r="AN433" s="41"/>
      <c r="AO433" s="276" t="str">
        <f>IF(Data_PersoonAanUitTijd410=-1,"v","")</f>
        <v/>
      </c>
      <c r="AP433" s="41"/>
      <c r="AQ433" s="76" t="s">
        <v>160</v>
      </c>
      <c r="AR433" s="41"/>
      <c r="AS433" s="41"/>
      <c r="AT433" s="41"/>
      <c r="AU433" s="41"/>
      <c r="AV433" s="41">
        <f t="shared" si="49"/>
        <v>0</v>
      </c>
      <c r="AW433" s="77">
        <f t="shared" si="50"/>
        <v>0</v>
      </c>
      <c r="AX433" s="41"/>
      <c r="AY433" s="41"/>
      <c r="AZ433" s="41"/>
      <c r="BA433" s="81" t="str">
        <f>IF(Data_NaamPersoonVastVrij410="","",Data_NaamPersoonVastVrij410)</f>
        <v/>
      </c>
      <c r="BB433" s="41"/>
      <c r="BC433" s="41"/>
      <c r="BD433" s="83" t="str">
        <f>IF(Data_BeeindigingsdatumVastVrij410="","",Data_BeeindigingsdatumVastVrij410)</f>
        <v/>
      </c>
      <c r="BE433" s="41"/>
      <c r="BF433" s="41"/>
      <c r="BG433" s="82" t="str">
        <f>IF(Data_LoonkostenVastVrij410="","",Data_LoonkostenVastVrij410)</f>
        <v/>
      </c>
      <c r="BH433" s="41"/>
      <c r="BI433" s="76" t="str">
        <f>IF(Data_PersoonAanUitVastVrij410=-1,"v","")</f>
        <v/>
      </c>
      <c r="BJ433" s="41"/>
      <c r="BK433" s="76" t="s">
        <v>160</v>
      </c>
      <c r="BL433" s="41"/>
      <c r="BM433" s="41"/>
      <c r="BN433" s="41"/>
      <c r="BO433" s="41"/>
      <c r="BP433" s="41">
        <f t="shared" si="51"/>
        <v>0</v>
      </c>
      <c r="BQ433" s="77">
        <f t="shared" si="52"/>
        <v>0</v>
      </c>
      <c r="BS433" s="81" t="str">
        <f>IF(Data_NaamPersoonVastOntslag410="","",Data_NaamPersoonVastOntslag410)</f>
        <v/>
      </c>
      <c r="BV433" s="83" t="str">
        <f>IF(Data_BeeindigingsdatumVastOntslag410="","",Data_BeeindigingsdatumVastOntslag410)</f>
        <v/>
      </c>
      <c r="BY433" s="82" t="str">
        <f>IF(Data_LoonkostenVastOntslag410="","",Data_LoonkostenVastOntslag410)</f>
        <v/>
      </c>
      <c r="CA433" s="76" t="str">
        <f>IF(Data_PersoonAanUitVastOntslag410=-1,"v","")</f>
        <v/>
      </c>
      <c r="CB433" s="41"/>
      <c r="CC433" s="76" t="s">
        <v>160</v>
      </c>
      <c r="CD433" s="41"/>
      <c r="CE433" s="41"/>
      <c r="CF433" s="41"/>
      <c r="CG433" s="41"/>
      <c r="CH433" s="41">
        <f t="shared" si="55"/>
        <v>0</v>
      </c>
      <c r="CI433" s="41">
        <f t="shared" si="53"/>
        <v>0</v>
      </c>
    </row>
    <row r="434" spans="8:87" x14ac:dyDescent="0.25">
      <c r="H434" s="81" t="str">
        <f>IF(Data_NaamPersoonNatVerloop411="","",Data_NaamPersoonNatVerloop411)</f>
        <v/>
      </c>
      <c r="I434" s="41"/>
      <c r="J434" s="41"/>
      <c r="K434" s="83" t="str">
        <f>IF(Data_BeeindigingsdatumNatVerloop411="","",Data_BeeindigingsdatumNatVerloop411)</f>
        <v/>
      </c>
      <c r="L434" s="41"/>
      <c r="M434" s="41"/>
      <c r="N434" s="82" t="str">
        <f>IF(Data_LoonkostenNatVerloop411="","",Data_LoonkostenNatVerloop411)</f>
        <v/>
      </c>
      <c r="O434" s="41"/>
      <c r="P434" s="276" t="s">
        <v>160</v>
      </c>
      <c r="Q434" s="41"/>
      <c r="R434" s="76" t="s">
        <v>160</v>
      </c>
      <c r="S434" s="41"/>
      <c r="T434" s="41"/>
      <c r="U434" s="41"/>
      <c r="V434" s="41"/>
      <c r="W434" s="41">
        <f t="shared" si="48"/>
        <v>0</v>
      </c>
      <c r="X434" s="77" t="str">
        <f t="shared" si="54"/>
        <v/>
      </c>
      <c r="AG434" s="81" t="str">
        <f>IF(Data_NaamPersoonTijd411="","",Data_NaamPersoonTijd411)</f>
        <v/>
      </c>
      <c r="AH434" s="41"/>
      <c r="AI434" s="41"/>
      <c r="AJ434" s="83" t="str">
        <f>IF(Data_BeeindigingsdatumTijd411="","",Data_BeeindigingsdatumTijd411)</f>
        <v/>
      </c>
      <c r="AK434" s="41"/>
      <c r="AL434" s="41"/>
      <c r="AM434" s="82" t="str">
        <f>IF(Data_LoonkostenTijd411="","",Data_LoonkostenTijd411)</f>
        <v/>
      </c>
      <c r="AN434" s="41"/>
      <c r="AO434" s="276" t="str">
        <f>IF(Data_PersoonAanUitTijd411=-1,"v","")</f>
        <v/>
      </c>
      <c r="AP434" s="41"/>
      <c r="AQ434" s="76" t="s">
        <v>160</v>
      </c>
      <c r="AR434" s="41"/>
      <c r="AS434" s="41"/>
      <c r="AT434" s="41"/>
      <c r="AU434" s="41"/>
      <c r="AV434" s="41">
        <f t="shared" si="49"/>
        <v>0</v>
      </c>
      <c r="AW434" s="77">
        <f t="shared" si="50"/>
        <v>0</v>
      </c>
      <c r="AX434" s="41"/>
      <c r="AY434" s="41"/>
      <c r="AZ434" s="41"/>
      <c r="BA434" s="81" t="str">
        <f>IF(Data_NaamPersoonVastVrij411="","",Data_NaamPersoonVastVrij411)</f>
        <v/>
      </c>
      <c r="BB434" s="41"/>
      <c r="BC434" s="41"/>
      <c r="BD434" s="83" t="str">
        <f>IF(Data_BeeindigingsdatumVastVrij411="","",Data_BeeindigingsdatumVastVrij411)</f>
        <v/>
      </c>
      <c r="BE434" s="41"/>
      <c r="BF434" s="41"/>
      <c r="BG434" s="82" t="str">
        <f>IF(Data_LoonkostenVastVrij411="","",Data_LoonkostenVastVrij411)</f>
        <v/>
      </c>
      <c r="BH434" s="41"/>
      <c r="BI434" s="76" t="str">
        <f>IF(Data_PersoonAanUitVastVrij411=-1,"v","")</f>
        <v/>
      </c>
      <c r="BJ434" s="41"/>
      <c r="BK434" s="76" t="s">
        <v>160</v>
      </c>
      <c r="BL434" s="41"/>
      <c r="BM434" s="41"/>
      <c r="BN434" s="41"/>
      <c r="BO434" s="41"/>
      <c r="BP434" s="41">
        <f t="shared" si="51"/>
        <v>0</v>
      </c>
      <c r="BQ434" s="77">
        <f t="shared" si="52"/>
        <v>0</v>
      </c>
      <c r="BS434" s="81" t="str">
        <f>IF(Data_NaamPersoonVastOntslag411="","",Data_NaamPersoonVastOntslag411)</f>
        <v/>
      </c>
      <c r="BV434" s="83" t="str">
        <f>IF(Data_BeeindigingsdatumVastOntslag411="","",Data_BeeindigingsdatumVastOntslag411)</f>
        <v/>
      </c>
      <c r="BY434" s="82" t="str">
        <f>IF(Data_LoonkostenVastOntslag411="","",Data_LoonkostenVastOntslag411)</f>
        <v/>
      </c>
      <c r="CA434" s="76" t="str">
        <f>IF(Data_PersoonAanUitVastOntslag411=-1,"v","")</f>
        <v/>
      </c>
      <c r="CB434" s="41"/>
      <c r="CC434" s="76" t="s">
        <v>160</v>
      </c>
      <c r="CD434" s="41"/>
      <c r="CE434" s="41"/>
      <c r="CF434" s="41"/>
      <c r="CG434" s="41"/>
      <c r="CH434" s="41">
        <f t="shared" si="55"/>
        <v>0</v>
      </c>
      <c r="CI434" s="41">
        <f t="shared" si="53"/>
        <v>0</v>
      </c>
    </row>
    <row r="435" spans="8:87" x14ac:dyDescent="0.25">
      <c r="H435" s="81" t="str">
        <f>IF(Data_NaamPersoonNatVerloop412="","",Data_NaamPersoonNatVerloop412)</f>
        <v/>
      </c>
      <c r="I435" s="41"/>
      <c r="J435" s="41"/>
      <c r="K435" s="83" t="str">
        <f>IF(Data_BeeindigingsdatumNatVerloop412="","",Data_BeeindigingsdatumNatVerloop412)</f>
        <v/>
      </c>
      <c r="L435" s="41"/>
      <c r="M435" s="41"/>
      <c r="N435" s="82" t="str">
        <f>IF(Data_LoonkostenNatVerloop412="","",Data_LoonkostenNatVerloop412)</f>
        <v/>
      </c>
      <c r="O435" s="41"/>
      <c r="P435" s="276" t="s">
        <v>160</v>
      </c>
      <c r="Q435" s="41"/>
      <c r="R435" s="76" t="s">
        <v>160</v>
      </c>
      <c r="S435" s="41"/>
      <c r="T435" s="41"/>
      <c r="U435" s="41"/>
      <c r="V435" s="41"/>
      <c r="W435" s="41">
        <f t="shared" si="48"/>
        <v>0</v>
      </c>
      <c r="X435" s="77" t="str">
        <f t="shared" si="54"/>
        <v/>
      </c>
      <c r="AG435" s="81" t="str">
        <f>IF(Data_NaamPersoonTijd412="","",Data_NaamPersoonTijd412)</f>
        <v/>
      </c>
      <c r="AH435" s="41"/>
      <c r="AI435" s="41"/>
      <c r="AJ435" s="83" t="str">
        <f>IF(Data_BeeindigingsdatumTijd412="","",Data_BeeindigingsdatumTijd412)</f>
        <v/>
      </c>
      <c r="AK435" s="41"/>
      <c r="AL435" s="41"/>
      <c r="AM435" s="82" t="str">
        <f>IF(Data_LoonkostenTijd412="","",Data_LoonkostenTijd412)</f>
        <v/>
      </c>
      <c r="AN435" s="41"/>
      <c r="AO435" s="276" t="str">
        <f>IF(Data_PersoonAanUitTijd412=-1,"v","")</f>
        <v/>
      </c>
      <c r="AP435" s="41"/>
      <c r="AQ435" s="76" t="s">
        <v>160</v>
      </c>
      <c r="AR435" s="41"/>
      <c r="AS435" s="41"/>
      <c r="AT435" s="41"/>
      <c r="AU435" s="41"/>
      <c r="AV435" s="41">
        <f t="shared" si="49"/>
        <v>0</v>
      </c>
      <c r="AW435" s="77">
        <f t="shared" si="50"/>
        <v>0</v>
      </c>
      <c r="AX435" s="41"/>
      <c r="AY435" s="41"/>
      <c r="AZ435" s="41"/>
      <c r="BA435" s="81" t="str">
        <f>IF(Data_NaamPersoonVastVrij412="","",Data_NaamPersoonVastVrij412)</f>
        <v/>
      </c>
      <c r="BB435" s="41"/>
      <c r="BC435" s="41"/>
      <c r="BD435" s="83" t="str">
        <f>IF(Data_BeeindigingsdatumVastVrij412="","",Data_BeeindigingsdatumVastVrij412)</f>
        <v/>
      </c>
      <c r="BE435" s="41"/>
      <c r="BF435" s="41"/>
      <c r="BG435" s="82" t="str">
        <f>IF(Data_LoonkostenVastVrij412="","",Data_LoonkostenVastVrij412)</f>
        <v/>
      </c>
      <c r="BH435" s="41"/>
      <c r="BI435" s="76" t="str">
        <f>IF(Data_PersoonAanUitVastVrij412=-1,"v","")</f>
        <v/>
      </c>
      <c r="BJ435" s="41"/>
      <c r="BK435" s="76" t="s">
        <v>160</v>
      </c>
      <c r="BL435" s="41"/>
      <c r="BM435" s="41"/>
      <c r="BN435" s="41"/>
      <c r="BO435" s="41"/>
      <c r="BP435" s="41">
        <f t="shared" si="51"/>
        <v>0</v>
      </c>
      <c r="BQ435" s="77">
        <f t="shared" si="52"/>
        <v>0</v>
      </c>
      <c r="BS435" s="81" t="str">
        <f>IF(Data_NaamPersoonVastOntslag412="","",Data_NaamPersoonVastOntslag412)</f>
        <v/>
      </c>
      <c r="BV435" s="83" t="str">
        <f>IF(Data_BeeindigingsdatumVastOntslag412="","",Data_BeeindigingsdatumVastOntslag412)</f>
        <v/>
      </c>
      <c r="BY435" s="82" t="str">
        <f>IF(Data_LoonkostenVastOntslag412="","",Data_LoonkostenVastOntslag412)</f>
        <v/>
      </c>
      <c r="CA435" s="76" t="str">
        <f>IF(Data_PersoonAanUitVastOntslag412=-1,"v","")</f>
        <v/>
      </c>
      <c r="CB435" s="41"/>
      <c r="CC435" s="76" t="s">
        <v>160</v>
      </c>
      <c r="CD435" s="41"/>
      <c r="CE435" s="41"/>
      <c r="CF435" s="41"/>
      <c r="CG435" s="41"/>
      <c r="CH435" s="41">
        <f t="shared" si="55"/>
        <v>0</v>
      </c>
      <c r="CI435" s="41">
        <f t="shared" si="53"/>
        <v>0</v>
      </c>
    </row>
    <row r="436" spans="8:87" x14ac:dyDescent="0.25">
      <c r="H436" s="81" t="str">
        <f>IF(Data_NaamPersoonNatVerloop413="","",Data_NaamPersoonNatVerloop413)</f>
        <v/>
      </c>
      <c r="I436" s="41"/>
      <c r="J436" s="41"/>
      <c r="K436" s="83" t="str">
        <f>IF(Data_BeeindigingsdatumNatVerloop413="","",Data_BeeindigingsdatumNatVerloop413)</f>
        <v/>
      </c>
      <c r="L436" s="41"/>
      <c r="M436" s="41"/>
      <c r="N436" s="82" t="str">
        <f>IF(Data_LoonkostenNatVerloop413="","",Data_LoonkostenNatVerloop413)</f>
        <v/>
      </c>
      <c r="O436" s="41"/>
      <c r="P436" s="276" t="s">
        <v>160</v>
      </c>
      <c r="Q436" s="41"/>
      <c r="R436" s="76" t="s">
        <v>160</v>
      </c>
      <c r="S436" s="41"/>
      <c r="T436" s="41"/>
      <c r="U436" s="41"/>
      <c r="V436" s="41"/>
      <c r="W436" s="41">
        <f t="shared" si="48"/>
        <v>0</v>
      </c>
      <c r="X436" s="77" t="str">
        <f t="shared" si="54"/>
        <v/>
      </c>
      <c r="AG436" s="81" t="str">
        <f>IF(Data_NaamPersoonTijd413="","",Data_NaamPersoonTijd413)</f>
        <v/>
      </c>
      <c r="AH436" s="41"/>
      <c r="AI436" s="41"/>
      <c r="AJ436" s="83" t="str">
        <f>IF(Data_BeeindigingsdatumTijd413="","",Data_BeeindigingsdatumTijd413)</f>
        <v/>
      </c>
      <c r="AK436" s="41"/>
      <c r="AL436" s="41"/>
      <c r="AM436" s="82" t="str">
        <f>IF(Data_LoonkostenTijd413="","",Data_LoonkostenTijd413)</f>
        <v/>
      </c>
      <c r="AN436" s="41"/>
      <c r="AO436" s="276" t="str">
        <f>IF(Data_PersoonAanUitTijd413=-1,"v","")</f>
        <v/>
      </c>
      <c r="AP436" s="41"/>
      <c r="AQ436" s="76" t="s">
        <v>160</v>
      </c>
      <c r="AR436" s="41"/>
      <c r="AS436" s="41"/>
      <c r="AT436" s="41"/>
      <c r="AU436" s="41"/>
      <c r="AV436" s="41">
        <f t="shared" si="49"/>
        <v>0</v>
      </c>
      <c r="AW436" s="77">
        <f t="shared" si="50"/>
        <v>0</v>
      </c>
      <c r="AX436" s="41"/>
      <c r="AY436" s="41"/>
      <c r="AZ436" s="41"/>
      <c r="BA436" s="81" t="str">
        <f>IF(Data_NaamPersoonVastVrij413="","",Data_NaamPersoonVastVrij413)</f>
        <v/>
      </c>
      <c r="BB436" s="41"/>
      <c r="BC436" s="41"/>
      <c r="BD436" s="83" t="str">
        <f>IF(Data_BeeindigingsdatumVastVrij413="","",Data_BeeindigingsdatumVastVrij413)</f>
        <v/>
      </c>
      <c r="BE436" s="41"/>
      <c r="BF436" s="41"/>
      <c r="BG436" s="82" t="str">
        <f>IF(Data_LoonkostenVastVrij413="","",Data_LoonkostenVastVrij413)</f>
        <v/>
      </c>
      <c r="BH436" s="41"/>
      <c r="BI436" s="76" t="str">
        <f>IF(Data_PersoonAanUitVastVrij413=-1,"v","")</f>
        <v/>
      </c>
      <c r="BJ436" s="41"/>
      <c r="BK436" s="76" t="s">
        <v>160</v>
      </c>
      <c r="BL436" s="41"/>
      <c r="BM436" s="41"/>
      <c r="BN436" s="41"/>
      <c r="BO436" s="41"/>
      <c r="BP436" s="41">
        <f t="shared" si="51"/>
        <v>0</v>
      </c>
      <c r="BQ436" s="77">
        <f t="shared" si="52"/>
        <v>0</v>
      </c>
      <c r="BS436" s="81" t="str">
        <f>IF(Data_NaamPersoonVastOntslag413="","",Data_NaamPersoonVastOntslag413)</f>
        <v/>
      </c>
      <c r="BV436" s="83" t="str">
        <f>IF(Data_BeeindigingsdatumVastOntslag413="","",Data_BeeindigingsdatumVastOntslag413)</f>
        <v/>
      </c>
      <c r="BY436" s="82" t="str">
        <f>IF(Data_LoonkostenVastOntslag413="","",Data_LoonkostenVastOntslag413)</f>
        <v/>
      </c>
      <c r="CA436" s="76" t="str">
        <f>IF(Data_PersoonAanUitVastOntslag413=-1,"v","")</f>
        <v/>
      </c>
      <c r="CB436" s="41"/>
      <c r="CC436" s="76" t="s">
        <v>160</v>
      </c>
      <c r="CD436" s="41"/>
      <c r="CE436" s="41"/>
      <c r="CF436" s="41"/>
      <c r="CG436" s="41"/>
      <c r="CH436" s="41">
        <f t="shared" si="55"/>
        <v>0</v>
      </c>
      <c r="CI436" s="41">
        <f t="shared" si="53"/>
        <v>0</v>
      </c>
    </row>
    <row r="437" spans="8:87" x14ac:dyDescent="0.25">
      <c r="H437" s="81" t="str">
        <f>IF(Data_NaamPersoonNatVerloop414="","",Data_NaamPersoonNatVerloop414)</f>
        <v/>
      </c>
      <c r="I437" s="41"/>
      <c r="J437" s="41"/>
      <c r="K437" s="83" t="str">
        <f>IF(Data_BeeindigingsdatumNatVerloop414="","",Data_BeeindigingsdatumNatVerloop414)</f>
        <v/>
      </c>
      <c r="L437" s="41"/>
      <c r="M437" s="41"/>
      <c r="N437" s="82" t="str">
        <f>IF(Data_LoonkostenNatVerloop414="","",Data_LoonkostenNatVerloop414)</f>
        <v/>
      </c>
      <c r="O437" s="41"/>
      <c r="P437" s="276" t="s">
        <v>160</v>
      </c>
      <c r="Q437" s="41"/>
      <c r="R437" s="76" t="s">
        <v>160</v>
      </c>
      <c r="S437" s="41"/>
      <c r="T437" s="41"/>
      <c r="U437" s="41"/>
      <c r="V437" s="41"/>
      <c r="W437" s="41">
        <f t="shared" si="48"/>
        <v>0</v>
      </c>
      <c r="X437" s="77" t="str">
        <f t="shared" si="54"/>
        <v/>
      </c>
      <c r="AG437" s="81" t="str">
        <f>IF(Data_NaamPersoonTijd414="","",Data_NaamPersoonTijd414)</f>
        <v/>
      </c>
      <c r="AH437" s="41"/>
      <c r="AI437" s="41"/>
      <c r="AJ437" s="83" t="str">
        <f>IF(Data_BeeindigingsdatumTijd414="","",Data_BeeindigingsdatumTijd414)</f>
        <v/>
      </c>
      <c r="AK437" s="41"/>
      <c r="AL437" s="41"/>
      <c r="AM437" s="82" t="str">
        <f>IF(Data_LoonkostenTijd414="","",Data_LoonkostenTijd414)</f>
        <v/>
      </c>
      <c r="AN437" s="41"/>
      <c r="AO437" s="276" t="str">
        <f>IF(Data_PersoonAanUitTijd414=-1,"v","")</f>
        <v/>
      </c>
      <c r="AP437" s="41"/>
      <c r="AQ437" s="76" t="s">
        <v>160</v>
      </c>
      <c r="AR437" s="41"/>
      <c r="AS437" s="41"/>
      <c r="AT437" s="41"/>
      <c r="AU437" s="41"/>
      <c r="AV437" s="41">
        <f t="shared" si="49"/>
        <v>0</v>
      </c>
      <c r="AW437" s="77">
        <f t="shared" si="50"/>
        <v>0</v>
      </c>
      <c r="AX437" s="41"/>
      <c r="AY437" s="41"/>
      <c r="AZ437" s="41"/>
      <c r="BA437" s="81" t="str">
        <f>IF(Data_NaamPersoonVastVrij414="","",Data_NaamPersoonVastVrij414)</f>
        <v/>
      </c>
      <c r="BB437" s="41"/>
      <c r="BC437" s="41"/>
      <c r="BD437" s="83" t="str">
        <f>IF(Data_BeeindigingsdatumVastVrij414="","",Data_BeeindigingsdatumVastVrij414)</f>
        <v/>
      </c>
      <c r="BE437" s="41"/>
      <c r="BF437" s="41"/>
      <c r="BG437" s="82" t="str">
        <f>IF(Data_LoonkostenVastVrij414="","",Data_LoonkostenVastVrij414)</f>
        <v/>
      </c>
      <c r="BH437" s="41"/>
      <c r="BI437" s="76" t="str">
        <f>IF(Data_PersoonAanUitVastVrij414=-1,"v","")</f>
        <v/>
      </c>
      <c r="BJ437" s="41"/>
      <c r="BK437" s="76" t="s">
        <v>160</v>
      </c>
      <c r="BL437" s="41"/>
      <c r="BM437" s="41"/>
      <c r="BN437" s="41"/>
      <c r="BO437" s="41"/>
      <c r="BP437" s="41">
        <f t="shared" si="51"/>
        <v>0</v>
      </c>
      <c r="BQ437" s="77">
        <f t="shared" si="52"/>
        <v>0</v>
      </c>
      <c r="BS437" s="81" t="str">
        <f>IF(Data_NaamPersoonVastOntslag414="","",Data_NaamPersoonVastOntslag414)</f>
        <v/>
      </c>
      <c r="BV437" s="83" t="str">
        <f>IF(Data_BeeindigingsdatumVastOntslag414="","",Data_BeeindigingsdatumVastOntslag414)</f>
        <v/>
      </c>
      <c r="BY437" s="82" t="str">
        <f>IF(Data_LoonkostenVastOntslag414="","",Data_LoonkostenVastOntslag414)</f>
        <v/>
      </c>
      <c r="CA437" s="76" t="str">
        <f>IF(Data_PersoonAanUitVastOntslag414=-1,"v","")</f>
        <v/>
      </c>
      <c r="CB437" s="41"/>
      <c r="CC437" s="76" t="s">
        <v>160</v>
      </c>
      <c r="CD437" s="41"/>
      <c r="CE437" s="41"/>
      <c r="CF437" s="41"/>
      <c r="CG437" s="41"/>
      <c r="CH437" s="41">
        <f t="shared" si="55"/>
        <v>0</v>
      </c>
      <c r="CI437" s="41">
        <f t="shared" si="53"/>
        <v>0</v>
      </c>
    </row>
    <row r="438" spans="8:87" x14ac:dyDescent="0.25">
      <c r="H438" s="81" t="str">
        <f>IF(Data_NaamPersoonNatVerloop415="","",Data_NaamPersoonNatVerloop415)</f>
        <v/>
      </c>
      <c r="I438" s="41"/>
      <c r="J438" s="41"/>
      <c r="K438" s="83" t="str">
        <f>IF(Data_BeeindigingsdatumNatVerloop415="","",Data_BeeindigingsdatumNatVerloop415)</f>
        <v/>
      </c>
      <c r="L438" s="41"/>
      <c r="M438" s="41"/>
      <c r="N438" s="82" t="str">
        <f>IF(Data_LoonkostenNatVerloop415="","",Data_LoonkostenNatVerloop415)</f>
        <v/>
      </c>
      <c r="O438" s="41"/>
      <c r="P438" s="276" t="s">
        <v>160</v>
      </c>
      <c r="Q438" s="41"/>
      <c r="R438" s="76" t="s">
        <v>160</v>
      </c>
      <c r="S438" s="41"/>
      <c r="T438" s="41"/>
      <c r="U438" s="41"/>
      <c r="V438" s="41"/>
      <c r="W438" s="41">
        <f t="shared" si="48"/>
        <v>0</v>
      </c>
      <c r="X438" s="77" t="str">
        <f t="shared" si="54"/>
        <v/>
      </c>
      <c r="AG438" s="81" t="str">
        <f>IF(Data_NaamPersoonTijd415="","",Data_NaamPersoonTijd415)</f>
        <v/>
      </c>
      <c r="AH438" s="41"/>
      <c r="AI438" s="41"/>
      <c r="AJ438" s="83" t="str">
        <f>IF(Data_BeeindigingsdatumTijd415="","",Data_BeeindigingsdatumTijd415)</f>
        <v/>
      </c>
      <c r="AK438" s="41"/>
      <c r="AL438" s="41"/>
      <c r="AM438" s="82" t="str">
        <f>IF(Data_LoonkostenTijd415="","",Data_LoonkostenTijd415)</f>
        <v/>
      </c>
      <c r="AN438" s="41"/>
      <c r="AO438" s="276" t="str">
        <f>IF(Data_PersoonAanUitTijd415=-1,"v","")</f>
        <v/>
      </c>
      <c r="AP438" s="41"/>
      <c r="AQ438" s="76" t="s">
        <v>160</v>
      </c>
      <c r="AR438" s="41"/>
      <c r="AS438" s="41"/>
      <c r="AT438" s="41"/>
      <c r="AU438" s="41"/>
      <c r="AV438" s="41">
        <f t="shared" si="49"/>
        <v>0</v>
      </c>
      <c r="AW438" s="77">
        <f t="shared" si="50"/>
        <v>0</v>
      </c>
      <c r="AX438" s="41"/>
      <c r="AY438" s="41"/>
      <c r="AZ438" s="41"/>
      <c r="BA438" s="81" t="str">
        <f>IF(Data_NaamPersoonVastVrij415="","",Data_NaamPersoonVastVrij415)</f>
        <v/>
      </c>
      <c r="BB438" s="41"/>
      <c r="BC438" s="41"/>
      <c r="BD438" s="83" t="str">
        <f>IF(Data_BeeindigingsdatumVastVrij415="","",Data_BeeindigingsdatumVastVrij415)</f>
        <v/>
      </c>
      <c r="BE438" s="41"/>
      <c r="BF438" s="41"/>
      <c r="BG438" s="82" t="str">
        <f>IF(Data_LoonkostenVastVrij415="","",Data_LoonkostenVastVrij415)</f>
        <v/>
      </c>
      <c r="BH438" s="41"/>
      <c r="BI438" s="76" t="str">
        <f>IF(Data_PersoonAanUitVastVrij415=-1,"v","")</f>
        <v/>
      </c>
      <c r="BJ438" s="41"/>
      <c r="BK438" s="76" t="s">
        <v>160</v>
      </c>
      <c r="BL438" s="41"/>
      <c r="BM438" s="41"/>
      <c r="BN438" s="41"/>
      <c r="BO438" s="41"/>
      <c r="BP438" s="41">
        <f t="shared" si="51"/>
        <v>0</v>
      </c>
      <c r="BQ438" s="77">
        <f t="shared" si="52"/>
        <v>0</v>
      </c>
      <c r="BS438" s="81" t="str">
        <f>IF(Data_NaamPersoonVastOntslag415="","",Data_NaamPersoonVastOntslag415)</f>
        <v/>
      </c>
      <c r="BV438" s="83" t="str">
        <f>IF(Data_BeeindigingsdatumVastOntslag415="","",Data_BeeindigingsdatumVastOntslag415)</f>
        <v/>
      </c>
      <c r="BY438" s="82" t="str">
        <f>IF(Data_LoonkostenVastOntslag415="","",Data_LoonkostenVastOntslag415)</f>
        <v/>
      </c>
      <c r="CA438" s="76" t="str">
        <f>IF(Data_PersoonAanUitVastOntslag415=-1,"v","")</f>
        <v/>
      </c>
      <c r="CB438" s="41"/>
      <c r="CC438" s="76" t="s">
        <v>160</v>
      </c>
      <c r="CD438" s="41"/>
      <c r="CE438" s="41"/>
      <c r="CF438" s="41"/>
      <c r="CG438" s="41"/>
      <c r="CH438" s="41">
        <f t="shared" si="55"/>
        <v>0</v>
      </c>
      <c r="CI438" s="41">
        <f t="shared" si="53"/>
        <v>0</v>
      </c>
    </row>
    <row r="439" spans="8:87" x14ac:dyDescent="0.25">
      <c r="H439" s="81" t="str">
        <f>IF(Data_NaamPersoonNatVerloop416="","",Data_NaamPersoonNatVerloop416)</f>
        <v/>
      </c>
      <c r="I439" s="41"/>
      <c r="J439" s="41"/>
      <c r="K439" s="83" t="str">
        <f>IF(Data_BeeindigingsdatumNatVerloop416="","",Data_BeeindigingsdatumNatVerloop416)</f>
        <v/>
      </c>
      <c r="L439" s="41"/>
      <c r="M439" s="41"/>
      <c r="N439" s="82" t="str">
        <f>IF(Data_LoonkostenNatVerloop416="","",Data_LoonkostenNatVerloop416)</f>
        <v/>
      </c>
      <c r="O439" s="41"/>
      <c r="P439" s="276" t="s">
        <v>160</v>
      </c>
      <c r="Q439" s="41"/>
      <c r="R439" s="76" t="s">
        <v>160</v>
      </c>
      <c r="S439" s="41"/>
      <c r="T439" s="41"/>
      <c r="U439" s="41"/>
      <c r="V439" s="41"/>
      <c r="W439" s="41">
        <f t="shared" si="48"/>
        <v>0</v>
      </c>
      <c r="X439" s="77" t="str">
        <f t="shared" si="54"/>
        <v/>
      </c>
      <c r="AG439" s="81" t="str">
        <f>IF(Data_NaamPersoonTijd416="","",Data_NaamPersoonTijd416)</f>
        <v/>
      </c>
      <c r="AH439" s="41"/>
      <c r="AI439" s="41"/>
      <c r="AJ439" s="83" t="str">
        <f>IF(Data_BeeindigingsdatumTijd416="","",Data_BeeindigingsdatumTijd416)</f>
        <v/>
      </c>
      <c r="AK439" s="41"/>
      <c r="AL439" s="41"/>
      <c r="AM439" s="82" t="str">
        <f>IF(Data_LoonkostenTijd416="","",Data_LoonkostenTijd416)</f>
        <v/>
      </c>
      <c r="AN439" s="41"/>
      <c r="AO439" s="276" t="str">
        <f>IF(Data_PersoonAanUitTijd416=-1,"v","")</f>
        <v/>
      </c>
      <c r="AP439" s="41"/>
      <c r="AQ439" s="76" t="s">
        <v>160</v>
      </c>
      <c r="AR439" s="41"/>
      <c r="AS439" s="41"/>
      <c r="AT439" s="41"/>
      <c r="AU439" s="41"/>
      <c r="AV439" s="41">
        <f t="shared" si="49"/>
        <v>0</v>
      </c>
      <c r="AW439" s="77">
        <f t="shared" si="50"/>
        <v>0</v>
      </c>
      <c r="AX439" s="41"/>
      <c r="AY439" s="41"/>
      <c r="AZ439" s="41"/>
      <c r="BA439" s="81" t="str">
        <f>IF(Data_NaamPersoonVastVrij416="","",Data_NaamPersoonVastVrij416)</f>
        <v/>
      </c>
      <c r="BB439" s="41"/>
      <c r="BC439" s="41"/>
      <c r="BD439" s="83" t="str">
        <f>IF(Data_BeeindigingsdatumVastVrij416="","",Data_BeeindigingsdatumVastVrij416)</f>
        <v/>
      </c>
      <c r="BE439" s="41"/>
      <c r="BF439" s="41"/>
      <c r="BG439" s="82" t="str">
        <f>IF(Data_LoonkostenVastVrij416="","",Data_LoonkostenVastVrij416)</f>
        <v/>
      </c>
      <c r="BH439" s="41"/>
      <c r="BI439" s="76" t="str">
        <f>IF(Data_PersoonAanUitVastVrij416=-1,"v","")</f>
        <v/>
      </c>
      <c r="BJ439" s="41"/>
      <c r="BK439" s="76" t="s">
        <v>160</v>
      </c>
      <c r="BL439" s="41"/>
      <c r="BM439" s="41"/>
      <c r="BN439" s="41"/>
      <c r="BO439" s="41"/>
      <c r="BP439" s="41">
        <f t="shared" si="51"/>
        <v>0</v>
      </c>
      <c r="BQ439" s="77">
        <f t="shared" si="52"/>
        <v>0</v>
      </c>
      <c r="BS439" s="81" t="str">
        <f>IF(Data_NaamPersoonVastOntslag416="","",Data_NaamPersoonVastOntslag416)</f>
        <v/>
      </c>
      <c r="BV439" s="83" t="str">
        <f>IF(Data_BeeindigingsdatumVastOntslag416="","",Data_BeeindigingsdatumVastOntslag416)</f>
        <v/>
      </c>
      <c r="BY439" s="82" t="str">
        <f>IF(Data_LoonkostenVastOntslag416="","",Data_LoonkostenVastOntslag416)</f>
        <v/>
      </c>
      <c r="CA439" s="76" t="str">
        <f>IF(Data_PersoonAanUitVastOntslag416=-1,"v","")</f>
        <v/>
      </c>
      <c r="CB439" s="41"/>
      <c r="CC439" s="76" t="s">
        <v>160</v>
      </c>
      <c r="CD439" s="41"/>
      <c r="CE439" s="41"/>
      <c r="CF439" s="41"/>
      <c r="CG439" s="41"/>
      <c r="CH439" s="41">
        <f t="shared" si="55"/>
        <v>0</v>
      </c>
      <c r="CI439" s="41">
        <f t="shared" si="53"/>
        <v>0</v>
      </c>
    </row>
    <row r="440" spans="8:87" x14ac:dyDescent="0.25">
      <c r="H440" s="81" t="str">
        <f>IF(Data_NaamPersoonNatVerloop417="","",Data_NaamPersoonNatVerloop417)</f>
        <v/>
      </c>
      <c r="I440" s="41"/>
      <c r="J440" s="41"/>
      <c r="K440" s="83" t="str">
        <f>IF(Data_BeeindigingsdatumNatVerloop417="","",Data_BeeindigingsdatumNatVerloop417)</f>
        <v/>
      </c>
      <c r="L440" s="41"/>
      <c r="M440" s="41"/>
      <c r="N440" s="82" t="str">
        <f>IF(Data_LoonkostenNatVerloop417="","",Data_LoonkostenNatVerloop417)</f>
        <v/>
      </c>
      <c r="O440" s="41"/>
      <c r="P440" s="276" t="s">
        <v>160</v>
      </c>
      <c r="Q440" s="41"/>
      <c r="R440" s="76" t="s">
        <v>160</v>
      </c>
      <c r="S440" s="41"/>
      <c r="T440" s="41"/>
      <c r="U440" s="41"/>
      <c r="V440" s="41"/>
      <c r="W440" s="41">
        <f t="shared" si="48"/>
        <v>0</v>
      </c>
      <c r="X440" s="77" t="str">
        <f t="shared" si="54"/>
        <v/>
      </c>
      <c r="AG440" s="81" t="str">
        <f>IF(Data_NaamPersoonTijd417="","",Data_NaamPersoonTijd417)</f>
        <v/>
      </c>
      <c r="AH440" s="41"/>
      <c r="AI440" s="41"/>
      <c r="AJ440" s="83" t="str">
        <f>IF(Data_BeeindigingsdatumTijd417="","",Data_BeeindigingsdatumTijd417)</f>
        <v/>
      </c>
      <c r="AK440" s="41"/>
      <c r="AL440" s="41"/>
      <c r="AM440" s="82" t="str">
        <f>IF(Data_LoonkostenTijd417="","",Data_LoonkostenTijd417)</f>
        <v/>
      </c>
      <c r="AN440" s="41"/>
      <c r="AO440" s="276" t="str">
        <f>IF(Data_PersoonAanUitTijd417=-1,"v","")</f>
        <v/>
      </c>
      <c r="AP440" s="41"/>
      <c r="AQ440" s="76" t="s">
        <v>160</v>
      </c>
      <c r="AR440" s="41"/>
      <c r="AS440" s="41"/>
      <c r="AT440" s="41"/>
      <c r="AU440" s="41"/>
      <c r="AV440" s="41">
        <f t="shared" si="49"/>
        <v>0</v>
      </c>
      <c r="AW440" s="77">
        <f t="shared" si="50"/>
        <v>0</v>
      </c>
      <c r="AX440" s="41"/>
      <c r="AY440" s="41"/>
      <c r="AZ440" s="41"/>
      <c r="BA440" s="81" t="str">
        <f>IF(Data_NaamPersoonVastVrij417="","",Data_NaamPersoonVastVrij417)</f>
        <v/>
      </c>
      <c r="BB440" s="41"/>
      <c r="BC440" s="41"/>
      <c r="BD440" s="83" t="str">
        <f>IF(Data_BeeindigingsdatumVastVrij417="","",Data_BeeindigingsdatumVastVrij417)</f>
        <v/>
      </c>
      <c r="BE440" s="41"/>
      <c r="BF440" s="41"/>
      <c r="BG440" s="82" t="str">
        <f>IF(Data_LoonkostenVastVrij417="","",Data_LoonkostenVastVrij417)</f>
        <v/>
      </c>
      <c r="BH440" s="41"/>
      <c r="BI440" s="76" t="str">
        <f>IF(Data_PersoonAanUitVastVrij417=-1,"v","")</f>
        <v/>
      </c>
      <c r="BJ440" s="41"/>
      <c r="BK440" s="76" t="s">
        <v>160</v>
      </c>
      <c r="BL440" s="41"/>
      <c r="BM440" s="41"/>
      <c r="BN440" s="41"/>
      <c r="BO440" s="41"/>
      <c r="BP440" s="41">
        <f t="shared" si="51"/>
        <v>0</v>
      </c>
      <c r="BQ440" s="77">
        <f t="shared" si="52"/>
        <v>0</v>
      </c>
      <c r="BS440" s="81" t="str">
        <f>IF(Data_NaamPersoonVastOntslag417="","",Data_NaamPersoonVastOntslag417)</f>
        <v/>
      </c>
      <c r="BV440" s="83" t="str">
        <f>IF(Data_BeeindigingsdatumVastOntslag417="","",Data_BeeindigingsdatumVastOntslag417)</f>
        <v/>
      </c>
      <c r="BY440" s="82" t="str">
        <f>IF(Data_LoonkostenVastOntslag417="","",Data_LoonkostenVastOntslag417)</f>
        <v/>
      </c>
      <c r="CA440" s="76" t="str">
        <f>IF(Data_PersoonAanUitVastOntslag417=-1,"v","")</f>
        <v/>
      </c>
      <c r="CB440" s="41"/>
      <c r="CC440" s="76" t="s">
        <v>160</v>
      </c>
      <c r="CD440" s="41"/>
      <c r="CE440" s="41"/>
      <c r="CF440" s="41"/>
      <c r="CG440" s="41"/>
      <c r="CH440" s="41">
        <f t="shared" si="55"/>
        <v>0</v>
      </c>
      <c r="CI440" s="41">
        <f t="shared" si="53"/>
        <v>0</v>
      </c>
    </row>
    <row r="441" spans="8:87" x14ac:dyDescent="0.25">
      <c r="H441" s="81" t="str">
        <f>IF(Data_NaamPersoonNatVerloop418="","",Data_NaamPersoonNatVerloop418)</f>
        <v/>
      </c>
      <c r="I441" s="41"/>
      <c r="J441" s="41"/>
      <c r="K441" s="83" t="str">
        <f>IF(Data_BeeindigingsdatumNatVerloop418="","",Data_BeeindigingsdatumNatVerloop418)</f>
        <v/>
      </c>
      <c r="L441" s="41"/>
      <c r="M441" s="41"/>
      <c r="N441" s="82" t="str">
        <f>IF(Data_LoonkostenNatVerloop418="","",Data_LoonkostenNatVerloop418)</f>
        <v/>
      </c>
      <c r="O441" s="41"/>
      <c r="P441" s="276" t="s">
        <v>160</v>
      </c>
      <c r="Q441" s="41"/>
      <c r="R441" s="76" t="s">
        <v>160</v>
      </c>
      <c r="S441" s="41"/>
      <c r="T441" s="41"/>
      <c r="U441" s="41"/>
      <c r="V441" s="41"/>
      <c r="W441" s="41">
        <f t="shared" si="48"/>
        <v>0</v>
      </c>
      <c r="X441" s="77" t="str">
        <f t="shared" si="54"/>
        <v/>
      </c>
      <c r="AG441" s="81" t="str">
        <f>IF(Data_NaamPersoonTijd418="","",Data_NaamPersoonTijd418)</f>
        <v/>
      </c>
      <c r="AH441" s="41"/>
      <c r="AI441" s="41"/>
      <c r="AJ441" s="83" t="str">
        <f>IF(Data_BeeindigingsdatumTijd418="","",Data_BeeindigingsdatumTijd418)</f>
        <v/>
      </c>
      <c r="AK441" s="41"/>
      <c r="AL441" s="41"/>
      <c r="AM441" s="82" t="str">
        <f>IF(Data_LoonkostenTijd418="","",Data_LoonkostenTijd418)</f>
        <v/>
      </c>
      <c r="AN441" s="41"/>
      <c r="AO441" s="276" t="str">
        <f>IF(Data_PersoonAanUitTijd418=-1,"v","")</f>
        <v/>
      </c>
      <c r="AP441" s="41"/>
      <c r="AQ441" s="76" t="s">
        <v>160</v>
      </c>
      <c r="AR441" s="41"/>
      <c r="AS441" s="41"/>
      <c r="AT441" s="41"/>
      <c r="AU441" s="41"/>
      <c r="AV441" s="41">
        <f t="shared" si="49"/>
        <v>0</v>
      </c>
      <c r="AW441" s="77">
        <f t="shared" si="50"/>
        <v>0</v>
      </c>
      <c r="AX441" s="41"/>
      <c r="AY441" s="41"/>
      <c r="AZ441" s="41"/>
      <c r="BA441" s="81" t="str">
        <f>IF(Data_NaamPersoonVastVrij418="","",Data_NaamPersoonVastVrij418)</f>
        <v/>
      </c>
      <c r="BB441" s="41"/>
      <c r="BC441" s="41"/>
      <c r="BD441" s="83" t="str">
        <f>IF(Data_BeeindigingsdatumVastVrij418="","",Data_BeeindigingsdatumVastVrij418)</f>
        <v/>
      </c>
      <c r="BE441" s="41"/>
      <c r="BF441" s="41"/>
      <c r="BG441" s="82" t="str">
        <f>IF(Data_LoonkostenVastVrij418="","",Data_LoonkostenVastVrij418)</f>
        <v/>
      </c>
      <c r="BH441" s="41"/>
      <c r="BI441" s="76" t="str">
        <f>IF(Data_PersoonAanUitVastVrij418=-1,"v","")</f>
        <v/>
      </c>
      <c r="BJ441" s="41"/>
      <c r="BK441" s="76" t="s">
        <v>160</v>
      </c>
      <c r="BL441" s="41"/>
      <c r="BM441" s="41"/>
      <c r="BN441" s="41"/>
      <c r="BO441" s="41"/>
      <c r="BP441" s="41">
        <f t="shared" si="51"/>
        <v>0</v>
      </c>
      <c r="BQ441" s="77">
        <f t="shared" si="52"/>
        <v>0</v>
      </c>
      <c r="BS441" s="81" t="str">
        <f>IF(Data_NaamPersoonVastOntslag418="","",Data_NaamPersoonVastOntslag418)</f>
        <v/>
      </c>
      <c r="BV441" s="83" t="str">
        <f>IF(Data_BeeindigingsdatumVastOntslag418="","",Data_BeeindigingsdatumVastOntslag418)</f>
        <v/>
      </c>
      <c r="BY441" s="82" t="str">
        <f>IF(Data_LoonkostenVastOntslag418="","",Data_LoonkostenVastOntslag418)</f>
        <v/>
      </c>
      <c r="CA441" s="76" t="str">
        <f>IF(Data_PersoonAanUitVastOntslag418=-1,"v","")</f>
        <v/>
      </c>
      <c r="CB441" s="41"/>
      <c r="CC441" s="76" t="s">
        <v>160</v>
      </c>
      <c r="CD441" s="41"/>
      <c r="CE441" s="41"/>
      <c r="CF441" s="41"/>
      <c r="CG441" s="41"/>
      <c r="CH441" s="41">
        <f t="shared" si="55"/>
        <v>0</v>
      </c>
      <c r="CI441" s="41">
        <f t="shared" si="53"/>
        <v>0</v>
      </c>
    </row>
    <row r="442" spans="8:87" x14ac:dyDescent="0.25">
      <c r="H442" s="81" t="str">
        <f>IF(Data_NaamPersoonNatVerloop419="","",Data_NaamPersoonNatVerloop419)</f>
        <v/>
      </c>
      <c r="I442" s="41"/>
      <c r="J442" s="41"/>
      <c r="K442" s="83" t="str">
        <f>IF(Data_BeeindigingsdatumNatVerloop419="","",Data_BeeindigingsdatumNatVerloop419)</f>
        <v/>
      </c>
      <c r="L442" s="41"/>
      <c r="M442" s="41"/>
      <c r="N442" s="82" t="str">
        <f>IF(Data_LoonkostenNatVerloop419="","",Data_LoonkostenNatVerloop419)</f>
        <v/>
      </c>
      <c r="O442" s="41"/>
      <c r="P442" s="276" t="s">
        <v>160</v>
      </c>
      <c r="Q442" s="41"/>
      <c r="R442" s="76" t="s">
        <v>160</v>
      </c>
      <c r="S442" s="41"/>
      <c r="T442" s="41"/>
      <c r="U442" s="41"/>
      <c r="V442" s="41"/>
      <c r="W442" s="41">
        <f t="shared" si="48"/>
        <v>0</v>
      </c>
      <c r="X442" s="77" t="str">
        <f t="shared" si="54"/>
        <v/>
      </c>
      <c r="AG442" s="81" t="str">
        <f>IF(Data_NaamPersoonTijd419="","",Data_NaamPersoonTijd419)</f>
        <v/>
      </c>
      <c r="AH442" s="41"/>
      <c r="AI442" s="41"/>
      <c r="AJ442" s="83" t="str">
        <f>IF(Data_BeeindigingsdatumTijd419="","",Data_BeeindigingsdatumTijd419)</f>
        <v/>
      </c>
      <c r="AK442" s="41"/>
      <c r="AL442" s="41"/>
      <c r="AM442" s="82" t="str">
        <f>IF(Data_LoonkostenTijd419="","",Data_LoonkostenTijd419)</f>
        <v/>
      </c>
      <c r="AN442" s="41"/>
      <c r="AO442" s="276" t="str">
        <f>IF(Data_PersoonAanUitTijd419=-1,"v","")</f>
        <v/>
      </c>
      <c r="AP442" s="41"/>
      <c r="AQ442" s="76" t="s">
        <v>160</v>
      </c>
      <c r="AR442" s="41"/>
      <c r="AS442" s="41"/>
      <c r="AT442" s="41"/>
      <c r="AU442" s="41"/>
      <c r="AV442" s="41">
        <f t="shared" si="49"/>
        <v>0</v>
      </c>
      <c r="AW442" s="77">
        <f t="shared" si="50"/>
        <v>0</v>
      </c>
      <c r="AX442" s="41"/>
      <c r="AY442" s="41"/>
      <c r="AZ442" s="41"/>
      <c r="BA442" s="81" t="str">
        <f>IF(Data_NaamPersoonVastVrij419="","",Data_NaamPersoonVastVrij419)</f>
        <v/>
      </c>
      <c r="BB442" s="41"/>
      <c r="BC442" s="41"/>
      <c r="BD442" s="83" t="str">
        <f>IF(Data_BeeindigingsdatumVastVrij419="","",Data_BeeindigingsdatumVastVrij419)</f>
        <v/>
      </c>
      <c r="BE442" s="41"/>
      <c r="BF442" s="41"/>
      <c r="BG442" s="82" t="str">
        <f>IF(Data_LoonkostenVastVrij419="","",Data_LoonkostenVastVrij419)</f>
        <v/>
      </c>
      <c r="BH442" s="41"/>
      <c r="BI442" s="76" t="str">
        <f>IF(Data_PersoonAanUitVastVrij419=-1,"v","")</f>
        <v/>
      </c>
      <c r="BJ442" s="41"/>
      <c r="BK442" s="76" t="s">
        <v>160</v>
      </c>
      <c r="BL442" s="41"/>
      <c r="BM442" s="41"/>
      <c r="BN442" s="41"/>
      <c r="BO442" s="41"/>
      <c r="BP442" s="41">
        <f t="shared" si="51"/>
        <v>0</v>
      </c>
      <c r="BQ442" s="77">
        <f t="shared" si="52"/>
        <v>0</v>
      </c>
      <c r="BS442" s="81" t="str">
        <f>IF(Data_NaamPersoonVastOntslag419="","",Data_NaamPersoonVastOntslag419)</f>
        <v/>
      </c>
      <c r="BV442" s="83" t="str">
        <f>IF(Data_BeeindigingsdatumVastOntslag419="","",Data_BeeindigingsdatumVastOntslag419)</f>
        <v/>
      </c>
      <c r="BY442" s="82" t="str">
        <f>IF(Data_LoonkostenVastOntslag419="","",Data_LoonkostenVastOntslag419)</f>
        <v/>
      </c>
      <c r="CA442" s="76" t="str">
        <f>IF(Data_PersoonAanUitVastOntslag419=-1,"v","")</f>
        <v/>
      </c>
      <c r="CB442" s="41"/>
      <c r="CC442" s="76" t="s">
        <v>160</v>
      </c>
      <c r="CD442" s="41"/>
      <c r="CE442" s="41"/>
      <c r="CF442" s="41"/>
      <c r="CG442" s="41"/>
      <c r="CH442" s="41">
        <f t="shared" si="55"/>
        <v>0</v>
      </c>
      <c r="CI442" s="41">
        <f t="shared" si="53"/>
        <v>0</v>
      </c>
    </row>
    <row r="443" spans="8:87" x14ac:dyDescent="0.25">
      <c r="H443" s="81" t="str">
        <f>IF(Data_NaamPersoonNatVerloop420="","",Data_NaamPersoonNatVerloop420)</f>
        <v/>
      </c>
      <c r="I443" s="41"/>
      <c r="J443" s="41"/>
      <c r="K443" s="83" t="str">
        <f>IF(Data_BeeindigingsdatumNatVerloop420="","",Data_BeeindigingsdatumNatVerloop420)</f>
        <v/>
      </c>
      <c r="L443" s="41"/>
      <c r="M443" s="41"/>
      <c r="N443" s="82" t="str">
        <f>IF(Data_LoonkostenNatVerloop420="","",Data_LoonkostenNatVerloop420)</f>
        <v/>
      </c>
      <c r="O443" s="41"/>
      <c r="P443" s="276" t="s">
        <v>160</v>
      </c>
      <c r="Q443" s="41"/>
      <c r="R443" s="76" t="s">
        <v>160</v>
      </c>
      <c r="S443" s="41"/>
      <c r="T443" s="41"/>
      <c r="U443" s="41"/>
      <c r="V443" s="41"/>
      <c r="W443" s="41">
        <f t="shared" si="48"/>
        <v>0</v>
      </c>
      <c r="X443" s="77" t="str">
        <f t="shared" si="54"/>
        <v/>
      </c>
      <c r="AG443" s="81" t="str">
        <f>IF(Data_NaamPersoonTijd420="","",Data_NaamPersoonTijd420)</f>
        <v/>
      </c>
      <c r="AH443" s="41"/>
      <c r="AI443" s="41"/>
      <c r="AJ443" s="83" t="str">
        <f>IF(Data_BeeindigingsdatumTijd420="","",Data_BeeindigingsdatumTijd420)</f>
        <v/>
      </c>
      <c r="AK443" s="41"/>
      <c r="AL443" s="41"/>
      <c r="AM443" s="82" t="str">
        <f>IF(Data_LoonkostenTijd420="","",Data_LoonkostenTijd420)</f>
        <v/>
      </c>
      <c r="AN443" s="41"/>
      <c r="AO443" s="276" t="str">
        <f>IF(Data_PersoonAanUitTijd420=-1,"v","")</f>
        <v/>
      </c>
      <c r="AP443" s="41"/>
      <c r="AQ443" s="76" t="s">
        <v>160</v>
      </c>
      <c r="AR443" s="41"/>
      <c r="AS443" s="41"/>
      <c r="AT443" s="41"/>
      <c r="AU443" s="41"/>
      <c r="AV443" s="41">
        <f t="shared" si="49"/>
        <v>0</v>
      </c>
      <c r="AW443" s="77">
        <f t="shared" si="50"/>
        <v>0</v>
      </c>
      <c r="AX443" s="41"/>
      <c r="AY443" s="41"/>
      <c r="AZ443" s="41"/>
      <c r="BA443" s="81" t="str">
        <f>IF(Data_NaamPersoonVastVrij420="","",Data_NaamPersoonVastVrij420)</f>
        <v/>
      </c>
      <c r="BB443" s="41"/>
      <c r="BC443" s="41"/>
      <c r="BD443" s="83" t="str">
        <f>IF(Data_BeeindigingsdatumVastVrij420="","",Data_BeeindigingsdatumVastVrij420)</f>
        <v/>
      </c>
      <c r="BE443" s="41"/>
      <c r="BF443" s="41"/>
      <c r="BG443" s="82" t="str">
        <f>IF(Data_LoonkostenVastVrij420="","",Data_LoonkostenVastVrij420)</f>
        <v/>
      </c>
      <c r="BH443" s="41"/>
      <c r="BI443" s="76" t="str">
        <f>IF(Data_PersoonAanUitVastVrij420=-1,"v","")</f>
        <v/>
      </c>
      <c r="BJ443" s="41"/>
      <c r="BK443" s="76" t="s">
        <v>160</v>
      </c>
      <c r="BL443" s="41"/>
      <c r="BM443" s="41"/>
      <c r="BN443" s="41"/>
      <c r="BO443" s="41"/>
      <c r="BP443" s="41">
        <f t="shared" si="51"/>
        <v>0</v>
      </c>
      <c r="BQ443" s="77">
        <f t="shared" si="52"/>
        <v>0</v>
      </c>
      <c r="BS443" s="81" t="str">
        <f>IF(Data_NaamPersoonVastOntslag420="","",Data_NaamPersoonVastOntslag420)</f>
        <v/>
      </c>
      <c r="BV443" s="83" t="str">
        <f>IF(Data_BeeindigingsdatumVastOntslag420="","",Data_BeeindigingsdatumVastOntslag420)</f>
        <v/>
      </c>
      <c r="BY443" s="82" t="str">
        <f>IF(Data_LoonkostenVastOntslag420="","",Data_LoonkostenVastOntslag420)</f>
        <v/>
      </c>
      <c r="CA443" s="76" t="str">
        <f>IF(Data_PersoonAanUitVastOntslag420=-1,"v","")</f>
        <v/>
      </c>
      <c r="CB443" s="41"/>
      <c r="CC443" s="76" t="s">
        <v>160</v>
      </c>
      <c r="CD443" s="41"/>
      <c r="CE443" s="41"/>
      <c r="CF443" s="41"/>
      <c r="CG443" s="41"/>
      <c r="CH443" s="41">
        <f t="shared" si="55"/>
        <v>0</v>
      </c>
      <c r="CI443" s="41">
        <f t="shared" si="53"/>
        <v>0</v>
      </c>
    </row>
    <row r="444" spans="8:87" x14ac:dyDescent="0.25">
      <c r="H444" s="81" t="str">
        <f>IF(Data_NaamPersoonNatVerloop421="","",Data_NaamPersoonNatVerloop421)</f>
        <v/>
      </c>
      <c r="I444" s="41"/>
      <c r="J444" s="41"/>
      <c r="K444" s="83" t="str">
        <f>IF(Data_BeeindigingsdatumNatVerloop421="","",Data_BeeindigingsdatumNatVerloop421)</f>
        <v/>
      </c>
      <c r="L444" s="41"/>
      <c r="M444" s="41"/>
      <c r="N444" s="82" t="str">
        <f>IF(Data_LoonkostenNatVerloop421="","",Data_LoonkostenNatVerloop421)</f>
        <v/>
      </c>
      <c r="O444" s="41"/>
      <c r="P444" s="276" t="s">
        <v>160</v>
      </c>
      <c r="Q444" s="41"/>
      <c r="R444" s="76" t="s">
        <v>160</v>
      </c>
      <c r="S444" s="41"/>
      <c r="T444" s="41"/>
      <c r="U444" s="41"/>
      <c r="V444" s="41"/>
      <c r="W444" s="41">
        <f t="shared" si="48"/>
        <v>0</v>
      </c>
      <c r="X444" s="77" t="str">
        <f t="shared" si="54"/>
        <v/>
      </c>
      <c r="AG444" s="81" t="str">
        <f>IF(Data_NaamPersoonTijd421="","",Data_NaamPersoonTijd421)</f>
        <v/>
      </c>
      <c r="AH444" s="41"/>
      <c r="AI444" s="41"/>
      <c r="AJ444" s="83" t="str">
        <f>IF(Data_BeeindigingsdatumTijd421="","",Data_BeeindigingsdatumTijd421)</f>
        <v/>
      </c>
      <c r="AK444" s="41"/>
      <c r="AL444" s="41"/>
      <c r="AM444" s="82" t="str">
        <f>IF(Data_LoonkostenTijd421="","",Data_LoonkostenTijd421)</f>
        <v/>
      </c>
      <c r="AN444" s="41"/>
      <c r="AO444" s="276" t="str">
        <f>IF(Data_PersoonAanUitTijd421=-1,"v","")</f>
        <v/>
      </c>
      <c r="AP444" s="41"/>
      <c r="AQ444" s="76" t="s">
        <v>160</v>
      </c>
      <c r="AR444" s="41"/>
      <c r="AS444" s="41"/>
      <c r="AT444" s="41"/>
      <c r="AU444" s="41"/>
      <c r="AV444" s="41">
        <f t="shared" si="49"/>
        <v>0</v>
      </c>
      <c r="AW444" s="77">
        <f t="shared" si="50"/>
        <v>0</v>
      </c>
      <c r="AX444" s="41"/>
      <c r="AY444" s="41"/>
      <c r="AZ444" s="41"/>
      <c r="BA444" s="81" t="str">
        <f>IF(Data_NaamPersoonVastVrij421="","",Data_NaamPersoonVastVrij421)</f>
        <v/>
      </c>
      <c r="BB444" s="41"/>
      <c r="BC444" s="41"/>
      <c r="BD444" s="83" t="str">
        <f>IF(Data_BeeindigingsdatumVastVrij421="","",Data_BeeindigingsdatumVastVrij421)</f>
        <v/>
      </c>
      <c r="BE444" s="41"/>
      <c r="BF444" s="41"/>
      <c r="BG444" s="82" t="str">
        <f>IF(Data_LoonkostenVastVrij421="","",Data_LoonkostenVastVrij421)</f>
        <v/>
      </c>
      <c r="BH444" s="41"/>
      <c r="BI444" s="76" t="str">
        <f>IF(Data_PersoonAanUitVastVrij421=-1,"v","")</f>
        <v/>
      </c>
      <c r="BJ444" s="41"/>
      <c r="BK444" s="76" t="s">
        <v>160</v>
      </c>
      <c r="BL444" s="41"/>
      <c r="BM444" s="41"/>
      <c r="BN444" s="41"/>
      <c r="BO444" s="41"/>
      <c r="BP444" s="41">
        <f t="shared" si="51"/>
        <v>0</v>
      </c>
      <c r="BQ444" s="77">
        <f t="shared" si="52"/>
        <v>0</v>
      </c>
      <c r="BS444" s="81" t="str">
        <f>IF(Data_NaamPersoonVastOntslag421="","",Data_NaamPersoonVastOntslag421)</f>
        <v/>
      </c>
      <c r="BV444" s="83" t="str">
        <f>IF(Data_BeeindigingsdatumVastOntslag421="","",Data_BeeindigingsdatumVastOntslag421)</f>
        <v/>
      </c>
      <c r="BY444" s="82" t="str">
        <f>IF(Data_LoonkostenVastOntslag421="","",Data_LoonkostenVastOntslag421)</f>
        <v/>
      </c>
      <c r="CA444" s="76" t="str">
        <f>IF(Data_PersoonAanUitVastOntslag421=-1,"v","")</f>
        <v/>
      </c>
      <c r="CB444" s="41"/>
      <c r="CC444" s="76" t="s">
        <v>160</v>
      </c>
      <c r="CD444" s="41"/>
      <c r="CE444" s="41"/>
      <c r="CF444" s="41"/>
      <c r="CG444" s="41"/>
      <c r="CH444" s="41">
        <f t="shared" si="55"/>
        <v>0</v>
      </c>
      <c r="CI444" s="41">
        <f t="shared" si="53"/>
        <v>0</v>
      </c>
    </row>
    <row r="445" spans="8:87" x14ac:dyDescent="0.25">
      <c r="H445" s="81" t="str">
        <f>IF(Data_NaamPersoonNatVerloop422="","",Data_NaamPersoonNatVerloop422)</f>
        <v/>
      </c>
      <c r="I445" s="41"/>
      <c r="J445" s="41"/>
      <c r="K445" s="83" t="str">
        <f>IF(Data_BeeindigingsdatumNatVerloop422="","",Data_BeeindigingsdatumNatVerloop422)</f>
        <v/>
      </c>
      <c r="L445" s="41"/>
      <c r="M445" s="41"/>
      <c r="N445" s="82" t="str">
        <f>IF(Data_LoonkostenNatVerloop422="","",Data_LoonkostenNatVerloop422)</f>
        <v/>
      </c>
      <c r="O445" s="41"/>
      <c r="P445" s="276" t="s">
        <v>160</v>
      </c>
      <c r="Q445" s="41"/>
      <c r="R445" s="76" t="s">
        <v>160</v>
      </c>
      <c r="S445" s="41"/>
      <c r="T445" s="41"/>
      <c r="U445" s="41"/>
      <c r="V445" s="41"/>
      <c r="W445" s="41">
        <f t="shared" si="48"/>
        <v>0</v>
      </c>
      <c r="X445" s="77" t="str">
        <f t="shared" si="54"/>
        <v/>
      </c>
      <c r="AG445" s="81" t="str">
        <f>IF(Data_NaamPersoonTijd422="","",Data_NaamPersoonTijd422)</f>
        <v/>
      </c>
      <c r="AH445" s="41"/>
      <c r="AI445" s="41"/>
      <c r="AJ445" s="83" t="str">
        <f>IF(Data_BeeindigingsdatumTijd422="","",Data_BeeindigingsdatumTijd422)</f>
        <v/>
      </c>
      <c r="AK445" s="41"/>
      <c r="AL445" s="41"/>
      <c r="AM445" s="82" t="str">
        <f>IF(Data_LoonkostenTijd422="","",Data_LoonkostenTijd422)</f>
        <v/>
      </c>
      <c r="AN445" s="41"/>
      <c r="AO445" s="276" t="str">
        <f>IF(Data_PersoonAanUitTijd422=-1,"v","")</f>
        <v/>
      </c>
      <c r="AP445" s="41"/>
      <c r="AQ445" s="76" t="s">
        <v>160</v>
      </c>
      <c r="AR445" s="41"/>
      <c r="AS445" s="41"/>
      <c r="AT445" s="41"/>
      <c r="AU445" s="41"/>
      <c r="AV445" s="41">
        <f t="shared" si="49"/>
        <v>0</v>
      </c>
      <c r="AW445" s="77">
        <f t="shared" si="50"/>
        <v>0</v>
      </c>
      <c r="AX445" s="41"/>
      <c r="AY445" s="41"/>
      <c r="AZ445" s="41"/>
      <c r="BA445" s="81" t="str">
        <f>IF(Data_NaamPersoonVastVrij422="","",Data_NaamPersoonVastVrij422)</f>
        <v/>
      </c>
      <c r="BB445" s="41"/>
      <c r="BC445" s="41"/>
      <c r="BD445" s="83" t="str">
        <f>IF(Data_BeeindigingsdatumVastVrij422="","",Data_BeeindigingsdatumVastVrij422)</f>
        <v/>
      </c>
      <c r="BE445" s="41"/>
      <c r="BF445" s="41"/>
      <c r="BG445" s="82" t="str">
        <f>IF(Data_LoonkostenVastVrij422="","",Data_LoonkostenVastVrij422)</f>
        <v/>
      </c>
      <c r="BH445" s="41"/>
      <c r="BI445" s="76" t="str">
        <f>IF(Data_PersoonAanUitVastVrij422=-1,"v","")</f>
        <v/>
      </c>
      <c r="BJ445" s="41"/>
      <c r="BK445" s="76" t="s">
        <v>160</v>
      </c>
      <c r="BL445" s="41"/>
      <c r="BM445" s="41"/>
      <c r="BN445" s="41"/>
      <c r="BO445" s="41"/>
      <c r="BP445" s="41">
        <f t="shared" si="51"/>
        <v>0</v>
      </c>
      <c r="BQ445" s="77">
        <f t="shared" si="52"/>
        <v>0</v>
      </c>
      <c r="BS445" s="81" t="str">
        <f>IF(Data_NaamPersoonVastOntslag422="","",Data_NaamPersoonVastOntslag422)</f>
        <v/>
      </c>
      <c r="BV445" s="83" t="str">
        <f>IF(Data_BeeindigingsdatumVastOntslag422="","",Data_BeeindigingsdatumVastOntslag422)</f>
        <v/>
      </c>
      <c r="BY445" s="82" t="str">
        <f>IF(Data_LoonkostenVastOntslag422="","",Data_LoonkostenVastOntslag422)</f>
        <v/>
      </c>
      <c r="CA445" s="76" t="str">
        <f>IF(Data_PersoonAanUitVastOntslag422=-1,"v","")</f>
        <v/>
      </c>
      <c r="CB445" s="41"/>
      <c r="CC445" s="76" t="s">
        <v>160</v>
      </c>
      <c r="CD445" s="41"/>
      <c r="CE445" s="41"/>
      <c r="CF445" s="41"/>
      <c r="CG445" s="41"/>
      <c r="CH445" s="41">
        <f t="shared" si="55"/>
        <v>0</v>
      </c>
      <c r="CI445" s="41">
        <f t="shared" si="53"/>
        <v>0</v>
      </c>
    </row>
    <row r="446" spans="8:87" x14ac:dyDescent="0.25">
      <c r="H446" s="81" t="str">
        <f>IF(Data_NaamPersoonNatVerloop423="","",Data_NaamPersoonNatVerloop423)</f>
        <v/>
      </c>
      <c r="I446" s="41"/>
      <c r="J446" s="41"/>
      <c r="K446" s="83" t="str">
        <f>IF(Data_BeeindigingsdatumNatVerloop423="","",Data_BeeindigingsdatumNatVerloop423)</f>
        <v/>
      </c>
      <c r="L446" s="41"/>
      <c r="M446" s="41"/>
      <c r="N446" s="82" t="str">
        <f>IF(Data_LoonkostenNatVerloop423="","",Data_LoonkostenNatVerloop423)</f>
        <v/>
      </c>
      <c r="O446" s="41"/>
      <c r="P446" s="276" t="s">
        <v>160</v>
      </c>
      <c r="Q446" s="41"/>
      <c r="R446" s="76" t="s">
        <v>160</v>
      </c>
      <c r="S446" s="41"/>
      <c r="T446" s="41"/>
      <c r="U446" s="41"/>
      <c r="V446" s="41"/>
      <c r="W446" s="41">
        <f t="shared" si="48"/>
        <v>0</v>
      </c>
      <c r="X446" s="77" t="str">
        <f t="shared" si="54"/>
        <v/>
      </c>
      <c r="AG446" s="81" t="str">
        <f>IF(Data_NaamPersoonTijd423="","",Data_NaamPersoonTijd423)</f>
        <v/>
      </c>
      <c r="AH446" s="41"/>
      <c r="AI446" s="41"/>
      <c r="AJ446" s="83" t="str">
        <f>IF(Data_BeeindigingsdatumTijd423="","",Data_BeeindigingsdatumTijd423)</f>
        <v/>
      </c>
      <c r="AK446" s="41"/>
      <c r="AL446" s="41"/>
      <c r="AM446" s="82" t="str">
        <f>IF(Data_LoonkostenTijd423="","",Data_LoonkostenTijd423)</f>
        <v/>
      </c>
      <c r="AN446" s="41"/>
      <c r="AO446" s="276" t="str">
        <f>IF(Data_PersoonAanUitTijd423=-1,"v","")</f>
        <v/>
      </c>
      <c r="AP446" s="41"/>
      <c r="AQ446" s="76" t="s">
        <v>160</v>
      </c>
      <c r="AR446" s="41"/>
      <c r="AS446" s="41"/>
      <c r="AT446" s="41"/>
      <c r="AU446" s="41"/>
      <c r="AV446" s="41">
        <f t="shared" si="49"/>
        <v>0</v>
      </c>
      <c r="AW446" s="77">
        <f t="shared" si="50"/>
        <v>0</v>
      </c>
      <c r="AX446" s="41"/>
      <c r="AY446" s="41"/>
      <c r="AZ446" s="41"/>
      <c r="BA446" s="81" t="str">
        <f>IF(Data_NaamPersoonVastVrij423="","",Data_NaamPersoonVastVrij423)</f>
        <v/>
      </c>
      <c r="BB446" s="41"/>
      <c r="BC446" s="41"/>
      <c r="BD446" s="83" t="str">
        <f>IF(Data_BeeindigingsdatumVastVrij423="","",Data_BeeindigingsdatumVastVrij423)</f>
        <v/>
      </c>
      <c r="BE446" s="41"/>
      <c r="BF446" s="41"/>
      <c r="BG446" s="82" t="str">
        <f>IF(Data_LoonkostenVastVrij423="","",Data_LoonkostenVastVrij423)</f>
        <v/>
      </c>
      <c r="BH446" s="41"/>
      <c r="BI446" s="76" t="str">
        <f>IF(Data_PersoonAanUitVastVrij423=-1,"v","")</f>
        <v/>
      </c>
      <c r="BJ446" s="41"/>
      <c r="BK446" s="76" t="s">
        <v>160</v>
      </c>
      <c r="BL446" s="41"/>
      <c r="BM446" s="41"/>
      <c r="BN446" s="41"/>
      <c r="BO446" s="41"/>
      <c r="BP446" s="41">
        <f t="shared" si="51"/>
        <v>0</v>
      </c>
      <c r="BQ446" s="77">
        <f t="shared" si="52"/>
        <v>0</v>
      </c>
      <c r="BS446" s="81" t="str">
        <f>IF(Data_NaamPersoonVastOntslag423="","",Data_NaamPersoonVastOntslag423)</f>
        <v/>
      </c>
      <c r="BV446" s="83" t="str">
        <f>IF(Data_BeeindigingsdatumVastOntslag423="","",Data_BeeindigingsdatumVastOntslag423)</f>
        <v/>
      </c>
      <c r="BY446" s="82" t="str">
        <f>IF(Data_LoonkostenVastOntslag423="","",Data_LoonkostenVastOntslag423)</f>
        <v/>
      </c>
      <c r="CA446" s="76" t="str">
        <f>IF(Data_PersoonAanUitVastOntslag423=-1,"v","")</f>
        <v/>
      </c>
      <c r="CB446" s="41"/>
      <c r="CC446" s="76" t="s">
        <v>160</v>
      </c>
      <c r="CD446" s="41"/>
      <c r="CE446" s="41"/>
      <c r="CF446" s="41"/>
      <c r="CG446" s="41"/>
      <c r="CH446" s="41">
        <f t="shared" si="55"/>
        <v>0</v>
      </c>
      <c r="CI446" s="41">
        <f t="shared" si="53"/>
        <v>0</v>
      </c>
    </row>
    <row r="447" spans="8:87" x14ac:dyDescent="0.25">
      <c r="H447" s="81" t="str">
        <f>IF(Data_NaamPersoonNatVerloop424="","",Data_NaamPersoonNatVerloop424)</f>
        <v/>
      </c>
      <c r="I447" s="41"/>
      <c r="J447" s="41"/>
      <c r="K447" s="83" t="str">
        <f>IF(Data_BeeindigingsdatumNatVerloop424="","",Data_BeeindigingsdatumNatVerloop424)</f>
        <v/>
      </c>
      <c r="L447" s="41"/>
      <c r="M447" s="41"/>
      <c r="N447" s="82" t="str">
        <f>IF(Data_LoonkostenNatVerloop424="","",Data_LoonkostenNatVerloop424)</f>
        <v/>
      </c>
      <c r="O447" s="41"/>
      <c r="P447" s="276" t="s">
        <v>160</v>
      </c>
      <c r="Q447" s="41"/>
      <c r="R447" s="76" t="s">
        <v>160</v>
      </c>
      <c r="S447" s="41"/>
      <c r="T447" s="41"/>
      <c r="U447" s="41"/>
      <c r="V447" s="41"/>
      <c r="W447" s="41">
        <f t="shared" si="48"/>
        <v>0</v>
      </c>
      <c r="X447" s="77" t="str">
        <f t="shared" si="54"/>
        <v/>
      </c>
      <c r="AG447" s="81" t="str">
        <f>IF(Data_NaamPersoonTijd424="","",Data_NaamPersoonTijd424)</f>
        <v/>
      </c>
      <c r="AH447" s="41"/>
      <c r="AI447" s="41"/>
      <c r="AJ447" s="83" t="str">
        <f>IF(Data_BeeindigingsdatumTijd424="","",Data_BeeindigingsdatumTijd424)</f>
        <v/>
      </c>
      <c r="AK447" s="41"/>
      <c r="AL447" s="41"/>
      <c r="AM447" s="82" t="str">
        <f>IF(Data_LoonkostenTijd424="","",Data_LoonkostenTijd424)</f>
        <v/>
      </c>
      <c r="AN447" s="41"/>
      <c r="AO447" s="276" t="str">
        <f>IF(Data_PersoonAanUitTijd424=-1,"v","")</f>
        <v/>
      </c>
      <c r="AP447" s="41"/>
      <c r="AQ447" s="76" t="s">
        <v>160</v>
      </c>
      <c r="AR447" s="41"/>
      <c r="AS447" s="41"/>
      <c r="AT447" s="41"/>
      <c r="AU447" s="41"/>
      <c r="AV447" s="41">
        <f t="shared" si="49"/>
        <v>0</v>
      </c>
      <c r="AW447" s="77">
        <f t="shared" si="50"/>
        <v>0</v>
      </c>
      <c r="AX447" s="41"/>
      <c r="AY447" s="41"/>
      <c r="AZ447" s="41"/>
      <c r="BA447" s="81" t="str">
        <f>IF(Data_NaamPersoonVastVrij424="","",Data_NaamPersoonVastVrij424)</f>
        <v/>
      </c>
      <c r="BB447" s="41"/>
      <c r="BC447" s="41"/>
      <c r="BD447" s="83" t="str">
        <f>IF(Data_BeeindigingsdatumVastVrij424="","",Data_BeeindigingsdatumVastVrij424)</f>
        <v/>
      </c>
      <c r="BE447" s="41"/>
      <c r="BF447" s="41"/>
      <c r="BG447" s="82" t="str">
        <f>IF(Data_LoonkostenVastVrij424="","",Data_LoonkostenVastVrij424)</f>
        <v/>
      </c>
      <c r="BH447" s="41"/>
      <c r="BI447" s="76" t="str">
        <f>IF(Data_PersoonAanUitVastVrij424=-1,"v","")</f>
        <v/>
      </c>
      <c r="BJ447" s="41"/>
      <c r="BK447" s="76" t="s">
        <v>160</v>
      </c>
      <c r="BL447" s="41"/>
      <c r="BM447" s="41"/>
      <c r="BN447" s="41"/>
      <c r="BO447" s="41"/>
      <c r="BP447" s="41">
        <f t="shared" si="51"/>
        <v>0</v>
      </c>
      <c r="BQ447" s="77">
        <f t="shared" si="52"/>
        <v>0</v>
      </c>
      <c r="BS447" s="81" t="str">
        <f>IF(Data_NaamPersoonVastOntslag424="","",Data_NaamPersoonVastOntslag424)</f>
        <v/>
      </c>
      <c r="BV447" s="83" t="str">
        <f>IF(Data_BeeindigingsdatumVastOntslag424="","",Data_BeeindigingsdatumVastOntslag424)</f>
        <v/>
      </c>
      <c r="BY447" s="82" t="str">
        <f>IF(Data_LoonkostenVastOntslag424="","",Data_LoonkostenVastOntslag424)</f>
        <v/>
      </c>
      <c r="CA447" s="76" t="str">
        <f>IF(Data_PersoonAanUitVastOntslag424=-1,"v","")</f>
        <v/>
      </c>
      <c r="CB447" s="41"/>
      <c r="CC447" s="76" t="s">
        <v>160</v>
      </c>
      <c r="CD447" s="41"/>
      <c r="CE447" s="41"/>
      <c r="CF447" s="41"/>
      <c r="CG447" s="41"/>
      <c r="CH447" s="41">
        <f t="shared" si="55"/>
        <v>0</v>
      </c>
      <c r="CI447" s="41">
        <f t="shared" si="53"/>
        <v>0</v>
      </c>
    </row>
    <row r="448" spans="8:87" x14ac:dyDescent="0.25">
      <c r="H448" s="81" t="str">
        <f>IF(Data_NaamPersoonNatVerloop425="","",Data_NaamPersoonNatVerloop425)</f>
        <v/>
      </c>
      <c r="I448" s="41"/>
      <c r="J448" s="41"/>
      <c r="K448" s="83" t="str">
        <f>IF(Data_BeeindigingsdatumNatVerloop425="","",Data_BeeindigingsdatumNatVerloop425)</f>
        <v/>
      </c>
      <c r="L448" s="41"/>
      <c r="M448" s="41"/>
      <c r="N448" s="82" t="str">
        <f>IF(Data_LoonkostenNatVerloop425="","",Data_LoonkostenNatVerloop425)</f>
        <v/>
      </c>
      <c r="O448" s="41"/>
      <c r="P448" s="276" t="s">
        <v>160</v>
      </c>
      <c r="Q448" s="41"/>
      <c r="R448" s="76" t="s">
        <v>160</v>
      </c>
      <c r="S448" s="41"/>
      <c r="T448" s="41"/>
      <c r="U448" s="41"/>
      <c r="V448" s="41"/>
      <c r="W448" s="41">
        <f t="shared" si="48"/>
        <v>0</v>
      </c>
      <c r="X448" s="77" t="str">
        <f t="shared" si="54"/>
        <v/>
      </c>
      <c r="AG448" s="81" t="str">
        <f>IF(Data_NaamPersoonTijd425="","",Data_NaamPersoonTijd425)</f>
        <v/>
      </c>
      <c r="AH448" s="41"/>
      <c r="AI448" s="41"/>
      <c r="AJ448" s="83" t="str">
        <f>IF(Data_BeeindigingsdatumTijd425="","",Data_BeeindigingsdatumTijd425)</f>
        <v/>
      </c>
      <c r="AK448" s="41"/>
      <c r="AL448" s="41"/>
      <c r="AM448" s="82" t="str">
        <f>IF(Data_LoonkostenTijd425="","",Data_LoonkostenTijd425)</f>
        <v/>
      </c>
      <c r="AN448" s="41"/>
      <c r="AO448" s="276" t="str">
        <f>IF(Data_PersoonAanUitTijd425=-1,"v","")</f>
        <v/>
      </c>
      <c r="AP448" s="41"/>
      <c r="AQ448" s="76" t="s">
        <v>160</v>
      </c>
      <c r="AR448" s="41"/>
      <c r="AS448" s="41"/>
      <c r="AT448" s="41"/>
      <c r="AU448" s="41"/>
      <c r="AV448" s="41">
        <f t="shared" si="49"/>
        <v>0</v>
      </c>
      <c r="AW448" s="77">
        <f t="shared" si="50"/>
        <v>0</v>
      </c>
      <c r="AX448" s="41"/>
      <c r="AY448" s="41"/>
      <c r="AZ448" s="41"/>
      <c r="BA448" s="81" t="str">
        <f>IF(Data_NaamPersoonVastVrij425="","",Data_NaamPersoonVastVrij425)</f>
        <v/>
      </c>
      <c r="BB448" s="41"/>
      <c r="BC448" s="41"/>
      <c r="BD448" s="83" t="str">
        <f>IF(Data_BeeindigingsdatumVastVrij425="","",Data_BeeindigingsdatumVastVrij425)</f>
        <v/>
      </c>
      <c r="BE448" s="41"/>
      <c r="BF448" s="41"/>
      <c r="BG448" s="82" t="str">
        <f>IF(Data_LoonkostenVastVrij425="","",Data_LoonkostenVastVrij425)</f>
        <v/>
      </c>
      <c r="BH448" s="41"/>
      <c r="BI448" s="76" t="str">
        <f>IF(Data_PersoonAanUitVastVrij425=-1,"v","")</f>
        <v/>
      </c>
      <c r="BJ448" s="41"/>
      <c r="BK448" s="76" t="s">
        <v>160</v>
      </c>
      <c r="BL448" s="41"/>
      <c r="BM448" s="41"/>
      <c r="BN448" s="41"/>
      <c r="BO448" s="41"/>
      <c r="BP448" s="41">
        <f t="shared" si="51"/>
        <v>0</v>
      </c>
      <c r="BQ448" s="77">
        <f t="shared" si="52"/>
        <v>0</v>
      </c>
      <c r="BS448" s="81" t="str">
        <f>IF(Data_NaamPersoonVastOntslag425="","",Data_NaamPersoonVastOntslag425)</f>
        <v/>
      </c>
      <c r="BV448" s="83" t="str">
        <f>IF(Data_BeeindigingsdatumVastOntslag425="","",Data_BeeindigingsdatumVastOntslag425)</f>
        <v/>
      </c>
      <c r="BY448" s="82" t="str">
        <f>IF(Data_LoonkostenVastOntslag425="","",Data_LoonkostenVastOntslag425)</f>
        <v/>
      </c>
      <c r="CA448" s="76" t="str">
        <f>IF(Data_PersoonAanUitVastOntslag425=-1,"v","")</f>
        <v/>
      </c>
      <c r="CB448" s="41"/>
      <c r="CC448" s="76" t="s">
        <v>160</v>
      </c>
      <c r="CD448" s="41"/>
      <c r="CE448" s="41"/>
      <c r="CF448" s="41"/>
      <c r="CG448" s="41"/>
      <c r="CH448" s="41">
        <f t="shared" si="55"/>
        <v>0</v>
      </c>
      <c r="CI448" s="41">
        <f t="shared" si="53"/>
        <v>0</v>
      </c>
    </row>
    <row r="449" spans="8:87" x14ac:dyDescent="0.25">
      <c r="H449" s="81" t="str">
        <f>IF(Data_NaamPersoonNatVerloop426="","",Data_NaamPersoonNatVerloop426)</f>
        <v/>
      </c>
      <c r="I449" s="41"/>
      <c r="J449" s="41"/>
      <c r="K449" s="83" t="str">
        <f>IF(Data_BeeindigingsdatumNatVerloop426="","",Data_BeeindigingsdatumNatVerloop426)</f>
        <v/>
      </c>
      <c r="L449" s="41"/>
      <c r="M449" s="41"/>
      <c r="N449" s="82" t="str">
        <f>IF(Data_LoonkostenNatVerloop426="","",Data_LoonkostenNatVerloop426)</f>
        <v/>
      </c>
      <c r="O449" s="41"/>
      <c r="P449" s="276" t="s">
        <v>160</v>
      </c>
      <c r="Q449" s="41"/>
      <c r="R449" s="76" t="s">
        <v>160</v>
      </c>
      <c r="S449" s="41"/>
      <c r="T449" s="41"/>
      <c r="U449" s="41"/>
      <c r="V449" s="41"/>
      <c r="W449" s="41">
        <f t="shared" si="48"/>
        <v>0</v>
      </c>
      <c r="X449" s="77" t="str">
        <f t="shared" si="54"/>
        <v/>
      </c>
      <c r="AG449" s="81" t="str">
        <f>IF(Data_NaamPersoonTijd426="","",Data_NaamPersoonTijd426)</f>
        <v/>
      </c>
      <c r="AH449" s="41"/>
      <c r="AI449" s="41"/>
      <c r="AJ449" s="83" t="str">
        <f>IF(Data_BeeindigingsdatumTijd426="","",Data_BeeindigingsdatumTijd426)</f>
        <v/>
      </c>
      <c r="AK449" s="41"/>
      <c r="AL449" s="41"/>
      <c r="AM449" s="82" t="str">
        <f>IF(Data_LoonkostenTijd426="","",Data_LoonkostenTijd426)</f>
        <v/>
      </c>
      <c r="AN449" s="41"/>
      <c r="AO449" s="276" t="str">
        <f>IF(Data_PersoonAanUitTijd426=-1,"v","")</f>
        <v/>
      </c>
      <c r="AP449" s="41"/>
      <c r="AQ449" s="76" t="s">
        <v>160</v>
      </c>
      <c r="AR449" s="41"/>
      <c r="AS449" s="41"/>
      <c r="AT449" s="41"/>
      <c r="AU449" s="41"/>
      <c r="AV449" s="41">
        <f t="shared" si="49"/>
        <v>0</v>
      </c>
      <c r="AW449" s="77">
        <f t="shared" si="50"/>
        <v>0</v>
      </c>
      <c r="AX449" s="41"/>
      <c r="AY449" s="41"/>
      <c r="AZ449" s="41"/>
      <c r="BA449" s="81" t="str">
        <f>IF(Data_NaamPersoonVastVrij426="","",Data_NaamPersoonVastVrij426)</f>
        <v/>
      </c>
      <c r="BB449" s="41"/>
      <c r="BC449" s="41"/>
      <c r="BD449" s="83" t="str">
        <f>IF(Data_BeeindigingsdatumVastVrij426="","",Data_BeeindigingsdatumVastVrij426)</f>
        <v/>
      </c>
      <c r="BE449" s="41"/>
      <c r="BF449" s="41"/>
      <c r="BG449" s="82" t="str">
        <f>IF(Data_LoonkostenVastVrij426="","",Data_LoonkostenVastVrij426)</f>
        <v/>
      </c>
      <c r="BH449" s="41"/>
      <c r="BI449" s="76" t="str">
        <f>IF(Data_PersoonAanUitVastVrij426=-1,"v","")</f>
        <v/>
      </c>
      <c r="BJ449" s="41"/>
      <c r="BK449" s="76" t="s">
        <v>160</v>
      </c>
      <c r="BL449" s="41"/>
      <c r="BM449" s="41"/>
      <c r="BN449" s="41"/>
      <c r="BO449" s="41"/>
      <c r="BP449" s="41">
        <f t="shared" si="51"/>
        <v>0</v>
      </c>
      <c r="BQ449" s="77">
        <f t="shared" si="52"/>
        <v>0</v>
      </c>
      <c r="BS449" s="81" t="str">
        <f>IF(Data_NaamPersoonVastOntslag426="","",Data_NaamPersoonVastOntslag426)</f>
        <v/>
      </c>
      <c r="BV449" s="83" t="str">
        <f>IF(Data_BeeindigingsdatumVastOntslag426="","",Data_BeeindigingsdatumVastOntslag426)</f>
        <v/>
      </c>
      <c r="BY449" s="82" t="str">
        <f>IF(Data_LoonkostenVastOntslag426="","",Data_LoonkostenVastOntslag426)</f>
        <v/>
      </c>
      <c r="CA449" s="76" t="str">
        <f>IF(Data_PersoonAanUitVastOntslag426=-1,"v","")</f>
        <v/>
      </c>
      <c r="CB449" s="41"/>
      <c r="CC449" s="76" t="s">
        <v>160</v>
      </c>
      <c r="CD449" s="41"/>
      <c r="CE449" s="41"/>
      <c r="CF449" s="41"/>
      <c r="CG449" s="41"/>
      <c r="CH449" s="41">
        <f t="shared" si="55"/>
        <v>0</v>
      </c>
      <c r="CI449" s="41">
        <f t="shared" si="53"/>
        <v>0</v>
      </c>
    </row>
    <row r="450" spans="8:87" x14ac:dyDescent="0.25">
      <c r="H450" s="81" t="str">
        <f>IF(Data_NaamPersoonNatVerloop427="","",Data_NaamPersoonNatVerloop427)</f>
        <v/>
      </c>
      <c r="I450" s="41"/>
      <c r="J450" s="41"/>
      <c r="K450" s="83" t="str">
        <f>IF(Data_BeeindigingsdatumNatVerloop427="","",Data_BeeindigingsdatumNatVerloop427)</f>
        <v/>
      </c>
      <c r="L450" s="41"/>
      <c r="M450" s="41"/>
      <c r="N450" s="82" t="str">
        <f>IF(Data_LoonkostenNatVerloop427="","",Data_LoonkostenNatVerloop427)</f>
        <v/>
      </c>
      <c r="O450" s="41"/>
      <c r="P450" s="276" t="s">
        <v>160</v>
      </c>
      <c r="Q450" s="41"/>
      <c r="R450" s="76" t="s">
        <v>160</v>
      </c>
      <c r="S450" s="41"/>
      <c r="T450" s="41"/>
      <c r="U450" s="41"/>
      <c r="V450" s="41"/>
      <c r="W450" s="41">
        <f t="shared" si="48"/>
        <v>0</v>
      </c>
      <c r="X450" s="77" t="str">
        <f t="shared" si="54"/>
        <v/>
      </c>
      <c r="AG450" s="81" t="str">
        <f>IF(Data_NaamPersoonTijd427="","",Data_NaamPersoonTijd427)</f>
        <v/>
      </c>
      <c r="AH450" s="41"/>
      <c r="AI450" s="41"/>
      <c r="AJ450" s="83" t="str">
        <f>IF(Data_BeeindigingsdatumTijd427="","",Data_BeeindigingsdatumTijd427)</f>
        <v/>
      </c>
      <c r="AK450" s="41"/>
      <c r="AL450" s="41"/>
      <c r="AM450" s="82" t="str">
        <f>IF(Data_LoonkostenTijd427="","",Data_LoonkostenTijd427)</f>
        <v/>
      </c>
      <c r="AN450" s="41"/>
      <c r="AO450" s="276" t="str">
        <f>IF(Data_PersoonAanUitTijd427=-1,"v","")</f>
        <v/>
      </c>
      <c r="AP450" s="41"/>
      <c r="AQ450" s="76" t="s">
        <v>160</v>
      </c>
      <c r="AR450" s="41"/>
      <c r="AS450" s="41"/>
      <c r="AT450" s="41"/>
      <c r="AU450" s="41"/>
      <c r="AV450" s="41">
        <f t="shared" si="49"/>
        <v>0</v>
      </c>
      <c r="AW450" s="77">
        <f t="shared" si="50"/>
        <v>0</v>
      </c>
      <c r="AX450" s="41"/>
      <c r="AY450" s="41"/>
      <c r="AZ450" s="41"/>
      <c r="BA450" s="81" t="str">
        <f>IF(Data_NaamPersoonVastVrij427="","",Data_NaamPersoonVastVrij427)</f>
        <v/>
      </c>
      <c r="BB450" s="41"/>
      <c r="BC450" s="41"/>
      <c r="BD450" s="83" t="str">
        <f>IF(Data_BeeindigingsdatumVastVrij427="","",Data_BeeindigingsdatumVastVrij427)</f>
        <v/>
      </c>
      <c r="BE450" s="41"/>
      <c r="BF450" s="41"/>
      <c r="BG450" s="82" t="str">
        <f>IF(Data_LoonkostenVastVrij427="","",Data_LoonkostenVastVrij427)</f>
        <v/>
      </c>
      <c r="BH450" s="41"/>
      <c r="BI450" s="76" t="str">
        <f>IF(Data_PersoonAanUitVastVrij427=-1,"v","")</f>
        <v/>
      </c>
      <c r="BJ450" s="41"/>
      <c r="BK450" s="76" t="s">
        <v>160</v>
      </c>
      <c r="BL450" s="41"/>
      <c r="BM450" s="41"/>
      <c r="BN450" s="41"/>
      <c r="BO450" s="41"/>
      <c r="BP450" s="41">
        <f t="shared" si="51"/>
        <v>0</v>
      </c>
      <c r="BQ450" s="77">
        <f t="shared" si="52"/>
        <v>0</v>
      </c>
      <c r="BS450" s="81" t="str">
        <f>IF(Data_NaamPersoonVastOntslag427="","",Data_NaamPersoonVastOntslag427)</f>
        <v/>
      </c>
      <c r="BV450" s="83" t="str">
        <f>IF(Data_BeeindigingsdatumVastOntslag427="","",Data_BeeindigingsdatumVastOntslag427)</f>
        <v/>
      </c>
      <c r="BY450" s="82" t="str">
        <f>IF(Data_LoonkostenVastOntslag427="","",Data_LoonkostenVastOntslag427)</f>
        <v/>
      </c>
      <c r="CA450" s="76" t="str">
        <f>IF(Data_PersoonAanUitVastOntslag427=-1,"v","")</f>
        <v/>
      </c>
      <c r="CB450" s="41"/>
      <c r="CC450" s="76" t="s">
        <v>160</v>
      </c>
      <c r="CD450" s="41"/>
      <c r="CE450" s="41"/>
      <c r="CF450" s="41"/>
      <c r="CG450" s="41"/>
      <c r="CH450" s="41">
        <f t="shared" si="55"/>
        <v>0</v>
      </c>
      <c r="CI450" s="41">
        <f t="shared" si="53"/>
        <v>0</v>
      </c>
    </row>
    <row r="451" spans="8:87" x14ac:dyDescent="0.25">
      <c r="H451" s="81" t="str">
        <f>IF(Data_NaamPersoonNatVerloop428="","",Data_NaamPersoonNatVerloop428)</f>
        <v/>
      </c>
      <c r="I451" s="41"/>
      <c r="J451" s="41"/>
      <c r="K451" s="83" t="str">
        <f>IF(Data_BeeindigingsdatumNatVerloop428="","",Data_BeeindigingsdatumNatVerloop428)</f>
        <v/>
      </c>
      <c r="L451" s="41"/>
      <c r="M451" s="41"/>
      <c r="N451" s="82" t="str">
        <f>IF(Data_LoonkostenNatVerloop428="","",Data_LoonkostenNatVerloop428)</f>
        <v/>
      </c>
      <c r="O451" s="41"/>
      <c r="P451" s="276" t="s">
        <v>160</v>
      </c>
      <c r="Q451" s="41"/>
      <c r="R451" s="76" t="s">
        <v>160</v>
      </c>
      <c r="S451" s="41"/>
      <c r="T451" s="41"/>
      <c r="U451" s="41"/>
      <c r="V451" s="41"/>
      <c r="W451" s="41">
        <f t="shared" si="48"/>
        <v>0</v>
      </c>
      <c r="X451" s="77" t="str">
        <f t="shared" si="54"/>
        <v/>
      </c>
      <c r="AG451" s="81" t="str">
        <f>IF(Data_NaamPersoonTijd428="","",Data_NaamPersoonTijd428)</f>
        <v/>
      </c>
      <c r="AH451" s="41"/>
      <c r="AI451" s="41"/>
      <c r="AJ451" s="83" t="str">
        <f>IF(Data_BeeindigingsdatumTijd428="","",Data_BeeindigingsdatumTijd428)</f>
        <v/>
      </c>
      <c r="AK451" s="41"/>
      <c r="AL451" s="41"/>
      <c r="AM451" s="82" t="str">
        <f>IF(Data_LoonkostenTijd428="","",Data_LoonkostenTijd428)</f>
        <v/>
      </c>
      <c r="AN451" s="41"/>
      <c r="AO451" s="276" t="str">
        <f>IF(Data_PersoonAanUitTijd428=-1,"v","")</f>
        <v/>
      </c>
      <c r="AP451" s="41"/>
      <c r="AQ451" s="76" t="s">
        <v>160</v>
      </c>
      <c r="AR451" s="41"/>
      <c r="AS451" s="41"/>
      <c r="AT451" s="41"/>
      <c r="AU451" s="41"/>
      <c r="AV451" s="41">
        <f t="shared" si="49"/>
        <v>0</v>
      </c>
      <c r="AW451" s="77">
        <f t="shared" si="50"/>
        <v>0</v>
      </c>
      <c r="AX451" s="41"/>
      <c r="AY451" s="41"/>
      <c r="AZ451" s="41"/>
      <c r="BA451" s="81" t="str">
        <f>IF(Data_NaamPersoonVastVrij428="","",Data_NaamPersoonVastVrij428)</f>
        <v/>
      </c>
      <c r="BB451" s="41"/>
      <c r="BC451" s="41"/>
      <c r="BD451" s="83" t="str">
        <f>IF(Data_BeeindigingsdatumVastVrij428="","",Data_BeeindigingsdatumVastVrij428)</f>
        <v/>
      </c>
      <c r="BE451" s="41"/>
      <c r="BF451" s="41"/>
      <c r="BG451" s="82" t="str">
        <f>IF(Data_LoonkostenVastVrij428="","",Data_LoonkostenVastVrij428)</f>
        <v/>
      </c>
      <c r="BH451" s="41"/>
      <c r="BI451" s="76" t="str">
        <f>IF(Data_PersoonAanUitVastVrij428=-1,"v","")</f>
        <v/>
      </c>
      <c r="BJ451" s="41"/>
      <c r="BK451" s="76" t="s">
        <v>160</v>
      </c>
      <c r="BL451" s="41"/>
      <c r="BM451" s="41"/>
      <c r="BN451" s="41"/>
      <c r="BO451" s="41"/>
      <c r="BP451" s="41">
        <f t="shared" si="51"/>
        <v>0</v>
      </c>
      <c r="BQ451" s="77">
        <f t="shared" si="52"/>
        <v>0</v>
      </c>
      <c r="BS451" s="81" t="str">
        <f>IF(Data_NaamPersoonVastOntslag428="","",Data_NaamPersoonVastOntslag428)</f>
        <v/>
      </c>
      <c r="BV451" s="83" t="str">
        <f>IF(Data_BeeindigingsdatumVastOntslag428="","",Data_BeeindigingsdatumVastOntslag428)</f>
        <v/>
      </c>
      <c r="BY451" s="82" t="str">
        <f>IF(Data_LoonkostenVastOntslag428="","",Data_LoonkostenVastOntslag428)</f>
        <v/>
      </c>
      <c r="CA451" s="76" t="str">
        <f>IF(Data_PersoonAanUitVastOntslag428=-1,"v","")</f>
        <v/>
      </c>
      <c r="CB451" s="41"/>
      <c r="CC451" s="76" t="s">
        <v>160</v>
      </c>
      <c r="CD451" s="41"/>
      <c r="CE451" s="41"/>
      <c r="CF451" s="41"/>
      <c r="CG451" s="41"/>
      <c r="CH451" s="41">
        <f t="shared" si="55"/>
        <v>0</v>
      </c>
      <c r="CI451" s="41">
        <f t="shared" si="53"/>
        <v>0</v>
      </c>
    </row>
    <row r="452" spans="8:87" x14ac:dyDescent="0.25">
      <c r="H452" s="81" t="str">
        <f>IF(Data_NaamPersoonNatVerloop429="","",Data_NaamPersoonNatVerloop429)</f>
        <v/>
      </c>
      <c r="I452" s="41"/>
      <c r="J452" s="41"/>
      <c r="K452" s="83" t="str">
        <f>IF(Data_BeeindigingsdatumNatVerloop429="","",Data_BeeindigingsdatumNatVerloop429)</f>
        <v/>
      </c>
      <c r="L452" s="41"/>
      <c r="M452" s="41"/>
      <c r="N452" s="82" t="str">
        <f>IF(Data_LoonkostenNatVerloop429="","",Data_LoonkostenNatVerloop429)</f>
        <v/>
      </c>
      <c r="O452" s="41"/>
      <c r="P452" s="276" t="s">
        <v>160</v>
      </c>
      <c r="Q452" s="41"/>
      <c r="R452" s="76" t="s">
        <v>160</v>
      </c>
      <c r="S452" s="41"/>
      <c r="T452" s="41"/>
      <c r="U452" s="41"/>
      <c r="V452" s="41"/>
      <c r="W452" s="41">
        <f t="shared" si="48"/>
        <v>0</v>
      </c>
      <c r="X452" s="77" t="str">
        <f t="shared" si="54"/>
        <v/>
      </c>
      <c r="AG452" s="81" t="str">
        <f>IF(Data_NaamPersoonTijd429="","",Data_NaamPersoonTijd429)</f>
        <v/>
      </c>
      <c r="AH452" s="41"/>
      <c r="AI452" s="41"/>
      <c r="AJ452" s="83" t="str">
        <f>IF(Data_BeeindigingsdatumTijd429="","",Data_BeeindigingsdatumTijd429)</f>
        <v/>
      </c>
      <c r="AK452" s="41"/>
      <c r="AL452" s="41"/>
      <c r="AM452" s="82" t="str">
        <f>IF(Data_LoonkostenTijd429="","",Data_LoonkostenTijd429)</f>
        <v/>
      </c>
      <c r="AN452" s="41"/>
      <c r="AO452" s="276" t="str">
        <f>IF(Data_PersoonAanUitTijd429=-1,"v","")</f>
        <v/>
      </c>
      <c r="AP452" s="41"/>
      <c r="AQ452" s="76" t="s">
        <v>160</v>
      </c>
      <c r="AR452" s="41"/>
      <c r="AS452" s="41"/>
      <c r="AT452" s="41"/>
      <c r="AU452" s="41"/>
      <c r="AV452" s="41">
        <f t="shared" si="49"/>
        <v>0</v>
      </c>
      <c r="AW452" s="77">
        <f t="shared" si="50"/>
        <v>0</v>
      </c>
      <c r="AX452" s="41"/>
      <c r="AY452" s="41"/>
      <c r="AZ452" s="41"/>
      <c r="BA452" s="81" t="str">
        <f>IF(Data_NaamPersoonVastVrij429="","",Data_NaamPersoonVastVrij429)</f>
        <v/>
      </c>
      <c r="BB452" s="41"/>
      <c r="BC452" s="41"/>
      <c r="BD452" s="83" t="str">
        <f>IF(Data_BeeindigingsdatumVastVrij429="","",Data_BeeindigingsdatumVastVrij429)</f>
        <v/>
      </c>
      <c r="BE452" s="41"/>
      <c r="BF452" s="41"/>
      <c r="BG452" s="82" t="str">
        <f>IF(Data_LoonkostenVastVrij429="","",Data_LoonkostenVastVrij429)</f>
        <v/>
      </c>
      <c r="BH452" s="41"/>
      <c r="BI452" s="76" t="str">
        <f>IF(Data_PersoonAanUitVastVrij429=-1,"v","")</f>
        <v/>
      </c>
      <c r="BJ452" s="41"/>
      <c r="BK452" s="76" t="s">
        <v>160</v>
      </c>
      <c r="BL452" s="41"/>
      <c r="BM452" s="41"/>
      <c r="BN452" s="41"/>
      <c r="BO452" s="41"/>
      <c r="BP452" s="41">
        <f t="shared" si="51"/>
        <v>0</v>
      </c>
      <c r="BQ452" s="77">
        <f t="shared" si="52"/>
        <v>0</v>
      </c>
      <c r="BS452" s="81" t="str">
        <f>IF(Data_NaamPersoonVastOntslag429="","",Data_NaamPersoonVastOntslag429)</f>
        <v/>
      </c>
      <c r="BV452" s="83" t="str">
        <f>IF(Data_BeeindigingsdatumVastOntslag429="","",Data_BeeindigingsdatumVastOntslag429)</f>
        <v/>
      </c>
      <c r="BY452" s="82" t="str">
        <f>IF(Data_LoonkostenVastOntslag429="","",Data_LoonkostenVastOntslag429)</f>
        <v/>
      </c>
      <c r="CA452" s="76" t="str">
        <f>IF(Data_PersoonAanUitVastOntslag429=-1,"v","")</f>
        <v/>
      </c>
      <c r="CB452" s="41"/>
      <c r="CC452" s="76" t="s">
        <v>160</v>
      </c>
      <c r="CD452" s="41"/>
      <c r="CE452" s="41"/>
      <c r="CF452" s="41"/>
      <c r="CG452" s="41"/>
      <c r="CH452" s="41">
        <f t="shared" si="55"/>
        <v>0</v>
      </c>
      <c r="CI452" s="41">
        <f t="shared" si="53"/>
        <v>0</v>
      </c>
    </row>
    <row r="453" spans="8:87" x14ac:dyDescent="0.25">
      <c r="H453" s="81" t="str">
        <f>IF(Data_NaamPersoonNatVerloop430="","",Data_NaamPersoonNatVerloop430)</f>
        <v/>
      </c>
      <c r="I453" s="41"/>
      <c r="J453" s="41"/>
      <c r="K453" s="83" t="str">
        <f>IF(Data_BeeindigingsdatumNatVerloop430="","",Data_BeeindigingsdatumNatVerloop430)</f>
        <v/>
      </c>
      <c r="L453" s="41"/>
      <c r="M453" s="41"/>
      <c r="N453" s="82" t="str">
        <f>IF(Data_LoonkostenNatVerloop430="","",Data_LoonkostenNatVerloop430)</f>
        <v/>
      </c>
      <c r="O453" s="41"/>
      <c r="P453" s="276" t="s">
        <v>160</v>
      </c>
      <c r="Q453" s="41"/>
      <c r="R453" s="76" t="s">
        <v>160</v>
      </c>
      <c r="S453" s="41"/>
      <c r="T453" s="41"/>
      <c r="U453" s="41"/>
      <c r="V453" s="41"/>
      <c r="W453" s="41">
        <f t="shared" si="48"/>
        <v>0</v>
      </c>
      <c r="X453" s="77" t="str">
        <f t="shared" si="54"/>
        <v/>
      </c>
      <c r="AG453" s="81" t="str">
        <f>IF(Data_NaamPersoonTijd430="","",Data_NaamPersoonTijd430)</f>
        <v/>
      </c>
      <c r="AH453" s="41"/>
      <c r="AI453" s="41"/>
      <c r="AJ453" s="83" t="str">
        <f>IF(Data_BeeindigingsdatumTijd430="","",Data_BeeindigingsdatumTijd430)</f>
        <v/>
      </c>
      <c r="AK453" s="41"/>
      <c r="AL453" s="41"/>
      <c r="AM453" s="82" t="str">
        <f>IF(Data_LoonkostenTijd430="","",Data_LoonkostenTijd430)</f>
        <v/>
      </c>
      <c r="AN453" s="41"/>
      <c r="AO453" s="276" t="str">
        <f>IF(Data_PersoonAanUitTijd430=-1,"v","")</f>
        <v/>
      </c>
      <c r="AP453" s="41"/>
      <c r="AQ453" s="76" t="s">
        <v>160</v>
      </c>
      <c r="AR453" s="41"/>
      <c r="AS453" s="41"/>
      <c r="AT453" s="41"/>
      <c r="AU453" s="41"/>
      <c r="AV453" s="41">
        <f t="shared" si="49"/>
        <v>0</v>
      </c>
      <c r="AW453" s="77">
        <f t="shared" si="50"/>
        <v>0</v>
      </c>
      <c r="AX453" s="41"/>
      <c r="AY453" s="41"/>
      <c r="AZ453" s="41"/>
      <c r="BA453" s="81" t="str">
        <f>IF(Data_NaamPersoonVastVrij430="","",Data_NaamPersoonVastVrij430)</f>
        <v/>
      </c>
      <c r="BB453" s="41"/>
      <c r="BC453" s="41"/>
      <c r="BD453" s="83" t="str">
        <f>IF(Data_BeeindigingsdatumVastVrij430="","",Data_BeeindigingsdatumVastVrij430)</f>
        <v/>
      </c>
      <c r="BE453" s="41"/>
      <c r="BF453" s="41"/>
      <c r="BG453" s="82" t="str">
        <f>IF(Data_LoonkostenVastVrij430="","",Data_LoonkostenVastVrij430)</f>
        <v/>
      </c>
      <c r="BH453" s="41"/>
      <c r="BI453" s="76" t="str">
        <f>IF(Data_PersoonAanUitVastVrij430=-1,"v","")</f>
        <v/>
      </c>
      <c r="BJ453" s="41"/>
      <c r="BK453" s="76" t="s">
        <v>160</v>
      </c>
      <c r="BL453" s="41"/>
      <c r="BM453" s="41"/>
      <c r="BN453" s="41"/>
      <c r="BO453" s="41"/>
      <c r="BP453" s="41">
        <f t="shared" si="51"/>
        <v>0</v>
      </c>
      <c r="BQ453" s="77">
        <f t="shared" si="52"/>
        <v>0</v>
      </c>
      <c r="BS453" s="81" t="str">
        <f>IF(Data_NaamPersoonVastOntslag430="","",Data_NaamPersoonVastOntslag430)</f>
        <v/>
      </c>
      <c r="BV453" s="83" t="str">
        <f>IF(Data_BeeindigingsdatumVastOntslag430="","",Data_BeeindigingsdatumVastOntslag430)</f>
        <v/>
      </c>
      <c r="BY453" s="82" t="str">
        <f>IF(Data_LoonkostenVastOntslag430="","",Data_LoonkostenVastOntslag430)</f>
        <v/>
      </c>
      <c r="CA453" s="76" t="str">
        <f>IF(Data_PersoonAanUitVastOntslag430=-1,"v","")</f>
        <v/>
      </c>
      <c r="CB453" s="41"/>
      <c r="CC453" s="76" t="s">
        <v>160</v>
      </c>
      <c r="CD453" s="41"/>
      <c r="CE453" s="41"/>
      <c r="CF453" s="41"/>
      <c r="CG453" s="41"/>
      <c r="CH453" s="41">
        <f t="shared" si="55"/>
        <v>0</v>
      </c>
      <c r="CI453" s="41">
        <f t="shared" si="53"/>
        <v>0</v>
      </c>
    </row>
    <row r="454" spans="8:87" x14ac:dyDescent="0.25">
      <c r="H454" s="81" t="str">
        <f>IF(Data_NaamPersoonNatVerloop431="","",Data_NaamPersoonNatVerloop431)</f>
        <v/>
      </c>
      <c r="I454" s="41"/>
      <c r="J454" s="41"/>
      <c r="K454" s="83" t="str">
        <f>IF(Data_BeeindigingsdatumNatVerloop431="","",Data_BeeindigingsdatumNatVerloop431)</f>
        <v/>
      </c>
      <c r="L454" s="41"/>
      <c r="M454" s="41"/>
      <c r="N454" s="82" t="str">
        <f>IF(Data_LoonkostenNatVerloop431="","",Data_LoonkostenNatVerloop431)</f>
        <v/>
      </c>
      <c r="O454" s="41"/>
      <c r="P454" s="276" t="s">
        <v>160</v>
      </c>
      <c r="Q454" s="41"/>
      <c r="R454" s="76" t="s">
        <v>160</v>
      </c>
      <c r="S454" s="41"/>
      <c r="T454" s="41"/>
      <c r="U454" s="41"/>
      <c r="V454" s="41"/>
      <c r="W454" s="41">
        <f t="shared" si="48"/>
        <v>0</v>
      </c>
      <c r="X454" s="77" t="str">
        <f t="shared" si="54"/>
        <v/>
      </c>
      <c r="AG454" s="81" t="str">
        <f>IF(Data_NaamPersoonTijd431="","",Data_NaamPersoonTijd431)</f>
        <v/>
      </c>
      <c r="AH454" s="41"/>
      <c r="AI454" s="41"/>
      <c r="AJ454" s="83" t="str">
        <f>IF(Data_BeeindigingsdatumTijd431="","",Data_BeeindigingsdatumTijd431)</f>
        <v/>
      </c>
      <c r="AK454" s="41"/>
      <c r="AL454" s="41"/>
      <c r="AM454" s="82" t="str">
        <f>IF(Data_LoonkostenTijd431="","",Data_LoonkostenTijd431)</f>
        <v/>
      </c>
      <c r="AN454" s="41"/>
      <c r="AO454" s="276" t="str">
        <f>IF(Data_PersoonAanUitTijd431=-1,"v","")</f>
        <v/>
      </c>
      <c r="AP454" s="41"/>
      <c r="AQ454" s="76" t="s">
        <v>160</v>
      </c>
      <c r="AR454" s="41"/>
      <c r="AS454" s="41"/>
      <c r="AT454" s="41"/>
      <c r="AU454" s="41"/>
      <c r="AV454" s="41">
        <f t="shared" si="49"/>
        <v>0</v>
      </c>
      <c r="AW454" s="77">
        <f t="shared" si="50"/>
        <v>0</v>
      </c>
      <c r="AX454" s="41"/>
      <c r="AY454" s="41"/>
      <c r="AZ454" s="41"/>
      <c r="BA454" s="81" t="str">
        <f>IF(Data_NaamPersoonVastVrij431="","",Data_NaamPersoonVastVrij431)</f>
        <v/>
      </c>
      <c r="BB454" s="41"/>
      <c r="BC454" s="41"/>
      <c r="BD454" s="83" t="str">
        <f>IF(Data_BeeindigingsdatumVastVrij431="","",Data_BeeindigingsdatumVastVrij431)</f>
        <v/>
      </c>
      <c r="BE454" s="41"/>
      <c r="BF454" s="41"/>
      <c r="BG454" s="82" t="str">
        <f>IF(Data_LoonkostenVastVrij431="","",Data_LoonkostenVastVrij431)</f>
        <v/>
      </c>
      <c r="BH454" s="41"/>
      <c r="BI454" s="76" t="str">
        <f>IF(Data_PersoonAanUitVastVrij431=-1,"v","")</f>
        <v/>
      </c>
      <c r="BJ454" s="41"/>
      <c r="BK454" s="76" t="s">
        <v>160</v>
      </c>
      <c r="BL454" s="41"/>
      <c r="BM454" s="41"/>
      <c r="BN454" s="41"/>
      <c r="BO454" s="41"/>
      <c r="BP454" s="41">
        <f t="shared" si="51"/>
        <v>0</v>
      </c>
      <c r="BQ454" s="77">
        <f t="shared" si="52"/>
        <v>0</v>
      </c>
      <c r="BS454" s="81" t="str">
        <f>IF(Data_NaamPersoonVastOntslag431="","",Data_NaamPersoonVastOntslag431)</f>
        <v/>
      </c>
      <c r="BV454" s="83" t="str">
        <f>IF(Data_BeeindigingsdatumVastOntslag431="","",Data_BeeindigingsdatumVastOntslag431)</f>
        <v/>
      </c>
      <c r="BY454" s="82" t="str">
        <f>IF(Data_LoonkostenVastOntslag431="","",Data_LoonkostenVastOntslag431)</f>
        <v/>
      </c>
      <c r="CA454" s="76" t="str">
        <f>IF(Data_PersoonAanUitVastOntslag431=-1,"v","")</f>
        <v/>
      </c>
      <c r="CB454" s="41"/>
      <c r="CC454" s="76" t="s">
        <v>160</v>
      </c>
      <c r="CD454" s="41"/>
      <c r="CE454" s="41"/>
      <c r="CF454" s="41"/>
      <c r="CG454" s="41"/>
      <c r="CH454" s="41">
        <f t="shared" si="55"/>
        <v>0</v>
      </c>
      <c r="CI454" s="41">
        <f t="shared" si="53"/>
        <v>0</v>
      </c>
    </row>
    <row r="455" spans="8:87" x14ac:dyDescent="0.25">
      <c r="H455" s="81" t="str">
        <f>IF(Data_NaamPersoonNatVerloop432="","",Data_NaamPersoonNatVerloop432)</f>
        <v/>
      </c>
      <c r="I455" s="41"/>
      <c r="J455" s="41"/>
      <c r="K455" s="83" t="str">
        <f>IF(Data_BeeindigingsdatumNatVerloop432="","",Data_BeeindigingsdatumNatVerloop432)</f>
        <v/>
      </c>
      <c r="L455" s="41"/>
      <c r="M455" s="41"/>
      <c r="N455" s="82" t="str">
        <f>IF(Data_LoonkostenNatVerloop432="","",Data_LoonkostenNatVerloop432)</f>
        <v/>
      </c>
      <c r="O455" s="41"/>
      <c r="P455" s="276" t="s">
        <v>160</v>
      </c>
      <c r="Q455" s="41"/>
      <c r="R455" s="76" t="s">
        <v>160</v>
      </c>
      <c r="S455" s="41"/>
      <c r="T455" s="41"/>
      <c r="U455" s="41"/>
      <c r="V455" s="41"/>
      <c r="W455" s="41">
        <f t="shared" si="48"/>
        <v>0</v>
      </c>
      <c r="X455" s="77" t="str">
        <f t="shared" si="54"/>
        <v/>
      </c>
      <c r="AG455" s="81" t="str">
        <f>IF(Data_NaamPersoonTijd432="","",Data_NaamPersoonTijd432)</f>
        <v/>
      </c>
      <c r="AH455" s="41"/>
      <c r="AI455" s="41"/>
      <c r="AJ455" s="83" t="str">
        <f>IF(Data_BeeindigingsdatumTijd432="","",Data_BeeindigingsdatumTijd432)</f>
        <v/>
      </c>
      <c r="AK455" s="41"/>
      <c r="AL455" s="41"/>
      <c r="AM455" s="82" t="str">
        <f>IF(Data_LoonkostenTijd432="","",Data_LoonkostenTijd432)</f>
        <v/>
      </c>
      <c r="AN455" s="41"/>
      <c r="AO455" s="276" t="str">
        <f>IF(Data_PersoonAanUitTijd432=-1,"v","")</f>
        <v/>
      </c>
      <c r="AP455" s="41"/>
      <c r="AQ455" s="76" t="s">
        <v>160</v>
      </c>
      <c r="AR455" s="41"/>
      <c r="AS455" s="41"/>
      <c r="AT455" s="41"/>
      <c r="AU455" s="41"/>
      <c r="AV455" s="41">
        <f t="shared" si="49"/>
        <v>0</v>
      </c>
      <c r="AW455" s="77">
        <f t="shared" si="50"/>
        <v>0</v>
      </c>
      <c r="AX455" s="41"/>
      <c r="AY455" s="41"/>
      <c r="AZ455" s="41"/>
      <c r="BA455" s="81" t="str">
        <f>IF(Data_NaamPersoonVastVrij432="","",Data_NaamPersoonVastVrij432)</f>
        <v/>
      </c>
      <c r="BB455" s="41"/>
      <c r="BC455" s="41"/>
      <c r="BD455" s="83" t="str">
        <f>IF(Data_BeeindigingsdatumVastVrij432="","",Data_BeeindigingsdatumVastVrij432)</f>
        <v/>
      </c>
      <c r="BE455" s="41"/>
      <c r="BF455" s="41"/>
      <c r="BG455" s="82" t="str">
        <f>IF(Data_LoonkostenVastVrij432="","",Data_LoonkostenVastVrij432)</f>
        <v/>
      </c>
      <c r="BH455" s="41"/>
      <c r="BI455" s="76" t="str">
        <f>IF(Data_PersoonAanUitVastVrij432=-1,"v","")</f>
        <v/>
      </c>
      <c r="BJ455" s="41"/>
      <c r="BK455" s="76" t="s">
        <v>160</v>
      </c>
      <c r="BL455" s="41"/>
      <c r="BM455" s="41"/>
      <c r="BN455" s="41"/>
      <c r="BO455" s="41"/>
      <c r="BP455" s="41">
        <f t="shared" si="51"/>
        <v>0</v>
      </c>
      <c r="BQ455" s="77">
        <f t="shared" si="52"/>
        <v>0</v>
      </c>
      <c r="BS455" s="81" t="str">
        <f>IF(Data_NaamPersoonVastOntslag432="","",Data_NaamPersoonVastOntslag432)</f>
        <v/>
      </c>
      <c r="BV455" s="83" t="str">
        <f>IF(Data_BeeindigingsdatumVastOntslag432="","",Data_BeeindigingsdatumVastOntslag432)</f>
        <v/>
      </c>
      <c r="BY455" s="82" t="str">
        <f>IF(Data_LoonkostenVastOntslag432="","",Data_LoonkostenVastOntslag432)</f>
        <v/>
      </c>
      <c r="CA455" s="76" t="str">
        <f>IF(Data_PersoonAanUitVastOntslag432=-1,"v","")</f>
        <v/>
      </c>
      <c r="CB455" s="41"/>
      <c r="CC455" s="76" t="s">
        <v>160</v>
      </c>
      <c r="CD455" s="41"/>
      <c r="CE455" s="41"/>
      <c r="CF455" s="41"/>
      <c r="CG455" s="41"/>
      <c r="CH455" s="41">
        <f t="shared" si="55"/>
        <v>0</v>
      </c>
      <c r="CI455" s="41">
        <f t="shared" si="53"/>
        <v>0</v>
      </c>
    </row>
    <row r="456" spans="8:87" x14ac:dyDescent="0.25">
      <c r="H456" s="81" t="str">
        <f>IF(Data_NaamPersoonNatVerloop433="","",Data_NaamPersoonNatVerloop433)</f>
        <v/>
      </c>
      <c r="I456" s="41"/>
      <c r="J456" s="41"/>
      <c r="K456" s="83" t="str">
        <f>IF(Data_BeeindigingsdatumNatVerloop433="","",Data_BeeindigingsdatumNatVerloop433)</f>
        <v/>
      </c>
      <c r="L456" s="41"/>
      <c r="M456" s="41"/>
      <c r="N456" s="82" t="str">
        <f>IF(Data_LoonkostenNatVerloop433="","",Data_LoonkostenNatVerloop433)</f>
        <v/>
      </c>
      <c r="O456" s="41"/>
      <c r="P456" s="276" t="s">
        <v>160</v>
      </c>
      <c r="Q456" s="41"/>
      <c r="R456" s="76" t="s">
        <v>160</v>
      </c>
      <c r="S456" s="41"/>
      <c r="T456" s="41"/>
      <c r="U456" s="41"/>
      <c r="V456" s="41"/>
      <c r="W456" s="41">
        <f t="shared" si="48"/>
        <v>0</v>
      </c>
      <c r="X456" s="77" t="str">
        <f t="shared" si="54"/>
        <v/>
      </c>
      <c r="AG456" s="81" t="str">
        <f>IF(Data_NaamPersoonTijd433="","",Data_NaamPersoonTijd433)</f>
        <v/>
      </c>
      <c r="AH456" s="41"/>
      <c r="AI456" s="41"/>
      <c r="AJ456" s="83" t="str">
        <f>IF(Data_BeeindigingsdatumTijd433="","",Data_BeeindigingsdatumTijd433)</f>
        <v/>
      </c>
      <c r="AK456" s="41"/>
      <c r="AL456" s="41"/>
      <c r="AM456" s="82" t="str">
        <f>IF(Data_LoonkostenTijd433="","",Data_LoonkostenTijd433)</f>
        <v/>
      </c>
      <c r="AN456" s="41"/>
      <c r="AO456" s="276" t="str">
        <f>IF(Data_PersoonAanUitTijd433=-1,"v","")</f>
        <v/>
      </c>
      <c r="AP456" s="41"/>
      <c r="AQ456" s="76" t="s">
        <v>160</v>
      </c>
      <c r="AR456" s="41"/>
      <c r="AS456" s="41"/>
      <c r="AT456" s="41"/>
      <c r="AU456" s="41"/>
      <c r="AV456" s="41">
        <f t="shared" si="49"/>
        <v>0</v>
      </c>
      <c r="AW456" s="77">
        <f t="shared" si="50"/>
        <v>0</v>
      </c>
      <c r="AX456" s="41"/>
      <c r="AY456" s="41"/>
      <c r="AZ456" s="41"/>
      <c r="BA456" s="81" t="str">
        <f>IF(Data_NaamPersoonVastVrij433="","",Data_NaamPersoonVastVrij433)</f>
        <v/>
      </c>
      <c r="BB456" s="41"/>
      <c r="BC456" s="41"/>
      <c r="BD456" s="83" t="str">
        <f>IF(Data_BeeindigingsdatumVastVrij433="","",Data_BeeindigingsdatumVastVrij433)</f>
        <v/>
      </c>
      <c r="BE456" s="41"/>
      <c r="BF456" s="41"/>
      <c r="BG456" s="82" t="str">
        <f>IF(Data_LoonkostenVastVrij433="","",Data_LoonkostenVastVrij433)</f>
        <v/>
      </c>
      <c r="BH456" s="41"/>
      <c r="BI456" s="76" t="str">
        <f>IF(Data_PersoonAanUitVastVrij433=-1,"v","")</f>
        <v/>
      </c>
      <c r="BJ456" s="41"/>
      <c r="BK456" s="76" t="s">
        <v>160</v>
      </c>
      <c r="BL456" s="41"/>
      <c r="BM456" s="41"/>
      <c r="BN456" s="41"/>
      <c r="BO456" s="41"/>
      <c r="BP456" s="41">
        <f t="shared" si="51"/>
        <v>0</v>
      </c>
      <c r="BQ456" s="77">
        <f t="shared" si="52"/>
        <v>0</v>
      </c>
      <c r="BS456" s="81" t="str">
        <f>IF(Data_NaamPersoonVastOntslag433="","",Data_NaamPersoonVastOntslag433)</f>
        <v/>
      </c>
      <c r="BV456" s="83" t="str">
        <f>IF(Data_BeeindigingsdatumVastOntslag433="","",Data_BeeindigingsdatumVastOntslag433)</f>
        <v/>
      </c>
      <c r="BY456" s="82" t="str">
        <f>IF(Data_LoonkostenVastOntslag433="","",Data_LoonkostenVastOntslag433)</f>
        <v/>
      </c>
      <c r="CA456" s="76" t="str">
        <f>IF(Data_PersoonAanUitVastOntslag433=-1,"v","")</f>
        <v/>
      </c>
      <c r="CB456" s="41"/>
      <c r="CC456" s="76" t="s">
        <v>160</v>
      </c>
      <c r="CD456" s="41"/>
      <c r="CE456" s="41"/>
      <c r="CF456" s="41"/>
      <c r="CG456" s="41"/>
      <c r="CH456" s="41">
        <f t="shared" si="55"/>
        <v>0</v>
      </c>
      <c r="CI456" s="41">
        <f t="shared" si="53"/>
        <v>0</v>
      </c>
    </row>
    <row r="457" spans="8:87" x14ac:dyDescent="0.25">
      <c r="H457" s="81" t="str">
        <f>IF(Data_NaamPersoonNatVerloop434="","",Data_NaamPersoonNatVerloop434)</f>
        <v/>
      </c>
      <c r="I457" s="41"/>
      <c r="J457" s="41"/>
      <c r="K457" s="83" t="str">
        <f>IF(Data_BeeindigingsdatumNatVerloop434="","",Data_BeeindigingsdatumNatVerloop434)</f>
        <v/>
      </c>
      <c r="L457" s="41"/>
      <c r="M457" s="41"/>
      <c r="N457" s="82" t="str">
        <f>IF(Data_LoonkostenNatVerloop434="","",Data_LoonkostenNatVerloop434)</f>
        <v/>
      </c>
      <c r="O457" s="41"/>
      <c r="P457" s="276" t="s">
        <v>160</v>
      </c>
      <c r="Q457" s="41"/>
      <c r="R457" s="76" t="s">
        <v>160</v>
      </c>
      <c r="S457" s="41"/>
      <c r="T457" s="41"/>
      <c r="U457" s="41"/>
      <c r="V457" s="41"/>
      <c r="W457" s="41">
        <f t="shared" si="48"/>
        <v>0</v>
      </c>
      <c r="X457" s="77" t="str">
        <f t="shared" si="54"/>
        <v/>
      </c>
      <c r="AG457" s="81" t="str">
        <f>IF(Data_NaamPersoonTijd434="","",Data_NaamPersoonTijd434)</f>
        <v/>
      </c>
      <c r="AH457" s="41"/>
      <c r="AI457" s="41"/>
      <c r="AJ457" s="83" t="str">
        <f>IF(Data_BeeindigingsdatumTijd434="","",Data_BeeindigingsdatumTijd434)</f>
        <v/>
      </c>
      <c r="AK457" s="41"/>
      <c r="AL457" s="41"/>
      <c r="AM457" s="82" t="str">
        <f>IF(Data_LoonkostenTijd434="","",Data_LoonkostenTijd434)</f>
        <v/>
      </c>
      <c r="AN457" s="41"/>
      <c r="AO457" s="276" t="str">
        <f>IF(Data_PersoonAanUitTijd434=-1,"v","")</f>
        <v/>
      </c>
      <c r="AP457" s="41"/>
      <c r="AQ457" s="76" t="s">
        <v>160</v>
      </c>
      <c r="AR457" s="41"/>
      <c r="AS457" s="41"/>
      <c r="AT457" s="41"/>
      <c r="AU457" s="41"/>
      <c r="AV457" s="41">
        <f t="shared" si="49"/>
        <v>0</v>
      </c>
      <c r="AW457" s="77">
        <f t="shared" si="50"/>
        <v>0</v>
      </c>
      <c r="AX457" s="41"/>
      <c r="AY457" s="41"/>
      <c r="AZ457" s="41"/>
      <c r="BA457" s="81" t="str">
        <f>IF(Data_NaamPersoonVastVrij434="","",Data_NaamPersoonVastVrij434)</f>
        <v/>
      </c>
      <c r="BB457" s="41"/>
      <c r="BC457" s="41"/>
      <c r="BD457" s="83" t="str">
        <f>IF(Data_BeeindigingsdatumVastVrij434="","",Data_BeeindigingsdatumVastVrij434)</f>
        <v/>
      </c>
      <c r="BE457" s="41"/>
      <c r="BF457" s="41"/>
      <c r="BG457" s="82" t="str">
        <f>IF(Data_LoonkostenVastVrij434="","",Data_LoonkostenVastVrij434)</f>
        <v/>
      </c>
      <c r="BH457" s="41"/>
      <c r="BI457" s="76" t="str">
        <f>IF(Data_PersoonAanUitVastVrij434=-1,"v","")</f>
        <v/>
      </c>
      <c r="BJ457" s="41"/>
      <c r="BK457" s="76" t="s">
        <v>160</v>
      </c>
      <c r="BL457" s="41"/>
      <c r="BM457" s="41"/>
      <c r="BN457" s="41"/>
      <c r="BO457" s="41"/>
      <c r="BP457" s="41">
        <f t="shared" si="51"/>
        <v>0</v>
      </c>
      <c r="BQ457" s="77">
        <f t="shared" si="52"/>
        <v>0</v>
      </c>
      <c r="BS457" s="81" t="str">
        <f>IF(Data_NaamPersoonVastOntslag434="","",Data_NaamPersoonVastOntslag434)</f>
        <v/>
      </c>
      <c r="BV457" s="83" t="str">
        <f>IF(Data_BeeindigingsdatumVastOntslag434="","",Data_BeeindigingsdatumVastOntslag434)</f>
        <v/>
      </c>
      <c r="BY457" s="82" t="str">
        <f>IF(Data_LoonkostenVastOntslag434="","",Data_LoonkostenVastOntslag434)</f>
        <v/>
      </c>
      <c r="CA457" s="76" t="str">
        <f>IF(Data_PersoonAanUitVastOntslag434=-1,"v","")</f>
        <v/>
      </c>
      <c r="CB457" s="41"/>
      <c r="CC457" s="76" t="s">
        <v>160</v>
      </c>
      <c r="CD457" s="41"/>
      <c r="CE457" s="41"/>
      <c r="CF457" s="41"/>
      <c r="CG457" s="41"/>
      <c r="CH457" s="41">
        <f t="shared" si="55"/>
        <v>0</v>
      </c>
      <c r="CI457" s="41">
        <f t="shared" si="53"/>
        <v>0</v>
      </c>
    </row>
    <row r="458" spans="8:87" x14ac:dyDescent="0.25">
      <c r="H458" s="81" t="str">
        <f>IF(Data_NaamPersoonNatVerloop435="","",Data_NaamPersoonNatVerloop435)</f>
        <v/>
      </c>
      <c r="I458" s="41"/>
      <c r="J458" s="41"/>
      <c r="K458" s="83" t="str">
        <f>IF(Data_BeeindigingsdatumNatVerloop435="","",Data_BeeindigingsdatumNatVerloop435)</f>
        <v/>
      </c>
      <c r="L458" s="41"/>
      <c r="M458" s="41"/>
      <c r="N458" s="82" t="str">
        <f>IF(Data_LoonkostenNatVerloop435="","",Data_LoonkostenNatVerloop435)</f>
        <v/>
      </c>
      <c r="O458" s="41"/>
      <c r="P458" s="276" t="s">
        <v>160</v>
      </c>
      <c r="Q458" s="41"/>
      <c r="R458" s="76" t="s">
        <v>160</v>
      </c>
      <c r="S458" s="41"/>
      <c r="T458" s="41"/>
      <c r="U458" s="41"/>
      <c r="V458" s="41"/>
      <c r="W458" s="41">
        <f t="shared" si="48"/>
        <v>0</v>
      </c>
      <c r="X458" s="77" t="str">
        <f t="shared" si="54"/>
        <v/>
      </c>
      <c r="AG458" s="81" t="str">
        <f>IF(Data_NaamPersoonTijd435="","",Data_NaamPersoonTijd435)</f>
        <v/>
      </c>
      <c r="AH458" s="41"/>
      <c r="AI458" s="41"/>
      <c r="AJ458" s="83" t="str">
        <f>IF(Data_BeeindigingsdatumTijd435="","",Data_BeeindigingsdatumTijd435)</f>
        <v/>
      </c>
      <c r="AK458" s="41"/>
      <c r="AL458" s="41"/>
      <c r="AM458" s="82" t="str">
        <f>IF(Data_LoonkostenTijd435="","",Data_LoonkostenTijd435)</f>
        <v/>
      </c>
      <c r="AN458" s="41"/>
      <c r="AO458" s="276" t="str">
        <f>IF(Data_PersoonAanUitTijd435=-1,"v","")</f>
        <v/>
      </c>
      <c r="AP458" s="41"/>
      <c r="AQ458" s="76" t="s">
        <v>160</v>
      </c>
      <c r="AR458" s="41"/>
      <c r="AS458" s="41"/>
      <c r="AT458" s="41"/>
      <c r="AU458" s="41"/>
      <c r="AV458" s="41">
        <f t="shared" si="49"/>
        <v>0</v>
      </c>
      <c r="AW458" s="77">
        <f t="shared" si="50"/>
        <v>0</v>
      </c>
      <c r="AX458" s="41"/>
      <c r="AY458" s="41"/>
      <c r="AZ458" s="41"/>
      <c r="BA458" s="81" t="str">
        <f>IF(Data_NaamPersoonVastVrij435="","",Data_NaamPersoonVastVrij435)</f>
        <v/>
      </c>
      <c r="BB458" s="41"/>
      <c r="BC458" s="41"/>
      <c r="BD458" s="83" t="str">
        <f>IF(Data_BeeindigingsdatumVastVrij435="","",Data_BeeindigingsdatumVastVrij435)</f>
        <v/>
      </c>
      <c r="BE458" s="41"/>
      <c r="BF458" s="41"/>
      <c r="BG458" s="82" t="str">
        <f>IF(Data_LoonkostenVastVrij435="","",Data_LoonkostenVastVrij435)</f>
        <v/>
      </c>
      <c r="BH458" s="41"/>
      <c r="BI458" s="76" t="str">
        <f>IF(Data_PersoonAanUitVastVrij435=-1,"v","")</f>
        <v/>
      </c>
      <c r="BJ458" s="41"/>
      <c r="BK458" s="76" t="s">
        <v>160</v>
      </c>
      <c r="BL458" s="41"/>
      <c r="BM458" s="41"/>
      <c r="BN458" s="41"/>
      <c r="BO458" s="41"/>
      <c r="BP458" s="41">
        <f t="shared" si="51"/>
        <v>0</v>
      </c>
      <c r="BQ458" s="77">
        <f t="shared" si="52"/>
        <v>0</v>
      </c>
      <c r="BS458" s="81" t="str">
        <f>IF(Data_NaamPersoonVastOntslag435="","",Data_NaamPersoonVastOntslag435)</f>
        <v/>
      </c>
      <c r="BV458" s="83" t="str">
        <f>IF(Data_BeeindigingsdatumVastOntslag435="","",Data_BeeindigingsdatumVastOntslag435)</f>
        <v/>
      </c>
      <c r="BY458" s="82" t="str">
        <f>IF(Data_LoonkostenVastOntslag435="","",Data_LoonkostenVastOntslag435)</f>
        <v/>
      </c>
      <c r="CA458" s="76" t="str">
        <f>IF(Data_PersoonAanUitVastOntslag435=-1,"v","")</f>
        <v/>
      </c>
      <c r="CB458" s="41"/>
      <c r="CC458" s="76" t="s">
        <v>160</v>
      </c>
      <c r="CD458" s="41"/>
      <c r="CE458" s="41"/>
      <c r="CF458" s="41"/>
      <c r="CG458" s="41"/>
      <c r="CH458" s="41">
        <f t="shared" si="55"/>
        <v>0</v>
      </c>
      <c r="CI458" s="41">
        <f t="shared" si="53"/>
        <v>0</v>
      </c>
    </row>
    <row r="459" spans="8:87" x14ac:dyDescent="0.25">
      <c r="H459" s="81" t="str">
        <f>IF(Data_NaamPersoonNatVerloop436="","",Data_NaamPersoonNatVerloop436)</f>
        <v/>
      </c>
      <c r="I459" s="41"/>
      <c r="J459" s="41"/>
      <c r="K459" s="83" t="str">
        <f>IF(Data_BeeindigingsdatumNatVerloop436="","",Data_BeeindigingsdatumNatVerloop436)</f>
        <v/>
      </c>
      <c r="L459" s="41"/>
      <c r="M459" s="41"/>
      <c r="N459" s="82" t="str">
        <f>IF(Data_LoonkostenNatVerloop436="","",Data_LoonkostenNatVerloop436)</f>
        <v/>
      </c>
      <c r="O459" s="41"/>
      <c r="P459" s="276" t="s">
        <v>160</v>
      </c>
      <c r="Q459" s="41"/>
      <c r="R459" s="76" t="s">
        <v>160</v>
      </c>
      <c r="S459" s="41"/>
      <c r="T459" s="41"/>
      <c r="U459" s="41"/>
      <c r="V459" s="41"/>
      <c r="W459" s="41">
        <f t="shared" si="48"/>
        <v>0</v>
      </c>
      <c r="X459" s="77" t="str">
        <f t="shared" si="54"/>
        <v/>
      </c>
      <c r="AG459" s="81" t="str">
        <f>IF(Data_NaamPersoonTijd436="","",Data_NaamPersoonTijd436)</f>
        <v/>
      </c>
      <c r="AH459" s="41"/>
      <c r="AI459" s="41"/>
      <c r="AJ459" s="83" t="str">
        <f>IF(Data_BeeindigingsdatumTijd436="","",Data_BeeindigingsdatumTijd436)</f>
        <v/>
      </c>
      <c r="AK459" s="41"/>
      <c r="AL459" s="41"/>
      <c r="AM459" s="82" t="str">
        <f>IF(Data_LoonkostenTijd436="","",Data_LoonkostenTijd436)</f>
        <v/>
      </c>
      <c r="AN459" s="41"/>
      <c r="AO459" s="276" t="str">
        <f>IF(Data_PersoonAanUitTijd436=-1,"v","")</f>
        <v/>
      </c>
      <c r="AP459" s="41"/>
      <c r="AQ459" s="76" t="s">
        <v>160</v>
      </c>
      <c r="AR459" s="41"/>
      <c r="AS459" s="41"/>
      <c r="AT459" s="41"/>
      <c r="AU459" s="41"/>
      <c r="AV459" s="41">
        <f t="shared" si="49"/>
        <v>0</v>
      </c>
      <c r="AW459" s="77">
        <f t="shared" si="50"/>
        <v>0</v>
      </c>
      <c r="AX459" s="41"/>
      <c r="AY459" s="41"/>
      <c r="AZ459" s="41"/>
      <c r="BA459" s="81" t="str">
        <f>IF(Data_NaamPersoonVastVrij436="","",Data_NaamPersoonVastVrij436)</f>
        <v/>
      </c>
      <c r="BB459" s="41"/>
      <c r="BC459" s="41"/>
      <c r="BD459" s="83" t="str">
        <f>IF(Data_BeeindigingsdatumVastVrij436="","",Data_BeeindigingsdatumVastVrij436)</f>
        <v/>
      </c>
      <c r="BE459" s="41"/>
      <c r="BF459" s="41"/>
      <c r="BG459" s="82" t="str">
        <f>IF(Data_LoonkostenVastVrij436="","",Data_LoonkostenVastVrij436)</f>
        <v/>
      </c>
      <c r="BH459" s="41"/>
      <c r="BI459" s="76" t="str">
        <f>IF(Data_PersoonAanUitVastVrij436=-1,"v","")</f>
        <v/>
      </c>
      <c r="BJ459" s="41"/>
      <c r="BK459" s="76" t="s">
        <v>160</v>
      </c>
      <c r="BL459" s="41"/>
      <c r="BM459" s="41"/>
      <c r="BN459" s="41"/>
      <c r="BO459" s="41"/>
      <c r="BP459" s="41">
        <f t="shared" si="51"/>
        <v>0</v>
      </c>
      <c r="BQ459" s="77">
        <f t="shared" si="52"/>
        <v>0</v>
      </c>
      <c r="BS459" s="81" t="str">
        <f>IF(Data_NaamPersoonVastOntslag436="","",Data_NaamPersoonVastOntslag436)</f>
        <v/>
      </c>
      <c r="BV459" s="83" t="str">
        <f>IF(Data_BeeindigingsdatumVastOntslag436="","",Data_BeeindigingsdatumVastOntslag436)</f>
        <v/>
      </c>
      <c r="BY459" s="82" t="str">
        <f>IF(Data_LoonkostenVastOntslag436="","",Data_LoonkostenVastOntslag436)</f>
        <v/>
      </c>
      <c r="CA459" s="76" t="str">
        <f>IF(Data_PersoonAanUitVastOntslag436=-1,"v","")</f>
        <v/>
      </c>
      <c r="CB459" s="41"/>
      <c r="CC459" s="76" t="s">
        <v>160</v>
      </c>
      <c r="CD459" s="41"/>
      <c r="CE459" s="41"/>
      <c r="CF459" s="41"/>
      <c r="CG459" s="41"/>
      <c r="CH459" s="41">
        <f t="shared" si="55"/>
        <v>0</v>
      </c>
      <c r="CI459" s="41">
        <f t="shared" si="53"/>
        <v>0</v>
      </c>
    </row>
    <row r="460" spans="8:87" x14ac:dyDescent="0.25">
      <c r="H460" s="81" t="str">
        <f>IF(Data_NaamPersoonNatVerloop437="","",Data_NaamPersoonNatVerloop437)</f>
        <v/>
      </c>
      <c r="I460" s="41"/>
      <c r="J460" s="41"/>
      <c r="K460" s="83" t="str">
        <f>IF(Data_BeeindigingsdatumNatVerloop437="","",Data_BeeindigingsdatumNatVerloop437)</f>
        <v/>
      </c>
      <c r="L460" s="41"/>
      <c r="M460" s="41"/>
      <c r="N460" s="82" t="str">
        <f>IF(Data_LoonkostenNatVerloop437="","",Data_LoonkostenNatVerloop437)</f>
        <v/>
      </c>
      <c r="O460" s="41"/>
      <c r="P460" s="276" t="s">
        <v>160</v>
      </c>
      <c r="Q460" s="41"/>
      <c r="R460" s="76" t="s">
        <v>160</v>
      </c>
      <c r="S460" s="41"/>
      <c r="T460" s="41"/>
      <c r="U460" s="41"/>
      <c r="V460" s="41"/>
      <c r="W460" s="41">
        <f t="shared" si="48"/>
        <v>0</v>
      </c>
      <c r="X460" s="77" t="str">
        <f t="shared" si="54"/>
        <v/>
      </c>
      <c r="AG460" s="81" t="str">
        <f>IF(Data_NaamPersoonTijd437="","",Data_NaamPersoonTijd437)</f>
        <v/>
      </c>
      <c r="AH460" s="41"/>
      <c r="AI460" s="41"/>
      <c r="AJ460" s="83" t="str">
        <f>IF(Data_BeeindigingsdatumTijd437="","",Data_BeeindigingsdatumTijd437)</f>
        <v/>
      </c>
      <c r="AK460" s="41"/>
      <c r="AL460" s="41"/>
      <c r="AM460" s="82" t="str">
        <f>IF(Data_LoonkostenTijd437="","",Data_LoonkostenTijd437)</f>
        <v/>
      </c>
      <c r="AN460" s="41"/>
      <c r="AO460" s="276" t="str">
        <f>IF(Data_PersoonAanUitTijd437=-1,"v","")</f>
        <v/>
      </c>
      <c r="AP460" s="41"/>
      <c r="AQ460" s="76" t="s">
        <v>160</v>
      </c>
      <c r="AR460" s="41"/>
      <c r="AS460" s="41"/>
      <c r="AT460" s="41"/>
      <c r="AU460" s="41"/>
      <c r="AV460" s="41">
        <f t="shared" si="49"/>
        <v>0</v>
      </c>
      <c r="AW460" s="77">
        <f t="shared" si="50"/>
        <v>0</v>
      </c>
      <c r="AX460" s="41"/>
      <c r="AY460" s="41"/>
      <c r="AZ460" s="41"/>
      <c r="BA460" s="81" t="str">
        <f>IF(Data_NaamPersoonVastVrij437="","",Data_NaamPersoonVastVrij437)</f>
        <v/>
      </c>
      <c r="BB460" s="41"/>
      <c r="BC460" s="41"/>
      <c r="BD460" s="83" t="str">
        <f>IF(Data_BeeindigingsdatumVastVrij437="","",Data_BeeindigingsdatumVastVrij437)</f>
        <v/>
      </c>
      <c r="BE460" s="41"/>
      <c r="BF460" s="41"/>
      <c r="BG460" s="82" t="str">
        <f>IF(Data_LoonkostenVastVrij437="","",Data_LoonkostenVastVrij437)</f>
        <v/>
      </c>
      <c r="BH460" s="41"/>
      <c r="BI460" s="76" t="str">
        <f>IF(Data_PersoonAanUitVastVrij437=-1,"v","")</f>
        <v/>
      </c>
      <c r="BJ460" s="41"/>
      <c r="BK460" s="76" t="s">
        <v>160</v>
      </c>
      <c r="BL460" s="41"/>
      <c r="BM460" s="41"/>
      <c r="BN460" s="41"/>
      <c r="BO460" s="41"/>
      <c r="BP460" s="41">
        <f t="shared" si="51"/>
        <v>0</v>
      </c>
      <c r="BQ460" s="77">
        <f t="shared" si="52"/>
        <v>0</v>
      </c>
      <c r="BS460" s="81" t="str">
        <f>IF(Data_NaamPersoonVastOntslag437="","",Data_NaamPersoonVastOntslag437)</f>
        <v/>
      </c>
      <c r="BV460" s="83" t="str">
        <f>IF(Data_BeeindigingsdatumVastOntslag437="","",Data_BeeindigingsdatumVastOntslag437)</f>
        <v/>
      </c>
      <c r="BY460" s="82" t="str">
        <f>IF(Data_LoonkostenVastOntslag437="","",Data_LoonkostenVastOntslag437)</f>
        <v/>
      </c>
      <c r="CA460" s="76" t="str">
        <f>IF(Data_PersoonAanUitVastOntslag437=-1,"v","")</f>
        <v/>
      </c>
      <c r="CB460" s="41"/>
      <c r="CC460" s="76" t="s">
        <v>160</v>
      </c>
      <c r="CD460" s="41"/>
      <c r="CE460" s="41"/>
      <c r="CF460" s="41"/>
      <c r="CG460" s="41"/>
      <c r="CH460" s="41">
        <f t="shared" si="55"/>
        <v>0</v>
      </c>
      <c r="CI460" s="41">
        <f t="shared" si="53"/>
        <v>0</v>
      </c>
    </row>
    <row r="461" spans="8:87" x14ac:dyDescent="0.25">
      <c r="H461" s="81" t="str">
        <f>IF(Data_NaamPersoonNatVerloop438="","",Data_NaamPersoonNatVerloop438)</f>
        <v/>
      </c>
      <c r="I461" s="41"/>
      <c r="J461" s="41"/>
      <c r="K461" s="83" t="str">
        <f>IF(Data_BeeindigingsdatumNatVerloop438="","",Data_BeeindigingsdatumNatVerloop438)</f>
        <v/>
      </c>
      <c r="L461" s="41"/>
      <c r="M461" s="41"/>
      <c r="N461" s="82" t="str">
        <f>IF(Data_LoonkostenNatVerloop438="","",Data_LoonkostenNatVerloop438)</f>
        <v/>
      </c>
      <c r="O461" s="41"/>
      <c r="P461" s="276" t="s">
        <v>160</v>
      </c>
      <c r="Q461" s="41"/>
      <c r="R461" s="76" t="s">
        <v>160</v>
      </c>
      <c r="S461" s="41"/>
      <c r="T461" s="41"/>
      <c r="U461" s="41"/>
      <c r="V461" s="41"/>
      <c r="W461" s="41">
        <f t="shared" si="48"/>
        <v>0</v>
      </c>
      <c r="X461" s="77" t="str">
        <f t="shared" si="54"/>
        <v/>
      </c>
      <c r="AG461" s="81" t="str">
        <f>IF(Data_NaamPersoonTijd438="","",Data_NaamPersoonTijd438)</f>
        <v/>
      </c>
      <c r="AH461" s="41"/>
      <c r="AI461" s="41"/>
      <c r="AJ461" s="83" t="str">
        <f>IF(Data_BeeindigingsdatumTijd438="","",Data_BeeindigingsdatumTijd438)</f>
        <v/>
      </c>
      <c r="AK461" s="41"/>
      <c r="AL461" s="41"/>
      <c r="AM461" s="82" t="str">
        <f>IF(Data_LoonkostenTijd438="","",Data_LoonkostenTijd438)</f>
        <v/>
      </c>
      <c r="AN461" s="41"/>
      <c r="AO461" s="276" t="str">
        <f>IF(Data_PersoonAanUitTijd438=-1,"v","")</f>
        <v/>
      </c>
      <c r="AP461" s="41"/>
      <c r="AQ461" s="76" t="s">
        <v>160</v>
      </c>
      <c r="AR461" s="41"/>
      <c r="AS461" s="41"/>
      <c r="AT461" s="41"/>
      <c r="AU461" s="41"/>
      <c r="AV461" s="41">
        <f t="shared" si="49"/>
        <v>0</v>
      </c>
      <c r="AW461" s="77">
        <f t="shared" si="50"/>
        <v>0</v>
      </c>
      <c r="AX461" s="41"/>
      <c r="AY461" s="41"/>
      <c r="AZ461" s="41"/>
      <c r="BA461" s="81" t="str">
        <f>IF(Data_NaamPersoonVastVrij438="","",Data_NaamPersoonVastVrij438)</f>
        <v/>
      </c>
      <c r="BB461" s="41"/>
      <c r="BC461" s="41"/>
      <c r="BD461" s="83" t="str">
        <f>IF(Data_BeeindigingsdatumVastVrij438="","",Data_BeeindigingsdatumVastVrij438)</f>
        <v/>
      </c>
      <c r="BE461" s="41"/>
      <c r="BF461" s="41"/>
      <c r="BG461" s="82" t="str">
        <f>IF(Data_LoonkostenVastVrij438="","",Data_LoonkostenVastVrij438)</f>
        <v/>
      </c>
      <c r="BH461" s="41"/>
      <c r="BI461" s="76" t="str">
        <f>IF(Data_PersoonAanUitVastVrij438=-1,"v","")</f>
        <v/>
      </c>
      <c r="BJ461" s="41"/>
      <c r="BK461" s="76" t="s">
        <v>160</v>
      </c>
      <c r="BL461" s="41"/>
      <c r="BM461" s="41"/>
      <c r="BN461" s="41"/>
      <c r="BO461" s="41"/>
      <c r="BP461" s="41">
        <f t="shared" si="51"/>
        <v>0</v>
      </c>
      <c r="BQ461" s="77">
        <f t="shared" si="52"/>
        <v>0</v>
      </c>
      <c r="BS461" s="81" t="str">
        <f>IF(Data_NaamPersoonVastOntslag438="","",Data_NaamPersoonVastOntslag438)</f>
        <v/>
      </c>
      <c r="BV461" s="83" t="str">
        <f>IF(Data_BeeindigingsdatumVastOntslag438="","",Data_BeeindigingsdatumVastOntslag438)</f>
        <v/>
      </c>
      <c r="BY461" s="82" t="str">
        <f>IF(Data_LoonkostenVastOntslag438="","",Data_LoonkostenVastOntslag438)</f>
        <v/>
      </c>
      <c r="CA461" s="76" t="str">
        <f>IF(Data_PersoonAanUitVastOntslag438=-1,"v","")</f>
        <v/>
      </c>
      <c r="CB461" s="41"/>
      <c r="CC461" s="76" t="s">
        <v>160</v>
      </c>
      <c r="CD461" s="41"/>
      <c r="CE461" s="41"/>
      <c r="CF461" s="41"/>
      <c r="CG461" s="41"/>
      <c r="CH461" s="41">
        <f t="shared" si="55"/>
        <v>0</v>
      </c>
      <c r="CI461" s="41">
        <f t="shared" si="53"/>
        <v>0</v>
      </c>
    </row>
    <row r="462" spans="8:87" x14ac:dyDescent="0.25">
      <c r="H462" s="81" t="str">
        <f>IF(Data_NaamPersoonNatVerloop439="","",Data_NaamPersoonNatVerloop439)</f>
        <v/>
      </c>
      <c r="I462" s="41"/>
      <c r="J462" s="41"/>
      <c r="K462" s="83" t="str">
        <f>IF(Data_BeeindigingsdatumNatVerloop439="","",Data_BeeindigingsdatumNatVerloop439)</f>
        <v/>
      </c>
      <c r="L462" s="41"/>
      <c r="M462" s="41"/>
      <c r="N462" s="82" t="str">
        <f>IF(Data_LoonkostenNatVerloop439="","",Data_LoonkostenNatVerloop439)</f>
        <v/>
      </c>
      <c r="O462" s="41"/>
      <c r="P462" s="276" t="s">
        <v>160</v>
      </c>
      <c r="Q462" s="41"/>
      <c r="R462" s="76" t="s">
        <v>160</v>
      </c>
      <c r="S462" s="41"/>
      <c r="T462" s="41"/>
      <c r="U462" s="41"/>
      <c r="V462" s="41"/>
      <c r="W462" s="41">
        <f t="shared" si="48"/>
        <v>0</v>
      </c>
      <c r="X462" s="77" t="str">
        <f t="shared" si="54"/>
        <v/>
      </c>
      <c r="AG462" s="81" t="str">
        <f>IF(Data_NaamPersoonTijd439="","",Data_NaamPersoonTijd439)</f>
        <v/>
      </c>
      <c r="AH462" s="41"/>
      <c r="AI462" s="41"/>
      <c r="AJ462" s="83" t="str">
        <f>IF(Data_BeeindigingsdatumTijd439="","",Data_BeeindigingsdatumTijd439)</f>
        <v/>
      </c>
      <c r="AK462" s="41"/>
      <c r="AL462" s="41"/>
      <c r="AM462" s="82" t="str">
        <f>IF(Data_LoonkostenTijd439="","",Data_LoonkostenTijd439)</f>
        <v/>
      </c>
      <c r="AN462" s="41"/>
      <c r="AO462" s="276" t="str">
        <f>IF(Data_PersoonAanUitTijd439=-1,"v","")</f>
        <v/>
      </c>
      <c r="AP462" s="41"/>
      <c r="AQ462" s="76" t="s">
        <v>160</v>
      </c>
      <c r="AR462" s="41"/>
      <c r="AS462" s="41"/>
      <c r="AT462" s="41"/>
      <c r="AU462" s="41"/>
      <c r="AV462" s="41">
        <f t="shared" si="49"/>
        <v>0</v>
      </c>
      <c r="AW462" s="77">
        <f t="shared" si="50"/>
        <v>0</v>
      </c>
      <c r="AX462" s="41"/>
      <c r="AY462" s="41"/>
      <c r="AZ462" s="41"/>
      <c r="BA462" s="81" t="str">
        <f>IF(Data_NaamPersoonVastVrij439="","",Data_NaamPersoonVastVrij439)</f>
        <v/>
      </c>
      <c r="BB462" s="41"/>
      <c r="BC462" s="41"/>
      <c r="BD462" s="83" t="str">
        <f>IF(Data_BeeindigingsdatumVastVrij439="","",Data_BeeindigingsdatumVastVrij439)</f>
        <v/>
      </c>
      <c r="BE462" s="41"/>
      <c r="BF462" s="41"/>
      <c r="BG462" s="82" t="str">
        <f>IF(Data_LoonkostenVastVrij439="","",Data_LoonkostenVastVrij439)</f>
        <v/>
      </c>
      <c r="BH462" s="41"/>
      <c r="BI462" s="76" t="str">
        <f>IF(Data_PersoonAanUitVastVrij439=-1,"v","")</f>
        <v/>
      </c>
      <c r="BJ462" s="41"/>
      <c r="BK462" s="76" t="s">
        <v>160</v>
      </c>
      <c r="BL462" s="41"/>
      <c r="BM462" s="41"/>
      <c r="BN462" s="41"/>
      <c r="BO462" s="41"/>
      <c r="BP462" s="41">
        <f t="shared" si="51"/>
        <v>0</v>
      </c>
      <c r="BQ462" s="77">
        <f t="shared" si="52"/>
        <v>0</v>
      </c>
      <c r="BS462" s="81" t="str">
        <f>IF(Data_NaamPersoonVastOntslag439="","",Data_NaamPersoonVastOntslag439)</f>
        <v/>
      </c>
      <c r="BV462" s="83" t="str">
        <f>IF(Data_BeeindigingsdatumVastOntslag439="","",Data_BeeindigingsdatumVastOntslag439)</f>
        <v/>
      </c>
      <c r="BY462" s="82" t="str">
        <f>IF(Data_LoonkostenVastOntslag439="","",Data_LoonkostenVastOntslag439)</f>
        <v/>
      </c>
      <c r="CA462" s="76" t="str">
        <f>IF(Data_PersoonAanUitVastOntslag439=-1,"v","")</f>
        <v/>
      </c>
      <c r="CB462" s="41"/>
      <c r="CC462" s="76" t="s">
        <v>160</v>
      </c>
      <c r="CD462" s="41"/>
      <c r="CE462" s="41"/>
      <c r="CF462" s="41"/>
      <c r="CG462" s="41"/>
      <c r="CH462" s="41">
        <f t="shared" si="55"/>
        <v>0</v>
      </c>
      <c r="CI462" s="41">
        <f t="shared" si="53"/>
        <v>0</v>
      </c>
    </row>
    <row r="463" spans="8:87" x14ac:dyDescent="0.25">
      <c r="H463" s="81" t="str">
        <f>IF(Data_NaamPersoonNatVerloop440="","",Data_NaamPersoonNatVerloop440)</f>
        <v/>
      </c>
      <c r="I463" s="41"/>
      <c r="J463" s="41"/>
      <c r="K463" s="83" t="str">
        <f>IF(Data_BeeindigingsdatumNatVerloop440="","",Data_BeeindigingsdatumNatVerloop440)</f>
        <v/>
      </c>
      <c r="L463" s="41"/>
      <c r="M463" s="41"/>
      <c r="N463" s="82" t="str">
        <f>IF(Data_LoonkostenNatVerloop440="","",Data_LoonkostenNatVerloop440)</f>
        <v/>
      </c>
      <c r="O463" s="41"/>
      <c r="P463" s="276" t="s">
        <v>160</v>
      </c>
      <c r="Q463" s="41"/>
      <c r="R463" s="76" t="s">
        <v>160</v>
      </c>
      <c r="S463" s="41"/>
      <c r="T463" s="41"/>
      <c r="U463" s="41"/>
      <c r="V463" s="41"/>
      <c r="W463" s="41">
        <f t="shared" si="48"/>
        <v>0</v>
      </c>
      <c r="X463" s="77" t="str">
        <f t="shared" si="54"/>
        <v/>
      </c>
      <c r="AG463" s="81" t="str">
        <f>IF(Data_NaamPersoonTijd440="","",Data_NaamPersoonTijd440)</f>
        <v/>
      </c>
      <c r="AH463" s="41"/>
      <c r="AI463" s="41"/>
      <c r="AJ463" s="83" t="str">
        <f>IF(Data_BeeindigingsdatumTijd440="","",Data_BeeindigingsdatumTijd440)</f>
        <v/>
      </c>
      <c r="AK463" s="41"/>
      <c r="AL463" s="41"/>
      <c r="AM463" s="82" t="str">
        <f>IF(Data_LoonkostenTijd440="","",Data_LoonkostenTijd440)</f>
        <v/>
      </c>
      <c r="AN463" s="41"/>
      <c r="AO463" s="276" t="str">
        <f>IF(Data_PersoonAanUitTijd440=-1,"v","")</f>
        <v/>
      </c>
      <c r="AP463" s="41"/>
      <c r="AQ463" s="76" t="s">
        <v>160</v>
      </c>
      <c r="AR463" s="41"/>
      <c r="AS463" s="41"/>
      <c r="AT463" s="41"/>
      <c r="AU463" s="41"/>
      <c r="AV463" s="41">
        <f t="shared" si="49"/>
        <v>0</v>
      </c>
      <c r="AW463" s="77">
        <f t="shared" si="50"/>
        <v>0</v>
      </c>
      <c r="AX463" s="41"/>
      <c r="AY463" s="41"/>
      <c r="AZ463" s="41"/>
      <c r="BA463" s="81" t="str">
        <f>IF(Data_NaamPersoonVastVrij440="","",Data_NaamPersoonVastVrij440)</f>
        <v/>
      </c>
      <c r="BB463" s="41"/>
      <c r="BC463" s="41"/>
      <c r="BD463" s="83" t="str">
        <f>IF(Data_BeeindigingsdatumVastVrij440="","",Data_BeeindigingsdatumVastVrij440)</f>
        <v/>
      </c>
      <c r="BE463" s="41"/>
      <c r="BF463" s="41"/>
      <c r="BG463" s="82" t="str">
        <f>IF(Data_LoonkostenVastVrij440="","",Data_LoonkostenVastVrij440)</f>
        <v/>
      </c>
      <c r="BH463" s="41"/>
      <c r="BI463" s="76" t="str">
        <f>IF(Data_PersoonAanUitVastVrij440=-1,"v","")</f>
        <v/>
      </c>
      <c r="BJ463" s="41"/>
      <c r="BK463" s="76" t="s">
        <v>160</v>
      </c>
      <c r="BL463" s="41"/>
      <c r="BM463" s="41"/>
      <c r="BN463" s="41"/>
      <c r="BO463" s="41"/>
      <c r="BP463" s="41">
        <f t="shared" si="51"/>
        <v>0</v>
      </c>
      <c r="BQ463" s="77">
        <f t="shared" si="52"/>
        <v>0</v>
      </c>
      <c r="BS463" s="81" t="str">
        <f>IF(Data_NaamPersoonVastOntslag440="","",Data_NaamPersoonVastOntslag440)</f>
        <v/>
      </c>
      <c r="BV463" s="83" t="str">
        <f>IF(Data_BeeindigingsdatumVastOntslag440="","",Data_BeeindigingsdatumVastOntslag440)</f>
        <v/>
      </c>
      <c r="BY463" s="82" t="str">
        <f>IF(Data_LoonkostenVastOntslag440="","",Data_LoonkostenVastOntslag440)</f>
        <v/>
      </c>
      <c r="CA463" s="76" t="str">
        <f>IF(Data_PersoonAanUitVastOntslag440=-1,"v","")</f>
        <v/>
      </c>
      <c r="CB463" s="41"/>
      <c r="CC463" s="76" t="s">
        <v>160</v>
      </c>
      <c r="CD463" s="41"/>
      <c r="CE463" s="41"/>
      <c r="CF463" s="41"/>
      <c r="CG463" s="41"/>
      <c r="CH463" s="41">
        <f t="shared" si="55"/>
        <v>0</v>
      </c>
      <c r="CI463" s="41">
        <f t="shared" si="53"/>
        <v>0</v>
      </c>
    </row>
    <row r="464" spans="8:87" x14ac:dyDescent="0.25">
      <c r="H464" s="81" t="str">
        <f>IF(Data_NaamPersoonNatVerloop441="","",Data_NaamPersoonNatVerloop441)</f>
        <v/>
      </c>
      <c r="I464" s="41"/>
      <c r="J464" s="41"/>
      <c r="K464" s="83" t="str">
        <f>IF(Data_BeeindigingsdatumNatVerloop441="","",Data_BeeindigingsdatumNatVerloop441)</f>
        <v/>
      </c>
      <c r="L464" s="41"/>
      <c r="M464" s="41"/>
      <c r="N464" s="82" t="str">
        <f>IF(Data_LoonkostenNatVerloop441="","",Data_LoonkostenNatVerloop441)</f>
        <v/>
      </c>
      <c r="O464" s="41"/>
      <c r="P464" s="276" t="s">
        <v>160</v>
      </c>
      <c r="Q464" s="41"/>
      <c r="R464" s="76" t="s">
        <v>160</v>
      </c>
      <c r="S464" s="41"/>
      <c r="T464" s="41"/>
      <c r="U464" s="41"/>
      <c r="V464" s="41"/>
      <c r="W464" s="41">
        <f t="shared" si="48"/>
        <v>0</v>
      </c>
      <c r="X464" s="77" t="str">
        <f t="shared" si="54"/>
        <v/>
      </c>
      <c r="AG464" s="81" t="str">
        <f>IF(Data_NaamPersoonTijd441="","",Data_NaamPersoonTijd441)</f>
        <v/>
      </c>
      <c r="AH464" s="41"/>
      <c r="AI464" s="41"/>
      <c r="AJ464" s="83" t="str">
        <f>IF(Data_BeeindigingsdatumTijd441="","",Data_BeeindigingsdatumTijd441)</f>
        <v/>
      </c>
      <c r="AK464" s="41"/>
      <c r="AL464" s="41"/>
      <c r="AM464" s="82" t="str">
        <f>IF(Data_LoonkostenTijd441="","",Data_LoonkostenTijd441)</f>
        <v/>
      </c>
      <c r="AN464" s="41"/>
      <c r="AO464" s="276" t="str">
        <f>IF(Data_PersoonAanUitTijd441=-1,"v","")</f>
        <v/>
      </c>
      <c r="AP464" s="41"/>
      <c r="AQ464" s="76" t="s">
        <v>160</v>
      </c>
      <c r="AR464" s="41"/>
      <c r="AS464" s="41"/>
      <c r="AT464" s="41"/>
      <c r="AU464" s="41"/>
      <c r="AV464" s="41">
        <f t="shared" si="49"/>
        <v>0</v>
      </c>
      <c r="AW464" s="77">
        <f t="shared" si="50"/>
        <v>0</v>
      </c>
      <c r="AX464" s="41"/>
      <c r="AY464" s="41"/>
      <c r="AZ464" s="41"/>
      <c r="BA464" s="81" t="str">
        <f>IF(Data_NaamPersoonVastVrij441="","",Data_NaamPersoonVastVrij441)</f>
        <v/>
      </c>
      <c r="BB464" s="41"/>
      <c r="BC464" s="41"/>
      <c r="BD464" s="83" t="str">
        <f>IF(Data_BeeindigingsdatumVastVrij441="","",Data_BeeindigingsdatumVastVrij441)</f>
        <v/>
      </c>
      <c r="BE464" s="41"/>
      <c r="BF464" s="41"/>
      <c r="BG464" s="82" t="str">
        <f>IF(Data_LoonkostenVastVrij441="","",Data_LoonkostenVastVrij441)</f>
        <v/>
      </c>
      <c r="BH464" s="41"/>
      <c r="BI464" s="76" t="str">
        <f>IF(Data_PersoonAanUitVastVrij441=-1,"v","")</f>
        <v/>
      </c>
      <c r="BJ464" s="41"/>
      <c r="BK464" s="76" t="s">
        <v>160</v>
      </c>
      <c r="BL464" s="41"/>
      <c r="BM464" s="41"/>
      <c r="BN464" s="41"/>
      <c r="BO464" s="41"/>
      <c r="BP464" s="41">
        <f t="shared" si="51"/>
        <v>0</v>
      </c>
      <c r="BQ464" s="77">
        <f t="shared" si="52"/>
        <v>0</v>
      </c>
      <c r="BS464" s="81" t="str">
        <f>IF(Data_NaamPersoonVastOntslag441="","",Data_NaamPersoonVastOntslag441)</f>
        <v/>
      </c>
      <c r="BV464" s="83" t="str">
        <f>IF(Data_BeeindigingsdatumVastOntslag441="","",Data_BeeindigingsdatumVastOntslag441)</f>
        <v/>
      </c>
      <c r="BY464" s="82" t="str">
        <f>IF(Data_LoonkostenVastOntslag441="","",Data_LoonkostenVastOntslag441)</f>
        <v/>
      </c>
      <c r="CA464" s="76" t="str">
        <f>IF(Data_PersoonAanUitVastOntslag441=-1,"v","")</f>
        <v/>
      </c>
      <c r="CB464" s="41"/>
      <c r="CC464" s="76" t="s">
        <v>160</v>
      </c>
      <c r="CD464" s="41"/>
      <c r="CE464" s="41"/>
      <c r="CF464" s="41"/>
      <c r="CG464" s="41"/>
      <c r="CH464" s="41">
        <f t="shared" si="55"/>
        <v>0</v>
      </c>
      <c r="CI464" s="41">
        <f t="shared" si="53"/>
        <v>0</v>
      </c>
    </row>
    <row r="465" spans="8:87" x14ac:dyDescent="0.25">
      <c r="H465" s="81" t="str">
        <f>IF(Data_NaamPersoonNatVerloop442="","",Data_NaamPersoonNatVerloop442)</f>
        <v/>
      </c>
      <c r="I465" s="41"/>
      <c r="J465" s="41"/>
      <c r="K465" s="83" t="str">
        <f>IF(Data_BeeindigingsdatumNatVerloop442="","",Data_BeeindigingsdatumNatVerloop442)</f>
        <v/>
      </c>
      <c r="L465" s="41"/>
      <c r="M465" s="41"/>
      <c r="N465" s="82" t="str">
        <f>IF(Data_LoonkostenNatVerloop442="","",Data_LoonkostenNatVerloop442)</f>
        <v/>
      </c>
      <c r="O465" s="41"/>
      <c r="P465" s="276" t="s">
        <v>160</v>
      </c>
      <c r="Q465" s="41"/>
      <c r="R465" s="76" t="s">
        <v>160</v>
      </c>
      <c r="S465" s="41"/>
      <c r="T465" s="41"/>
      <c r="U465" s="41"/>
      <c r="V465" s="41"/>
      <c r="W465" s="41">
        <f t="shared" si="48"/>
        <v>0</v>
      </c>
      <c r="X465" s="77" t="str">
        <f t="shared" si="54"/>
        <v/>
      </c>
      <c r="AG465" s="81" t="str">
        <f>IF(Data_NaamPersoonTijd442="","",Data_NaamPersoonTijd442)</f>
        <v/>
      </c>
      <c r="AH465" s="41"/>
      <c r="AI465" s="41"/>
      <c r="AJ465" s="83" t="str">
        <f>IF(Data_BeeindigingsdatumTijd442="","",Data_BeeindigingsdatumTijd442)</f>
        <v/>
      </c>
      <c r="AK465" s="41"/>
      <c r="AL465" s="41"/>
      <c r="AM465" s="82" t="str">
        <f>IF(Data_LoonkostenTijd442="","",Data_LoonkostenTijd442)</f>
        <v/>
      </c>
      <c r="AN465" s="41"/>
      <c r="AO465" s="276" t="str">
        <f>IF(Data_PersoonAanUitTijd442=-1,"v","")</f>
        <v/>
      </c>
      <c r="AP465" s="41"/>
      <c r="AQ465" s="76" t="s">
        <v>160</v>
      </c>
      <c r="AR465" s="41"/>
      <c r="AS465" s="41"/>
      <c r="AT465" s="41"/>
      <c r="AU465" s="41"/>
      <c r="AV465" s="41">
        <f t="shared" si="49"/>
        <v>0</v>
      </c>
      <c r="AW465" s="77">
        <f t="shared" si="50"/>
        <v>0</v>
      </c>
      <c r="AX465" s="41"/>
      <c r="AY465" s="41"/>
      <c r="AZ465" s="41"/>
      <c r="BA465" s="81" t="str">
        <f>IF(Data_NaamPersoonVastVrij442="","",Data_NaamPersoonVastVrij442)</f>
        <v/>
      </c>
      <c r="BB465" s="41"/>
      <c r="BC465" s="41"/>
      <c r="BD465" s="83" t="str">
        <f>IF(Data_BeeindigingsdatumVastVrij442="","",Data_BeeindigingsdatumVastVrij442)</f>
        <v/>
      </c>
      <c r="BE465" s="41"/>
      <c r="BF465" s="41"/>
      <c r="BG465" s="82" t="str">
        <f>IF(Data_LoonkostenVastVrij442="","",Data_LoonkostenVastVrij442)</f>
        <v/>
      </c>
      <c r="BH465" s="41"/>
      <c r="BI465" s="76" t="str">
        <f>IF(Data_PersoonAanUitVastVrij442=-1,"v","")</f>
        <v/>
      </c>
      <c r="BJ465" s="41"/>
      <c r="BK465" s="76" t="s">
        <v>160</v>
      </c>
      <c r="BL465" s="41"/>
      <c r="BM465" s="41"/>
      <c r="BN465" s="41"/>
      <c r="BO465" s="41"/>
      <c r="BP465" s="41">
        <f t="shared" si="51"/>
        <v>0</v>
      </c>
      <c r="BQ465" s="77">
        <f t="shared" si="52"/>
        <v>0</v>
      </c>
      <c r="BS465" s="81" t="str">
        <f>IF(Data_NaamPersoonVastOntslag442="","",Data_NaamPersoonVastOntslag442)</f>
        <v/>
      </c>
      <c r="BV465" s="83" t="str">
        <f>IF(Data_BeeindigingsdatumVastOntslag442="","",Data_BeeindigingsdatumVastOntslag442)</f>
        <v/>
      </c>
      <c r="BY465" s="82" t="str">
        <f>IF(Data_LoonkostenVastOntslag442="","",Data_LoonkostenVastOntslag442)</f>
        <v/>
      </c>
      <c r="CA465" s="76" t="str">
        <f>IF(Data_PersoonAanUitVastOntslag442=-1,"v","")</f>
        <v/>
      </c>
      <c r="CB465" s="41"/>
      <c r="CC465" s="76" t="s">
        <v>160</v>
      </c>
      <c r="CD465" s="41"/>
      <c r="CE465" s="41"/>
      <c r="CF465" s="41"/>
      <c r="CG465" s="41"/>
      <c r="CH465" s="41">
        <f t="shared" si="55"/>
        <v>0</v>
      </c>
      <c r="CI465" s="41">
        <f t="shared" si="53"/>
        <v>0</v>
      </c>
    </row>
    <row r="466" spans="8:87" x14ac:dyDescent="0.25">
      <c r="H466" s="81" t="str">
        <f>IF(Data_NaamPersoonNatVerloop443="","",Data_NaamPersoonNatVerloop443)</f>
        <v/>
      </c>
      <c r="I466" s="41"/>
      <c r="J466" s="41"/>
      <c r="K466" s="83" t="str">
        <f>IF(Data_BeeindigingsdatumNatVerloop443="","",Data_BeeindigingsdatumNatVerloop443)</f>
        <v/>
      </c>
      <c r="L466" s="41"/>
      <c r="M466" s="41"/>
      <c r="N466" s="82" t="str">
        <f>IF(Data_LoonkostenNatVerloop443="","",Data_LoonkostenNatVerloop443)</f>
        <v/>
      </c>
      <c r="O466" s="41"/>
      <c r="P466" s="276" t="s">
        <v>160</v>
      </c>
      <c r="Q466" s="41"/>
      <c r="R466" s="76" t="s">
        <v>160</v>
      </c>
      <c r="S466" s="41"/>
      <c r="T466" s="41"/>
      <c r="U466" s="41"/>
      <c r="V466" s="41"/>
      <c r="W466" s="41">
        <f t="shared" si="48"/>
        <v>0</v>
      </c>
      <c r="X466" s="77" t="str">
        <f t="shared" si="54"/>
        <v/>
      </c>
      <c r="AG466" s="81" t="str">
        <f>IF(Data_NaamPersoonTijd443="","",Data_NaamPersoonTijd443)</f>
        <v/>
      </c>
      <c r="AH466" s="41"/>
      <c r="AI466" s="41"/>
      <c r="AJ466" s="83" t="str">
        <f>IF(Data_BeeindigingsdatumTijd443="","",Data_BeeindigingsdatumTijd443)</f>
        <v/>
      </c>
      <c r="AK466" s="41"/>
      <c r="AL466" s="41"/>
      <c r="AM466" s="82" t="str">
        <f>IF(Data_LoonkostenTijd443="","",Data_LoonkostenTijd443)</f>
        <v/>
      </c>
      <c r="AN466" s="41"/>
      <c r="AO466" s="276" t="str">
        <f>IF(Data_PersoonAanUitTijd443=-1,"v","")</f>
        <v/>
      </c>
      <c r="AP466" s="41"/>
      <c r="AQ466" s="76" t="s">
        <v>160</v>
      </c>
      <c r="AR466" s="41"/>
      <c r="AS466" s="41"/>
      <c r="AT466" s="41"/>
      <c r="AU466" s="41"/>
      <c r="AV466" s="41">
        <f t="shared" si="49"/>
        <v>0</v>
      </c>
      <c r="AW466" s="77">
        <f t="shared" si="50"/>
        <v>0</v>
      </c>
      <c r="AX466" s="41"/>
      <c r="AY466" s="41"/>
      <c r="AZ466" s="41"/>
      <c r="BA466" s="81" t="str">
        <f>IF(Data_NaamPersoonVastVrij443="","",Data_NaamPersoonVastVrij443)</f>
        <v/>
      </c>
      <c r="BB466" s="41"/>
      <c r="BC466" s="41"/>
      <c r="BD466" s="83" t="str">
        <f>IF(Data_BeeindigingsdatumVastVrij443="","",Data_BeeindigingsdatumVastVrij443)</f>
        <v/>
      </c>
      <c r="BE466" s="41"/>
      <c r="BF466" s="41"/>
      <c r="BG466" s="82" t="str">
        <f>IF(Data_LoonkostenVastVrij443="","",Data_LoonkostenVastVrij443)</f>
        <v/>
      </c>
      <c r="BH466" s="41"/>
      <c r="BI466" s="76" t="str">
        <f>IF(Data_PersoonAanUitVastVrij443=-1,"v","")</f>
        <v/>
      </c>
      <c r="BJ466" s="41"/>
      <c r="BK466" s="76" t="s">
        <v>160</v>
      </c>
      <c r="BL466" s="41"/>
      <c r="BM466" s="41"/>
      <c r="BN466" s="41"/>
      <c r="BO466" s="41"/>
      <c r="BP466" s="41">
        <f t="shared" si="51"/>
        <v>0</v>
      </c>
      <c r="BQ466" s="77">
        <f t="shared" si="52"/>
        <v>0</v>
      </c>
      <c r="BS466" s="81" t="str">
        <f>IF(Data_NaamPersoonVastOntslag443="","",Data_NaamPersoonVastOntslag443)</f>
        <v/>
      </c>
      <c r="BV466" s="83" t="str">
        <f>IF(Data_BeeindigingsdatumVastOntslag443="","",Data_BeeindigingsdatumVastOntslag443)</f>
        <v/>
      </c>
      <c r="BY466" s="82" t="str">
        <f>IF(Data_LoonkostenVastOntslag443="","",Data_LoonkostenVastOntslag443)</f>
        <v/>
      </c>
      <c r="CA466" s="76" t="str">
        <f>IF(Data_PersoonAanUitVastOntslag443=-1,"v","")</f>
        <v/>
      </c>
      <c r="CB466" s="41"/>
      <c r="CC466" s="76" t="s">
        <v>160</v>
      </c>
      <c r="CD466" s="41"/>
      <c r="CE466" s="41"/>
      <c r="CF466" s="41"/>
      <c r="CG466" s="41"/>
      <c r="CH466" s="41">
        <f t="shared" si="55"/>
        <v>0</v>
      </c>
      <c r="CI466" s="41">
        <f t="shared" si="53"/>
        <v>0</v>
      </c>
    </row>
    <row r="467" spans="8:87" x14ac:dyDescent="0.25">
      <c r="H467" s="81" t="str">
        <f>IF(Data_NaamPersoonNatVerloop444="","",Data_NaamPersoonNatVerloop444)</f>
        <v/>
      </c>
      <c r="I467" s="41"/>
      <c r="J467" s="41"/>
      <c r="K467" s="83" t="str">
        <f>IF(Data_BeeindigingsdatumNatVerloop444="","",Data_BeeindigingsdatumNatVerloop444)</f>
        <v/>
      </c>
      <c r="L467" s="41"/>
      <c r="M467" s="41"/>
      <c r="N467" s="82" t="str">
        <f>IF(Data_LoonkostenNatVerloop444="","",Data_LoonkostenNatVerloop444)</f>
        <v/>
      </c>
      <c r="O467" s="41"/>
      <c r="P467" s="276" t="s">
        <v>160</v>
      </c>
      <c r="Q467" s="41"/>
      <c r="R467" s="76" t="s">
        <v>160</v>
      </c>
      <c r="S467" s="41"/>
      <c r="T467" s="41"/>
      <c r="U467" s="41"/>
      <c r="V467" s="41"/>
      <c r="W467" s="41">
        <f t="shared" si="48"/>
        <v>0</v>
      </c>
      <c r="X467" s="77" t="str">
        <f t="shared" si="54"/>
        <v/>
      </c>
      <c r="AG467" s="81" t="str">
        <f>IF(Data_NaamPersoonTijd444="","",Data_NaamPersoonTijd444)</f>
        <v/>
      </c>
      <c r="AH467" s="41"/>
      <c r="AI467" s="41"/>
      <c r="AJ467" s="83" t="str">
        <f>IF(Data_BeeindigingsdatumTijd444="","",Data_BeeindigingsdatumTijd444)</f>
        <v/>
      </c>
      <c r="AK467" s="41"/>
      <c r="AL467" s="41"/>
      <c r="AM467" s="82" t="str">
        <f>IF(Data_LoonkostenTijd444="","",Data_LoonkostenTijd444)</f>
        <v/>
      </c>
      <c r="AN467" s="41"/>
      <c r="AO467" s="276" t="str">
        <f>IF(Data_PersoonAanUitTijd444=-1,"v","")</f>
        <v/>
      </c>
      <c r="AP467" s="41"/>
      <c r="AQ467" s="76" t="s">
        <v>160</v>
      </c>
      <c r="AR467" s="41"/>
      <c r="AS467" s="41"/>
      <c r="AT467" s="41"/>
      <c r="AU467" s="41"/>
      <c r="AV467" s="41">
        <f t="shared" si="49"/>
        <v>0</v>
      </c>
      <c r="AW467" s="77">
        <f t="shared" si="50"/>
        <v>0</v>
      </c>
      <c r="AX467" s="41"/>
      <c r="AY467" s="41"/>
      <c r="AZ467" s="41"/>
      <c r="BA467" s="81" t="str">
        <f>IF(Data_NaamPersoonVastVrij444="","",Data_NaamPersoonVastVrij444)</f>
        <v/>
      </c>
      <c r="BB467" s="41"/>
      <c r="BC467" s="41"/>
      <c r="BD467" s="83" t="str">
        <f>IF(Data_BeeindigingsdatumVastVrij444="","",Data_BeeindigingsdatumVastVrij444)</f>
        <v/>
      </c>
      <c r="BE467" s="41"/>
      <c r="BF467" s="41"/>
      <c r="BG467" s="82" t="str">
        <f>IF(Data_LoonkostenVastVrij444="","",Data_LoonkostenVastVrij444)</f>
        <v/>
      </c>
      <c r="BH467" s="41"/>
      <c r="BI467" s="76" t="str">
        <f>IF(Data_PersoonAanUitVastVrij444=-1,"v","")</f>
        <v/>
      </c>
      <c r="BJ467" s="41"/>
      <c r="BK467" s="76" t="s">
        <v>160</v>
      </c>
      <c r="BL467" s="41"/>
      <c r="BM467" s="41"/>
      <c r="BN467" s="41"/>
      <c r="BO467" s="41"/>
      <c r="BP467" s="41">
        <f t="shared" si="51"/>
        <v>0</v>
      </c>
      <c r="BQ467" s="77">
        <f t="shared" si="52"/>
        <v>0</v>
      </c>
      <c r="BS467" s="81" t="str">
        <f>IF(Data_NaamPersoonVastOntslag444="","",Data_NaamPersoonVastOntslag444)</f>
        <v/>
      </c>
      <c r="BV467" s="83" t="str">
        <f>IF(Data_BeeindigingsdatumVastOntslag444="","",Data_BeeindigingsdatumVastOntslag444)</f>
        <v/>
      </c>
      <c r="BY467" s="82" t="str">
        <f>IF(Data_LoonkostenVastOntslag444="","",Data_LoonkostenVastOntslag444)</f>
        <v/>
      </c>
      <c r="CA467" s="76" t="str">
        <f>IF(Data_PersoonAanUitVastOntslag444=-1,"v","")</f>
        <v/>
      </c>
      <c r="CB467" s="41"/>
      <c r="CC467" s="76" t="s">
        <v>160</v>
      </c>
      <c r="CD467" s="41"/>
      <c r="CE467" s="41"/>
      <c r="CF467" s="41"/>
      <c r="CG467" s="41"/>
      <c r="CH467" s="41">
        <f t="shared" si="55"/>
        <v>0</v>
      </c>
      <c r="CI467" s="41">
        <f t="shared" si="53"/>
        <v>0</v>
      </c>
    </row>
    <row r="468" spans="8:87" x14ac:dyDescent="0.25">
      <c r="H468" s="81" t="str">
        <f>IF(Data_NaamPersoonNatVerloop445="","",Data_NaamPersoonNatVerloop445)</f>
        <v/>
      </c>
      <c r="I468" s="41"/>
      <c r="J468" s="41"/>
      <c r="K468" s="83" t="str">
        <f>IF(Data_BeeindigingsdatumNatVerloop445="","",Data_BeeindigingsdatumNatVerloop445)</f>
        <v/>
      </c>
      <c r="L468" s="41"/>
      <c r="M468" s="41"/>
      <c r="N468" s="82" t="str">
        <f>IF(Data_LoonkostenNatVerloop445="","",Data_LoonkostenNatVerloop445)</f>
        <v/>
      </c>
      <c r="O468" s="41"/>
      <c r="P468" s="276" t="s">
        <v>160</v>
      </c>
      <c r="Q468" s="41"/>
      <c r="R468" s="76" t="s">
        <v>160</v>
      </c>
      <c r="S468" s="41"/>
      <c r="T468" s="41"/>
      <c r="U468" s="41"/>
      <c r="V468" s="41"/>
      <c r="W468" s="41">
        <f t="shared" si="48"/>
        <v>0</v>
      </c>
      <c r="X468" s="77" t="str">
        <f t="shared" si="54"/>
        <v/>
      </c>
      <c r="AG468" s="81" t="str">
        <f>IF(Data_NaamPersoonTijd445="","",Data_NaamPersoonTijd445)</f>
        <v/>
      </c>
      <c r="AH468" s="41"/>
      <c r="AI468" s="41"/>
      <c r="AJ468" s="83" t="str">
        <f>IF(Data_BeeindigingsdatumTijd445="","",Data_BeeindigingsdatumTijd445)</f>
        <v/>
      </c>
      <c r="AK468" s="41"/>
      <c r="AL468" s="41"/>
      <c r="AM468" s="82" t="str">
        <f>IF(Data_LoonkostenTijd445="","",Data_LoonkostenTijd445)</f>
        <v/>
      </c>
      <c r="AN468" s="41"/>
      <c r="AO468" s="276" t="str">
        <f>IF(Data_PersoonAanUitTijd445=-1,"v","")</f>
        <v/>
      </c>
      <c r="AP468" s="41"/>
      <c r="AQ468" s="76" t="s">
        <v>160</v>
      </c>
      <c r="AR468" s="41"/>
      <c r="AS468" s="41"/>
      <c r="AT468" s="41"/>
      <c r="AU468" s="41"/>
      <c r="AV468" s="41">
        <f t="shared" si="49"/>
        <v>0</v>
      </c>
      <c r="AW468" s="77">
        <f t="shared" si="50"/>
        <v>0</v>
      </c>
      <c r="AX468" s="41"/>
      <c r="AY468" s="41"/>
      <c r="AZ468" s="41"/>
      <c r="BA468" s="81" t="str">
        <f>IF(Data_NaamPersoonVastVrij445="","",Data_NaamPersoonVastVrij445)</f>
        <v/>
      </c>
      <c r="BB468" s="41"/>
      <c r="BC468" s="41"/>
      <c r="BD468" s="83" t="str">
        <f>IF(Data_BeeindigingsdatumVastVrij445="","",Data_BeeindigingsdatumVastVrij445)</f>
        <v/>
      </c>
      <c r="BE468" s="41"/>
      <c r="BF468" s="41"/>
      <c r="BG468" s="82" t="str">
        <f>IF(Data_LoonkostenVastVrij445="","",Data_LoonkostenVastVrij445)</f>
        <v/>
      </c>
      <c r="BH468" s="41"/>
      <c r="BI468" s="76" t="str">
        <f>IF(Data_PersoonAanUitVastVrij445=-1,"v","")</f>
        <v/>
      </c>
      <c r="BJ468" s="41"/>
      <c r="BK468" s="76" t="s">
        <v>160</v>
      </c>
      <c r="BL468" s="41"/>
      <c r="BM468" s="41"/>
      <c r="BN468" s="41"/>
      <c r="BO468" s="41"/>
      <c r="BP468" s="41">
        <f t="shared" si="51"/>
        <v>0</v>
      </c>
      <c r="BQ468" s="77">
        <f t="shared" si="52"/>
        <v>0</v>
      </c>
      <c r="BS468" s="81" t="str">
        <f>IF(Data_NaamPersoonVastOntslag445="","",Data_NaamPersoonVastOntslag445)</f>
        <v/>
      </c>
      <c r="BV468" s="83" t="str">
        <f>IF(Data_BeeindigingsdatumVastOntslag445="","",Data_BeeindigingsdatumVastOntslag445)</f>
        <v/>
      </c>
      <c r="BY468" s="82" t="str">
        <f>IF(Data_LoonkostenVastOntslag445="","",Data_LoonkostenVastOntslag445)</f>
        <v/>
      </c>
      <c r="CA468" s="76" t="str">
        <f>IF(Data_PersoonAanUitVastOntslag445=-1,"v","")</f>
        <v/>
      </c>
      <c r="CB468" s="41"/>
      <c r="CC468" s="76" t="s">
        <v>160</v>
      </c>
      <c r="CD468" s="41"/>
      <c r="CE468" s="41"/>
      <c r="CF468" s="41"/>
      <c r="CG468" s="41"/>
      <c r="CH468" s="41">
        <f t="shared" si="55"/>
        <v>0</v>
      </c>
      <c r="CI468" s="41">
        <f t="shared" si="53"/>
        <v>0</v>
      </c>
    </row>
    <row r="469" spans="8:87" x14ac:dyDescent="0.25">
      <c r="H469" s="81" t="str">
        <f>IF(Data_NaamPersoonNatVerloop446="","",Data_NaamPersoonNatVerloop446)</f>
        <v/>
      </c>
      <c r="I469" s="41"/>
      <c r="J469" s="41"/>
      <c r="K469" s="83" t="str">
        <f>IF(Data_BeeindigingsdatumNatVerloop446="","",Data_BeeindigingsdatumNatVerloop446)</f>
        <v/>
      </c>
      <c r="L469" s="41"/>
      <c r="M469" s="41"/>
      <c r="N469" s="82" t="str">
        <f>IF(Data_LoonkostenNatVerloop446="","",Data_LoonkostenNatVerloop446)</f>
        <v/>
      </c>
      <c r="O469" s="41"/>
      <c r="P469" s="276" t="s">
        <v>160</v>
      </c>
      <c r="Q469" s="41"/>
      <c r="R469" s="76" t="s">
        <v>160</v>
      </c>
      <c r="S469" s="41"/>
      <c r="T469" s="41"/>
      <c r="U469" s="41"/>
      <c r="V469" s="41"/>
      <c r="W469" s="41">
        <f t="shared" si="48"/>
        <v>0</v>
      </c>
      <c r="X469" s="77" t="str">
        <f t="shared" si="54"/>
        <v/>
      </c>
      <c r="AG469" s="81" t="str">
        <f>IF(Data_NaamPersoonTijd446="","",Data_NaamPersoonTijd446)</f>
        <v/>
      </c>
      <c r="AH469" s="41"/>
      <c r="AI469" s="41"/>
      <c r="AJ469" s="83" t="str">
        <f>IF(Data_BeeindigingsdatumTijd446="","",Data_BeeindigingsdatumTijd446)</f>
        <v/>
      </c>
      <c r="AK469" s="41"/>
      <c r="AL469" s="41"/>
      <c r="AM469" s="82" t="str">
        <f>IF(Data_LoonkostenTijd446="","",Data_LoonkostenTijd446)</f>
        <v/>
      </c>
      <c r="AN469" s="41"/>
      <c r="AO469" s="276" t="str">
        <f>IF(Data_PersoonAanUitTijd446=-1,"v","")</f>
        <v/>
      </c>
      <c r="AP469" s="41"/>
      <c r="AQ469" s="76" t="s">
        <v>160</v>
      </c>
      <c r="AR469" s="41"/>
      <c r="AS469" s="41"/>
      <c r="AT469" s="41"/>
      <c r="AU469" s="41"/>
      <c r="AV469" s="41">
        <f t="shared" si="49"/>
        <v>0</v>
      </c>
      <c r="AW469" s="77">
        <f t="shared" si="50"/>
        <v>0</v>
      </c>
      <c r="AX469" s="41"/>
      <c r="AY469" s="41"/>
      <c r="AZ469" s="41"/>
      <c r="BA469" s="81" t="str">
        <f>IF(Data_NaamPersoonVastVrij446="","",Data_NaamPersoonVastVrij446)</f>
        <v/>
      </c>
      <c r="BB469" s="41"/>
      <c r="BC469" s="41"/>
      <c r="BD469" s="83" t="str">
        <f>IF(Data_BeeindigingsdatumVastVrij446="","",Data_BeeindigingsdatumVastVrij446)</f>
        <v/>
      </c>
      <c r="BE469" s="41"/>
      <c r="BF469" s="41"/>
      <c r="BG469" s="82" t="str">
        <f>IF(Data_LoonkostenVastVrij446="","",Data_LoonkostenVastVrij446)</f>
        <v/>
      </c>
      <c r="BH469" s="41"/>
      <c r="BI469" s="76" t="str">
        <f>IF(Data_PersoonAanUitVastVrij446=-1,"v","")</f>
        <v/>
      </c>
      <c r="BJ469" s="41"/>
      <c r="BK469" s="76" t="s">
        <v>160</v>
      </c>
      <c r="BL469" s="41"/>
      <c r="BM469" s="41"/>
      <c r="BN469" s="41"/>
      <c r="BO469" s="41"/>
      <c r="BP469" s="41">
        <f t="shared" si="51"/>
        <v>0</v>
      </c>
      <c r="BQ469" s="77">
        <f t="shared" si="52"/>
        <v>0</v>
      </c>
      <c r="BS469" s="81" t="str">
        <f>IF(Data_NaamPersoonVastOntslag446="","",Data_NaamPersoonVastOntslag446)</f>
        <v/>
      </c>
      <c r="BV469" s="83" t="str">
        <f>IF(Data_BeeindigingsdatumVastOntslag446="","",Data_BeeindigingsdatumVastOntslag446)</f>
        <v/>
      </c>
      <c r="BY469" s="82" t="str">
        <f>IF(Data_LoonkostenVastOntslag446="","",Data_LoonkostenVastOntslag446)</f>
        <v/>
      </c>
      <c r="CA469" s="76" t="str">
        <f>IF(Data_PersoonAanUitVastOntslag446=-1,"v","")</f>
        <v/>
      </c>
      <c r="CB469" s="41"/>
      <c r="CC469" s="76" t="s">
        <v>160</v>
      </c>
      <c r="CD469" s="41"/>
      <c r="CE469" s="41"/>
      <c r="CF469" s="41"/>
      <c r="CG469" s="41"/>
      <c r="CH469" s="41">
        <f t="shared" si="55"/>
        <v>0</v>
      </c>
      <c r="CI469" s="41">
        <f t="shared" si="53"/>
        <v>0</v>
      </c>
    </row>
    <row r="470" spans="8:87" x14ac:dyDescent="0.25">
      <c r="H470" s="81" t="str">
        <f>IF(Data_NaamPersoonNatVerloop447="","",Data_NaamPersoonNatVerloop447)</f>
        <v/>
      </c>
      <c r="I470" s="41"/>
      <c r="J470" s="41"/>
      <c r="K470" s="83" t="str">
        <f>IF(Data_BeeindigingsdatumNatVerloop447="","",Data_BeeindigingsdatumNatVerloop447)</f>
        <v/>
      </c>
      <c r="L470" s="41"/>
      <c r="M470" s="41"/>
      <c r="N470" s="82" t="str">
        <f>IF(Data_LoonkostenNatVerloop447="","",Data_LoonkostenNatVerloop447)</f>
        <v/>
      </c>
      <c r="O470" s="41"/>
      <c r="P470" s="276" t="s">
        <v>160</v>
      </c>
      <c r="Q470" s="41"/>
      <c r="R470" s="76" t="s">
        <v>160</v>
      </c>
      <c r="S470" s="41"/>
      <c r="T470" s="41"/>
      <c r="U470" s="41"/>
      <c r="V470" s="41"/>
      <c r="W470" s="41">
        <f t="shared" si="48"/>
        <v>0</v>
      </c>
      <c r="X470" s="77" t="str">
        <f t="shared" si="54"/>
        <v/>
      </c>
      <c r="AG470" s="81" t="str">
        <f>IF(Data_NaamPersoonTijd447="","",Data_NaamPersoonTijd447)</f>
        <v/>
      </c>
      <c r="AH470" s="41"/>
      <c r="AI470" s="41"/>
      <c r="AJ470" s="83" t="str">
        <f>IF(Data_BeeindigingsdatumTijd447="","",Data_BeeindigingsdatumTijd447)</f>
        <v/>
      </c>
      <c r="AK470" s="41"/>
      <c r="AL470" s="41"/>
      <c r="AM470" s="82" t="str">
        <f>IF(Data_LoonkostenTijd447="","",Data_LoonkostenTijd447)</f>
        <v/>
      </c>
      <c r="AN470" s="41"/>
      <c r="AO470" s="276" t="str">
        <f>IF(Data_PersoonAanUitTijd447=-1,"v","")</f>
        <v/>
      </c>
      <c r="AP470" s="41"/>
      <c r="AQ470" s="76" t="s">
        <v>160</v>
      </c>
      <c r="AR470" s="41"/>
      <c r="AS470" s="41"/>
      <c r="AT470" s="41"/>
      <c r="AU470" s="41"/>
      <c r="AV470" s="41">
        <f t="shared" si="49"/>
        <v>0</v>
      </c>
      <c r="AW470" s="77">
        <f t="shared" si="50"/>
        <v>0</v>
      </c>
      <c r="AX470" s="41"/>
      <c r="AY470" s="41"/>
      <c r="AZ470" s="41"/>
      <c r="BA470" s="81" t="str">
        <f>IF(Data_NaamPersoonVastVrij447="","",Data_NaamPersoonVastVrij447)</f>
        <v/>
      </c>
      <c r="BB470" s="41"/>
      <c r="BC470" s="41"/>
      <c r="BD470" s="83" t="str">
        <f>IF(Data_BeeindigingsdatumVastVrij447="","",Data_BeeindigingsdatumVastVrij447)</f>
        <v/>
      </c>
      <c r="BE470" s="41"/>
      <c r="BF470" s="41"/>
      <c r="BG470" s="82" t="str">
        <f>IF(Data_LoonkostenVastVrij447="","",Data_LoonkostenVastVrij447)</f>
        <v/>
      </c>
      <c r="BH470" s="41"/>
      <c r="BI470" s="76" t="str">
        <f>IF(Data_PersoonAanUitVastVrij447=-1,"v","")</f>
        <v/>
      </c>
      <c r="BJ470" s="41"/>
      <c r="BK470" s="76" t="s">
        <v>160</v>
      </c>
      <c r="BL470" s="41"/>
      <c r="BM470" s="41"/>
      <c r="BN470" s="41"/>
      <c r="BO470" s="41"/>
      <c r="BP470" s="41">
        <f t="shared" si="51"/>
        <v>0</v>
      </c>
      <c r="BQ470" s="77">
        <f t="shared" si="52"/>
        <v>0</v>
      </c>
      <c r="BS470" s="81" t="str">
        <f>IF(Data_NaamPersoonVastOntslag447="","",Data_NaamPersoonVastOntslag447)</f>
        <v/>
      </c>
      <c r="BV470" s="83" t="str">
        <f>IF(Data_BeeindigingsdatumVastOntslag447="","",Data_BeeindigingsdatumVastOntslag447)</f>
        <v/>
      </c>
      <c r="BY470" s="82" t="str">
        <f>IF(Data_LoonkostenVastOntslag447="","",Data_LoonkostenVastOntslag447)</f>
        <v/>
      </c>
      <c r="CA470" s="76" t="str">
        <f>IF(Data_PersoonAanUitVastOntslag447=-1,"v","")</f>
        <v/>
      </c>
      <c r="CB470" s="41"/>
      <c r="CC470" s="76" t="s">
        <v>160</v>
      </c>
      <c r="CD470" s="41"/>
      <c r="CE470" s="41"/>
      <c r="CF470" s="41"/>
      <c r="CG470" s="41"/>
      <c r="CH470" s="41">
        <f t="shared" si="55"/>
        <v>0</v>
      </c>
      <c r="CI470" s="41">
        <f t="shared" si="53"/>
        <v>0</v>
      </c>
    </row>
    <row r="471" spans="8:87" x14ac:dyDescent="0.25">
      <c r="H471" s="81" t="str">
        <f>IF(Data_NaamPersoonNatVerloop448="","",Data_NaamPersoonNatVerloop448)</f>
        <v/>
      </c>
      <c r="I471" s="41"/>
      <c r="J471" s="41"/>
      <c r="K471" s="83" t="str">
        <f>IF(Data_BeeindigingsdatumNatVerloop448="","",Data_BeeindigingsdatumNatVerloop448)</f>
        <v/>
      </c>
      <c r="L471" s="41"/>
      <c r="M471" s="41"/>
      <c r="N471" s="82" t="str">
        <f>IF(Data_LoonkostenNatVerloop448="","",Data_LoonkostenNatVerloop448)</f>
        <v/>
      </c>
      <c r="O471" s="41"/>
      <c r="P471" s="276" t="s">
        <v>160</v>
      </c>
      <c r="Q471" s="41"/>
      <c r="R471" s="76" t="s">
        <v>160</v>
      </c>
      <c r="S471" s="41"/>
      <c r="T471" s="41"/>
      <c r="U471" s="41"/>
      <c r="V471" s="41"/>
      <c r="W471" s="41">
        <f t="shared" si="48"/>
        <v>0</v>
      </c>
      <c r="X471" s="77" t="str">
        <f t="shared" si="54"/>
        <v/>
      </c>
      <c r="AG471" s="81" t="str">
        <f>IF(Data_NaamPersoonTijd448="","",Data_NaamPersoonTijd448)</f>
        <v/>
      </c>
      <c r="AH471" s="41"/>
      <c r="AI471" s="41"/>
      <c r="AJ471" s="83" t="str">
        <f>IF(Data_BeeindigingsdatumTijd448="","",Data_BeeindigingsdatumTijd448)</f>
        <v/>
      </c>
      <c r="AK471" s="41"/>
      <c r="AL471" s="41"/>
      <c r="AM471" s="82" t="str">
        <f>IF(Data_LoonkostenTijd448="","",Data_LoonkostenTijd448)</f>
        <v/>
      </c>
      <c r="AN471" s="41"/>
      <c r="AO471" s="276" t="str">
        <f>IF(Data_PersoonAanUitTijd448=-1,"v","")</f>
        <v/>
      </c>
      <c r="AP471" s="41"/>
      <c r="AQ471" s="76" t="s">
        <v>160</v>
      </c>
      <c r="AR471" s="41"/>
      <c r="AS471" s="41"/>
      <c r="AT471" s="41"/>
      <c r="AU471" s="41"/>
      <c r="AV471" s="41">
        <f t="shared" si="49"/>
        <v>0</v>
      </c>
      <c r="AW471" s="77">
        <f t="shared" si="50"/>
        <v>0</v>
      </c>
      <c r="AX471" s="41"/>
      <c r="AY471" s="41"/>
      <c r="AZ471" s="41"/>
      <c r="BA471" s="81" t="str">
        <f>IF(Data_NaamPersoonVastVrij448="","",Data_NaamPersoonVastVrij448)</f>
        <v/>
      </c>
      <c r="BB471" s="41"/>
      <c r="BC471" s="41"/>
      <c r="BD471" s="83" t="str">
        <f>IF(Data_BeeindigingsdatumVastVrij448="","",Data_BeeindigingsdatumVastVrij448)</f>
        <v/>
      </c>
      <c r="BE471" s="41"/>
      <c r="BF471" s="41"/>
      <c r="BG471" s="82" t="str">
        <f>IF(Data_LoonkostenVastVrij448="","",Data_LoonkostenVastVrij448)</f>
        <v/>
      </c>
      <c r="BH471" s="41"/>
      <c r="BI471" s="76" t="str">
        <f>IF(Data_PersoonAanUitVastVrij448=-1,"v","")</f>
        <v/>
      </c>
      <c r="BJ471" s="41"/>
      <c r="BK471" s="76" t="s">
        <v>160</v>
      </c>
      <c r="BL471" s="41"/>
      <c r="BM471" s="41"/>
      <c r="BN471" s="41"/>
      <c r="BO471" s="41"/>
      <c r="BP471" s="41">
        <f t="shared" si="51"/>
        <v>0</v>
      </c>
      <c r="BQ471" s="77">
        <f t="shared" si="52"/>
        <v>0</v>
      </c>
      <c r="BS471" s="81" t="str">
        <f>IF(Data_NaamPersoonVastOntslag448="","",Data_NaamPersoonVastOntslag448)</f>
        <v/>
      </c>
      <c r="BV471" s="83" t="str">
        <f>IF(Data_BeeindigingsdatumVastOntslag448="","",Data_BeeindigingsdatumVastOntslag448)</f>
        <v/>
      </c>
      <c r="BY471" s="82" t="str">
        <f>IF(Data_LoonkostenVastOntslag448="","",Data_LoonkostenVastOntslag448)</f>
        <v/>
      </c>
      <c r="CA471" s="76" t="str">
        <f>IF(Data_PersoonAanUitVastOntslag448=-1,"v","")</f>
        <v/>
      </c>
      <c r="CB471" s="41"/>
      <c r="CC471" s="76" t="s">
        <v>160</v>
      </c>
      <c r="CD471" s="41"/>
      <c r="CE471" s="41"/>
      <c r="CF471" s="41"/>
      <c r="CG471" s="41"/>
      <c r="CH471" s="41">
        <f t="shared" si="55"/>
        <v>0</v>
      </c>
      <c r="CI471" s="41">
        <f t="shared" si="53"/>
        <v>0</v>
      </c>
    </row>
    <row r="472" spans="8:87" x14ac:dyDescent="0.25">
      <c r="H472" s="81" t="str">
        <f>IF(Data_NaamPersoonNatVerloop449="","",Data_NaamPersoonNatVerloop449)</f>
        <v/>
      </c>
      <c r="I472" s="41"/>
      <c r="J472" s="41"/>
      <c r="K472" s="83" t="str">
        <f>IF(Data_BeeindigingsdatumNatVerloop449="","",Data_BeeindigingsdatumNatVerloop449)</f>
        <v/>
      </c>
      <c r="L472" s="41"/>
      <c r="M472" s="41"/>
      <c r="N472" s="82" t="str">
        <f>IF(Data_LoonkostenNatVerloop449="","",Data_LoonkostenNatVerloop449)</f>
        <v/>
      </c>
      <c r="O472" s="41"/>
      <c r="P472" s="276" t="s">
        <v>160</v>
      </c>
      <c r="Q472" s="41"/>
      <c r="R472" s="76" t="s">
        <v>160</v>
      </c>
      <c r="S472" s="41"/>
      <c r="T472" s="41"/>
      <c r="U472" s="41"/>
      <c r="V472" s="41"/>
      <c r="W472" s="41">
        <f t="shared" ref="W472:W524" si="56">IF($AO472="v",M472,T472)</f>
        <v>0</v>
      </c>
      <c r="X472" s="77" t="str">
        <f t="shared" si="54"/>
        <v/>
      </c>
      <c r="AG472" s="81" t="str">
        <f>IF(Data_NaamPersoonTijd449="","",Data_NaamPersoonTijd449)</f>
        <v/>
      </c>
      <c r="AH472" s="41"/>
      <c r="AI472" s="41"/>
      <c r="AJ472" s="83" t="str">
        <f>IF(Data_BeeindigingsdatumTijd449="","",Data_BeeindigingsdatumTijd449)</f>
        <v/>
      </c>
      <c r="AK472" s="41"/>
      <c r="AL472" s="41"/>
      <c r="AM472" s="82" t="str">
        <f>IF(Data_LoonkostenTijd449="","",Data_LoonkostenTijd449)</f>
        <v/>
      </c>
      <c r="AN472" s="41"/>
      <c r="AO472" s="276" t="str">
        <f>IF(Data_PersoonAanUitTijd449=-1,"v","")</f>
        <v/>
      </c>
      <c r="AP472" s="41"/>
      <c r="AQ472" s="76" t="s">
        <v>160</v>
      </c>
      <c r="AR472" s="41"/>
      <c r="AS472" s="41"/>
      <c r="AT472" s="41"/>
      <c r="AU472" s="41"/>
      <c r="AV472" s="41">
        <f t="shared" ref="AV472:AV524" si="57">IF($AO472="v",AL472,AS472)</f>
        <v>0</v>
      </c>
      <c r="AW472" s="77">
        <f t="shared" ref="AW472:AW524" si="58">IF(AND($AO472="v",$AQ472="v"),AM472,IF(AND($AO472="v",$AQ472&lt;&gt;"v"),AT472,0))</f>
        <v>0</v>
      </c>
      <c r="AX472" s="41"/>
      <c r="AY472" s="41"/>
      <c r="AZ472" s="41"/>
      <c r="BA472" s="81" t="str">
        <f>IF(Data_NaamPersoonVastVrij449="","",Data_NaamPersoonVastVrij449)</f>
        <v/>
      </c>
      <c r="BB472" s="41"/>
      <c r="BC472" s="41"/>
      <c r="BD472" s="83" t="str">
        <f>IF(Data_BeeindigingsdatumVastVrij449="","",Data_BeeindigingsdatumVastVrij449)</f>
        <v/>
      </c>
      <c r="BE472" s="41"/>
      <c r="BF472" s="41"/>
      <c r="BG472" s="82" t="str">
        <f>IF(Data_LoonkostenVastVrij449="","",Data_LoonkostenVastVrij449)</f>
        <v/>
      </c>
      <c r="BH472" s="41"/>
      <c r="BI472" s="76" t="str">
        <f>IF(Data_PersoonAanUitVastVrij449=-1,"v","")</f>
        <v/>
      </c>
      <c r="BJ472" s="41"/>
      <c r="BK472" s="76" t="s">
        <v>160</v>
      </c>
      <c r="BL472" s="41"/>
      <c r="BM472" s="41"/>
      <c r="BN472" s="41"/>
      <c r="BO472" s="41"/>
      <c r="BP472" s="41">
        <f t="shared" ref="BP472:BP524" si="59">IF($BI472="v",BF472,BM472)</f>
        <v>0</v>
      </c>
      <c r="BQ472" s="77">
        <f t="shared" ref="BQ472:BQ524" si="60">IF(AND($BI472="v",$BK472="v"),BG472,IF(AND($BI472="v",$BK472&lt;&gt;"v"),BN472,0))</f>
        <v>0</v>
      </c>
      <c r="BS472" s="81" t="str">
        <f>IF(Data_NaamPersoonVastOntslag449="","",Data_NaamPersoonVastOntslag449)</f>
        <v/>
      </c>
      <c r="BV472" s="83" t="str">
        <f>IF(Data_BeeindigingsdatumVastOntslag449="","",Data_BeeindigingsdatumVastOntslag449)</f>
        <v/>
      </c>
      <c r="BY472" s="82" t="str">
        <f>IF(Data_LoonkostenVastOntslag449="","",Data_LoonkostenVastOntslag449)</f>
        <v/>
      </c>
      <c r="CA472" s="76" t="str">
        <f>IF(Data_PersoonAanUitVastOntslag449=-1,"v","")</f>
        <v/>
      </c>
      <c r="CB472" s="41"/>
      <c r="CC472" s="76" t="s">
        <v>160</v>
      </c>
      <c r="CD472" s="41"/>
      <c r="CE472" s="41"/>
      <c r="CF472" s="41"/>
      <c r="CG472" s="41"/>
      <c r="CH472" s="41">
        <f t="shared" si="55"/>
        <v>0</v>
      </c>
      <c r="CI472" s="41">
        <f t="shared" ref="CI472:CI524" si="61">IF(AND($CA472="v",$CC472="v"),BY472,IF(AND($CA472="v",$CC472&lt;&gt;"v"),CF471,0))</f>
        <v>0</v>
      </c>
    </row>
    <row r="473" spans="8:87" x14ac:dyDescent="0.25">
      <c r="H473" s="81" t="str">
        <f>IF(Data_NaamPersoonNatVerloop450="","",Data_NaamPersoonNatVerloop450)</f>
        <v/>
      </c>
      <c r="I473" s="41"/>
      <c r="J473" s="41"/>
      <c r="K473" s="83" t="str">
        <f>IF(Data_BeeindigingsdatumNatVerloop450="","",Data_BeeindigingsdatumNatVerloop450)</f>
        <v/>
      </c>
      <c r="L473" s="41"/>
      <c r="M473" s="41"/>
      <c r="N473" s="82" t="str">
        <f>IF(Data_LoonkostenNatVerloop450="","",Data_LoonkostenNatVerloop450)</f>
        <v/>
      </c>
      <c r="O473" s="41"/>
      <c r="P473" s="276" t="s">
        <v>160</v>
      </c>
      <c r="Q473" s="41"/>
      <c r="R473" s="76" t="s">
        <v>160</v>
      </c>
      <c r="S473" s="41"/>
      <c r="T473" s="41"/>
      <c r="U473" s="41"/>
      <c r="V473" s="41"/>
      <c r="W473" s="41">
        <f t="shared" si="56"/>
        <v>0</v>
      </c>
      <c r="X473" s="77" t="str">
        <f t="shared" ref="X473:X524" si="62">IF(AND($P473="v",$R473="v"),N473,IF(AND($P473="v",$R473&lt;&gt;"v"),U473,0))</f>
        <v/>
      </c>
      <c r="AG473" s="81" t="str">
        <f>IF(Data_NaamPersoonTijd450="","",Data_NaamPersoonTijd450)</f>
        <v/>
      </c>
      <c r="AH473" s="41"/>
      <c r="AI473" s="41"/>
      <c r="AJ473" s="83" t="str">
        <f>IF(Data_BeeindigingsdatumTijd450="","",Data_BeeindigingsdatumTijd450)</f>
        <v/>
      </c>
      <c r="AK473" s="41"/>
      <c r="AL473" s="41"/>
      <c r="AM473" s="82" t="str">
        <f>IF(Data_LoonkostenTijd450="","",Data_LoonkostenTijd450)</f>
        <v/>
      </c>
      <c r="AN473" s="41"/>
      <c r="AO473" s="276" t="str">
        <f>IF(Data_PersoonAanUitTijd450=-1,"v","")</f>
        <v/>
      </c>
      <c r="AP473" s="41"/>
      <c r="AQ473" s="76" t="s">
        <v>160</v>
      </c>
      <c r="AR473" s="41"/>
      <c r="AS473" s="41"/>
      <c r="AT473" s="41"/>
      <c r="AU473" s="41"/>
      <c r="AV473" s="41">
        <f t="shared" si="57"/>
        <v>0</v>
      </c>
      <c r="AW473" s="77">
        <f t="shared" si="58"/>
        <v>0</v>
      </c>
      <c r="AX473" s="41"/>
      <c r="AY473" s="41"/>
      <c r="AZ473" s="41"/>
      <c r="BA473" s="81" t="str">
        <f>IF(Data_NaamPersoonVastVrij450="","",Data_NaamPersoonVastVrij450)</f>
        <v/>
      </c>
      <c r="BB473" s="41"/>
      <c r="BC473" s="41"/>
      <c r="BD473" s="83" t="str">
        <f>IF(Data_BeeindigingsdatumVastVrij450="","",Data_BeeindigingsdatumVastVrij450)</f>
        <v/>
      </c>
      <c r="BE473" s="41"/>
      <c r="BF473" s="41"/>
      <c r="BG473" s="82" t="str">
        <f>IF(Data_LoonkostenVastVrij450="","",Data_LoonkostenVastVrij450)</f>
        <v/>
      </c>
      <c r="BH473" s="41"/>
      <c r="BI473" s="76" t="str">
        <f>IF(Data_PersoonAanUitVastVrij450=-1,"v","")</f>
        <v/>
      </c>
      <c r="BJ473" s="41"/>
      <c r="BK473" s="76" t="s">
        <v>160</v>
      </c>
      <c r="BL473" s="41"/>
      <c r="BM473" s="41"/>
      <c r="BN473" s="41"/>
      <c r="BO473" s="41"/>
      <c r="BP473" s="41">
        <f t="shared" si="59"/>
        <v>0</v>
      </c>
      <c r="BQ473" s="77">
        <f t="shared" si="60"/>
        <v>0</v>
      </c>
      <c r="BS473" s="81" t="str">
        <f>IF(Data_NaamPersoonVastOntslag450="","",Data_NaamPersoonVastOntslag450)</f>
        <v/>
      </c>
      <c r="BV473" s="83" t="str">
        <f>IF(Data_BeeindigingsdatumVastOntslag450="","",Data_BeeindigingsdatumVastOntslag450)</f>
        <v/>
      </c>
      <c r="BY473" s="82" t="str">
        <f>IF(Data_LoonkostenVastOntslag450="","",Data_LoonkostenVastOntslag450)</f>
        <v/>
      </c>
      <c r="CA473" s="76" t="str">
        <f>IF(Data_PersoonAanUitVastOntslag450=-1,"v","")</f>
        <v/>
      </c>
      <c r="CB473" s="41"/>
      <c r="CC473" s="76" t="s">
        <v>160</v>
      </c>
      <c r="CD473" s="41"/>
      <c r="CE473" s="41"/>
      <c r="CF473" s="41"/>
      <c r="CG473" s="41"/>
      <c r="CH473" s="41">
        <f t="shared" ref="CH473:CH524" si="63">IF($CA473="v",BX473,CE473)</f>
        <v>0</v>
      </c>
      <c r="CI473" s="41">
        <f t="shared" si="61"/>
        <v>0</v>
      </c>
    </row>
    <row r="474" spans="8:87" x14ac:dyDescent="0.25">
      <c r="H474" s="81" t="str">
        <f>IF(Data_NaamPersoonNatVerloop451="","",Data_NaamPersoonNatVerloop451)</f>
        <v/>
      </c>
      <c r="I474" s="41"/>
      <c r="J474" s="41"/>
      <c r="K474" s="83" t="str">
        <f>IF(Data_BeeindigingsdatumNatVerloop451="","",Data_BeeindigingsdatumNatVerloop451)</f>
        <v/>
      </c>
      <c r="L474" s="41"/>
      <c r="M474" s="41"/>
      <c r="N474" s="82" t="str">
        <f>IF(Data_LoonkostenNatVerloop451="","",Data_LoonkostenNatVerloop451)</f>
        <v/>
      </c>
      <c r="O474" s="41"/>
      <c r="P474" s="276" t="s">
        <v>160</v>
      </c>
      <c r="Q474" s="41"/>
      <c r="R474" s="76" t="s">
        <v>160</v>
      </c>
      <c r="S474" s="41"/>
      <c r="T474" s="41"/>
      <c r="U474" s="41"/>
      <c r="V474" s="41"/>
      <c r="W474" s="41">
        <f t="shared" si="56"/>
        <v>0</v>
      </c>
      <c r="X474" s="77" t="str">
        <f t="shared" si="62"/>
        <v/>
      </c>
      <c r="AG474" s="81" t="str">
        <f>IF(Data_NaamPersoonTijd451="","",Data_NaamPersoonTijd451)</f>
        <v/>
      </c>
      <c r="AH474" s="41"/>
      <c r="AI474" s="41"/>
      <c r="AJ474" s="83" t="str">
        <f>IF(Data_BeeindigingsdatumTijd451="","",Data_BeeindigingsdatumTijd451)</f>
        <v/>
      </c>
      <c r="AK474" s="41"/>
      <c r="AL474" s="41"/>
      <c r="AM474" s="82" t="str">
        <f>IF(Data_LoonkostenTijd451="","",Data_LoonkostenTijd451)</f>
        <v/>
      </c>
      <c r="AN474" s="41"/>
      <c r="AO474" s="276" t="str">
        <f>IF(Data_PersoonAanUitTijd451=-1,"v","")</f>
        <v/>
      </c>
      <c r="AP474" s="41"/>
      <c r="AQ474" s="76" t="s">
        <v>160</v>
      </c>
      <c r="AR474" s="41"/>
      <c r="AS474" s="41"/>
      <c r="AT474" s="41"/>
      <c r="AU474" s="41"/>
      <c r="AV474" s="41">
        <f t="shared" si="57"/>
        <v>0</v>
      </c>
      <c r="AW474" s="77">
        <f t="shared" si="58"/>
        <v>0</v>
      </c>
      <c r="AX474" s="41"/>
      <c r="AY474" s="41"/>
      <c r="AZ474" s="41"/>
      <c r="BA474" s="81" t="str">
        <f>IF(Data_NaamPersoonVastVrij451="","",Data_NaamPersoonVastVrij451)</f>
        <v/>
      </c>
      <c r="BB474" s="41"/>
      <c r="BC474" s="41"/>
      <c r="BD474" s="83" t="str">
        <f>IF(Data_BeeindigingsdatumVastVrij451="","",Data_BeeindigingsdatumVastVrij451)</f>
        <v/>
      </c>
      <c r="BE474" s="41"/>
      <c r="BF474" s="41"/>
      <c r="BG474" s="82" t="str">
        <f>IF(Data_LoonkostenVastVrij451="","",Data_LoonkostenVastVrij451)</f>
        <v/>
      </c>
      <c r="BH474" s="41"/>
      <c r="BI474" s="76" t="str">
        <f>IF(Data_PersoonAanUitVastVrij451=-1,"v","")</f>
        <v/>
      </c>
      <c r="BJ474" s="41"/>
      <c r="BK474" s="76" t="s">
        <v>160</v>
      </c>
      <c r="BL474" s="41"/>
      <c r="BM474" s="41"/>
      <c r="BN474" s="41"/>
      <c r="BO474" s="41"/>
      <c r="BP474" s="41">
        <f t="shared" si="59"/>
        <v>0</v>
      </c>
      <c r="BQ474" s="77">
        <f t="shared" si="60"/>
        <v>0</v>
      </c>
      <c r="BS474" s="81" t="str">
        <f>IF(Data_NaamPersoonVastOntslag451="","",Data_NaamPersoonVastOntslag451)</f>
        <v/>
      </c>
      <c r="BV474" s="83" t="str">
        <f>IF(Data_BeeindigingsdatumVastOntslag451="","",Data_BeeindigingsdatumVastOntslag451)</f>
        <v/>
      </c>
      <c r="BY474" s="82" t="str">
        <f>IF(Data_LoonkostenVastOntslag451="","",Data_LoonkostenVastOntslag451)</f>
        <v/>
      </c>
      <c r="CA474" s="76" t="str">
        <f>IF(Data_PersoonAanUitVastOntslag451=-1,"v","")</f>
        <v/>
      </c>
      <c r="CB474" s="41"/>
      <c r="CC474" s="76" t="s">
        <v>160</v>
      </c>
      <c r="CD474" s="41"/>
      <c r="CE474" s="41"/>
      <c r="CF474" s="41"/>
      <c r="CG474" s="41"/>
      <c r="CH474" s="41">
        <f t="shared" si="63"/>
        <v>0</v>
      </c>
      <c r="CI474" s="41">
        <f t="shared" si="61"/>
        <v>0</v>
      </c>
    </row>
    <row r="475" spans="8:87" x14ac:dyDescent="0.25">
      <c r="H475" s="81" t="str">
        <f>IF(Data_NaamPersoonNatVerloop452="","",Data_NaamPersoonNatVerloop452)</f>
        <v/>
      </c>
      <c r="I475" s="41"/>
      <c r="J475" s="41"/>
      <c r="K475" s="83" t="str">
        <f>IF(Data_BeeindigingsdatumNatVerloop452="","",Data_BeeindigingsdatumNatVerloop452)</f>
        <v/>
      </c>
      <c r="L475" s="41"/>
      <c r="M475" s="41"/>
      <c r="N475" s="82" t="str">
        <f>IF(Data_LoonkostenNatVerloop452="","",Data_LoonkostenNatVerloop452)</f>
        <v/>
      </c>
      <c r="O475" s="41"/>
      <c r="P475" s="276" t="s">
        <v>160</v>
      </c>
      <c r="Q475" s="41"/>
      <c r="R475" s="76" t="s">
        <v>160</v>
      </c>
      <c r="S475" s="41"/>
      <c r="T475" s="41"/>
      <c r="U475" s="41"/>
      <c r="V475" s="41"/>
      <c r="W475" s="41">
        <f t="shared" si="56"/>
        <v>0</v>
      </c>
      <c r="X475" s="77" t="str">
        <f t="shared" si="62"/>
        <v/>
      </c>
      <c r="AG475" s="81" t="str">
        <f>IF(Data_NaamPersoonTijd452="","",Data_NaamPersoonTijd452)</f>
        <v/>
      </c>
      <c r="AH475" s="41"/>
      <c r="AI475" s="41"/>
      <c r="AJ475" s="83" t="str">
        <f>IF(Data_BeeindigingsdatumTijd452="","",Data_BeeindigingsdatumTijd452)</f>
        <v/>
      </c>
      <c r="AK475" s="41"/>
      <c r="AL475" s="41"/>
      <c r="AM475" s="82" t="str">
        <f>IF(Data_LoonkostenTijd452="","",Data_LoonkostenTijd452)</f>
        <v/>
      </c>
      <c r="AN475" s="41"/>
      <c r="AO475" s="276" t="str">
        <f>IF(Data_PersoonAanUitTijd452=-1,"v","")</f>
        <v/>
      </c>
      <c r="AP475" s="41"/>
      <c r="AQ475" s="76" t="s">
        <v>160</v>
      </c>
      <c r="AR475" s="41"/>
      <c r="AS475" s="41"/>
      <c r="AT475" s="41"/>
      <c r="AU475" s="41"/>
      <c r="AV475" s="41">
        <f t="shared" si="57"/>
        <v>0</v>
      </c>
      <c r="AW475" s="77">
        <f t="shared" si="58"/>
        <v>0</v>
      </c>
      <c r="AX475" s="41"/>
      <c r="AY475" s="41"/>
      <c r="AZ475" s="41"/>
      <c r="BA475" s="81" t="str">
        <f>IF(Data_NaamPersoonVastVrij452="","",Data_NaamPersoonVastVrij452)</f>
        <v/>
      </c>
      <c r="BB475" s="41"/>
      <c r="BC475" s="41"/>
      <c r="BD475" s="83" t="str">
        <f>IF(Data_BeeindigingsdatumVastVrij452="","",Data_BeeindigingsdatumVastVrij452)</f>
        <v/>
      </c>
      <c r="BE475" s="41"/>
      <c r="BF475" s="41"/>
      <c r="BG475" s="82" t="str">
        <f>IF(Data_LoonkostenVastVrij452="","",Data_LoonkostenVastVrij452)</f>
        <v/>
      </c>
      <c r="BH475" s="41"/>
      <c r="BI475" s="76" t="str">
        <f>IF(Data_PersoonAanUitVastVrij452=-1,"v","")</f>
        <v/>
      </c>
      <c r="BJ475" s="41"/>
      <c r="BK475" s="76" t="s">
        <v>160</v>
      </c>
      <c r="BL475" s="41"/>
      <c r="BM475" s="41"/>
      <c r="BN475" s="41"/>
      <c r="BO475" s="41"/>
      <c r="BP475" s="41">
        <f t="shared" si="59"/>
        <v>0</v>
      </c>
      <c r="BQ475" s="77">
        <f t="shared" si="60"/>
        <v>0</v>
      </c>
      <c r="BS475" s="81" t="str">
        <f>IF(Data_NaamPersoonVastOntslag452="","",Data_NaamPersoonVastOntslag452)</f>
        <v/>
      </c>
      <c r="BV475" s="83" t="str">
        <f>IF(Data_BeeindigingsdatumVastOntslag452="","",Data_BeeindigingsdatumVastOntslag452)</f>
        <v/>
      </c>
      <c r="BY475" s="82" t="str">
        <f>IF(Data_LoonkostenVastOntslag452="","",Data_LoonkostenVastOntslag452)</f>
        <v/>
      </c>
      <c r="CA475" s="76" t="str">
        <f>IF(Data_PersoonAanUitVastOntslag452=-1,"v","")</f>
        <v/>
      </c>
      <c r="CB475" s="41"/>
      <c r="CC475" s="76" t="s">
        <v>160</v>
      </c>
      <c r="CD475" s="41"/>
      <c r="CE475" s="41"/>
      <c r="CF475" s="41"/>
      <c r="CG475" s="41"/>
      <c r="CH475" s="41">
        <f t="shared" si="63"/>
        <v>0</v>
      </c>
      <c r="CI475" s="41">
        <f t="shared" si="61"/>
        <v>0</v>
      </c>
    </row>
    <row r="476" spans="8:87" x14ac:dyDescent="0.25">
      <c r="H476" s="81" t="str">
        <f>IF(Data_NaamPersoonNatVerloop453="","",Data_NaamPersoonNatVerloop453)</f>
        <v/>
      </c>
      <c r="I476" s="41"/>
      <c r="J476" s="41"/>
      <c r="K476" s="83" t="str">
        <f>IF(Data_BeeindigingsdatumNatVerloop453="","",Data_BeeindigingsdatumNatVerloop453)</f>
        <v/>
      </c>
      <c r="L476" s="41"/>
      <c r="M476" s="41"/>
      <c r="N476" s="82" t="str">
        <f>IF(Data_LoonkostenNatVerloop453="","",Data_LoonkostenNatVerloop453)</f>
        <v/>
      </c>
      <c r="O476" s="41"/>
      <c r="P476" s="276" t="s">
        <v>160</v>
      </c>
      <c r="Q476" s="41"/>
      <c r="R476" s="76" t="s">
        <v>160</v>
      </c>
      <c r="S476" s="41"/>
      <c r="T476" s="41"/>
      <c r="U476" s="41"/>
      <c r="V476" s="41"/>
      <c r="W476" s="41">
        <f t="shared" si="56"/>
        <v>0</v>
      </c>
      <c r="X476" s="77" t="str">
        <f t="shared" si="62"/>
        <v/>
      </c>
      <c r="AG476" s="81" t="str">
        <f>IF(Data_NaamPersoonTijd453="","",Data_NaamPersoonTijd453)</f>
        <v/>
      </c>
      <c r="AH476" s="41"/>
      <c r="AI476" s="41"/>
      <c r="AJ476" s="83" t="str">
        <f>IF(Data_BeeindigingsdatumTijd453="","",Data_BeeindigingsdatumTijd453)</f>
        <v/>
      </c>
      <c r="AK476" s="41"/>
      <c r="AL476" s="41"/>
      <c r="AM476" s="82" t="str">
        <f>IF(Data_LoonkostenTijd453="","",Data_LoonkostenTijd453)</f>
        <v/>
      </c>
      <c r="AN476" s="41"/>
      <c r="AO476" s="276" t="str">
        <f>IF(Data_PersoonAanUitTijd453=-1,"v","")</f>
        <v/>
      </c>
      <c r="AP476" s="41"/>
      <c r="AQ476" s="76" t="s">
        <v>160</v>
      </c>
      <c r="AR476" s="41"/>
      <c r="AS476" s="41"/>
      <c r="AT476" s="41"/>
      <c r="AU476" s="41"/>
      <c r="AV476" s="41">
        <f t="shared" si="57"/>
        <v>0</v>
      </c>
      <c r="AW476" s="77">
        <f t="shared" si="58"/>
        <v>0</v>
      </c>
      <c r="AX476" s="41"/>
      <c r="AY476" s="41"/>
      <c r="AZ476" s="41"/>
      <c r="BA476" s="81" t="str">
        <f>IF(Data_NaamPersoonVastVrij453="","",Data_NaamPersoonVastVrij453)</f>
        <v/>
      </c>
      <c r="BB476" s="41"/>
      <c r="BC476" s="41"/>
      <c r="BD476" s="83" t="str">
        <f>IF(Data_BeeindigingsdatumVastVrij453="","",Data_BeeindigingsdatumVastVrij453)</f>
        <v/>
      </c>
      <c r="BE476" s="41"/>
      <c r="BF476" s="41"/>
      <c r="BG476" s="82" t="str">
        <f>IF(Data_LoonkostenVastVrij453="","",Data_LoonkostenVastVrij453)</f>
        <v/>
      </c>
      <c r="BH476" s="41"/>
      <c r="BI476" s="76" t="str">
        <f>IF(Data_PersoonAanUitVastVrij453=-1,"v","")</f>
        <v/>
      </c>
      <c r="BJ476" s="41"/>
      <c r="BK476" s="76" t="s">
        <v>160</v>
      </c>
      <c r="BL476" s="41"/>
      <c r="BM476" s="41"/>
      <c r="BN476" s="41"/>
      <c r="BO476" s="41"/>
      <c r="BP476" s="41">
        <f t="shared" si="59"/>
        <v>0</v>
      </c>
      <c r="BQ476" s="77">
        <f t="shared" si="60"/>
        <v>0</v>
      </c>
      <c r="BS476" s="81" t="str">
        <f>IF(Data_NaamPersoonVastOntslag453="","",Data_NaamPersoonVastOntslag453)</f>
        <v/>
      </c>
      <c r="BV476" s="83" t="str">
        <f>IF(Data_BeeindigingsdatumVastOntslag453="","",Data_BeeindigingsdatumVastOntslag453)</f>
        <v/>
      </c>
      <c r="BY476" s="82" t="str">
        <f>IF(Data_LoonkostenVastOntslag453="","",Data_LoonkostenVastOntslag453)</f>
        <v/>
      </c>
      <c r="CA476" s="76" t="str">
        <f>IF(Data_PersoonAanUitVastOntslag453=-1,"v","")</f>
        <v/>
      </c>
      <c r="CB476" s="41"/>
      <c r="CC476" s="76" t="s">
        <v>160</v>
      </c>
      <c r="CD476" s="41"/>
      <c r="CE476" s="41"/>
      <c r="CF476" s="41"/>
      <c r="CG476" s="41"/>
      <c r="CH476" s="41">
        <f t="shared" si="63"/>
        <v>0</v>
      </c>
      <c r="CI476" s="41">
        <f t="shared" si="61"/>
        <v>0</v>
      </c>
    </row>
    <row r="477" spans="8:87" x14ac:dyDescent="0.25">
      <c r="H477" s="81" t="str">
        <f>IF(Data_NaamPersoonNatVerloop454="","",Data_NaamPersoonNatVerloop454)</f>
        <v/>
      </c>
      <c r="I477" s="41"/>
      <c r="J477" s="41"/>
      <c r="K477" s="83" t="str">
        <f>IF(Data_BeeindigingsdatumNatVerloop454="","",Data_BeeindigingsdatumNatVerloop454)</f>
        <v/>
      </c>
      <c r="L477" s="41"/>
      <c r="M477" s="41"/>
      <c r="N477" s="82" t="str">
        <f>IF(Data_LoonkostenNatVerloop454="","",Data_LoonkostenNatVerloop454)</f>
        <v/>
      </c>
      <c r="O477" s="41"/>
      <c r="P477" s="276" t="s">
        <v>160</v>
      </c>
      <c r="Q477" s="41"/>
      <c r="R477" s="76" t="s">
        <v>160</v>
      </c>
      <c r="S477" s="41"/>
      <c r="T477" s="41"/>
      <c r="U477" s="41"/>
      <c r="V477" s="41"/>
      <c r="W477" s="41">
        <f t="shared" si="56"/>
        <v>0</v>
      </c>
      <c r="X477" s="77" t="str">
        <f t="shared" si="62"/>
        <v/>
      </c>
      <c r="AG477" s="81" t="str">
        <f>IF(Data_NaamPersoonTijd454="","",Data_NaamPersoonTijd454)</f>
        <v/>
      </c>
      <c r="AH477" s="41"/>
      <c r="AI477" s="41"/>
      <c r="AJ477" s="83" t="str">
        <f>IF(Data_BeeindigingsdatumTijd454="","",Data_BeeindigingsdatumTijd454)</f>
        <v/>
      </c>
      <c r="AK477" s="41"/>
      <c r="AL477" s="41"/>
      <c r="AM477" s="82" t="str">
        <f>IF(Data_LoonkostenTijd454="","",Data_LoonkostenTijd454)</f>
        <v/>
      </c>
      <c r="AN477" s="41"/>
      <c r="AO477" s="276" t="str">
        <f>IF(Data_PersoonAanUitTijd454=-1,"v","")</f>
        <v/>
      </c>
      <c r="AP477" s="41"/>
      <c r="AQ477" s="76" t="s">
        <v>160</v>
      </c>
      <c r="AR477" s="41"/>
      <c r="AS477" s="41"/>
      <c r="AT477" s="41"/>
      <c r="AU477" s="41"/>
      <c r="AV477" s="41">
        <f t="shared" si="57"/>
        <v>0</v>
      </c>
      <c r="AW477" s="77">
        <f t="shared" si="58"/>
        <v>0</v>
      </c>
      <c r="AX477" s="41"/>
      <c r="AY477" s="41"/>
      <c r="AZ477" s="41"/>
      <c r="BA477" s="81" t="str">
        <f>IF(Data_NaamPersoonVastVrij454="","",Data_NaamPersoonVastVrij454)</f>
        <v/>
      </c>
      <c r="BB477" s="41"/>
      <c r="BC477" s="41"/>
      <c r="BD477" s="83" t="str">
        <f>IF(Data_BeeindigingsdatumVastVrij454="","",Data_BeeindigingsdatumVastVrij454)</f>
        <v/>
      </c>
      <c r="BE477" s="41"/>
      <c r="BF477" s="41"/>
      <c r="BG477" s="82" t="str">
        <f>IF(Data_LoonkostenVastVrij454="","",Data_LoonkostenVastVrij454)</f>
        <v/>
      </c>
      <c r="BH477" s="41"/>
      <c r="BI477" s="76" t="str">
        <f>IF(Data_PersoonAanUitVastVrij454=-1,"v","")</f>
        <v/>
      </c>
      <c r="BJ477" s="41"/>
      <c r="BK477" s="76" t="s">
        <v>160</v>
      </c>
      <c r="BL477" s="41"/>
      <c r="BM477" s="41"/>
      <c r="BN477" s="41"/>
      <c r="BO477" s="41"/>
      <c r="BP477" s="41">
        <f t="shared" si="59"/>
        <v>0</v>
      </c>
      <c r="BQ477" s="77">
        <f t="shared" si="60"/>
        <v>0</v>
      </c>
      <c r="BS477" s="81" t="str">
        <f>IF(Data_NaamPersoonVastOntslag454="","",Data_NaamPersoonVastOntslag454)</f>
        <v/>
      </c>
      <c r="BV477" s="83" t="str">
        <f>IF(Data_BeeindigingsdatumVastOntslag454="","",Data_BeeindigingsdatumVastOntslag454)</f>
        <v/>
      </c>
      <c r="BY477" s="82" t="str">
        <f>IF(Data_LoonkostenVastOntslag454="","",Data_LoonkostenVastOntslag454)</f>
        <v/>
      </c>
      <c r="CA477" s="76" t="str">
        <f>IF(Data_PersoonAanUitVastOntslag454=-1,"v","")</f>
        <v/>
      </c>
      <c r="CB477" s="41"/>
      <c r="CC477" s="76" t="s">
        <v>160</v>
      </c>
      <c r="CD477" s="41"/>
      <c r="CE477" s="41"/>
      <c r="CF477" s="41"/>
      <c r="CG477" s="41"/>
      <c r="CH477" s="41">
        <f t="shared" si="63"/>
        <v>0</v>
      </c>
      <c r="CI477" s="41">
        <f t="shared" si="61"/>
        <v>0</v>
      </c>
    </row>
    <row r="478" spans="8:87" x14ac:dyDescent="0.25">
      <c r="H478" s="81" t="str">
        <f>IF(Data_NaamPersoonNatVerloop455="","",Data_NaamPersoonNatVerloop455)</f>
        <v/>
      </c>
      <c r="I478" s="41"/>
      <c r="J478" s="41"/>
      <c r="K478" s="83" t="str">
        <f>IF(Data_BeeindigingsdatumNatVerloop455="","",Data_BeeindigingsdatumNatVerloop455)</f>
        <v/>
      </c>
      <c r="L478" s="41"/>
      <c r="M478" s="41"/>
      <c r="N478" s="82" t="str">
        <f>IF(Data_LoonkostenNatVerloop455="","",Data_LoonkostenNatVerloop455)</f>
        <v/>
      </c>
      <c r="O478" s="41"/>
      <c r="P478" s="276" t="s">
        <v>160</v>
      </c>
      <c r="Q478" s="41"/>
      <c r="R478" s="76" t="s">
        <v>160</v>
      </c>
      <c r="S478" s="41"/>
      <c r="T478" s="41"/>
      <c r="U478" s="41"/>
      <c r="V478" s="41"/>
      <c r="W478" s="41">
        <f t="shared" si="56"/>
        <v>0</v>
      </c>
      <c r="X478" s="77" t="str">
        <f t="shared" si="62"/>
        <v/>
      </c>
      <c r="AG478" s="81" t="str">
        <f>IF(Data_NaamPersoonTijd455="","",Data_NaamPersoonTijd455)</f>
        <v/>
      </c>
      <c r="AH478" s="41"/>
      <c r="AI478" s="41"/>
      <c r="AJ478" s="83" t="str">
        <f>IF(Data_BeeindigingsdatumTijd455="","",Data_BeeindigingsdatumTijd455)</f>
        <v/>
      </c>
      <c r="AK478" s="41"/>
      <c r="AL478" s="41"/>
      <c r="AM478" s="82" t="str">
        <f>IF(Data_LoonkostenTijd455="","",Data_LoonkostenTijd455)</f>
        <v/>
      </c>
      <c r="AN478" s="41"/>
      <c r="AO478" s="276" t="str">
        <f>IF(Data_PersoonAanUitTijd455=-1,"v","")</f>
        <v/>
      </c>
      <c r="AP478" s="41"/>
      <c r="AQ478" s="76" t="s">
        <v>160</v>
      </c>
      <c r="AR478" s="41"/>
      <c r="AS478" s="41"/>
      <c r="AT478" s="41"/>
      <c r="AU478" s="41"/>
      <c r="AV478" s="41">
        <f t="shared" si="57"/>
        <v>0</v>
      </c>
      <c r="AW478" s="77">
        <f t="shared" si="58"/>
        <v>0</v>
      </c>
      <c r="AX478" s="41"/>
      <c r="AY478" s="41"/>
      <c r="AZ478" s="41"/>
      <c r="BA478" s="81" t="str">
        <f>IF(Data_NaamPersoonVastVrij455="","",Data_NaamPersoonVastVrij455)</f>
        <v/>
      </c>
      <c r="BB478" s="41"/>
      <c r="BC478" s="41"/>
      <c r="BD478" s="83" t="str">
        <f>IF(Data_BeeindigingsdatumVastVrij455="","",Data_BeeindigingsdatumVastVrij455)</f>
        <v/>
      </c>
      <c r="BE478" s="41"/>
      <c r="BF478" s="41"/>
      <c r="BG478" s="82" t="str">
        <f>IF(Data_LoonkostenVastVrij455="","",Data_LoonkostenVastVrij455)</f>
        <v/>
      </c>
      <c r="BH478" s="41"/>
      <c r="BI478" s="76" t="str">
        <f>IF(Data_PersoonAanUitVastVrij455=-1,"v","")</f>
        <v/>
      </c>
      <c r="BJ478" s="41"/>
      <c r="BK478" s="76" t="s">
        <v>160</v>
      </c>
      <c r="BL478" s="41"/>
      <c r="BM478" s="41"/>
      <c r="BN478" s="41"/>
      <c r="BO478" s="41"/>
      <c r="BP478" s="41">
        <f t="shared" si="59"/>
        <v>0</v>
      </c>
      <c r="BQ478" s="77">
        <f t="shared" si="60"/>
        <v>0</v>
      </c>
      <c r="BS478" s="81" t="str">
        <f>IF(Data_NaamPersoonVastOntslag455="","",Data_NaamPersoonVastOntslag455)</f>
        <v/>
      </c>
      <c r="BV478" s="83" t="str">
        <f>IF(Data_BeeindigingsdatumVastOntslag455="","",Data_BeeindigingsdatumVastOntslag455)</f>
        <v/>
      </c>
      <c r="BY478" s="82" t="str">
        <f>IF(Data_LoonkostenVastOntslag455="","",Data_LoonkostenVastOntslag455)</f>
        <v/>
      </c>
      <c r="CA478" s="76" t="str">
        <f>IF(Data_PersoonAanUitVastOntslag455=-1,"v","")</f>
        <v/>
      </c>
      <c r="CB478" s="41"/>
      <c r="CC478" s="76" t="s">
        <v>160</v>
      </c>
      <c r="CD478" s="41"/>
      <c r="CE478" s="41"/>
      <c r="CF478" s="41"/>
      <c r="CG478" s="41"/>
      <c r="CH478" s="41">
        <f t="shared" si="63"/>
        <v>0</v>
      </c>
      <c r="CI478" s="41">
        <f t="shared" si="61"/>
        <v>0</v>
      </c>
    </row>
    <row r="479" spans="8:87" x14ac:dyDescent="0.25">
      <c r="H479" s="81" t="str">
        <f>IF(Data_NaamPersoonNatVerloop456="","",Data_NaamPersoonNatVerloop456)</f>
        <v/>
      </c>
      <c r="I479" s="41"/>
      <c r="J479" s="41"/>
      <c r="K479" s="83" t="str">
        <f>IF(Data_BeeindigingsdatumNatVerloop456="","",Data_BeeindigingsdatumNatVerloop456)</f>
        <v/>
      </c>
      <c r="L479" s="41"/>
      <c r="M479" s="41"/>
      <c r="N479" s="82" t="str">
        <f>IF(Data_LoonkostenNatVerloop456="","",Data_LoonkostenNatVerloop456)</f>
        <v/>
      </c>
      <c r="O479" s="41"/>
      <c r="P479" s="276" t="s">
        <v>160</v>
      </c>
      <c r="Q479" s="41"/>
      <c r="R479" s="76" t="s">
        <v>160</v>
      </c>
      <c r="S479" s="41"/>
      <c r="T479" s="41"/>
      <c r="U479" s="41"/>
      <c r="V479" s="41"/>
      <c r="W479" s="41">
        <f t="shared" si="56"/>
        <v>0</v>
      </c>
      <c r="X479" s="77" t="str">
        <f t="shared" si="62"/>
        <v/>
      </c>
      <c r="AG479" s="81" t="str">
        <f>IF(Data_NaamPersoonTijd456="","",Data_NaamPersoonTijd456)</f>
        <v/>
      </c>
      <c r="AH479" s="41"/>
      <c r="AI479" s="41"/>
      <c r="AJ479" s="83" t="str">
        <f>IF(Data_BeeindigingsdatumTijd456="","",Data_BeeindigingsdatumTijd456)</f>
        <v/>
      </c>
      <c r="AK479" s="41"/>
      <c r="AL479" s="41"/>
      <c r="AM479" s="82" t="str">
        <f>IF(Data_LoonkostenTijd456="","",Data_LoonkostenTijd456)</f>
        <v/>
      </c>
      <c r="AN479" s="41"/>
      <c r="AO479" s="276" t="str">
        <f>IF(Data_PersoonAanUitTijd456=-1,"v","")</f>
        <v/>
      </c>
      <c r="AP479" s="41"/>
      <c r="AQ479" s="76" t="s">
        <v>160</v>
      </c>
      <c r="AR479" s="41"/>
      <c r="AS479" s="41"/>
      <c r="AT479" s="41"/>
      <c r="AU479" s="41"/>
      <c r="AV479" s="41">
        <f t="shared" si="57"/>
        <v>0</v>
      </c>
      <c r="AW479" s="77">
        <f t="shared" si="58"/>
        <v>0</v>
      </c>
      <c r="AX479" s="41"/>
      <c r="AY479" s="41"/>
      <c r="AZ479" s="41"/>
      <c r="BA479" s="81" t="str">
        <f>IF(Data_NaamPersoonVastVrij456="","",Data_NaamPersoonVastVrij456)</f>
        <v/>
      </c>
      <c r="BB479" s="41"/>
      <c r="BC479" s="41"/>
      <c r="BD479" s="83" t="str">
        <f>IF(Data_BeeindigingsdatumVastVrij456="","",Data_BeeindigingsdatumVastVrij456)</f>
        <v/>
      </c>
      <c r="BE479" s="41"/>
      <c r="BF479" s="41"/>
      <c r="BG479" s="82" t="str">
        <f>IF(Data_LoonkostenVastVrij456="","",Data_LoonkostenVastVrij456)</f>
        <v/>
      </c>
      <c r="BH479" s="41"/>
      <c r="BI479" s="76" t="str">
        <f>IF(Data_PersoonAanUitVastVrij456=-1,"v","")</f>
        <v/>
      </c>
      <c r="BJ479" s="41"/>
      <c r="BK479" s="76" t="s">
        <v>160</v>
      </c>
      <c r="BL479" s="41"/>
      <c r="BM479" s="41"/>
      <c r="BN479" s="41"/>
      <c r="BO479" s="41"/>
      <c r="BP479" s="41">
        <f t="shared" si="59"/>
        <v>0</v>
      </c>
      <c r="BQ479" s="77">
        <f t="shared" si="60"/>
        <v>0</v>
      </c>
      <c r="BS479" s="81" t="str">
        <f>IF(Data_NaamPersoonVastOntslag456="","",Data_NaamPersoonVastOntslag456)</f>
        <v/>
      </c>
      <c r="BV479" s="83" t="str">
        <f>IF(Data_BeeindigingsdatumVastOntslag456="","",Data_BeeindigingsdatumVastOntslag456)</f>
        <v/>
      </c>
      <c r="BY479" s="82" t="str">
        <f>IF(Data_LoonkostenVastOntslag456="","",Data_LoonkostenVastOntslag456)</f>
        <v/>
      </c>
      <c r="CA479" s="76" t="str">
        <f>IF(Data_PersoonAanUitVastOntslag456=-1,"v","")</f>
        <v/>
      </c>
      <c r="CB479" s="41"/>
      <c r="CC479" s="76" t="s">
        <v>160</v>
      </c>
      <c r="CD479" s="41"/>
      <c r="CE479" s="41"/>
      <c r="CF479" s="41"/>
      <c r="CG479" s="41"/>
      <c r="CH479" s="41">
        <f t="shared" si="63"/>
        <v>0</v>
      </c>
      <c r="CI479" s="41">
        <f t="shared" si="61"/>
        <v>0</v>
      </c>
    </row>
    <row r="480" spans="8:87" x14ac:dyDescent="0.25">
      <c r="H480" s="81" t="str">
        <f>IF(Data_NaamPersoonNatVerloop457="","",Data_NaamPersoonNatVerloop457)</f>
        <v/>
      </c>
      <c r="I480" s="41"/>
      <c r="J480" s="41"/>
      <c r="K480" s="83" t="str">
        <f>IF(Data_BeeindigingsdatumNatVerloop457="","",Data_BeeindigingsdatumNatVerloop457)</f>
        <v/>
      </c>
      <c r="L480" s="41"/>
      <c r="M480" s="41"/>
      <c r="N480" s="82" t="str">
        <f>IF(Data_LoonkostenNatVerloop457="","",Data_LoonkostenNatVerloop457)</f>
        <v/>
      </c>
      <c r="O480" s="41"/>
      <c r="P480" s="276" t="s">
        <v>160</v>
      </c>
      <c r="Q480" s="41"/>
      <c r="R480" s="76" t="s">
        <v>160</v>
      </c>
      <c r="S480" s="41"/>
      <c r="T480" s="41"/>
      <c r="U480" s="41"/>
      <c r="V480" s="41"/>
      <c r="W480" s="41">
        <f t="shared" si="56"/>
        <v>0</v>
      </c>
      <c r="X480" s="77" t="str">
        <f t="shared" si="62"/>
        <v/>
      </c>
      <c r="AG480" s="81" t="str">
        <f>IF(Data_NaamPersoonTijd457="","",Data_NaamPersoonTijd457)</f>
        <v/>
      </c>
      <c r="AH480" s="41"/>
      <c r="AI480" s="41"/>
      <c r="AJ480" s="83" t="str">
        <f>IF(Data_BeeindigingsdatumTijd457="","",Data_BeeindigingsdatumTijd457)</f>
        <v/>
      </c>
      <c r="AK480" s="41"/>
      <c r="AL480" s="41"/>
      <c r="AM480" s="82" t="str">
        <f>IF(Data_LoonkostenTijd457="","",Data_LoonkostenTijd457)</f>
        <v/>
      </c>
      <c r="AN480" s="41"/>
      <c r="AO480" s="276" t="str">
        <f>IF(Data_PersoonAanUitTijd457=-1,"v","")</f>
        <v/>
      </c>
      <c r="AP480" s="41"/>
      <c r="AQ480" s="76" t="s">
        <v>160</v>
      </c>
      <c r="AR480" s="41"/>
      <c r="AS480" s="41"/>
      <c r="AT480" s="41"/>
      <c r="AU480" s="41"/>
      <c r="AV480" s="41">
        <f t="shared" si="57"/>
        <v>0</v>
      </c>
      <c r="AW480" s="77">
        <f t="shared" si="58"/>
        <v>0</v>
      </c>
      <c r="AX480" s="41"/>
      <c r="AY480" s="41"/>
      <c r="AZ480" s="41"/>
      <c r="BA480" s="81" t="str">
        <f>IF(Data_NaamPersoonVastVrij457="","",Data_NaamPersoonVastVrij457)</f>
        <v/>
      </c>
      <c r="BB480" s="41"/>
      <c r="BC480" s="41"/>
      <c r="BD480" s="83" t="str">
        <f>IF(Data_BeeindigingsdatumVastVrij457="","",Data_BeeindigingsdatumVastVrij457)</f>
        <v/>
      </c>
      <c r="BE480" s="41"/>
      <c r="BF480" s="41"/>
      <c r="BG480" s="82" t="str">
        <f>IF(Data_LoonkostenVastVrij457="","",Data_LoonkostenVastVrij457)</f>
        <v/>
      </c>
      <c r="BH480" s="41"/>
      <c r="BI480" s="76" t="str">
        <f>IF(Data_PersoonAanUitVastVrij457=-1,"v","")</f>
        <v/>
      </c>
      <c r="BJ480" s="41"/>
      <c r="BK480" s="76" t="s">
        <v>160</v>
      </c>
      <c r="BL480" s="41"/>
      <c r="BM480" s="41"/>
      <c r="BN480" s="41"/>
      <c r="BO480" s="41"/>
      <c r="BP480" s="41">
        <f t="shared" si="59"/>
        <v>0</v>
      </c>
      <c r="BQ480" s="77">
        <f t="shared" si="60"/>
        <v>0</v>
      </c>
      <c r="BS480" s="81" t="str">
        <f>IF(Data_NaamPersoonVastOntslag457="","",Data_NaamPersoonVastOntslag457)</f>
        <v/>
      </c>
      <c r="BV480" s="83" t="str">
        <f>IF(Data_BeeindigingsdatumVastOntslag457="","",Data_BeeindigingsdatumVastOntslag457)</f>
        <v/>
      </c>
      <c r="BY480" s="82" t="str">
        <f>IF(Data_LoonkostenVastOntslag457="","",Data_LoonkostenVastOntslag457)</f>
        <v/>
      </c>
      <c r="CA480" s="76" t="str">
        <f>IF(Data_PersoonAanUitVastOntslag457=-1,"v","")</f>
        <v/>
      </c>
      <c r="CB480" s="41"/>
      <c r="CC480" s="76" t="s">
        <v>160</v>
      </c>
      <c r="CD480" s="41"/>
      <c r="CE480" s="41"/>
      <c r="CF480" s="41"/>
      <c r="CG480" s="41"/>
      <c r="CH480" s="41">
        <f t="shared" si="63"/>
        <v>0</v>
      </c>
      <c r="CI480" s="41">
        <f t="shared" si="61"/>
        <v>0</v>
      </c>
    </row>
    <row r="481" spans="8:87" x14ac:dyDescent="0.25">
      <c r="H481" s="81" t="str">
        <f>IF(Data_NaamPersoonNatVerloop458="","",Data_NaamPersoonNatVerloop458)</f>
        <v/>
      </c>
      <c r="I481" s="41"/>
      <c r="J481" s="41"/>
      <c r="K481" s="83" t="str">
        <f>IF(Data_BeeindigingsdatumNatVerloop458="","",Data_BeeindigingsdatumNatVerloop458)</f>
        <v/>
      </c>
      <c r="L481" s="41"/>
      <c r="M481" s="41"/>
      <c r="N481" s="82" t="str">
        <f>IF(Data_LoonkostenNatVerloop458="","",Data_LoonkostenNatVerloop458)</f>
        <v/>
      </c>
      <c r="O481" s="41"/>
      <c r="P481" s="276" t="s">
        <v>160</v>
      </c>
      <c r="Q481" s="41"/>
      <c r="R481" s="76" t="s">
        <v>160</v>
      </c>
      <c r="S481" s="41"/>
      <c r="T481" s="41"/>
      <c r="U481" s="41"/>
      <c r="V481" s="41"/>
      <c r="W481" s="41">
        <f t="shared" si="56"/>
        <v>0</v>
      </c>
      <c r="X481" s="77" t="str">
        <f t="shared" si="62"/>
        <v/>
      </c>
      <c r="AG481" s="81" t="str">
        <f>IF(Data_NaamPersoonTijd458="","",Data_NaamPersoonTijd458)</f>
        <v/>
      </c>
      <c r="AH481" s="41"/>
      <c r="AI481" s="41"/>
      <c r="AJ481" s="83" t="str">
        <f>IF(Data_BeeindigingsdatumTijd458="","",Data_BeeindigingsdatumTijd458)</f>
        <v/>
      </c>
      <c r="AK481" s="41"/>
      <c r="AL481" s="41"/>
      <c r="AM481" s="82" t="str">
        <f>IF(Data_LoonkostenTijd458="","",Data_LoonkostenTijd458)</f>
        <v/>
      </c>
      <c r="AN481" s="41"/>
      <c r="AO481" s="276" t="str">
        <f>IF(Data_PersoonAanUitTijd458=-1,"v","")</f>
        <v/>
      </c>
      <c r="AP481" s="41"/>
      <c r="AQ481" s="76" t="s">
        <v>160</v>
      </c>
      <c r="AR481" s="41"/>
      <c r="AS481" s="41"/>
      <c r="AT481" s="41"/>
      <c r="AU481" s="41"/>
      <c r="AV481" s="41">
        <f t="shared" si="57"/>
        <v>0</v>
      </c>
      <c r="AW481" s="77">
        <f t="shared" si="58"/>
        <v>0</v>
      </c>
      <c r="AX481" s="41"/>
      <c r="AY481" s="41"/>
      <c r="AZ481" s="41"/>
      <c r="BA481" s="81" t="str">
        <f>IF(Data_NaamPersoonVastVrij458="","",Data_NaamPersoonVastVrij458)</f>
        <v/>
      </c>
      <c r="BB481" s="41"/>
      <c r="BC481" s="41"/>
      <c r="BD481" s="83" t="str">
        <f>IF(Data_BeeindigingsdatumVastVrij458="","",Data_BeeindigingsdatumVastVrij458)</f>
        <v/>
      </c>
      <c r="BE481" s="41"/>
      <c r="BF481" s="41"/>
      <c r="BG481" s="82" t="str">
        <f>IF(Data_LoonkostenVastVrij458="","",Data_LoonkostenVastVrij458)</f>
        <v/>
      </c>
      <c r="BH481" s="41"/>
      <c r="BI481" s="76" t="str">
        <f>IF(Data_PersoonAanUitVastVrij458=-1,"v","")</f>
        <v/>
      </c>
      <c r="BJ481" s="41"/>
      <c r="BK481" s="76" t="s">
        <v>160</v>
      </c>
      <c r="BL481" s="41"/>
      <c r="BM481" s="41"/>
      <c r="BN481" s="41"/>
      <c r="BO481" s="41"/>
      <c r="BP481" s="41">
        <f t="shared" si="59"/>
        <v>0</v>
      </c>
      <c r="BQ481" s="77">
        <f t="shared" si="60"/>
        <v>0</v>
      </c>
      <c r="BS481" s="81" t="str">
        <f>IF(Data_NaamPersoonVastOntslag458="","",Data_NaamPersoonVastOntslag458)</f>
        <v/>
      </c>
      <c r="BV481" s="83" t="str">
        <f>IF(Data_BeeindigingsdatumVastOntslag458="","",Data_BeeindigingsdatumVastOntslag458)</f>
        <v/>
      </c>
      <c r="BY481" s="82" t="str">
        <f>IF(Data_LoonkostenVastOntslag458="","",Data_LoonkostenVastOntslag458)</f>
        <v/>
      </c>
      <c r="CA481" s="76" t="str">
        <f>IF(Data_PersoonAanUitVastOntslag458=-1,"v","")</f>
        <v/>
      </c>
      <c r="CB481" s="41"/>
      <c r="CC481" s="76" t="s">
        <v>160</v>
      </c>
      <c r="CD481" s="41"/>
      <c r="CE481" s="41"/>
      <c r="CF481" s="41"/>
      <c r="CG481" s="41"/>
      <c r="CH481" s="41">
        <f t="shared" si="63"/>
        <v>0</v>
      </c>
      <c r="CI481" s="41">
        <f t="shared" si="61"/>
        <v>0</v>
      </c>
    </row>
    <row r="482" spans="8:87" x14ac:dyDescent="0.25">
      <c r="H482" s="81" t="str">
        <f>IF(Data_NaamPersoonNatVerloop459="","",Data_NaamPersoonNatVerloop459)</f>
        <v/>
      </c>
      <c r="I482" s="41"/>
      <c r="J482" s="41"/>
      <c r="K482" s="83" t="str">
        <f>IF(Data_BeeindigingsdatumNatVerloop459="","",Data_BeeindigingsdatumNatVerloop459)</f>
        <v/>
      </c>
      <c r="L482" s="41"/>
      <c r="M482" s="41"/>
      <c r="N482" s="82" t="str">
        <f>IF(Data_LoonkostenNatVerloop459="","",Data_LoonkostenNatVerloop459)</f>
        <v/>
      </c>
      <c r="O482" s="41"/>
      <c r="P482" s="276" t="s">
        <v>160</v>
      </c>
      <c r="Q482" s="41"/>
      <c r="R482" s="76" t="s">
        <v>160</v>
      </c>
      <c r="S482" s="41"/>
      <c r="T482" s="41"/>
      <c r="U482" s="41"/>
      <c r="V482" s="41"/>
      <c r="W482" s="41">
        <f t="shared" si="56"/>
        <v>0</v>
      </c>
      <c r="X482" s="77" t="str">
        <f t="shared" si="62"/>
        <v/>
      </c>
      <c r="AG482" s="81" t="str">
        <f>IF(Data_NaamPersoonTijd459="","",Data_NaamPersoonTijd459)</f>
        <v/>
      </c>
      <c r="AH482" s="41"/>
      <c r="AI482" s="41"/>
      <c r="AJ482" s="83" t="str">
        <f>IF(Data_BeeindigingsdatumTijd459="","",Data_BeeindigingsdatumTijd459)</f>
        <v/>
      </c>
      <c r="AK482" s="41"/>
      <c r="AL482" s="41"/>
      <c r="AM482" s="82" t="str">
        <f>IF(Data_LoonkostenTijd459="","",Data_LoonkostenTijd459)</f>
        <v/>
      </c>
      <c r="AN482" s="41"/>
      <c r="AO482" s="276" t="str">
        <f>IF(Data_PersoonAanUitTijd459=-1,"v","")</f>
        <v/>
      </c>
      <c r="AP482" s="41"/>
      <c r="AQ482" s="76" t="s">
        <v>160</v>
      </c>
      <c r="AR482" s="41"/>
      <c r="AS482" s="41"/>
      <c r="AT482" s="41"/>
      <c r="AU482" s="41"/>
      <c r="AV482" s="41">
        <f t="shared" si="57"/>
        <v>0</v>
      </c>
      <c r="AW482" s="77">
        <f t="shared" si="58"/>
        <v>0</v>
      </c>
      <c r="AX482" s="41"/>
      <c r="AY482" s="41"/>
      <c r="AZ482" s="41"/>
      <c r="BA482" s="81" t="str">
        <f>IF(Data_NaamPersoonVastVrij459="","",Data_NaamPersoonVastVrij459)</f>
        <v/>
      </c>
      <c r="BB482" s="41"/>
      <c r="BC482" s="41"/>
      <c r="BD482" s="83" t="str">
        <f>IF(Data_BeeindigingsdatumVastVrij459="","",Data_BeeindigingsdatumVastVrij459)</f>
        <v/>
      </c>
      <c r="BE482" s="41"/>
      <c r="BF482" s="41"/>
      <c r="BG482" s="82" t="str">
        <f>IF(Data_LoonkostenVastVrij459="","",Data_LoonkostenVastVrij459)</f>
        <v/>
      </c>
      <c r="BH482" s="41"/>
      <c r="BI482" s="76" t="str">
        <f>IF(Data_PersoonAanUitVastVrij459=-1,"v","")</f>
        <v/>
      </c>
      <c r="BJ482" s="41"/>
      <c r="BK482" s="76" t="s">
        <v>160</v>
      </c>
      <c r="BL482" s="41"/>
      <c r="BM482" s="41"/>
      <c r="BN482" s="41"/>
      <c r="BO482" s="41"/>
      <c r="BP482" s="41">
        <f t="shared" si="59"/>
        <v>0</v>
      </c>
      <c r="BQ482" s="77">
        <f t="shared" si="60"/>
        <v>0</v>
      </c>
      <c r="BS482" s="81" t="str">
        <f>IF(Data_NaamPersoonVastOntslag459="","",Data_NaamPersoonVastOntslag459)</f>
        <v/>
      </c>
      <c r="BV482" s="83" t="str">
        <f>IF(Data_BeeindigingsdatumVastOntslag459="","",Data_BeeindigingsdatumVastOntslag459)</f>
        <v/>
      </c>
      <c r="BY482" s="82" t="str">
        <f>IF(Data_LoonkostenVastOntslag459="","",Data_LoonkostenVastOntslag459)</f>
        <v/>
      </c>
      <c r="CA482" s="76" t="str">
        <f>IF(Data_PersoonAanUitVastOntslag459=-1,"v","")</f>
        <v/>
      </c>
      <c r="CB482" s="41"/>
      <c r="CC482" s="76" t="s">
        <v>160</v>
      </c>
      <c r="CD482" s="41"/>
      <c r="CE482" s="41"/>
      <c r="CF482" s="41"/>
      <c r="CG482" s="41"/>
      <c r="CH482" s="41">
        <f t="shared" si="63"/>
        <v>0</v>
      </c>
      <c r="CI482" s="41">
        <f t="shared" si="61"/>
        <v>0</v>
      </c>
    </row>
    <row r="483" spans="8:87" x14ac:dyDescent="0.25">
      <c r="H483" s="81" t="str">
        <f>IF(Data_NaamPersoonNatVerloop460="","",Data_NaamPersoonNatVerloop460)</f>
        <v/>
      </c>
      <c r="I483" s="41"/>
      <c r="J483" s="41"/>
      <c r="K483" s="83" t="str">
        <f>IF(Data_BeeindigingsdatumNatVerloop460="","",Data_BeeindigingsdatumNatVerloop460)</f>
        <v/>
      </c>
      <c r="L483" s="41"/>
      <c r="M483" s="41"/>
      <c r="N483" s="82" t="str">
        <f>IF(Data_LoonkostenNatVerloop460="","",Data_LoonkostenNatVerloop460)</f>
        <v/>
      </c>
      <c r="O483" s="41"/>
      <c r="P483" s="276" t="s">
        <v>160</v>
      </c>
      <c r="Q483" s="41"/>
      <c r="R483" s="76" t="s">
        <v>160</v>
      </c>
      <c r="S483" s="41"/>
      <c r="T483" s="41"/>
      <c r="U483" s="41"/>
      <c r="V483" s="41"/>
      <c r="W483" s="41">
        <f t="shared" si="56"/>
        <v>0</v>
      </c>
      <c r="X483" s="77" t="str">
        <f t="shared" si="62"/>
        <v/>
      </c>
      <c r="AG483" s="81" t="str">
        <f>IF(Data_NaamPersoonTijd460="","",Data_NaamPersoonTijd460)</f>
        <v/>
      </c>
      <c r="AH483" s="41"/>
      <c r="AI483" s="41"/>
      <c r="AJ483" s="83" t="str">
        <f>IF(Data_BeeindigingsdatumTijd460="","",Data_BeeindigingsdatumTijd460)</f>
        <v/>
      </c>
      <c r="AK483" s="41"/>
      <c r="AL483" s="41"/>
      <c r="AM483" s="82" t="str">
        <f>IF(Data_LoonkostenTijd460="","",Data_LoonkostenTijd460)</f>
        <v/>
      </c>
      <c r="AN483" s="41"/>
      <c r="AO483" s="276" t="str">
        <f>IF(Data_PersoonAanUitTijd460=-1,"v","")</f>
        <v/>
      </c>
      <c r="AP483" s="41"/>
      <c r="AQ483" s="76" t="s">
        <v>160</v>
      </c>
      <c r="AR483" s="41"/>
      <c r="AS483" s="41"/>
      <c r="AT483" s="41"/>
      <c r="AU483" s="41"/>
      <c r="AV483" s="41">
        <f t="shared" si="57"/>
        <v>0</v>
      </c>
      <c r="AW483" s="77">
        <f t="shared" si="58"/>
        <v>0</v>
      </c>
      <c r="AX483" s="41"/>
      <c r="AY483" s="41"/>
      <c r="AZ483" s="41"/>
      <c r="BA483" s="81" t="str">
        <f>IF(Data_NaamPersoonVastVrij460="","",Data_NaamPersoonVastVrij460)</f>
        <v/>
      </c>
      <c r="BB483" s="41"/>
      <c r="BC483" s="41"/>
      <c r="BD483" s="83" t="str">
        <f>IF(Data_BeeindigingsdatumVastVrij460="","",Data_BeeindigingsdatumVastVrij460)</f>
        <v/>
      </c>
      <c r="BE483" s="41"/>
      <c r="BF483" s="41"/>
      <c r="BG483" s="82" t="str">
        <f>IF(Data_LoonkostenVastVrij460="","",Data_LoonkostenVastVrij460)</f>
        <v/>
      </c>
      <c r="BH483" s="41"/>
      <c r="BI483" s="76" t="str">
        <f>IF(Data_PersoonAanUitVastVrij460=-1,"v","")</f>
        <v/>
      </c>
      <c r="BJ483" s="41"/>
      <c r="BK483" s="76" t="s">
        <v>160</v>
      </c>
      <c r="BL483" s="41"/>
      <c r="BM483" s="41"/>
      <c r="BN483" s="41"/>
      <c r="BO483" s="41"/>
      <c r="BP483" s="41">
        <f t="shared" si="59"/>
        <v>0</v>
      </c>
      <c r="BQ483" s="77">
        <f t="shared" si="60"/>
        <v>0</v>
      </c>
      <c r="BS483" s="81" t="str">
        <f>IF(Data_NaamPersoonVastOntslag460="","",Data_NaamPersoonVastOntslag460)</f>
        <v/>
      </c>
      <c r="BV483" s="83" t="str">
        <f>IF(Data_BeeindigingsdatumVastOntslag460="","",Data_BeeindigingsdatumVastOntslag460)</f>
        <v/>
      </c>
      <c r="BY483" s="82" t="str">
        <f>IF(Data_LoonkostenVastOntslag460="","",Data_LoonkostenVastOntslag460)</f>
        <v/>
      </c>
      <c r="CA483" s="76" t="str">
        <f>IF(Data_PersoonAanUitVastOntslag460=-1,"v","")</f>
        <v/>
      </c>
      <c r="CB483" s="41"/>
      <c r="CC483" s="76" t="s">
        <v>160</v>
      </c>
      <c r="CD483" s="41"/>
      <c r="CE483" s="41"/>
      <c r="CF483" s="41"/>
      <c r="CG483" s="41"/>
      <c r="CH483" s="41">
        <f t="shared" si="63"/>
        <v>0</v>
      </c>
      <c r="CI483" s="41">
        <f t="shared" si="61"/>
        <v>0</v>
      </c>
    </row>
    <row r="484" spans="8:87" x14ac:dyDescent="0.25">
      <c r="H484" s="81" t="str">
        <f>IF(Data_NaamPersoonNatVerloop461="","",Data_NaamPersoonNatVerloop461)</f>
        <v/>
      </c>
      <c r="I484" s="41"/>
      <c r="J484" s="41"/>
      <c r="K484" s="83" t="str">
        <f>IF(Data_BeeindigingsdatumNatVerloop461="","",Data_BeeindigingsdatumNatVerloop461)</f>
        <v/>
      </c>
      <c r="L484" s="41"/>
      <c r="M484" s="41"/>
      <c r="N484" s="82" t="str">
        <f>IF(Data_LoonkostenNatVerloop461="","",Data_LoonkostenNatVerloop461)</f>
        <v/>
      </c>
      <c r="O484" s="41"/>
      <c r="P484" s="276" t="s">
        <v>160</v>
      </c>
      <c r="Q484" s="41"/>
      <c r="R484" s="76" t="s">
        <v>160</v>
      </c>
      <c r="S484" s="41"/>
      <c r="T484" s="41"/>
      <c r="U484" s="41"/>
      <c r="V484" s="41"/>
      <c r="W484" s="41">
        <f t="shared" si="56"/>
        <v>0</v>
      </c>
      <c r="X484" s="77" t="str">
        <f t="shared" si="62"/>
        <v/>
      </c>
      <c r="AG484" s="81" t="str">
        <f>IF(Data_NaamPersoonTijd461="","",Data_NaamPersoonTijd461)</f>
        <v/>
      </c>
      <c r="AH484" s="41"/>
      <c r="AI484" s="41"/>
      <c r="AJ484" s="83" t="str">
        <f>IF(Data_BeeindigingsdatumTijd461="","",Data_BeeindigingsdatumTijd461)</f>
        <v/>
      </c>
      <c r="AK484" s="41"/>
      <c r="AL484" s="41"/>
      <c r="AM484" s="82" t="str">
        <f>IF(Data_LoonkostenTijd461="","",Data_LoonkostenTijd461)</f>
        <v/>
      </c>
      <c r="AN484" s="41"/>
      <c r="AO484" s="276" t="str">
        <f>IF(Data_PersoonAanUitTijd461=-1,"v","")</f>
        <v/>
      </c>
      <c r="AP484" s="41"/>
      <c r="AQ484" s="76" t="s">
        <v>160</v>
      </c>
      <c r="AR484" s="41"/>
      <c r="AS484" s="41"/>
      <c r="AT484" s="41"/>
      <c r="AU484" s="41"/>
      <c r="AV484" s="41">
        <f t="shared" si="57"/>
        <v>0</v>
      </c>
      <c r="AW484" s="77">
        <f t="shared" si="58"/>
        <v>0</v>
      </c>
      <c r="AX484" s="41"/>
      <c r="AY484" s="41"/>
      <c r="AZ484" s="41"/>
      <c r="BA484" s="81" t="str">
        <f>IF(Data_NaamPersoonVastVrij461="","",Data_NaamPersoonVastVrij461)</f>
        <v/>
      </c>
      <c r="BB484" s="41"/>
      <c r="BC484" s="41"/>
      <c r="BD484" s="83" t="str">
        <f>IF(Data_BeeindigingsdatumVastVrij461="","",Data_BeeindigingsdatumVastVrij461)</f>
        <v/>
      </c>
      <c r="BE484" s="41"/>
      <c r="BF484" s="41"/>
      <c r="BG484" s="82" t="str">
        <f>IF(Data_LoonkostenVastVrij461="","",Data_LoonkostenVastVrij461)</f>
        <v/>
      </c>
      <c r="BH484" s="41"/>
      <c r="BI484" s="76" t="str">
        <f>IF(Data_PersoonAanUitVastVrij461=-1,"v","")</f>
        <v/>
      </c>
      <c r="BJ484" s="41"/>
      <c r="BK484" s="76" t="s">
        <v>160</v>
      </c>
      <c r="BL484" s="41"/>
      <c r="BM484" s="41"/>
      <c r="BN484" s="41"/>
      <c r="BO484" s="41"/>
      <c r="BP484" s="41">
        <f t="shared" si="59"/>
        <v>0</v>
      </c>
      <c r="BQ484" s="77">
        <f t="shared" si="60"/>
        <v>0</v>
      </c>
      <c r="BS484" s="81" t="str">
        <f>IF(Data_NaamPersoonVastOntslag461="","",Data_NaamPersoonVastOntslag461)</f>
        <v/>
      </c>
      <c r="BV484" s="83" t="str">
        <f>IF(Data_BeeindigingsdatumVastOntslag461="","",Data_BeeindigingsdatumVastOntslag461)</f>
        <v/>
      </c>
      <c r="BY484" s="82" t="str">
        <f>IF(Data_LoonkostenVastOntslag461="","",Data_LoonkostenVastOntslag461)</f>
        <v/>
      </c>
      <c r="CA484" s="76" t="str">
        <f>IF(Data_PersoonAanUitVastOntslag461=-1,"v","")</f>
        <v/>
      </c>
      <c r="CB484" s="41"/>
      <c r="CC484" s="76" t="s">
        <v>160</v>
      </c>
      <c r="CD484" s="41"/>
      <c r="CE484" s="41"/>
      <c r="CF484" s="41"/>
      <c r="CG484" s="41"/>
      <c r="CH484" s="41">
        <f t="shared" si="63"/>
        <v>0</v>
      </c>
      <c r="CI484" s="41">
        <f t="shared" si="61"/>
        <v>0</v>
      </c>
    </row>
    <row r="485" spans="8:87" x14ac:dyDescent="0.25">
      <c r="H485" s="81" t="str">
        <f>IF(Data_NaamPersoonNatVerloop462="","",Data_NaamPersoonNatVerloop462)</f>
        <v/>
      </c>
      <c r="I485" s="41"/>
      <c r="J485" s="41"/>
      <c r="K485" s="83" t="str">
        <f>IF(Data_BeeindigingsdatumNatVerloop462="","",Data_BeeindigingsdatumNatVerloop462)</f>
        <v/>
      </c>
      <c r="L485" s="41"/>
      <c r="M485" s="41"/>
      <c r="N485" s="82" t="str">
        <f>IF(Data_LoonkostenNatVerloop462="","",Data_LoonkostenNatVerloop462)</f>
        <v/>
      </c>
      <c r="O485" s="41"/>
      <c r="P485" s="276" t="s">
        <v>160</v>
      </c>
      <c r="Q485" s="41"/>
      <c r="R485" s="76" t="s">
        <v>160</v>
      </c>
      <c r="S485" s="41"/>
      <c r="T485" s="41"/>
      <c r="U485" s="41"/>
      <c r="V485" s="41"/>
      <c r="W485" s="41">
        <f t="shared" si="56"/>
        <v>0</v>
      </c>
      <c r="X485" s="77" t="str">
        <f t="shared" si="62"/>
        <v/>
      </c>
      <c r="AG485" s="81" t="str">
        <f>IF(Data_NaamPersoonTijd462="","",Data_NaamPersoonTijd462)</f>
        <v/>
      </c>
      <c r="AH485" s="41"/>
      <c r="AI485" s="41"/>
      <c r="AJ485" s="83" t="str">
        <f>IF(Data_BeeindigingsdatumTijd462="","",Data_BeeindigingsdatumTijd462)</f>
        <v/>
      </c>
      <c r="AK485" s="41"/>
      <c r="AL485" s="41"/>
      <c r="AM485" s="82" t="str">
        <f>IF(Data_LoonkostenTijd462="","",Data_LoonkostenTijd462)</f>
        <v/>
      </c>
      <c r="AN485" s="41"/>
      <c r="AO485" s="276" t="str">
        <f>IF(Data_PersoonAanUitTijd462=-1,"v","")</f>
        <v/>
      </c>
      <c r="AP485" s="41"/>
      <c r="AQ485" s="76" t="s">
        <v>160</v>
      </c>
      <c r="AR485" s="41"/>
      <c r="AS485" s="41"/>
      <c r="AT485" s="41"/>
      <c r="AU485" s="41"/>
      <c r="AV485" s="41">
        <f t="shared" si="57"/>
        <v>0</v>
      </c>
      <c r="AW485" s="77">
        <f t="shared" si="58"/>
        <v>0</v>
      </c>
      <c r="AX485" s="41"/>
      <c r="AY485" s="41"/>
      <c r="AZ485" s="41"/>
      <c r="BA485" s="81" t="str">
        <f>IF(Data_NaamPersoonVastVrij462="","",Data_NaamPersoonVastVrij462)</f>
        <v/>
      </c>
      <c r="BB485" s="41"/>
      <c r="BC485" s="41"/>
      <c r="BD485" s="83" t="str">
        <f>IF(Data_BeeindigingsdatumVastVrij462="","",Data_BeeindigingsdatumVastVrij462)</f>
        <v/>
      </c>
      <c r="BE485" s="41"/>
      <c r="BF485" s="41"/>
      <c r="BG485" s="82" t="str">
        <f>IF(Data_LoonkostenVastVrij462="","",Data_LoonkostenVastVrij462)</f>
        <v/>
      </c>
      <c r="BH485" s="41"/>
      <c r="BI485" s="76" t="str">
        <f>IF(Data_PersoonAanUitVastVrij462=-1,"v","")</f>
        <v/>
      </c>
      <c r="BJ485" s="41"/>
      <c r="BK485" s="76" t="s">
        <v>160</v>
      </c>
      <c r="BL485" s="41"/>
      <c r="BM485" s="41"/>
      <c r="BN485" s="41"/>
      <c r="BO485" s="41"/>
      <c r="BP485" s="41">
        <f t="shared" si="59"/>
        <v>0</v>
      </c>
      <c r="BQ485" s="77">
        <f t="shared" si="60"/>
        <v>0</v>
      </c>
      <c r="BS485" s="81" t="str">
        <f>IF(Data_NaamPersoonVastOntslag462="","",Data_NaamPersoonVastOntslag462)</f>
        <v/>
      </c>
      <c r="BV485" s="83" t="str">
        <f>IF(Data_BeeindigingsdatumVastOntslag462="","",Data_BeeindigingsdatumVastOntslag462)</f>
        <v/>
      </c>
      <c r="BY485" s="82" t="str">
        <f>IF(Data_LoonkostenVastOntslag462="","",Data_LoonkostenVastOntslag462)</f>
        <v/>
      </c>
      <c r="CA485" s="76" t="str">
        <f>IF(Data_PersoonAanUitVastOntslag462=-1,"v","")</f>
        <v/>
      </c>
      <c r="CB485" s="41"/>
      <c r="CC485" s="76" t="s">
        <v>160</v>
      </c>
      <c r="CD485" s="41"/>
      <c r="CE485" s="41"/>
      <c r="CF485" s="41"/>
      <c r="CG485" s="41"/>
      <c r="CH485" s="41">
        <f t="shared" si="63"/>
        <v>0</v>
      </c>
      <c r="CI485" s="41">
        <f t="shared" si="61"/>
        <v>0</v>
      </c>
    </row>
    <row r="486" spans="8:87" x14ac:dyDescent="0.25">
      <c r="H486" s="81" t="str">
        <f>IF(Data_NaamPersoonNatVerloop463="","",Data_NaamPersoonNatVerloop463)</f>
        <v/>
      </c>
      <c r="I486" s="41"/>
      <c r="J486" s="41"/>
      <c r="K486" s="83" t="str">
        <f>IF(Data_BeeindigingsdatumNatVerloop463="","",Data_BeeindigingsdatumNatVerloop463)</f>
        <v/>
      </c>
      <c r="L486" s="41"/>
      <c r="M486" s="41"/>
      <c r="N486" s="82" t="str">
        <f>IF(Data_LoonkostenNatVerloop463="","",Data_LoonkostenNatVerloop463)</f>
        <v/>
      </c>
      <c r="O486" s="41"/>
      <c r="P486" s="276" t="s">
        <v>160</v>
      </c>
      <c r="Q486" s="41"/>
      <c r="R486" s="76" t="s">
        <v>160</v>
      </c>
      <c r="S486" s="41"/>
      <c r="T486" s="41"/>
      <c r="U486" s="41"/>
      <c r="V486" s="41"/>
      <c r="W486" s="41">
        <f t="shared" si="56"/>
        <v>0</v>
      </c>
      <c r="X486" s="77" t="str">
        <f t="shared" si="62"/>
        <v/>
      </c>
      <c r="AG486" s="81" t="str">
        <f>IF(Data_NaamPersoonTijd463="","",Data_NaamPersoonTijd463)</f>
        <v/>
      </c>
      <c r="AH486" s="41"/>
      <c r="AI486" s="41"/>
      <c r="AJ486" s="83" t="str">
        <f>IF(Data_BeeindigingsdatumTijd463="","",Data_BeeindigingsdatumTijd463)</f>
        <v/>
      </c>
      <c r="AK486" s="41"/>
      <c r="AL486" s="41"/>
      <c r="AM486" s="82" t="str">
        <f>IF(Data_LoonkostenTijd463="","",Data_LoonkostenTijd463)</f>
        <v/>
      </c>
      <c r="AN486" s="41"/>
      <c r="AO486" s="276" t="str">
        <f>IF(Data_PersoonAanUitTijd463=-1,"v","")</f>
        <v/>
      </c>
      <c r="AP486" s="41"/>
      <c r="AQ486" s="76" t="s">
        <v>160</v>
      </c>
      <c r="AR486" s="41"/>
      <c r="AS486" s="41"/>
      <c r="AT486" s="41"/>
      <c r="AU486" s="41"/>
      <c r="AV486" s="41">
        <f t="shared" si="57"/>
        <v>0</v>
      </c>
      <c r="AW486" s="77">
        <f t="shared" si="58"/>
        <v>0</v>
      </c>
      <c r="AX486" s="41"/>
      <c r="AY486" s="41"/>
      <c r="AZ486" s="41"/>
      <c r="BA486" s="81" t="str">
        <f>IF(Data_NaamPersoonVastVrij463="","",Data_NaamPersoonVastVrij463)</f>
        <v/>
      </c>
      <c r="BB486" s="41"/>
      <c r="BC486" s="41"/>
      <c r="BD486" s="83" t="str">
        <f>IF(Data_BeeindigingsdatumVastVrij463="","",Data_BeeindigingsdatumVastVrij463)</f>
        <v/>
      </c>
      <c r="BE486" s="41"/>
      <c r="BF486" s="41"/>
      <c r="BG486" s="82" t="str">
        <f>IF(Data_LoonkostenVastVrij463="","",Data_LoonkostenVastVrij463)</f>
        <v/>
      </c>
      <c r="BH486" s="41"/>
      <c r="BI486" s="76" t="str">
        <f>IF(Data_PersoonAanUitVastVrij463=-1,"v","")</f>
        <v/>
      </c>
      <c r="BJ486" s="41"/>
      <c r="BK486" s="76" t="s">
        <v>160</v>
      </c>
      <c r="BL486" s="41"/>
      <c r="BM486" s="41"/>
      <c r="BN486" s="41"/>
      <c r="BO486" s="41"/>
      <c r="BP486" s="41">
        <f t="shared" si="59"/>
        <v>0</v>
      </c>
      <c r="BQ486" s="77">
        <f t="shared" si="60"/>
        <v>0</v>
      </c>
      <c r="BS486" s="81" t="str">
        <f>IF(Data_NaamPersoonVastOntslag463="","",Data_NaamPersoonVastOntslag463)</f>
        <v/>
      </c>
      <c r="BV486" s="83" t="str">
        <f>IF(Data_BeeindigingsdatumVastOntslag463="","",Data_BeeindigingsdatumVastOntslag463)</f>
        <v/>
      </c>
      <c r="BY486" s="82" t="str">
        <f>IF(Data_LoonkostenVastOntslag463="","",Data_LoonkostenVastOntslag463)</f>
        <v/>
      </c>
      <c r="CA486" s="76" t="str">
        <f>IF(Data_PersoonAanUitVastOntslag463=-1,"v","")</f>
        <v/>
      </c>
      <c r="CB486" s="41"/>
      <c r="CC486" s="76" t="s">
        <v>160</v>
      </c>
      <c r="CD486" s="41"/>
      <c r="CE486" s="41"/>
      <c r="CF486" s="41"/>
      <c r="CG486" s="41"/>
      <c r="CH486" s="41">
        <f t="shared" si="63"/>
        <v>0</v>
      </c>
      <c r="CI486" s="41">
        <f t="shared" si="61"/>
        <v>0</v>
      </c>
    </row>
    <row r="487" spans="8:87" x14ac:dyDescent="0.25">
      <c r="H487" s="81" t="str">
        <f>IF(Data_NaamPersoonNatVerloop464="","",Data_NaamPersoonNatVerloop464)</f>
        <v/>
      </c>
      <c r="I487" s="41"/>
      <c r="J487" s="41"/>
      <c r="K487" s="83" t="str">
        <f>IF(Data_BeeindigingsdatumNatVerloop464="","",Data_BeeindigingsdatumNatVerloop464)</f>
        <v/>
      </c>
      <c r="L487" s="41"/>
      <c r="M487" s="41"/>
      <c r="N487" s="82" t="str">
        <f>IF(Data_LoonkostenNatVerloop464="","",Data_LoonkostenNatVerloop464)</f>
        <v/>
      </c>
      <c r="O487" s="41"/>
      <c r="P487" s="276" t="s">
        <v>160</v>
      </c>
      <c r="Q487" s="41"/>
      <c r="R487" s="76" t="s">
        <v>160</v>
      </c>
      <c r="S487" s="41"/>
      <c r="T487" s="41"/>
      <c r="U487" s="41"/>
      <c r="V487" s="41"/>
      <c r="W487" s="41">
        <f t="shared" si="56"/>
        <v>0</v>
      </c>
      <c r="X487" s="77" t="str">
        <f t="shared" si="62"/>
        <v/>
      </c>
      <c r="AG487" s="81" t="str">
        <f>IF(Data_NaamPersoonTijd464="","",Data_NaamPersoonTijd464)</f>
        <v/>
      </c>
      <c r="AH487" s="41"/>
      <c r="AI487" s="41"/>
      <c r="AJ487" s="83" t="str">
        <f>IF(Data_BeeindigingsdatumTijd464="","",Data_BeeindigingsdatumTijd464)</f>
        <v/>
      </c>
      <c r="AK487" s="41"/>
      <c r="AL487" s="41"/>
      <c r="AM487" s="82" t="str">
        <f>IF(Data_LoonkostenTijd464="","",Data_LoonkostenTijd464)</f>
        <v/>
      </c>
      <c r="AN487" s="41"/>
      <c r="AO487" s="276" t="str">
        <f>IF(Data_PersoonAanUitTijd464=-1,"v","")</f>
        <v/>
      </c>
      <c r="AP487" s="41"/>
      <c r="AQ487" s="76" t="s">
        <v>160</v>
      </c>
      <c r="AR487" s="41"/>
      <c r="AS487" s="41"/>
      <c r="AT487" s="41"/>
      <c r="AU487" s="41"/>
      <c r="AV487" s="41">
        <f t="shared" si="57"/>
        <v>0</v>
      </c>
      <c r="AW487" s="77">
        <f t="shared" si="58"/>
        <v>0</v>
      </c>
      <c r="AX487" s="41"/>
      <c r="AY487" s="41"/>
      <c r="AZ487" s="41"/>
      <c r="BA487" s="81" t="str">
        <f>IF(Data_NaamPersoonVastVrij464="","",Data_NaamPersoonVastVrij464)</f>
        <v/>
      </c>
      <c r="BB487" s="41"/>
      <c r="BC487" s="41"/>
      <c r="BD487" s="83" t="str">
        <f>IF(Data_BeeindigingsdatumVastVrij464="","",Data_BeeindigingsdatumVastVrij464)</f>
        <v/>
      </c>
      <c r="BE487" s="41"/>
      <c r="BF487" s="41"/>
      <c r="BG487" s="82" t="str">
        <f>IF(Data_LoonkostenVastVrij464="","",Data_LoonkostenVastVrij464)</f>
        <v/>
      </c>
      <c r="BH487" s="41"/>
      <c r="BI487" s="76" t="str">
        <f>IF(Data_PersoonAanUitVastVrij464=-1,"v","")</f>
        <v/>
      </c>
      <c r="BJ487" s="41"/>
      <c r="BK487" s="76" t="s">
        <v>160</v>
      </c>
      <c r="BL487" s="41"/>
      <c r="BM487" s="41"/>
      <c r="BN487" s="41"/>
      <c r="BO487" s="41"/>
      <c r="BP487" s="41">
        <f t="shared" si="59"/>
        <v>0</v>
      </c>
      <c r="BQ487" s="77">
        <f t="shared" si="60"/>
        <v>0</v>
      </c>
      <c r="BS487" s="81" t="str">
        <f>IF(Data_NaamPersoonVastOntslag464="","",Data_NaamPersoonVastOntslag464)</f>
        <v/>
      </c>
      <c r="BV487" s="83" t="str">
        <f>IF(Data_BeeindigingsdatumVastOntslag464="","",Data_BeeindigingsdatumVastOntslag464)</f>
        <v/>
      </c>
      <c r="BY487" s="82" t="str">
        <f>IF(Data_LoonkostenVastOntslag464="","",Data_LoonkostenVastOntslag464)</f>
        <v/>
      </c>
      <c r="CA487" s="76" t="str">
        <f>IF(Data_PersoonAanUitVastOntslag464=-1,"v","")</f>
        <v/>
      </c>
      <c r="CB487" s="41"/>
      <c r="CC487" s="76" t="s">
        <v>160</v>
      </c>
      <c r="CD487" s="41"/>
      <c r="CE487" s="41"/>
      <c r="CF487" s="41"/>
      <c r="CG487" s="41"/>
      <c r="CH487" s="41">
        <f t="shared" si="63"/>
        <v>0</v>
      </c>
      <c r="CI487" s="41">
        <f t="shared" si="61"/>
        <v>0</v>
      </c>
    </row>
    <row r="488" spans="8:87" x14ac:dyDescent="0.25">
      <c r="H488" s="81" t="str">
        <f>IF(Data_NaamPersoonNatVerloop465="","",Data_NaamPersoonNatVerloop465)</f>
        <v/>
      </c>
      <c r="I488" s="41"/>
      <c r="J488" s="41"/>
      <c r="K488" s="83" t="str">
        <f>IF(Data_BeeindigingsdatumNatVerloop465="","",Data_BeeindigingsdatumNatVerloop465)</f>
        <v/>
      </c>
      <c r="L488" s="41"/>
      <c r="M488" s="41"/>
      <c r="N488" s="82" t="str">
        <f>IF(Data_LoonkostenNatVerloop465="","",Data_LoonkostenNatVerloop465)</f>
        <v/>
      </c>
      <c r="O488" s="41"/>
      <c r="P488" s="276" t="s">
        <v>160</v>
      </c>
      <c r="Q488" s="41"/>
      <c r="R488" s="76" t="s">
        <v>160</v>
      </c>
      <c r="S488" s="41"/>
      <c r="T488" s="41"/>
      <c r="U488" s="41"/>
      <c r="V488" s="41"/>
      <c r="W488" s="41">
        <f t="shared" si="56"/>
        <v>0</v>
      </c>
      <c r="X488" s="77" t="str">
        <f t="shared" si="62"/>
        <v/>
      </c>
      <c r="AG488" s="81" t="str">
        <f>IF(Data_NaamPersoonTijd465="","",Data_NaamPersoonTijd465)</f>
        <v/>
      </c>
      <c r="AH488" s="41"/>
      <c r="AI488" s="41"/>
      <c r="AJ488" s="83" t="str">
        <f>IF(Data_BeeindigingsdatumTijd465="","",Data_BeeindigingsdatumTijd465)</f>
        <v/>
      </c>
      <c r="AK488" s="41"/>
      <c r="AL488" s="41"/>
      <c r="AM488" s="82" t="str">
        <f>IF(Data_LoonkostenTijd465="","",Data_LoonkostenTijd465)</f>
        <v/>
      </c>
      <c r="AN488" s="41"/>
      <c r="AO488" s="276" t="str">
        <f>IF(Data_PersoonAanUitTijd465=-1,"v","")</f>
        <v/>
      </c>
      <c r="AP488" s="41"/>
      <c r="AQ488" s="76" t="s">
        <v>160</v>
      </c>
      <c r="AR488" s="41"/>
      <c r="AS488" s="41"/>
      <c r="AT488" s="41"/>
      <c r="AU488" s="41"/>
      <c r="AV488" s="41">
        <f t="shared" si="57"/>
        <v>0</v>
      </c>
      <c r="AW488" s="77">
        <f t="shared" si="58"/>
        <v>0</v>
      </c>
      <c r="AX488" s="41"/>
      <c r="AY488" s="41"/>
      <c r="AZ488" s="41"/>
      <c r="BA488" s="81" t="str">
        <f>IF(Data_NaamPersoonVastVrij465="","",Data_NaamPersoonVastVrij465)</f>
        <v/>
      </c>
      <c r="BB488" s="41"/>
      <c r="BC488" s="41"/>
      <c r="BD488" s="83" t="str">
        <f>IF(Data_BeeindigingsdatumVastVrij465="","",Data_BeeindigingsdatumVastVrij465)</f>
        <v/>
      </c>
      <c r="BE488" s="41"/>
      <c r="BF488" s="41"/>
      <c r="BG488" s="82" t="str">
        <f>IF(Data_LoonkostenVastVrij465="","",Data_LoonkostenVastVrij465)</f>
        <v/>
      </c>
      <c r="BH488" s="41"/>
      <c r="BI488" s="76" t="str">
        <f>IF(Data_PersoonAanUitVastVrij465=-1,"v","")</f>
        <v/>
      </c>
      <c r="BJ488" s="41"/>
      <c r="BK488" s="76" t="s">
        <v>160</v>
      </c>
      <c r="BL488" s="41"/>
      <c r="BM488" s="41"/>
      <c r="BN488" s="41"/>
      <c r="BO488" s="41"/>
      <c r="BP488" s="41">
        <f t="shared" si="59"/>
        <v>0</v>
      </c>
      <c r="BQ488" s="77">
        <f t="shared" si="60"/>
        <v>0</v>
      </c>
      <c r="BS488" s="81" t="str">
        <f>IF(Data_NaamPersoonVastOntslag465="","",Data_NaamPersoonVastOntslag465)</f>
        <v/>
      </c>
      <c r="BV488" s="83" t="str">
        <f>IF(Data_BeeindigingsdatumVastOntslag465="","",Data_BeeindigingsdatumVastOntslag465)</f>
        <v/>
      </c>
      <c r="BY488" s="82" t="str">
        <f>IF(Data_LoonkostenVastOntslag465="","",Data_LoonkostenVastOntslag465)</f>
        <v/>
      </c>
      <c r="CA488" s="76" t="str">
        <f>IF(Data_PersoonAanUitVastOntslag465=-1,"v","")</f>
        <v/>
      </c>
      <c r="CB488" s="41"/>
      <c r="CC488" s="76" t="s">
        <v>160</v>
      </c>
      <c r="CD488" s="41"/>
      <c r="CE488" s="41"/>
      <c r="CF488" s="41"/>
      <c r="CG488" s="41"/>
      <c r="CH488" s="41">
        <f t="shared" si="63"/>
        <v>0</v>
      </c>
      <c r="CI488" s="41">
        <f t="shared" si="61"/>
        <v>0</v>
      </c>
    </row>
    <row r="489" spans="8:87" x14ac:dyDescent="0.25">
      <c r="H489" s="81" t="str">
        <f>IF(Data_NaamPersoonNatVerloop466="","",Data_NaamPersoonNatVerloop466)</f>
        <v/>
      </c>
      <c r="I489" s="41"/>
      <c r="J489" s="41"/>
      <c r="K489" s="83" t="str">
        <f>IF(Data_BeeindigingsdatumNatVerloop466="","",Data_BeeindigingsdatumNatVerloop466)</f>
        <v/>
      </c>
      <c r="L489" s="41"/>
      <c r="M489" s="41"/>
      <c r="N489" s="82" t="str">
        <f>IF(Data_LoonkostenNatVerloop466="","",Data_LoonkostenNatVerloop466)</f>
        <v/>
      </c>
      <c r="O489" s="41"/>
      <c r="P489" s="276" t="s">
        <v>160</v>
      </c>
      <c r="Q489" s="41"/>
      <c r="R489" s="76" t="s">
        <v>160</v>
      </c>
      <c r="S489" s="41"/>
      <c r="T489" s="41"/>
      <c r="U489" s="41"/>
      <c r="V489" s="41"/>
      <c r="W489" s="41">
        <f t="shared" si="56"/>
        <v>0</v>
      </c>
      <c r="X489" s="77" t="str">
        <f t="shared" si="62"/>
        <v/>
      </c>
      <c r="AG489" s="81" t="str">
        <f>IF(Data_NaamPersoonTijd466="","",Data_NaamPersoonTijd466)</f>
        <v/>
      </c>
      <c r="AH489" s="41"/>
      <c r="AI489" s="41"/>
      <c r="AJ489" s="83" t="str">
        <f>IF(Data_BeeindigingsdatumTijd466="","",Data_BeeindigingsdatumTijd466)</f>
        <v/>
      </c>
      <c r="AK489" s="41"/>
      <c r="AL489" s="41"/>
      <c r="AM489" s="82" t="str">
        <f>IF(Data_LoonkostenTijd466="","",Data_LoonkostenTijd466)</f>
        <v/>
      </c>
      <c r="AN489" s="41"/>
      <c r="AO489" s="276" t="str">
        <f>IF(Data_PersoonAanUitTijd466=-1,"v","")</f>
        <v/>
      </c>
      <c r="AP489" s="41"/>
      <c r="AQ489" s="76" t="s">
        <v>160</v>
      </c>
      <c r="AR489" s="41"/>
      <c r="AS489" s="41"/>
      <c r="AT489" s="41"/>
      <c r="AU489" s="41"/>
      <c r="AV489" s="41">
        <f t="shared" si="57"/>
        <v>0</v>
      </c>
      <c r="AW489" s="77">
        <f t="shared" si="58"/>
        <v>0</v>
      </c>
      <c r="AX489" s="41"/>
      <c r="AY489" s="41"/>
      <c r="AZ489" s="41"/>
      <c r="BA489" s="81" t="str">
        <f>IF(Data_NaamPersoonVastVrij466="","",Data_NaamPersoonVastVrij466)</f>
        <v/>
      </c>
      <c r="BB489" s="41"/>
      <c r="BC489" s="41"/>
      <c r="BD489" s="83" t="str">
        <f>IF(Data_BeeindigingsdatumVastVrij466="","",Data_BeeindigingsdatumVastVrij466)</f>
        <v/>
      </c>
      <c r="BE489" s="41"/>
      <c r="BF489" s="41"/>
      <c r="BG489" s="82" t="str">
        <f>IF(Data_LoonkostenVastVrij466="","",Data_LoonkostenVastVrij466)</f>
        <v/>
      </c>
      <c r="BH489" s="41"/>
      <c r="BI489" s="76" t="str">
        <f>IF(Data_PersoonAanUitVastVrij466=-1,"v","")</f>
        <v/>
      </c>
      <c r="BJ489" s="41"/>
      <c r="BK489" s="76" t="s">
        <v>160</v>
      </c>
      <c r="BL489" s="41"/>
      <c r="BM489" s="41"/>
      <c r="BN489" s="41"/>
      <c r="BO489" s="41"/>
      <c r="BP489" s="41">
        <f t="shared" si="59"/>
        <v>0</v>
      </c>
      <c r="BQ489" s="77">
        <f t="shared" si="60"/>
        <v>0</v>
      </c>
      <c r="BS489" s="81" t="str">
        <f>IF(Data_NaamPersoonVastOntslag466="","",Data_NaamPersoonVastOntslag466)</f>
        <v/>
      </c>
      <c r="BV489" s="83" t="str">
        <f>IF(Data_BeeindigingsdatumVastOntslag466="","",Data_BeeindigingsdatumVastOntslag466)</f>
        <v/>
      </c>
      <c r="BY489" s="82" t="str">
        <f>IF(Data_LoonkostenVastOntslag466="","",Data_LoonkostenVastOntslag466)</f>
        <v/>
      </c>
      <c r="CA489" s="76" t="str">
        <f>IF(Data_PersoonAanUitVastOntslag466=-1,"v","")</f>
        <v/>
      </c>
      <c r="CB489" s="41"/>
      <c r="CC489" s="76" t="s">
        <v>160</v>
      </c>
      <c r="CD489" s="41"/>
      <c r="CE489" s="41"/>
      <c r="CF489" s="41"/>
      <c r="CG489" s="41"/>
      <c r="CH489" s="41">
        <f t="shared" si="63"/>
        <v>0</v>
      </c>
      <c r="CI489" s="41">
        <f t="shared" si="61"/>
        <v>0</v>
      </c>
    </row>
    <row r="490" spans="8:87" x14ac:dyDescent="0.25">
      <c r="H490" s="81" t="str">
        <f>IF(Data_NaamPersoonNatVerloop467="","",Data_NaamPersoonNatVerloop467)</f>
        <v/>
      </c>
      <c r="I490" s="41"/>
      <c r="J490" s="41"/>
      <c r="K490" s="83" t="str">
        <f>IF(Data_BeeindigingsdatumNatVerloop467="","",Data_BeeindigingsdatumNatVerloop467)</f>
        <v/>
      </c>
      <c r="L490" s="41"/>
      <c r="M490" s="41"/>
      <c r="N490" s="82" t="str">
        <f>IF(Data_LoonkostenNatVerloop467="","",Data_LoonkostenNatVerloop467)</f>
        <v/>
      </c>
      <c r="O490" s="41"/>
      <c r="P490" s="276" t="s">
        <v>160</v>
      </c>
      <c r="Q490" s="41"/>
      <c r="R490" s="76" t="s">
        <v>160</v>
      </c>
      <c r="S490" s="41"/>
      <c r="T490" s="41"/>
      <c r="U490" s="41"/>
      <c r="V490" s="41"/>
      <c r="W490" s="41">
        <f t="shared" si="56"/>
        <v>0</v>
      </c>
      <c r="X490" s="77" t="str">
        <f t="shared" si="62"/>
        <v/>
      </c>
      <c r="AG490" s="81" t="str">
        <f>IF(Data_NaamPersoonTijd467="","",Data_NaamPersoonTijd467)</f>
        <v/>
      </c>
      <c r="AH490" s="41"/>
      <c r="AI490" s="41"/>
      <c r="AJ490" s="83" t="str">
        <f>IF(Data_BeeindigingsdatumTijd467="","",Data_BeeindigingsdatumTijd467)</f>
        <v/>
      </c>
      <c r="AK490" s="41"/>
      <c r="AL490" s="41"/>
      <c r="AM490" s="82" t="str">
        <f>IF(Data_LoonkostenTijd467="","",Data_LoonkostenTijd467)</f>
        <v/>
      </c>
      <c r="AN490" s="41"/>
      <c r="AO490" s="276" t="str">
        <f>IF(Data_PersoonAanUitTijd467=-1,"v","")</f>
        <v/>
      </c>
      <c r="AP490" s="41"/>
      <c r="AQ490" s="76" t="s">
        <v>160</v>
      </c>
      <c r="AR490" s="41"/>
      <c r="AS490" s="41"/>
      <c r="AT490" s="41"/>
      <c r="AU490" s="41"/>
      <c r="AV490" s="41">
        <f t="shared" si="57"/>
        <v>0</v>
      </c>
      <c r="AW490" s="77">
        <f t="shared" si="58"/>
        <v>0</v>
      </c>
      <c r="AX490" s="41"/>
      <c r="AY490" s="41"/>
      <c r="AZ490" s="41"/>
      <c r="BA490" s="81" t="str">
        <f>IF(Data_NaamPersoonVastVrij467="","",Data_NaamPersoonVastVrij467)</f>
        <v/>
      </c>
      <c r="BB490" s="41"/>
      <c r="BC490" s="41"/>
      <c r="BD490" s="83" t="str">
        <f>IF(Data_BeeindigingsdatumVastVrij467="","",Data_BeeindigingsdatumVastVrij467)</f>
        <v/>
      </c>
      <c r="BE490" s="41"/>
      <c r="BF490" s="41"/>
      <c r="BG490" s="82" t="str">
        <f>IF(Data_LoonkostenVastVrij467="","",Data_LoonkostenVastVrij467)</f>
        <v/>
      </c>
      <c r="BH490" s="41"/>
      <c r="BI490" s="76" t="str">
        <f>IF(Data_PersoonAanUitVastVrij467=-1,"v","")</f>
        <v/>
      </c>
      <c r="BJ490" s="41"/>
      <c r="BK490" s="76" t="s">
        <v>160</v>
      </c>
      <c r="BL490" s="41"/>
      <c r="BM490" s="41"/>
      <c r="BN490" s="41"/>
      <c r="BO490" s="41"/>
      <c r="BP490" s="41">
        <f t="shared" si="59"/>
        <v>0</v>
      </c>
      <c r="BQ490" s="77">
        <f t="shared" si="60"/>
        <v>0</v>
      </c>
      <c r="BS490" s="81" t="str">
        <f>IF(Data_NaamPersoonVastOntslag467="","",Data_NaamPersoonVastOntslag467)</f>
        <v/>
      </c>
      <c r="BV490" s="83" t="str">
        <f>IF(Data_BeeindigingsdatumVastOntslag467="","",Data_BeeindigingsdatumVastOntslag467)</f>
        <v/>
      </c>
      <c r="BY490" s="82" t="str">
        <f>IF(Data_LoonkostenVastOntslag467="","",Data_LoonkostenVastOntslag467)</f>
        <v/>
      </c>
      <c r="CA490" s="76" t="str">
        <f>IF(Data_PersoonAanUitVastOntslag467=-1,"v","")</f>
        <v/>
      </c>
      <c r="CB490" s="41"/>
      <c r="CC490" s="76" t="s">
        <v>160</v>
      </c>
      <c r="CD490" s="41"/>
      <c r="CE490" s="41"/>
      <c r="CF490" s="41"/>
      <c r="CG490" s="41"/>
      <c r="CH490" s="41">
        <f t="shared" si="63"/>
        <v>0</v>
      </c>
      <c r="CI490" s="41">
        <f t="shared" si="61"/>
        <v>0</v>
      </c>
    </row>
    <row r="491" spans="8:87" x14ac:dyDescent="0.25">
      <c r="H491" s="81" t="str">
        <f>IF(Data_NaamPersoonNatVerloop468="","",Data_NaamPersoonNatVerloop468)</f>
        <v/>
      </c>
      <c r="I491" s="41"/>
      <c r="J491" s="41"/>
      <c r="K491" s="83" t="str">
        <f>IF(Data_BeeindigingsdatumNatVerloop468="","",Data_BeeindigingsdatumNatVerloop468)</f>
        <v/>
      </c>
      <c r="L491" s="41"/>
      <c r="M491" s="41"/>
      <c r="N491" s="82" t="str">
        <f>IF(Data_LoonkostenNatVerloop468="","",Data_LoonkostenNatVerloop468)</f>
        <v/>
      </c>
      <c r="O491" s="41"/>
      <c r="P491" s="276" t="s">
        <v>160</v>
      </c>
      <c r="Q491" s="41"/>
      <c r="R491" s="76" t="s">
        <v>160</v>
      </c>
      <c r="S491" s="41"/>
      <c r="T491" s="41"/>
      <c r="U491" s="41"/>
      <c r="V491" s="41"/>
      <c r="W491" s="41">
        <f t="shared" si="56"/>
        <v>0</v>
      </c>
      <c r="X491" s="77" t="str">
        <f t="shared" si="62"/>
        <v/>
      </c>
      <c r="AG491" s="81" t="str">
        <f>IF(Data_NaamPersoonTijd468="","",Data_NaamPersoonTijd468)</f>
        <v/>
      </c>
      <c r="AH491" s="41"/>
      <c r="AI491" s="41"/>
      <c r="AJ491" s="83" t="str">
        <f>IF(Data_BeeindigingsdatumTijd468="","",Data_BeeindigingsdatumTijd468)</f>
        <v/>
      </c>
      <c r="AK491" s="41"/>
      <c r="AL491" s="41"/>
      <c r="AM491" s="82" t="str">
        <f>IF(Data_LoonkostenTijd468="","",Data_LoonkostenTijd468)</f>
        <v/>
      </c>
      <c r="AN491" s="41"/>
      <c r="AO491" s="276" t="str">
        <f>IF(Data_PersoonAanUitTijd468=-1,"v","")</f>
        <v/>
      </c>
      <c r="AP491" s="41"/>
      <c r="AQ491" s="76" t="s">
        <v>160</v>
      </c>
      <c r="AR491" s="41"/>
      <c r="AS491" s="41"/>
      <c r="AT491" s="41"/>
      <c r="AU491" s="41"/>
      <c r="AV491" s="41">
        <f t="shared" si="57"/>
        <v>0</v>
      </c>
      <c r="AW491" s="77">
        <f t="shared" si="58"/>
        <v>0</v>
      </c>
      <c r="AX491" s="41"/>
      <c r="AY491" s="41"/>
      <c r="AZ491" s="41"/>
      <c r="BA491" s="81" t="str">
        <f>IF(Data_NaamPersoonVastVrij468="","",Data_NaamPersoonVastVrij468)</f>
        <v/>
      </c>
      <c r="BB491" s="41"/>
      <c r="BC491" s="41"/>
      <c r="BD491" s="83" t="str">
        <f>IF(Data_BeeindigingsdatumVastVrij468="","",Data_BeeindigingsdatumVastVrij468)</f>
        <v/>
      </c>
      <c r="BE491" s="41"/>
      <c r="BF491" s="41"/>
      <c r="BG491" s="82" t="str">
        <f>IF(Data_LoonkostenVastVrij468="","",Data_LoonkostenVastVrij468)</f>
        <v/>
      </c>
      <c r="BH491" s="41"/>
      <c r="BI491" s="76" t="str">
        <f>IF(Data_PersoonAanUitVastVrij468=-1,"v","")</f>
        <v/>
      </c>
      <c r="BJ491" s="41"/>
      <c r="BK491" s="76" t="s">
        <v>160</v>
      </c>
      <c r="BL491" s="41"/>
      <c r="BM491" s="41"/>
      <c r="BN491" s="41"/>
      <c r="BO491" s="41"/>
      <c r="BP491" s="41">
        <f t="shared" si="59"/>
        <v>0</v>
      </c>
      <c r="BQ491" s="77">
        <f t="shared" si="60"/>
        <v>0</v>
      </c>
      <c r="BS491" s="81" t="str">
        <f>IF(Data_NaamPersoonVastOntslag468="","",Data_NaamPersoonVastOntslag468)</f>
        <v/>
      </c>
      <c r="BV491" s="83" t="str">
        <f>IF(Data_BeeindigingsdatumVastOntslag468="","",Data_BeeindigingsdatumVastOntslag468)</f>
        <v/>
      </c>
      <c r="BY491" s="82" t="str">
        <f>IF(Data_LoonkostenVastOntslag468="","",Data_LoonkostenVastOntslag468)</f>
        <v/>
      </c>
      <c r="CA491" s="76" t="str">
        <f>IF(Data_PersoonAanUitVastOntslag468=-1,"v","")</f>
        <v/>
      </c>
      <c r="CB491" s="41"/>
      <c r="CC491" s="76" t="s">
        <v>160</v>
      </c>
      <c r="CD491" s="41"/>
      <c r="CE491" s="41"/>
      <c r="CF491" s="41"/>
      <c r="CG491" s="41"/>
      <c r="CH491" s="41">
        <f t="shared" si="63"/>
        <v>0</v>
      </c>
      <c r="CI491" s="41">
        <f t="shared" si="61"/>
        <v>0</v>
      </c>
    </row>
    <row r="492" spans="8:87" x14ac:dyDescent="0.25">
      <c r="H492" s="81" t="str">
        <f>IF(Data_NaamPersoonNatVerloop469="","",Data_NaamPersoonNatVerloop469)</f>
        <v/>
      </c>
      <c r="I492" s="41"/>
      <c r="J492" s="41"/>
      <c r="K492" s="83" t="str">
        <f>IF(Data_BeeindigingsdatumNatVerloop469="","",Data_BeeindigingsdatumNatVerloop469)</f>
        <v/>
      </c>
      <c r="L492" s="41"/>
      <c r="M492" s="41"/>
      <c r="N492" s="82" t="str">
        <f>IF(Data_LoonkostenNatVerloop469="","",Data_LoonkostenNatVerloop469)</f>
        <v/>
      </c>
      <c r="O492" s="41"/>
      <c r="P492" s="276" t="s">
        <v>160</v>
      </c>
      <c r="Q492" s="41"/>
      <c r="R492" s="76" t="s">
        <v>160</v>
      </c>
      <c r="S492" s="41"/>
      <c r="T492" s="41"/>
      <c r="U492" s="41"/>
      <c r="V492" s="41"/>
      <c r="W492" s="41">
        <f t="shared" si="56"/>
        <v>0</v>
      </c>
      <c r="X492" s="77" t="str">
        <f t="shared" si="62"/>
        <v/>
      </c>
      <c r="AG492" s="81" t="str">
        <f>IF(Data_NaamPersoonTijd469="","",Data_NaamPersoonTijd469)</f>
        <v/>
      </c>
      <c r="AH492" s="41"/>
      <c r="AI492" s="41"/>
      <c r="AJ492" s="83" t="str">
        <f>IF(Data_BeeindigingsdatumTijd469="","",Data_BeeindigingsdatumTijd469)</f>
        <v/>
      </c>
      <c r="AK492" s="41"/>
      <c r="AL492" s="41"/>
      <c r="AM492" s="82" t="str">
        <f>IF(Data_LoonkostenTijd469="","",Data_LoonkostenTijd469)</f>
        <v/>
      </c>
      <c r="AN492" s="41"/>
      <c r="AO492" s="276" t="str">
        <f>IF(Data_PersoonAanUitTijd469=-1,"v","")</f>
        <v/>
      </c>
      <c r="AP492" s="41"/>
      <c r="AQ492" s="76" t="s">
        <v>160</v>
      </c>
      <c r="AR492" s="41"/>
      <c r="AS492" s="41"/>
      <c r="AT492" s="41"/>
      <c r="AU492" s="41"/>
      <c r="AV492" s="41">
        <f t="shared" si="57"/>
        <v>0</v>
      </c>
      <c r="AW492" s="77">
        <f t="shared" si="58"/>
        <v>0</v>
      </c>
      <c r="AX492" s="41"/>
      <c r="AY492" s="41"/>
      <c r="AZ492" s="41"/>
      <c r="BA492" s="81" t="str">
        <f>IF(Data_NaamPersoonVastVrij469="","",Data_NaamPersoonVastVrij469)</f>
        <v/>
      </c>
      <c r="BB492" s="41"/>
      <c r="BC492" s="41"/>
      <c r="BD492" s="83" t="str">
        <f>IF(Data_BeeindigingsdatumVastVrij469="","",Data_BeeindigingsdatumVastVrij469)</f>
        <v/>
      </c>
      <c r="BE492" s="41"/>
      <c r="BF492" s="41"/>
      <c r="BG492" s="82" t="str">
        <f>IF(Data_LoonkostenVastVrij469="","",Data_LoonkostenVastVrij469)</f>
        <v/>
      </c>
      <c r="BH492" s="41"/>
      <c r="BI492" s="76" t="str">
        <f>IF(Data_PersoonAanUitVastVrij469=-1,"v","")</f>
        <v/>
      </c>
      <c r="BJ492" s="41"/>
      <c r="BK492" s="76" t="s">
        <v>160</v>
      </c>
      <c r="BL492" s="41"/>
      <c r="BM492" s="41"/>
      <c r="BN492" s="41"/>
      <c r="BO492" s="41"/>
      <c r="BP492" s="41">
        <f t="shared" si="59"/>
        <v>0</v>
      </c>
      <c r="BQ492" s="77">
        <f t="shared" si="60"/>
        <v>0</v>
      </c>
      <c r="BS492" s="81" t="str">
        <f>IF(Data_NaamPersoonVastOntslag469="","",Data_NaamPersoonVastOntslag469)</f>
        <v/>
      </c>
      <c r="BV492" s="83" t="str">
        <f>IF(Data_BeeindigingsdatumVastOntslag469="","",Data_BeeindigingsdatumVastOntslag469)</f>
        <v/>
      </c>
      <c r="BY492" s="82" t="str">
        <f>IF(Data_LoonkostenVastOntslag469="","",Data_LoonkostenVastOntslag469)</f>
        <v/>
      </c>
      <c r="CA492" s="76" t="str">
        <f>IF(Data_PersoonAanUitVastOntslag469=-1,"v","")</f>
        <v/>
      </c>
      <c r="CB492" s="41"/>
      <c r="CC492" s="76" t="s">
        <v>160</v>
      </c>
      <c r="CD492" s="41"/>
      <c r="CE492" s="41"/>
      <c r="CF492" s="41"/>
      <c r="CG492" s="41"/>
      <c r="CH492" s="41">
        <f t="shared" si="63"/>
        <v>0</v>
      </c>
      <c r="CI492" s="41">
        <f t="shared" si="61"/>
        <v>0</v>
      </c>
    </row>
    <row r="493" spans="8:87" x14ac:dyDescent="0.25">
      <c r="H493" s="81" t="str">
        <f>IF(Data_NaamPersoonNatVerloop470="","",Data_NaamPersoonNatVerloop470)</f>
        <v/>
      </c>
      <c r="I493" s="41"/>
      <c r="J493" s="41"/>
      <c r="K493" s="83" t="str">
        <f>IF(Data_BeeindigingsdatumNatVerloop470="","",Data_BeeindigingsdatumNatVerloop470)</f>
        <v/>
      </c>
      <c r="L493" s="41"/>
      <c r="M493" s="41"/>
      <c r="N493" s="82" t="str">
        <f>IF(Data_LoonkostenNatVerloop470="","",Data_LoonkostenNatVerloop470)</f>
        <v/>
      </c>
      <c r="O493" s="41"/>
      <c r="P493" s="276" t="s">
        <v>160</v>
      </c>
      <c r="Q493" s="41"/>
      <c r="R493" s="76" t="s">
        <v>160</v>
      </c>
      <c r="S493" s="41"/>
      <c r="T493" s="41"/>
      <c r="U493" s="41"/>
      <c r="V493" s="41"/>
      <c r="W493" s="41">
        <f t="shared" si="56"/>
        <v>0</v>
      </c>
      <c r="X493" s="77" t="str">
        <f t="shared" si="62"/>
        <v/>
      </c>
      <c r="AG493" s="81" t="str">
        <f>IF(Data_NaamPersoonTijd470="","",Data_NaamPersoonTijd470)</f>
        <v/>
      </c>
      <c r="AH493" s="41"/>
      <c r="AI493" s="41"/>
      <c r="AJ493" s="83" t="str">
        <f>IF(Data_BeeindigingsdatumTijd470="","",Data_BeeindigingsdatumTijd470)</f>
        <v/>
      </c>
      <c r="AK493" s="41"/>
      <c r="AL493" s="41"/>
      <c r="AM493" s="82" t="str">
        <f>IF(Data_LoonkostenTijd470="","",Data_LoonkostenTijd470)</f>
        <v/>
      </c>
      <c r="AN493" s="41"/>
      <c r="AO493" s="276" t="str">
        <f>IF(Data_PersoonAanUitTijd470=-1,"v","")</f>
        <v/>
      </c>
      <c r="AP493" s="41"/>
      <c r="AQ493" s="76" t="s">
        <v>160</v>
      </c>
      <c r="AR493" s="41"/>
      <c r="AS493" s="41"/>
      <c r="AT493" s="41"/>
      <c r="AU493" s="41"/>
      <c r="AV493" s="41">
        <f t="shared" si="57"/>
        <v>0</v>
      </c>
      <c r="AW493" s="77">
        <f t="shared" si="58"/>
        <v>0</v>
      </c>
      <c r="AX493" s="41"/>
      <c r="AY493" s="41"/>
      <c r="AZ493" s="41"/>
      <c r="BA493" s="81" t="str">
        <f>IF(Data_NaamPersoonVastVrij470="","",Data_NaamPersoonVastVrij470)</f>
        <v/>
      </c>
      <c r="BB493" s="41"/>
      <c r="BC493" s="41"/>
      <c r="BD493" s="83" t="str">
        <f>IF(Data_BeeindigingsdatumVastVrij470="","",Data_BeeindigingsdatumVastVrij470)</f>
        <v/>
      </c>
      <c r="BE493" s="41"/>
      <c r="BF493" s="41"/>
      <c r="BG493" s="82" t="str">
        <f>IF(Data_LoonkostenVastVrij470="","",Data_LoonkostenVastVrij470)</f>
        <v/>
      </c>
      <c r="BH493" s="41"/>
      <c r="BI493" s="76" t="str">
        <f>IF(Data_PersoonAanUitVastVrij470=-1,"v","")</f>
        <v/>
      </c>
      <c r="BJ493" s="41"/>
      <c r="BK493" s="76" t="s">
        <v>160</v>
      </c>
      <c r="BL493" s="41"/>
      <c r="BM493" s="41"/>
      <c r="BN493" s="41"/>
      <c r="BO493" s="41"/>
      <c r="BP493" s="41">
        <f t="shared" si="59"/>
        <v>0</v>
      </c>
      <c r="BQ493" s="77">
        <f t="shared" si="60"/>
        <v>0</v>
      </c>
      <c r="BS493" s="81" t="str">
        <f>IF(Data_NaamPersoonVastOntslag470="","",Data_NaamPersoonVastOntslag470)</f>
        <v/>
      </c>
      <c r="BV493" s="83" t="str">
        <f>IF(Data_BeeindigingsdatumVastOntslag470="","",Data_BeeindigingsdatumVastOntslag470)</f>
        <v/>
      </c>
      <c r="BY493" s="82" t="str">
        <f>IF(Data_LoonkostenVastOntslag470="","",Data_LoonkostenVastOntslag470)</f>
        <v/>
      </c>
      <c r="CA493" s="76" t="str">
        <f>IF(Data_PersoonAanUitVastOntslag470=-1,"v","")</f>
        <v/>
      </c>
      <c r="CB493" s="41"/>
      <c r="CC493" s="76" t="s">
        <v>160</v>
      </c>
      <c r="CD493" s="41"/>
      <c r="CE493" s="41"/>
      <c r="CF493" s="41"/>
      <c r="CG493" s="41"/>
      <c r="CH493" s="41">
        <f t="shared" si="63"/>
        <v>0</v>
      </c>
      <c r="CI493" s="41">
        <f t="shared" si="61"/>
        <v>0</v>
      </c>
    </row>
    <row r="494" spans="8:87" x14ac:dyDescent="0.25">
      <c r="H494" s="81" t="str">
        <f>IF(Data_NaamPersoonNatVerloop471="","",Data_NaamPersoonNatVerloop471)</f>
        <v/>
      </c>
      <c r="I494" s="41"/>
      <c r="J494" s="41"/>
      <c r="K494" s="83" t="str">
        <f>IF(Data_BeeindigingsdatumNatVerloop471="","",Data_BeeindigingsdatumNatVerloop471)</f>
        <v/>
      </c>
      <c r="L494" s="41"/>
      <c r="M494" s="41"/>
      <c r="N494" s="82" t="str">
        <f>IF(Data_LoonkostenNatVerloop471="","",Data_LoonkostenNatVerloop471)</f>
        <v/>
      </c>
      <c r="O494" s="41"/>
      <c r="P494" s="276" t="s">
        <v>160</v>
      </c>
      <c r="Q494" s="41"/>
      <c r="R494" s="76" t="s">
        <v>160</v>
      </c>
      <c r="S494" s="41"/>
      <c r="T494" s="41"/>
      <c r="U494" s="41"/>
      <c r="V494" s="41"/>
      <c r="W494" s="41">
        <f t="shared" si="56"/>
        <v>0</v>
      </c>
      <c r="X494" s="77" t="str">
        <f t="shared" si="62"/>
        <v/>
      </c>
      <c r="AG494" s="81" t="str">
        <f>IF(Data_NaamPersoonTijd471="","",Data_NaamPersoonTijd471)</f>
        <v/>
      </c>
      <c r="AH494" s="41"/>
      <c r="AI494" s="41"/>
      <c r="AJ494" s="83" t="str">
        <f>IF(Data_BeeindigingsdatumTijd471="","",Data_BeeindigingsdatumTijd471)</f>
        <v/>
      </c>
      <c r="AK494" s="41"/>
      <c r="AL494" s="41"/>
      <c r="AM494" s="82" t="str">
        <f>IF(Data_LoonkostenTijd471="","",Data_LoonkostenTijd471)</f>
        <v/>
      </c>
      <c r="AN494" s="41"/>
      <c r="AO494" s="276" t="str">
        <f>IF(Data_PersoonAanUitTijd471=-1,"v","")</f>
        <v/>
      </c>
      <c r="AP494" s="41"/>
      <c r="AQ494" s="76" t="s">
        <v>160</v>
      </c>
      <c r="AR494" s="41"/>
      <c r="AS494" s="41"/>
      <c r="AT494" s="41"/>
      <c r="AU494" s="41"/>
      <c r="AV494" s="41">
        <f t="shared" si="57"/>
        <v>0</v>
      </c>
      <c r="AW494" s="77">
        <f t="shared" si="58"/>
        <v>0</v>
      </c>
      <c r="AX494" s="41"/>
      <c r="AY494" s="41"/>
      <c r="AZ494" s="41"/>
      <c r="BA494" s="81" t="str">
        <f>IF(Data_NaamPersoonVastVrij471="","",Data_NaamPersoonVastVrij471)</f>
        <v/>
      </c>
      <c r="BB494" s="41"/>
      <c r="BC494" s="41"/>
      <c r="BD494" s="83" t="str">
        <f>IF(Data_BeeindigingsdatumVastVrij471="","",Data_BeeindigingsdatumVastVrij471)</f>
        <v/>
      </c>
      <c r="BE494" s="41"/>
      <c r="BF494" s="41"/>
      <c r="BG494" s="82" t="str">
        <f>IF(Data_LoonkostenVastVrij471="","",Data_LoonkostenVastVrij471)</f>
        <v/>
      </c>
      <c r="BH494" s="41"/>
      <c r="BI494" s="76" t="str">
        <f>IF(Data_PersoonAanUitVastVrij471=-1,"v","")</f>
        <v/>
      </c>
      <c r="BJ494" s="41"/>
      <c r="BK494" s="76" t="s">
        <v>160</v>
      </c>
      <c r="BL494" s="41"/>
      <c r="BM494" s="41"/>
      <c r="BN494" s="41"/>
      <c r="BO494" s="41"/>
      <c r="BP494" s="41">
        <f t="shared" si="59"/>
        <v>0</v>
      </c>
      <c r="BQ494" s="77">
        <f t="shared" si="60"/>
        <v>0</v>
      </c>
      <c r="BS494" s="81" t="str">
        <f>IF(Data_NaamPersoonVastOntslag471="","",Data_NaamPersoonVastOntslag471)</f>
        <v/>
      </c>
      <c r="BV494" s="83" t="str">
        <f>IF(Data_BeeindigingsdatumVastOntslag471="","",Data_BeeindigingsdatumVastOntslag471)</f>
        <v/>
      </c>
      <c r="BY494" s="82" t="str">
        <f>IF(Data_LoonkostenVastOntslag471="","",Data_LoonkostenVastOntslag471)</f>
        <v/>
      </c>
      <c r="CA494" s="76" t="str">
        <f>IF(Data_PersoonAanUitVastOntslag471=-1,"v","")</f>
        <v/>
      </c>
      <c r="CB494" s="41"/>
      <c r="CC494" s="76" t="s">
        <v>160</v>
      </c>
      <c r="CD494" s="41"/>
      <c r="CE494" s="41"/>
      <c r="CF494" s="41"/>
      <c r="CG494" s="41"/>
      <c r="CH494" s="41">
        <f t="shared" si="63"/>
        <v>0</v>
      </c>
      <c r="CI494" s="41">
        <f t="shared" si="61"/>
        <v>0</v>
      </c>
    </row>
    <row r="495" spans="8:87" x14ac:dyDescent="0.25">
      <c r="H495" s="81" t="str">
        <f>IF(Data_NaamPersoonNatVerloop472="","",Data_NaamPersoonNatVerloop472)</f>
        <v/>
      </c>
      <c r="I495" s="41"/>
      <c r="J495" s="41"/>
      <c r="K495" s="83" t="str">
        <f>IF(Data_BeeindigingsdatumNatVerloop472="","",Data_BeeindigingsdatumNatVerloop472)</f>
        <v/>
      </c>
      <c r="L495" s="41"/>
      <c r="M495" s="41"/>
      <c r="N495" s="82" t="str">
        <f>IF(Data_LoonkostenNatVerloop472="","",Data_LoonkostenNatVerloop472)</f>
        <v/>
      </c>
      <c r="O495" s="41"/>
      <c r="P495" s="276" t="s">
        <v>160</v>
      </c>
      <c r="Q495" s="41"/>
      <c r="R495" s="76" t="s">
        <v>160</v>
      </c>
      <c r="S495" s="41"/>
      <c r="T495" s="41"/>
      <c r="U495" s="41"/>
      <c r="V495" s="41"/>
      <c r="W495" s="41">
        <f t="shared" si="56"/>
        <v>0</v>
      </c>
      <c r="X495" s="77" t="str">
        <f t="shared" si="62"/>
        <v/>
      </c>
      <c r="AG495" s="81" t="str">
        <f>IF(Data_NaamPersoonTijd472="","",Data_NaamPersoonTijd472)</f>
        <v/>
      </c>
      <c r="AH495" s="41"/>
      <c r="AI495" s="41"/>
      <c r="AJ495" s="83" t="str">
        <f>IF(Data_BeeindigingsdatumTijd472="","",Data_BeeindigingsdatumTijd472)</f>
        <v/>
      </c>
      <c r="AK495" s="41"/>
      <c r="AL495" s="41"/>
      <c r="AM495" s="82" t="str">
        <f>IF(Data_LoonkostenTijd472="","",Data_LoonkostenTijd472)</f>
        <v/>
      </c>
      <c r="AN495" s="41"/>
      <c r="AO495" s="276" t="str">
        <f>IF(Data_PersoonAanUitTijd472=-1,"v","")</f>
        <v/>
      </c>
      <c r="AP495" s="41"/>
      <c r="AQ495" s="76" t="s">
        <v>160</v>
      </c>
      <c r="AR495" s="41"/>
      <c r="AS495" s="41"/>
      <c r="AT495" s="41"/>
      <c r="AU495" s="41"/>
      <c r="AV495" s="41">
        <f t="shared" si="57"/>
        <v>0</v>
      </c>
      <c r="AW495" s="77">
        <f t="shared" si="58"/>
        <v>0</v>
      </c>
      <c r="AX495" s="41"/>
      <c r="AY495" s="41"/>
      <c r="AZ495" s="41"/>
      <c r="BA495" s="81" t="str">
        <f>IF(Data_NaamPersoonVastVrij472="","",Data_NaamPersoonVastVrij472)</f>
        <v/>
      </c>
      <c r="BB495" s="41"/>
      <c r="BC495" s="41"/>
      <c r="BD495" s="83" t="str">
        <f>IF(Data_BeeindigingsdatumVastVrij472="","",Data_BeeindigingsdatumVastVrij472)</f>
        <v/>
      </c>
      <c r="BE495" s="41"/>
      <c r="BF495" s="41"/>
      <c r="BG495" s="82" t="str">
        <f>IF(Data_LoonkostenVastVrij472="","",Data_LoonkostenVastVrij472)</f>
        <v/>
      </c>
      <c r="BH495" s="41"/>
      <c r="BI495" s="76" t="str">
        <f>IF(Data_PersoonAanUitVastVrij472=-1,"v","")</f>
        <v/>
      </c>
      <c r="BJ495" s="41"/>
      <c r="BK495" s="76" t="s">
        <v>160</v>
      </c>
      <c r="BL495" s="41"/>
      <c r="BM495" s="41"/>
      <c r="BN495" s="41"/>
      <c r="BO495" s="41"/>
      <c r="BP495" s="41">
        <f t="shared" si="59"/>
        <v>0</v>
      </c>
      <c r="BQ495" s="77">
        <f t="shared" si="60"/>
        <v>0</v>
      </c>
      <c r="BS495" s="81" t="str">
        <f>IF(Data_NaamPersoonVastOntslag472="","",Data_NaamPersoonVastOntslag472)</f>
        <v/>
      </c>
      <c r="BV495" s="83" t="str">
        <f>IF(Data_BeeindigingsdatumVastOntslag472="","",Data_BeeindigingsdatumVastOntslag472)</f>
        <v/>
      </c>
      <c r="BY495" s="82" t="str">
        <f>IF(Data_LoonkostenVastOntslag472="","",Data_LoonkostenVastOntslag472)</f>
        <v/>
      </c>
      <c r="CA495" s="76" t="str">
        <f>IF(Data_PersoonAanUitVastOntslag472=-1,"v","")</f>
        <v/>
      </c>
      <c r="CB495" s="41"/>
      <c r="CC495" s="76" t="s">
        <v>160</v>
      </c>
      <c r="CD495" s="41"/>
      <c r="CE495" s="41"/>
      <c r="CF495" s="41"/>
      <c r="CG495" s="41"/>
      <c r="CH495" s="41">
        <f t="shared" si="63"/>
        <v>0</v>
      </c>
      <c r="CI495" s="41">
        <f t="shared" si="61"/>
        <v>0</v>
      </c>
    </row>
    <row r="496" spans="8:87" x14ac:dyDescent="0.25">
      <c r="H496" s="81" t="str">
        <f>IF(Data_NaamPersoonNatVerloop473="","",Data_NaamPersoonNatVerloop473)</f>
        <v/>
      </c>
      <c r="I496" s="41"/>
      <c r="J496" s="41"/>
      <c r="K496" s="83" t="str">
        <f>IF(Data_BeeindigingsdatumNatVerloop473="","",Data_BeeindigingsdatumNatVerloop473)</f>
        <v/>
      </c>
      <c r="L496" s="41"/>
      <c r="M496" s="41"/>
      <c r="N496" s="82" t="str">
        <f>IF(Data_LoonkostenNatVerloop473="","",Data_LoonkostenNatVerloop473)</f>
        <v/>
      </c>
      <c r="O496" s="41"/>
      <c r="P496" s="276" t="s">
        <v>160</v>
      </c>
      <c r="Q496" s="41"/>
      <c r="R496" s="76" t="s">
        <v>160</v>
      </c>
      <c r="S496" s="41"/>
      <c r="T496" s="41"/>
      <c r="U496" s="41"/>
      <c r="V496" s="41"/>
      <c r="W496" s="41">
        <f t="shared" si="56"/>
        <v>0</v>
      </c>
      <c r="X496" s="77" t="str">
        <f t="shared" si="62"/>
        <v/>
      </c>
      <c r="AG496" s="81" t="str">
        <f>IF(Data_NaamPersoonTijd473="","",Data_NaamPersoonTijd473)</f>
        <v/>
      </c>
      <c r="AH496" s="41"/>
      <c r="AI496" s="41"/>
      <c r="AJ496" s="83" t="str">
        <f>IF(Data_BeeindigingsdatumTijd473="","",Data_BeeindigingsdatumTijd473)</f>
        <v/>
      </c>
      <c r="AK496" s="41"/>
      <c r="AL496" s="41"/>
      <c r="AM496" s="82" t="str">
        <f>IF(Data_LoonkostenTijd473="","",Data_LoonkostenTijd473)</f>
        <v/>
      </c>
      <c r="AN496" s="41"/>
      <c r="AO496" s="276" t="str">
        <f>IF(Data_PersoonAanUitTijd473=-1,"v","")</f>
        <v/>
      </c>
      <c r="AP496" s="41"/>
      <c r="AQ496" s="76" t="s">
        <v>160</v>
      </c>
      <c r="AR496" s="41"/>
      <c r="AS496" s="41"/>
      <c r="AT496" s="41"/>
      <c r="AU496" s="41"/>
      <c r="AV496" s="41">
        <f t="shared" si="57"/>
        <v>0</v>
      </c>
      <c r="AW496" s="77">
        <f t="shared" si="58"/>
        <v>0</v>
      </c>
      <c r="AX496" s="41"/>
      <c r="AY496" s="41"/>
      <c r="AZ496" s="41"/>
      <c r="BA496" s="81" t="str">
        <f>IF(Data_NaamPersoonVastVrij473="","",Data_NaamPersoonVastVrij473)</f>
        <v/>
      </c>
      <c r="BB496" s="41"/>
      <c r="BC496" s="41"/>
      <c r="BD496" s="83" t="str">
        <f>IF(Data_BeeindigingsdatumVastVrij473="","",Data_BeeindigingsdatumVastVrij473)</f>
        <v/>
      </c>
      <c r="BE496" s="41"/>
      <c r="BF496" s="41"/>
      <c r="BG496" s="82" t="str">
        <f>IF(Data_LoonkostenVastVrij473="","",Data_LoonkostenVastVrij473)</f>
        <v/>
      </c>
      <c r="BH496" s="41"/>
      <c r="BI496" s="76" t="str">
        <f>IF(Data_PersoonAanUitVastVrij473=-1,"v","")</f>
        <v/>
      </c>
      <c r="BJ496" s="41"/>
      <c r="BK496" s="76" t="s">
        <v>160</v>
      </c>
      <c r="BL496" s="41"/>
      <c r="BM496" s="41"/>
      <c r="BN496" s="41"/>
      <c r="BO496" s="41"/>
      <c r="BP496" s="41">
        <f t="shared" si="59"/>
        <v>0</v>
      </c>
      <c r="BQ496" s="77">
        <f t="shared" si="60"/>
        <v>0</v>
      </c>
      <c r="BS496" s="81" t="str">
        <f>IF(Data_NaamPersoonVastOntslag473="","",Data_NaamPersoonVastOntslag473)</f>
        <v/>
      </c>
      <c r="BV496" s="83" t="str">
        <f>IF(Data_BeeindigingsdatumVastOntslag473="","",Data_BeeindigingsdatumVastOntslag473)</f>
        <v/>
      </c>
      <c r="BY496" s="82" t="str">
        <f>IF(Data_LoonkostenVastOntslag473="","",Data_LoonkostenVastOntslag473)</f>
        <v/>
      </c>
      <c r="CA496" s="76" t="str">
        <f>IF(Data_PersoonAanUitVastOntslag473=-1,"v","")</f>
        <v/>
      </c>
      <c r="CB496" s="41"/>
      <c r="CC496" s="76" t="s">
        <v>160</v>
      </c>
      <c r="CD496" s="41"/>
      <c r="CE496" s="41"/>
      <c r="CF496" s="41"/>
      <c r="CG496" s="41"/>
      <c r="CH496" s="41">
        <f t="shared" si="63"/>
        <v>0</v>
      </c>
      <c r="CI496" s="41">
        <f t="shared" si="61"/>
        <v>0</v>
      </c>
    </row>
    <row r="497" spans="8:87" x14ac:dyDescent="0.25">
      <c r="H497" s="81" t="str">
        <f>IF(Data_NaamPersoonNatVerloop474="","",Data_NaamPersoonNatVerloop474)</f>
        <v/>
      </c>
      <c r="I497" s="41"/>
      <c r="J497" s="41"/>
      <c r="K497" s="83" t="str">
        <f>IF(Data_BeeindigingsdatumNatVerloop474="","",Data_BeeindigingsdatumNatVerloop474)</f>
        <v/>
      </c>
      <c r="L497" s="41"/>
      <c r="M497" s="41"/>
      <c r="N497" s="82" t="str">
        <f>IF(Data_LoonkostenNatVerloop474="","",Data_LoonkostenNatVerloop474)</f>
        <v/>
      </c>
      <c r="O497" s="41"/>
      <c r="P497" s="276" t="s">
        <v>160</v>
      </c>
      <c r="Q497" s="41"/>
      <c r="R497" s="76" t="s">
        <v>160</v>
      </c>
      <c r="S497" s="41"/>
      <c r="T497" s="41"/>
      <c r="U497" s="41"/>
      <c r="V497" s="41"/>
      <c r="W497" s="41">
        <f t="shared" si="56"/>
        <v>0</v>
      </c>
      <c r="X497" s="77" t="str">
        <f t="shared" si="62"/>
        <v/>
      </c>
      <c r="AG497" s="81" t="str">
        <f>IF(Data_NaamPersoonTijd474="","",Data_NaamPersoonTijd474)</f>
        <v/>
      </c>
      <c r="AH497" s="41"/>
      <c r="AI497" s="41"/>
      <c r="AJ497" s="83" t="str">
        <f>IF(Data_BeeindigingsdatumTijd474="","",Data_BeeindigingsdatumTijd474)</f>
        <v/>
      </c>
      <c r="AK497" s="41"/>
      <c r="AL497" s="41"/>
      <c r="AM497" s="82" t="str">
        <f>IF(Data_LoonkostenTijd474="","",Data_LoonkostenTijd474)</f>
        <v/>
      </c>
      <c r="AN497" s="41"/>
      <c r="AO497" s="276" t="str">
        <f>IF(Data_PersoonAanUitTijd474=-1,"v","")</f>
        <v/>
      </c>
      <c r="AP497" s="41"/>
      <c r="AQ497" s="76" t="s">
        <v>160</v>
      </c>
      <c r="AR497" s="41"/>
      <c r="AS497" s="41"/>
      <c r="AT497" s="41"/>
      <c r="AU497" s="41"/>
      <c r="AV497" s="41">
        <f t="shared" si="57"/>
        <v>0</v>
      </c>
      <c r="AW497" s="77">
        <f t="shared" si="58"/>
        <v>0</v>
      </c>
      <c r="AX497" s="41"/>
      <c r="AY497" s="41"/>
      <c r="AZ497" s="41"/>
      <c r="BA497" s="81" t="str">
        <f>IF(Data_NaamPersoonVastVrij474="","",Data_NaamPersoonVastVrij474)</f>
        <v/>
      </c>
      <c r="BB497" s="41"/>
      <c r="BC497" s="41"/>
      <c r="BD497" s="83" t="str">
        <f>IF(Data_BeeindigingsdatumVastVrij474="","",Data_BeeindigingsdatumVastVrij474)</f>
        <v/>
      </c>
      <c r="BE497" s="41"/>
      <c r="BF497" s="41"/>
      <c r="BG497" s="82" t="str">
        <f>IF(Data_LoonkostenVastVrij474="","",Data_LoonkostenVastVrij474)</f>
        <v/>
      </c>
      <c r="BH497" s="41"/>
      <c r="BI497" s="76" t="str">
        <f>IF(Data_PersoonAanUitVastVrij474=-1,"v","")</f>
        <v/>
      </c>
      <c r="BJ497" s="41"/>
      <c r="BK497" s="76" t="s">
        <v>160</v>
      </c>
      <c r="BL497" s="41"/>
      <c r="BM497" s="41"/>
      <c r="BN497" s="41"/>
      <c r="BO497" s="41"/>
      <c r="BP497" s="41">
        <f t="shared" si="59"/>
        <v>0</v>
      </c>
      <c r="BQ497" s="77">
        <f t="shared" si="60"/>
        <v>0</v>
      </c>
      <c r="BS497" s="81" t="str">
        <f>IF(Data_NaamPersoonVastOntslag474="","",Data_NaamPersoonVastOntslag474)</f>
        <v/>
      </c>
      <c r="BV497" s="83" t="str">
        <f>IF(Data_BeeindigingsdatumVastOntslag474="","",Data_BeeindigingsdatumVastOntslag474)</f>
        <v/>
      </c>
      <c r="BY497" s="82" t="str">
        <f>IF(Data_LoonkostenVastOntslag474="","",Data_LoonkostenVastOntslag474)</f>
        <v/>
      </c>
      <c r="CA497" s="76" t="str">
        <f>IF(Data_PersoonAanUitVastOntslag474=-1,"v","")</f>
        <v/>
      </c>
      <c r="CB497" s="41"/>
      <c r="CC497" s="76" t="s">
        <v>160</v>
      </c>
      <c r="CD497" s="41"/>
      <c r="CE497" s="41"/>
      <c r="CF497" s="41"/>
      <c r="CG497" s="41"/>
      <c r="CH497" s="41">
        <f t="shared" si="63"/>
        <v>0</v>
      </c>
      <c r="CI497" s="41">
        <f t="shared" si="61"/>
        <v>0</v>
      </c>
    </row>
    <row r="498" spans="8:87" x14ac:dyDescent="0.25">
      <c r="H498" s="81" t="str">
        <f>IF(Data_NaamPersoonNatVerloop475="","",Data_NaamPersoonNatVerloop475)</f>
        <v/>
      </c>
      <c r="I498" s="41"/>
      <c r="J498" s="41"/>
      <c r="K498" s="83" t="str">
        <f>IF(Data_BeeindigingsdatumNatVerloop475="","",Data_BeeindigingsdatumNatVerloop475)</f>
        <v/>
      </c>
      <c r="L498" s="41"/>
      <c r="M498" s="41"/>
      <c r="N498" s="82" t="str">
        <f>IF(Data_LoonkostenNatVerloop475="","",Data_LoonkostenNatVerloop475)</f>
        <v/>
      </c>
      <c r="O498" s="41"/>
      <c r="P498" s="276" t="s">
        <v>160</v>
      </c>
      <c r="Q498" s="41"/>
      <c r="R498" s="76" t="s">
        <v>160</v>
      </c>
      <c r="S498" s="41"/>
      <c r="T498" s="41"/>
      <c r="U498" s="41"/>
      <c r="V498" s="41"/>
      <c r="W498" s="41">
        <f t="shared" si="56"/>
        <v>0</v>
      </c>
      <c r="X498" s="77" t="str">
        <f t="shared" si="62"/>
        <v/>
      </c>
      <c r="AG498" s="81" t="str">
        <f>IF(Data_NaamPersoonTijd475="","",Data_NaamPersoonTijd475)</f>
        <v/>
      </c>
      <c r="AH498" s="41"/>
      <c r="AI498" s="41"/>
      <c r="AJ498" s="83" t="str">
        <f>IF(Data_BeeindigingsdatumTijd475="","",Data_BeeindigingsdatumTijd475)</f>
        <v/>
      </c>
      <c r="AK498" s="41"/>
      <c r="AL498" s="41"/>
      <c r="AM498" s="82" t="str">
        <f>IF(Data_LoonkostenTijd475="","",Data_LoonkostenTijd475)</f>
        <v/>
      </c>
      <c r="AN498" s="41"/>
      <c r="AO498" s="276" t="str">
        <f>IF(Data_PersoonAanUitTijd475=-1,"v","")</f>
        <v/>
      </c>
      <c r="AP498" s="41"/>
      <c r="AQ498" s="76" t="s">
        <v>160</v>
      </c>
      <c r="AR498" s="41"/>
      <c r="AS498" s="41"/>
      <c r="AT498" s="41"/>
      <c r="AU498" s="41"/>
      <c r="AV498" s="41">
        <f t="shared" si="57"/>
        <v>0</v>
      </c>
      <c r="AW498" s="77">
        <f t="shared" si="58"/>
        <v>0</v>
      </c>
      <c r="AX498" s="41"/>
      <c r="AY498" s="41"/>
      <c r="AZ498" s="41"/>
      <c r="BA498" s="81" t="str">
        <f>IF(Data_NaamPersoonVastVrij475="","",Data_NaamPersoonVastVrij475)</f>
        <v/>
      </c>
      <c r="BB498" s="41"/>
      <c r="BC498" s="41"/>
      <c r="BD498" s="83" t="str">
        <f>IF(Data_BeeindigingsdatumVastVrij475="","",Data_BeeindigingsdatumVastVrij475)</f>
        <v/>
      </c>
      <c r="BE498" s="41"/>
      <c r="BF498" s="41"/>
      <c r="BG498" s="82" t="str">
        <f>IF(Data_LoonkostenVastVrij475="","",Data_LoonkostenVastVrij475)</f>
        <v/>
      </c>
      <c r="BH498" s="41"/>
      <c r="BI498" s="76" t="str">
        <f>IF(Data_PersoonAanUitVastVrij475=-1,"v","")</f>
        <v/>
      </c>
      <c r="BJ498" s="41"/>
      <c r="BK498" s="76" t="s">
        <v>160</v>
      </c>
      <c r="BL498" s="41"/>
      <c r="BM498" s="41"/>
      <c r="BN498" s="41"/>
      <c r="BO498" s="41"/>
      <c r="BP498" s="41">
        <f t="shared" si="59"/>
        <v>0</v>
      </c>
      <c r="BQ498" s="77">
        <f t="shared" si="60"/>
        <v>0</v>
      </c>
      <c r="BS498" s="81" t="str">
        <f>IF(Data_NaamPersoonVastOntslag475="","",Data_NaamPersoonVastOntslag475)</f>
        <v/>
      </c>
      <c r="BV498" s="83" t="str">
        <f>IF(Data_BeeindigingsdatumVastOntslag475="","",Data_BeeindigingsdatumVastOntslag475)</f>
        <v/>
      </c>
      <c r="BY498" s="82" t="str">
        <f>IF(Data_LoonkostenVastOntslag475="","",Data_LoonkostenVastOntslag475)</f>
        <v/>
      </c>
      <c r="CA498" s="76" t="str">
        <f>IF(Data_PersoonAanUitVastOntslag475=-1,"v","")</f>
        <v/>
      </c>
      <c r="CB498" s="41"/>
      <c r="CC498" s="76" t="s">
        <v>160</v>
      </c>
      <c r="CD498" s="41"/>
      <c r="CE498" s="41"/>
      <c r="CF498" s="41"/>
      <c r="CG498" s="41"/>
      <c r="CH498" s="41">
        <f t="shared" si="63"/>
        <v>0</v>
      </c>
      <c r="CI498" s="41">
        <f t="shared" si="61"/>
        <v>0</v>
      </c>
    </row>
    <row r="499" spans="8:87" x14ac:dyDescent="0.25">
      <c r="H499" s="81" t="str">
        <f>IF(Data_NaamPersoonNatVerloop476="","",Data_NaamPersoonNatVerloop476)</f>
        <v/>
      </c>
      <c r="I499" s="41"/>
      <c r="J499" s="41"/>
      <c r="K499" s="83" t="str">
        <f>IF(Data_BeeindigingsdatumNatVerloop476="","",Data_BeeindigingsdatumNatVerloop476)</f>
        <v/>
      </c>
      <c r="L499" s="41"/>
      <c r="M499" s="41"/>
      <c r="N499" s="82" t="str">
        <f>IF(Data_LoonkostenNatVerloop476="","",Data_LoonkostenNatVerloop476)</f>
        <v/>
      </c>
      <c r="O499" s="41"/>
      <c r="P499" s="276" t="s">
        <v>160</v>
      </c>
      <c r="Q499" s="41"/>
      <c r="R499" s="76" t="s">
        <v>160</v>
      </c>
      <c r="S499" s="41"/>
      <c r="T499" s="41"/>
      <c r="U499" s="41"/>
      <c r="V499" s="41"/>
      <c r="W499" s="41">
        <f t="shared" si="56"/>
        <v>0</v>
      </c>
      <c r="X499" s="77" t="str">
        <f t="shared" si="62"/>
        <v/>
      </c>
      <c r="AG499" s="81" t="str">
        <f>IF(Data_NaamPersoonTijd476="","",Data_NaamPersoonTijd476)</f>
        <v/>
      </c>
      <c r="AH499" s="41"/>
      <c r="AI499" s="41"/>
      <c r="AJ499" s="83" t="str">
        <f>IF(Data_BeeindigingsdatumTijd476="","",Data_BeeindigingsdatumTijd476)</f>
        <v/>
      </c>
      <c r="AK499" s="41"/>
      <c r="AL499" s="41"/>
      <c r="AM499" s="82" t="str">
        <f>IF(Data_LoonkostenTijd476="","",Data_LoonkostenTijd476)</f>
        <v/>
      </c>
      <c r="AN499" s="41"/>
      <c r="AO499" s="276" t="str">
        <f>IF(Data_PersoonAanUitTijd476=-1,"v","")</f>
        <v/>
      </c>
      <c r="AP499" s="41"/>
      <c r="AQ499" s="76" t="s">
        <v>160</v>
      </c>
      <c r="AR499" s="41"/>
      <c r="AS499" s="41"/>
      <c r="AT499" s="41"/>
      <c r="AU499" s="41"/>
      <c r="AV499" s="41">
        <f t="shared" si="57"/>
        <v>0</v>
      </c>
      <c r="AW499" s="77">
        <f t="shared" si="58"/>
        <v>0</v>
      </c>
      <c r="AX499" s="41"/>
      <c r="AY499" s="41"/>
      <c r="AZ499" s="41"/>
      <c r="BA499" s="81" t="str">
        <f>IF(Data_NaamPersoonVastVrij476="","",Data_NaamPersoonVastVrij476)</f>
        <v/>
      </c>
      <c r="BB499" s="41"/>
      <c r="BC499" s="41"/>
      <c r="BD499" s="83" t="str">
        <f>IF(Data_BeeindigingsdatumVastVrij476="","",Data_BeeindigingsdatumVastVrij476)</f>
        <v/>
      </c>
      <c r="BE499" s="41"/>
      <c r="BF499" s="41"/>
      <c r="BG499" s="82" t="str">
        <f>IF(Data_LoonkostenVastVrij476="","",Data_LoonkostenVastVrij476)</f>
        <v/>
      </c>
      <c r="BH499" s="41"/>
      <c r="BI499" s="76" t="str">
        <f>IF(Data_PersoonAanUitVastVrij476=-1,"v","")</f>
        <v/>
      </c>
      <c r="BJ499" s="41"/>
      <c r="BK499" s="76" t="s">
        <v>160</v>
      </c>
      <c r="BL499" s="41"/>
      <c r="BM499" s="41"/>
      <c r="BN499" s="41"/>
      <c r="BO499" s="41"/>
      <c r="BP499" s="41">
        <f t="shared" si="59"/>
        <v>0</v>
      </c>
      <c r="BQ499" s="77">
        <f t="shared" si="60"/>
        <v>0</v>
      </c>
      <c r="BS499" s="81" t="str">
        <f>IF(Data_NaamPersoonVastOntslag476="","",Data_NaamPersoonVastOntslag476)</f>
        <v/>
      </c>
      <c r="BV499" s="83" t="str">
        <f>IF(Data_BeeindigingsdatumVastOntslag476="","",Data_BeeindigingsdatumVastOntslag476)</f>
        <v/>
      </c>
      <c r="BY499" s="82" t="str">
        <f>IF(Data_LoonkostenVastOntslag476="","",Data_LoonkostenVastOntslag476)</f>
        <v/>
      </c>
      <c r="CA499" s="76" t="str">
        <f>IF(Data_PersoonAanUitVastOntslag476=-1,"v","")</f>
        <v/>
      </c>
      <c r="CB499" s="41"/>
      <c r="CC499" s="76" t="s">
        <v>160</v>
      </c>
      <c r="CD499" s="41"/>
      <c r="CE499" s="41"/>
      <c r="CF499" s="41"/>
      <c r="CG499" s="41"/>
      <c r="CH499" s="41">
        <f t="shared" si="63"/>
        <v>0</v>
      </c>
      <c r="CI499" s="41">
        <f t="shared" si="61"/>
        <v>0</v>
      </c>
    </row>
    <row r="500" spans="8:87" x14ac:dyDescent="0.25">
      <c r="H500" s="81" t="str">
        <f>IF(Data_NaamPersoonNatVerloop477="","",Data_NaamPersoonNatVerloop477)</f>
        <v/>
      </c>
      <c r="I500" s="41"/>
      <c r="J500" s="41"/>
      <c r="K500" s="83" t="str">
        <f>IF(Data_BeeindigingsdatumNatVerloop477="","",Data_BeeindigingsdatumNatVerloop477)</f>
        <v/>
      </c>
      <c r="L500" s="41"/>
      <c r="M500" s="41"/>
      <c r="N500" s="82" t="str">
        <f>IF(Data_LoonkostenNatVerloop477="","",Data_LoonkostenNatVerloop477)</f>
        <v/>
      </c>
      <c r="O500" s="41"/>
      <c r="P500" s="276" t="s">
        <v>160</v>
      </c>
      <c r="Q500" s="41"/>
      <c r="R500" s="76" t="s">
        <v>160</v>
      </c>
      <c r="S500" s="41"/>
      <c r="T500" s="41"/>
      <c r="U500" s="41"/>
      <c r="V500" s="41"/>
      <c r="W500" s="41">
        <f t="shared" si="56"/>
        <v>0</v>
      </c>
      <c r="X500" s="77" t="str">
        <f t="shared" si="62"/>
        <v/>
      </c>
      <c r="AG500" s="81" t="str">
        <f>IF(Data_NaamPersoonTijd477="","",Data_NaamPersoonTijd477)</f>
        <v/>
      </c>
      <c r="AH500" s="41"/>
      <c r="AI500" s="41"/>
      <c r="AJ500" s="83" t="str">
        <f>IF(Data_BeeindigingsdatumTijd477="","",Data_BeeindigingsdatumTijd477)</f>
        <v/>
      </c>
      <c r="AK500" s="41"/>
      <c r="AL500" s="41"/>
      <c r="AM500" s="82" t="str">
        <f>IF(Data_LoonkostenTijd477="","",Data_LoonkostenTijd477)</f>
        <v/>
      </c>
      <c r="AN500" s="41"/>
      <c r="AO500" s="276" t="str">
        <f>IF(Data_PersoonAanUitTijd477=-1,"v","")</f>
        <v/>
      </c>
      <c r="AP500" s="41"/>
      <c r="AQ500" s="76" t="s">
        <v>160</v>
      </c>
      <c r="AR500" s="41"/>
      <c r="AS500" s="41"/>
      <c r="AT500" s="41"/>
      <c r="AU500" s="41"/>
      <c r="AV500" s="41">
        <f t="shared" si="57"/>
        <v>0</v>
      </c>
      <c r="AW500" s="77">
        <f t="shared" si="58"/>
        <v>0</v>
      </c>
      <c r="AX500" s="41"/>
      <c r="AY500" s="41"/>
      <c r="AZ500" s="41"/>
      <c r="BA500" s="81" t="str">
        <f>IF(Data_NaamPersoonVastVrij477="","",Data_NaamPersoonVastVrij477)</f>
        <v/>
      </c>
      <c r="BB500" s="41"/>
      <c r="BC500" s="41"/>
      <c r="BD500" s="83" t="str">
        <f>IF(Data_BeeindigingsdatumVastVrij477="","",Data_BeeindigingsdatumVastVrij477)</f>
        <v/>
      </c>
      <c r="BE500" s="41"/>
      <c r="BF500" s="41"/>
      <c r="BG500" s="82" t="str">
        <f>IF(Data_LoonkostenVastVrij477="","",Data_LoonkostenVastVrij477)</f>
        <v/>
      </c>
      <c r="BH500" s="41"/>
      <c r="BI500" s="76" t="str">
        <f>IF(Data_PersoonAanUitVastVrij477=-1,"v","")</f>
        <v/>
      </c>
      <c r="BJ500" s="41"/>
      <c r="BK500" s="76" t="s">
        <v>160</v>
      </c>
      <c r="BL500" s="41"/>
      <c r="BM500" s="41"/>
      <c r="BN500" s="41"/>
      <c r="BO500" s="41"/>
      <c r="BP500" s="41">
        <f t="shared" si="59"/>
        <v>0</v>
      </c>
      <c r="BQ500" s="77">
        <f t="shared" si="60"/>
        <v>0</v>
      </c>
      <c r="BS500" s="81" t="str">
        <f>IF(Data_NaamPersoonVastOntslag477="","",Data_NaamPersoonVastOntslag477)</f>
        <v/>
      </c>
      <c r="BV500" s="83" t="str">
        <f>IF(Data_BeeindigingsdatumVastOntslag477="","",Data_BeeindigingsdatumVastOntslag477)</f>
        <v/>
      </c>
      <c r="BY500" s="82" t="str">
        <f>IF(Data_LoonkostenVastOntslag477="","",Data_LoonkostenVastOntslag477)</f>
        <v/>
      </c>
      <c r="CA500" s="76" t="str">
        <f>IF(Data_PersoonAanUitVastOntslag477=-1,"v","")</f>
        <v/>
      </c>
      <c r="CB500" s="41"/>
      <c r="CC500" s="76" t="s">
        <v>160</v>
      </c>
      <c r="CD500" s="41"/>
      <c r="CE500" s="41"/>
      <c r="CF500" s="41"/>
      <c r="CG500" s="41"/>
      <c r="CH500" s="41">
        <f t="shared" si="63"/>
        <v>0</v>
      </c>
      <c r="CI500" s="41">
        <f t="shared" si="61"/>
        <v>0</v>
      </c>
    </row>
    <row r="501" spans="8:87" x14ac:dyDescent="0.25">
      <c r="H501" s="81" t="str">
        <f>IF(Data_NaamPersoonNatVerloop478="","",Data_NaamPersoonNatVerloop478)</f>
        <v/>
      </c>
      <c r="I501" s="41"/>
      <c r="J501" s="41"/>
      <c r="K501" s="83" t="str">
        <f>IF(Data_BeeindigingsdatumNatVerloop478="","",Data_BeeindigingsdatumNatVerloop478)</f>
        <v/>
      </c>
      <c r="L501" s="41"/>
      <c r="M501" s="41"/>
      <c r="N501" s="82" t="str">
        <f>IF(Data_LoonkostenNatVerloop478="","",Data_LoonkostenNatVerloop478)</f>
        <v/>
      </c>
      <c r="O501" s="41"/>
      <c r="P501" s="276" t="s">
        <v>160</v>
      </c>
      <c r="Q501" s="41"/>
      <c r="R501" s="76" t="s">
        <v>160</v>
      </c>
      <c r="S501" s="41"/>
      <c r="T501" s="41"/>
      <c r="U501" s="41"/>
      <c r="V501" s="41"/>
      <c r="W501" s="41">
        <f t="shared" si="56"/>
        <v>0</v>
      </c>
      <c r="X501" s="77" t="str">
        <f t="shared" si="62"/>
        <v/>
      </c>
      <c r="AG501" s="81" t="str">
        <f t="shared" ref="AG501:AG524" si="64">IF(Data_NaamPersoonTijd478="","",Data_NaamPersoonTijd478)</f>
        <v/>
      </c>
      <c r="AH501" s="41"/>
      <c r="AI501" s="41"/>
      <c r="AJ501" s="83" t="str">
        <f>IF(Data_BeeindigingsdatumTijd478="","",Data_BeeindigingsdatumTijd478)</f>
        <v/>
      </c>
      <c r="AK501" s="41"/>
      <c r="AL501" s="41"/>
      <c r="AM501" s="82" t="str">
        <f>IF(Data_LoonkostenTijd478="","",Data_LoonkostenTijd478)</f>
        <v/>
      </c>
      <c r="AN501" s="41"/>
      <c r="AO501" s="276" t="str">
        <f>IF(Data_PersoonAanUitTijd478=-1,"v","")</f>
        <v/>
      </c>
      <c r="AP501" s="41"/>
      <c r="AQ501" s="76" t="s">
        <v>160</v>
      </c>
      <c r="AR501" s="41"/>
      <c r="AS501" s="41"/>
      <c r="AT501" s="41"/>
      <c r="AU501" s="41"/>
      <c r="AV501" s="41">
        <f t="shared" si="57"/>
        <v>0</v>
      </c>
      <c r="AW501" s="77">
        <f t="shared" si="58"/>
        <v>0</v>
      </c>
      <c r="AX501" s="41"/>
      <c r="AY501" s="41"/>
      <c r="AZ501" s="41"/>
      <c r="BA501" s="81" t="str">
        <f>IF(Data_NaamPersoonVastVrij478="","",Data_NaamPersoonVastVrij478)</f>
        <v/>
      </c>
      <c r="BB501" s="41"/>
      <c r="BC501" s="41"/>
      <c r="BD501" s="83" t="str">
        <f>IF(Data_BeeindigingsdatumVastVrij478="","",Data_BeeindigingsdatumVastVrij478)</f>
        <v/>
      </c>
      <c r="BE501" s="41"/>
      <c r="BF501" s="41"/>
      <c r="BG501" s="82" t="str">
        <f>IF(Data_LoonkostenVastVrij478="","",Data_LoonkostenVastVrij478)</f>
        <v/>
      </c>
      <c r="BH501" s="41"/>
      <c r="BI501" s="76" t="str">
        <f>IF(Data_PersoonAanUitVastVrij478=-1,"v","")</f>
        <v/>
      </c>
      <c r="BJ501" s="41"/>
      <c r="BK501" s="76" t="s">
        <v>160</v>
      </c>
      <c r="BL501" s="41"/>
      <c r="BM501" s="41"/>
      <c r="BN501" s="41"/>
      <c r="BO501" s="41"/>
      <c r="BP501" s="41">
        <f t="shared" si="59"/>
        <v>0</v>
      </c>
      <c r="BQ501" s="77">
        <f t="shared" si="60"/>
        <v>0</v>
      </c>
      <c r="BS501" s="81" t="str">
        <f>IF(Data_NaamPersoonVastOntslag478="","",Data_NaamPersoonVastOntslag478)</f>
        <v/>
      </c>
      <c r="BV501" s="83" t="str">
        <f>IF(Data_BeeindigingsdatumVastOntslag478="","",Data_BeeindigingsdatumVastOntslag478)</f>
        <v/>
      </c>
      <c r="BY501" s="82" t="str">
        <f>IF(Data_LoonkostenVastOntslag478="","",Data_LoonkostenVastOntslag478)</f>
        <v/>
      </c>
      <c r="CA501" s="76" t="str">
        <f>IF(Data_PersoonAanUitVastOntslag478=-1,"v","")</f>
        <v/>
      </c>
      <c r="CB501" s="41"/>
      <c r="CC501" s="76" t="s">
        <v>160</v>
      </c>
      <c r="CD501" s="41"/>
      <c r="CE501" s="41"/>
      <c r="CF501" s="41"/>
      <c r="CG501" s="41"/>
      <c r="CH501" s="41">
        <f t="shared" si="63"/>
        <v>0</v>
      </c>
      <c r="CI501" s="41">
        <f t="shared" si="61"/>
        <v>0</v>
      </c>
    </row>
    <row r="502" spans="8:87" x14ac:dyDescent="0.25">
      <c r="H502" s="81" t="str">
        <f>IF(Data_NaamPersoonNatVerloop479="","",Data_NaamPersoonNatVerloop479)</f>
        <v/>
      </c>
      <c r="I502" s="41"/>
      <c r="J502" s="41"/>
      <c r="K502" s="83" t="str">
        <f>IF(Data_BeeindigingsdatumNatVerloop479="","",Data_BeeindigingsdatumNatVerloop479)</f>
        <v/>
      </c>
      <c r="L502" s="41"/>
      <c r="M502" s="41"/>
      <c r="N502" s="82" t="str">
        <f>IF(Data_LoonkostenNatVerloop479="","",Data_LoonkostenNatVerloop479)</f>
        <v/>
      </c>
      <c r="O502" s="41"/>
      <c r="P502" s="276" t="s">
        <v>160</v>
      </c>
      <c r="Q502" s="41"/>
      <c r="R502" s="76" t="s">
        <v>160</v>
      </c>
      <c r="S502" s="41"/>
      <c r="T502" s="41"/>
      <c r="U502" s="41"/>
      <c r="V502" s="41"/>
      <c r="W502" s="41">
        <f t="shared" si="56"/>
        <v>0</v>
      </c>
      <c r="X502" s="77" t="str">
        <f t="shared" si="62"/>
        <v/>
      </c>
      <c r="AG502" s="81" t="str">
        <f t="shared" si="64"/>
        <v/>
      </c>
      <c r="AH502" s="41"/>
      <c r="AI502" s="41"/>
      <c r="AJ502" s="83" t="str">
        <f>IF(Data_BeeindigingsdatumTijd479="","",Data_BeeindigingsdatumTijd479)</f>
        <v/>
      </c>
      <c r="AK502" s="41"/>
      <c r="AL502" s="41"/>
      <c r="AM502" s="82" t="str">
        <f>IF(Data_LoonkostenTijd479="","",Data_LoonkostenTijd479)</f>
        <v/>
      </c>
      <c r="AN502" s="41"/>
      <c r="AO502" s="276" t="str">
        <f>IF(Data_PersoonAanUitTijd479=-1,"v","")</f>
        <v/>
      </c>
      <c r="AP502" s="41"/>
      <c r="AQ502" s="76" t="s">
        <v>160</v>
      </c>
      <c r="AR502" s="41"/>
      <c r="AS502" s="41"/>
      <c r="AT502" s="41"/>
      <c r="AU502" s="41"/>
      <c r="AV502" s="41">
        <f t="shared" si="57"/>
        <v>0</v>
      </c>
      <c r="AW502" s="77">
        <f t="shared" si="58"/>
        <v>0</v>
      </c>
      <c r="AX502" s="41"/>
      <c r="AY502" s="41"/>
      <c r="AZ502" s="41"/>
      <c r="BA502" s="81" t="str">
        <f>IF(Data_NaamPersoonVastVrij479="","",Data_NaamPersoonVastVrij479)</f>
        <v/>
      </c>
      <c r="BB502" s="41"/>
      <c r="BC502" s="41"/>
      <c r="BD502" s="83" t="str">
        <f>IF(Data_BeeindigingsdatumVastVrij479="","",Data_BeeindigingsdatumVastVrij479)</f>
        <v/>
      </c>
      <c r="BE502" s="41"/>
      <c r="BF502" s="41"/>
      <c r="BG502" s="82" t="str">
        <f>IF(Data_LoonkostenVastVrij479="","",Data_LoonkostenVastVrij479)</f>
        <v/>
      </c>
      <c r="BH502" s="41"/>
      <c r="BI502" s="76" t="str">
        <f>IF(Data_PersoonAanUitVastVrij479=-1,"v","")</f>
        <v/>
      </c>
      <c r="BJ502" s="41"/>
      <c r="BK502" s="76" t="s">
        <v>160</v>
      </c>
      <c r="BL502" s="41"/>
      <c r="BM502" s="41"/>
      <c r="BN502" s="41"/>
      <c r="BO502" s="41"/>
      <c r="BP502" s="41">
        <f t="shared" si="59"/>
        <v>0</v>
      </c>
      <c r="BQ502" s="77">
        <f t="shared" si="60"/>
        <v>0</v>
      </c>
      <c r="BS502" s="81" t="str">
        <f>IF(Data_NaamPersoonVastOntslag479="","",Data_NaamPersoonVastOntslag479)</f>
        <v/>
      </c>
      <c r="BV502" s="83" t="str">
        <f>IF(Data_BeeindigingsdatumVastOntslag479="","",Data_BeeindigingsdatumVastOntslag479)</f>
        <v/>
      </c>
      <c r="BY502" s="82" t="str">
        <f>IF(Data_LoonkostenVastOntslag479="","",Data_LoonkostenVastOntslag479)</f>
        <v/>
      </c>
      <c r="CA502" s="76" t="str">
        <f>IF(Data_PersoonAanUitVastOntslag479=-1,"v","")</f>
        <v/>
      </c>
      <c r="CB502" s="41"/>
      <c r="CC502" s="76" t="s">
        <v>160</v>
      </c>
      <c r="CD502" s="41"/>
      <c r="CE502" s="41"/>
      <c r="CF502" s="41"/>
      <c r="CG502" s="41"/>
      <c r="CH502" s="41">
        <f t="shared" si="63"/>
        <v>0</v>
      </c>
      <c r="CI502" s="41">
        <f t="shared" si="61"/>
        <v>0</v>
      </c>
    </row>
    <row r="503" spans="8:87" x14ac:dyDescent="0.25">
      <c r="H503" s="81" t="str">
        <f>IF(Data_NaamPersoonNatVerloop480="","",Data_NaamPersoonNatVerloop480)</f>
        <v/>
      </c>
      <c r="I503" s="41"/>
      <c r="J503" s="41"/>
      <c r="K503" s="83" t="str">
        <f>IF(Data_BeeindigingsdatumNatVerloop480="","",Data_BeeindigingsdatumNatVerloop480)</f>
        <v/>
      </c>
      <c r="L503" s="41"/>
      <c r="M503" s="41"/>
      <c r="N503" s="82" t="str">
        <f>IF(Data_LoonkostenNatVerloop480="","",Data_LoonkostenNatVerloop480)</f>
        <v/>
      </c>
      <c r="O503" s="41"/>
      <c r="P503" s="276" t="s">
        <v>160</v>
      </c>
      <c r="Q503" s="41"/>
      <c r="R503" s="76" t="s">
        <v>160</v>
      </c>
      <c r="S503" s="41"/>
      <c r="T503" s="41"/>
      <c r="U503" s="41"/>
      <c r="V503" s="41"/>
      <c r="W503" s="41">
        <f t="shared" si="56"/>
        <v>0</v>
      </c>
      <c r="X503" s="77" t="str">
        <f t="shared" si="62"/>
        <v/>
      </c>
      <c r="AG503" s="81" t="str">
        <f t="shared" si="64"/>
        <v/>
      </c>
      <c r="AH503" s="41"/>
      <c r="AI503" s="41"/>
      <c r="AJ503" s="83" t="str">
        <f>IF(Data_BeeindigingsdatumTijd480="","",Data_BeeindigingsdatumTijd480)</f>
        <v/>
      </c>
      <c r="AK503" s="41"/>
      <c r="AL503" s="41"/>
      <c r="AM503" s="82" t="str">
        <f>IF(Data_LoonkostenTijd480="","",Data_LoonkostenTijd480)</f>
        <v/>
      </c>
      <c r="AN503" s="41"/>
      <c r="AO503" s="276" t="str">
        <f>IF(Data_PersoonAanUitTijd480=-1,"v","")</f>
        <v/>
      </c>
      <c r="AP503" s="41"/>
      <c r="AQ503" s="76" t="s">
        <v>160</v>
      </c>
      <c r="AR503" s="41"/>
      <c r="AS503" s="41"/>
      <c r="AT503" s="41"/>
      <c r="AU503" s="41"/>
      <c r="AV503" s="41">
        <f t="shared" si="57"/>
        <v>0</v>
      </c>
      <c r="AW503" s="77">
        <f t="shared" si="58"/>
        <v>0</v>
      </c>
      <c r="AX503" s="41"/>
      <c r="AY503" s="41"/>
      <c r="AZ503" s="41"/>
      <c r="BA503" s="81" t="str">
        <f>IF(Data_NaamPersoonVastVrij480="","",Data_NaamPersoonVastVrij480)</f>
        <v/>
      </c>
      <c r="BB503" s="41"/>
      <c r="BC503" s="41"/>
      <c r="BD503" s="83" t="str">
        <f>IF(Data_BeeindigingsdatumVastVrij480="","",Data_BeeindigingsdatumVastVrij480)</f>
        <v/>
      </c>
      <c r="BE503" s="41"/>
      <c r="BF503" s="41"/>
      <c r="BG503" s="82" t="str">
        <f>IF(Data_LoonkostenVastVrij480="","",Data_LoonkostenVastVrij480)</f>
        <v/>
      </c>
      <c r="BH503" s="41"/>
      <c r="BI503" s="76" t="str">
        <f>IF(Data_PersoonAanUitVastVrij480=-1,"v","")</f>
        <v/>
      </c>
      <c r="BJ503" s="41"/>
      <c r="BK503" s="76" t="s">
        <v>160</v>
      </c>
      <c r="BL503" s="41"/>
      <c r="BM503" s="41"/>
      <c r="BN503" s="41"/>
      <c r="BO503" s="41"/>
      <c r="BP503" s="41">
        <f t="shared" si="59"/>
        <v>0</v>
      </c>
      <c r="BQ503" s="77">
        <f t="shared" si="60"/>
        <v>0</v>
      </c>
      <c r="BS503" s="81" t="str">
        <f>IF(Data_NaamPersoonVastOntslag480="","",Data_NaamPersoonVastOntslag480)</f>
        <v/>
      </c>
      <c r="BV503" s="83" t="str">
        <f>IF(Data_BeeindigingsdatumVastOntslag480="","",Data_BeeindigingsdatumVastOntslag480)</f>
        <v/>
      </c>
      <c r="BY503" s="82" t="str">
        <f>IF(Data_LoonkostenVastOntslag480="","",Data_LoonkostenVastOntslag480)</f>
        <v/>
      </c>
      <c r="CA503" s="76" t="str">
        <f>IF(Data_PersoonAanUitVastOntslag480=-1,"v","")</f>
        <v/>
      </c>
      <c r="CB503" s="41"/>
      <c r="CC503" s="76" t="s">
        <v>160</v>
      </c>
      <c r="CD503" s="41"/>
      <c r="CE503" s="41"/>
      <c r="CF503" s="41"/>
      <c r="CG503" s="41"/>
      <c r="CH503" s="41">
        <f t="shared" si="63"/>
        <v>0</v>
      </c>
      <c r="CI503" s="41">
        <f t="shared" si="61"/>
        <v>0</v>
      </c>
    </row>
    <row r="504" spans="8:87" x14ac:dyDescent="0.25">
      <c r="H504" s="81" t="str">
        <f>IF(Data_NaamPersoonNatVerloop481="","",Data_NaamPersoonNatVerloop481)</f>
        <v/>
      </c>
      <c r="I504" s="41"/>
      <c r="J504" s="41"/>
      <c r="K504" s="83" t="str">
        <f>IF(Data_BeeindigingsdatumNatVerloop481="","",Data_BeeindigingsdatumNatVerloop481)</f>
        <v/>
      </c>
      <c r="L504" s="41"/>
      <c r="M504" s="41"/>
      <c r="N504" s="82" t="str">
        <f>IF(Data_LoonkostenNatVerloop481="","",Data_LoonkostenNatVerloop481)</f>
        <v/>
      </c>
      <c r="O504" s="41"/>
      <c r="P504" s="276" t="s">
        <v>160</v>
      </c>
      <c r="Q504" s="41"/>
      <c r="R504" s="76" t="s">
        <v>160</v>
      </c>
      <c r="S504" s="41"/>
      <c r="T504" s="41"/>
      <c r="U504" s="41"/>
      <c r="V504" s="41"/>
      <c r="W504" s="41">
        <f t="shared" si="56"/>
        <v>0</v>
      </c>
      <c r="X504" s="77" t="str">
        <f t="shared" si="62"/>
        <v/>
      </c>
      <c r="AG504" s="81" t="str">
        <f t="shared" si="64"/>
        <v/>
      </c>
      <c r="AH504" s="41"/>
      <c r="AI504" s="41"/>
      <c r="AJ504" s="83" t="str">
        <f>IF(Data_BeeindigingsdatumTijd481="","",Data_BeeindigingsdatumTijd481)</f>
        <v/>
      </c>
      <c r="AK504" s="41"/>
      <c r="AL504" s="41"/>
      <c r="AM504" s="82" t="str">
        <f>IF(Data_LoonkostenTijd481="","",Data_LoonkostenTijd481)</f>
        <v/>
      </c>
      <c r="AN504" s="41"/>
      <c r="AO504" s="276" t="str">
        <f>IF(Data_PersoonAanUitTijd481=-1,"v","")</f>
        <v/>
      </c>
      <c r="AP504" s="41"/>
      <c r="AQ504" s="76" t="s">
        <v>160</v>
      </c>
      <c r="AR504" s="41"/>
      <c r="AS504" s="41"/>
      <c r="AT504" s="41"/>
      <c r="AU504" s="41"/>
      <c r="AV504" s="41">
        <f t="shared" si="57"/>
        <v>0</v>
      </c>
      <c r="AW504" s="77">
        <f t="shared" si="58"/>
        <v>0</v>
      </c>
      <c r="AX504" s="41"/>
      <c r="AY504" s="41"/>
      <c r="AZ504" s="41"/>
      <c r="BA504" s="81" t="str">
        <f>IF(Data_NaamPersoonVastVrij481="","",Data_NaamPersoonVastVrij481)</f>
        <v/>
      </c>
      <c r="BB504" s="41"/>
      <c r="BC504" s="41"/>
      <c r="BD504" s="83" t="str">
        <f>IF(Data_BeeindigingsdatumVastVrij481="","",Data_BeeindigingsdatumVastVrij481)</f>
        <v/>
      </c>
      <c r="BE504" s="41"/>
      <c r="BF504" s="41"/>
      <c r="BG504" s="82" t="str">
        <f>IF(Data_LoonkostenVastVrij481="","",Data_LoonkostenVastVrij481)</f>
        <v/>
      </c>
      <c r="BH504" s="41"/>
      <c r="BI504" s="76" t="str">
        <f>IF(Data_PersoonAanUitVastVrij481=-1,"v","")</f>
        <v/>
      </c>
      <c r="BJ504" s="41"/>
      <c r="BK504" s="76" t="s">
        <v>160</v>
      </c>
      <c r="BL504" s="41"/>
      <c r="BM504" s="41"/>
      <c r="BN504" s="41"/>
      <c r="BO504" s="41"/>
      <c r="BP504" s="41">
        <f t="shared" si="59"/>
        <v>0</v>
      </c>
      <c r="BQ504" s="77">
        <f t="shared" si="60"/>
        <v>0</v>
      </c>
      <c r="BS504" s="81" t="str">
        <f>IF(Data_NaamPersoonVastOntslag481="","",Data_NaamPersoonVastOntslag481)</f>
        <v/>
      </c>
      <c r="BV504" s="83" t="str">
        <f>IF(Data_BeeindigingsdatumVastOntslag481="","",Data_BeeindigingsdatumVastOntslag481)</f>
        <v/>
      </c>
      <c r="BY504" s="82" t="str">
        <f>IF(Data_LoonkostenVastOntslag481="","",Data_LoonkostenVastOntslag481)</f>
        <v/>
      </c>
      <c r="CA504" s="76" t="str">
        <f>IF(Data_PersoonAanUitVastOntslag481=-1,"v","")</f>
        <v/>
      </c>
      <c r="CB504" s="41"/>
      <c r="CC504" s="76" t="s">
        <v>160</v>
      </c>
      <c r="CD504" s="41"/>
      <c r="CE504" s="41"/>
      <c r="CF504" s="41"/>
      <c r="CG504" s="41"/>
      <c r="CH504" s="41">
        <f t="shared" si="63"/>
        <v>0</v>
      </c>
      <c r="CI504" s="41">
        <f t="shared" si="61"/>
        <v>0</v>
      </c>
    </row>
    <row r="505" spans="8:87" x14ac:dyDescent="0.25">
      <c r="H505" s="81" t="str">
        <f>IF(Data_NaamPersoonNatVerloop482="","",Data_NaamPersoonNatVerloop482)</f>
        <v/>
      </c>
      <c r="I505" s="41"/>
      <c r="J505" s="41"/>
      <c r="K505" s="83" t="str">
        <f>IF(Data_BeeindigingsdatumNatVerloop482="","",Data_BeeindigingsdatumNatVerloop482)</f>
        <v/>
      </c>
      <c r="L505" s="41"/>
      <c r="M505" s="41"/>
      <c r="N505" s="82" t="str">
        <f>IF(Data_LoonkostenNatVerloop482="","",Data_LoonkostenNatVerloop482)</f>
        <v/>
      </c>
      <c r="O505" s="41"/>
      <c r="P505" s="276" t="s">
        <v>160</v>
      </c>
      <c r="Q505" s="41"/>
      <c r="R505" s="76" t="s">
        <v>160</v>
      </c>
      <c r="S505" s="41"/>
      <c r="T505" s="41"/>
      <c r="U505" s="41"/>
      <c r="V505" s="41"/>
      <c r="W505" s="41">
        <f t="shared" si="56"/>
        <v>0</v>
      </c>
      <c r="X505" s="77" t="str">
        <f t="shared" si="62"/>
        <v/>
      </c>
      <c r="AG505" s="81" t="str">
        <f t="shared" si="64"/>
        <v/>
      </c>
      <c r="AH505" s="41"/>
      <c r="AI505" s="41"/>
      <c r="AJ505" s="83" t="str">
        <f>IF(Data_BeeindigingsdatumTijd482="","",Data_BeeindigingsdatumTijd482)</f>
        <v/>
      </c>
      <c r="AK505" s="41"/>
      <c r="AL505" s="41"/>
      <c r="AM505" s="82" t="str">
        <f>IF(Data_LoonkostenTijd482="","",Data_LoonkostenTijd482)</f>
        <v/>
      </c>
      <c r="AN505" s="41"/>
      <c r="AO505" s="276" t="str">
        <f>IF(Data_PersoonAanUitTijd482=-1,"v","")</f>
        <v/>
      </c>
      <c r="AP505" s="41"/>
      <c r="AQ505" s="76" t="s">
        <v>160</v>
      </c>
      <c r="AR505" s="41"/>
      <c r="AS505" s="41"/>
      <c r="AT505" s="41"/>
      <c r="AU505" s="41"/>
      <c r="AV505" s="41">
        <f t="shared" si="57"/>
        <v>0</v>
      </c>
      <c r="AW505" s="77">
        <f t="shared" si="58"/>
        <v>0</v>
      </c>
      <c r="AX505" s="41"/>
      <c r="AY505" s="41"/>
      <c r="AZ505" s="41"/>
      <c r="BA505" s="81" t="str">
        <f>IF(Data_NaamPersoonVastVrij482="","",Data_NaamPersoonVastVrij482)</f>
        <v/>
      </c>
      <c r="BB505" s="41"/>
      <c r="BC505" s="41"/>
      <c r="BD505" s="83" t="str">
        <f>IF(Data_BeeindigingsdatumVastVrij482="","",Data_BeeindigingsdatumVastVrij482)</f>
        <v/>
      </c>
      <c r="BE505" s="41"/>
      <c r="BF505" s="41"/>
      <c r="BG505" s="82" t="str">
        <f>IF(Data_LoonkostenVastVrij482="","",Data_LoonkostenVastVrij482)</f>
        <v/>
      </c>
      <c r="BH505" s="41"/>
      <c r="BI505" s="76" t="str">
        <f>IF(Data_PersoonAanUitVastVrij482=-1,"v","")</f>
        <v/>
      </c>
      <c r="BJ505" s="41"/>
      <c r="BK505" s="76" t="s">
        <v>160</v>
      </c>
      <c r="BL505" s="41"/>
      <c r="BM505" s="41"/>
      <c r="BN505" s="41"/>
      <c r="BO505" s="41"/>
      <c r="BP505" s="41">
        <f t="shared" si="59"/>
        <v>0</v>
      </c>
      <c r="BQ505" s="77">
        <f t="shared" si="60"/>
        <v>0</v>
      </c>
      <c r="BS505" s="81" t="str">
        <f>IF(Data_NaamPersoonVastOntslag482="","",Data_NaamPersoonVastOntslag482)</f>
        <v/>
      </c>
      <c r="BV505" s="83" t="str">
        <f>IF(Data_BeeindigingsdatumVastOntslag482="","",Data_BeeindigingsdatumVastOntslag482)</f>
        <v/>
      </c>
      <c r="BY505" s="82" t="str">
        <f>IF(Data_LoonkostenVastOntslag482="","",Data_LoonkostenVastOntslag482)</f>
        <v/>
      </c>
      <c r="CA505" s="76" t="str">
        <f>IF(Data_PersoonAanUitVastOntslag482=-1,"v","")</f>
        <v/>
      </c>
      <c r="CB505" s="41"/>
      <c r="CC505" s="76" t="s">
        <v>160</v>
      </c>
      <c r="CD505" s="41"/>
      <c r="CE505" s="41"/>
      <c r="CF505" s="41"/>
      <c r="CG505" s="41"/>
      <c r="CH505" s="41">
        <f t="shared" si="63"/>
        <v>0</v>
      </c>
      <c r="CI505" s="41">
        <f t="shared" si="61"/>
        <v>0</v>
      </c>
    </row>
    <row r="506" spans="8:87" x14ac:dyDescent="0.25">
      <c r="H506" s="81" t="str">
        <f>IF(Data_NaamPersoonNatVerloop483="","",Data_NaamPersoonNatVerloop483)</f>
        <v/>
      </c>
      <c r="I506" s="41"/>
      <c r="J506" s="41"/>
      <c r="K506" s="83" t="str">
        <f>IF(Data_BeeindigingsdatumNatVerloop483="","",Data_BeeindigingsdatumNatVerloop483)</f>
        <v/>
      </c>
      <c r="L506" s="41"/>
      <c r="M506" s="41"/>
      <c r="N506" s="82" t="str">
        <f>IF(Data_LoonkostenNatVerloop483="","",Data_LoonkostenNatVerloop483)</f>
        <v/>
      </c>
      <c r="O506" s="41"/>
      <c r="P506" s="276" t="s">
        <v>160</v>
      </c>
      <c r="Q506" s="41"/>
      <c r="R506" s="76" t="s">
        <v>160</v>
      </c>
      <c r="S506" s="41"/>
      <c r="T506" s="41"/>
      <c r="U506" s="41"/>
      <c r="V506" s="41"/>
      <c r="W506" s="41">
        <f t="shared" si="56"/>
        <v>0</v>
      </c>
      <c r="X506" s="77" t="str">
        <f t="shared" si="62"/>
        <v/>
      </c>
      <c r="AG506" s="81" t="str">
        <f t="shared" si="64"/>
        <v/>
      </c>
      <c r="AH506" s="41"/>
      <c r="AI506" s="41"/>
      <c r="AJ506" s="83" t="str">
        <f>IF(Data_BeeindigingsdatumTijd483="","",Data_BeeindigingsdatumTijd483)</f>
        <v/>
      </c>
      <c r="AK506" s="41"/>
      <c r="AL506" s="41"/>
      <c r="AM506" s="82" t="str">
        <f>IF(Data_LoonkostenTijd483="","",Data_LoonkostenTijd483)</f>
        <v/>
      </c>
      <c r="AN506" s="41"/>
      <c r="AO506" s="276" t="str">
        <f>IF(Data_PersoonAanUitTijd483=-1,"v","")</f>
        <v/>
      </c>
      <c r="AP506" s="41"/>
      <c r="AQ506" s="76" t="s">
        <v>160</v>
      </c>
      <c r="AR506" s="41"/>
      <c r="AS506" s="41"/>
      <c r="AT506" s="41"/>
      <c r="AU506" s="41"/>
      <c r="AV506" s="41">
        <f t="shared" si="57"/>
        <v>0</v>
      </c>
      <c r="AW506" s="77">
        <f t="shared" si="58"/>
        <v>0</v>
      </c>
      <c r="AX506" s="41"/>
      <c r="AY506" s="41"/>
      <c r="AZ506" s="41"/>
      <c r="BA506" s="81" t="str">
        <f>IF(Data_NaamPersoonVastVrij483="","",Data_NaamPersoonVastVrij483)</f>
        <v/>
      </c>
      <c r="BB506" s="41"/>
      <c r="BC506" s="41"/>
      <c r="BD506" s="83" t="str">
        <f>IF(Data_BeeindigingsdatumVastVrij483="","",Data_BeeindigingsdatumVastVrij483)</f>
        <v/>
      </c>
      <c r="BE506" s="41"/>
      <c r="BF506" s="41"/>
      <c r="BG506" s="82" t="str">
        <f>IF(Data_LoonkostenVastVrij483="","",Data_LoonkostenVastVrij483)</f>
        <v/>
      </c>
      <c r="BH506" s="41"/>
      <c r="BI506" s="76" t="str">
        <f>IF(Data_PersoonAanUitVastVrij483=-1,"v","")</f>
        <v/>
      </c>
      <c r="BJ506" s="41"/>
      <c r="BK506" s="76" t="s">
        <v>160</v>
      </c>
      <c r="BL506" s="41"/>
      <c r="BM506" s="41"/>
      <c r="BN506" s="41"/>
      <c r="BO506" s="41"/>
      <c r="BP506" s="41">
        <f t="shared" si="59"/>
        <v>0</v>
      </c>
      <c r="BQ506" s="77">
        <f t="shared" si="60"/>
        <v>0</v>
      </c>
      <c r="BS506" s="81" t="str">
        <f>IF(Data_NaamPersoonVastOntslag483="","",Data_NaamPersoonVastOntslag483)</f>
        <v/>
      </c>
      <c r="BV506" s="83" t="str">
        <f>IF(Data_BeeindigingsdatumVastOntslag483="","",Data_BeeindigingsdatumVastOntslag483)</f>
        <v/>
      </c>
      <c r="BY506" s="82" t="str">
        <f>IF(Data_LoonkostenVastOntslag483="","",Data_LoonkostenVastOntslag483)</f>
        <v/>
      </c>
      <c r="CA506" s="76" t="str">
        <f>IF(Data_PersoonAanUitVastOntslag483=-1,"v","")</f>
        <v/>
      </c>
      <c r="CB506" s="41"/>
      <c r="CC506" s="76" t="s">
        <v>160</v>
      </c>
      <c r="CD506" s="41"/>
      <c r="CE506" s="41"/>
      <c r="CF506" s="41"/>
      <c r="CG506" s="41"/>
      <c r="CH506" s="41">
        <f t="shared" si="63"/>
        <v>0</v>
      </c>
      <c r="CI506" s="41">
        <f t="shared" si="61"/>
        <v>0</v>
      </c>
    </row>
    <row r="507" spans="8:87" x14ac:dyDescent="0.25">
      <c r="H507" s="81" t="str">
        <f>IF(Data_NaamPersoonNatVerloop484="","",Data_NaamPersoonNatVerloop484)</f>
        <v/>
      </c>
      <c r="I507" s="41"/>
      <c r="J507" s="41"/>
      <c r="K507" s="83" t="str">
        <f>IF(Data_BeeindigingsdatumNatVerloop484="","",Data_BeeindigingsdatumNatVerloop484)</f>
        <v/>
      </c>
      <c r="L507" s="41"/>
      <c r="M507" s="41"/>
      <c r="N507" s="82" t="str">
        <f>IF(Data_LoonkostenNatVerloop484="","",Data_LoonkostenNatVerloop484)</f>
        <v/>
      </c>
      <c r="O507" s="41"/>
      <c r="P507" s="276" t="s">
        <v>160</v>
      </c>
      <c r="Q507" s="41"/>
      <c r="R507" s="76" t="s">
        <v>160</v>
      </c>
      <c r="S507" s="41"/>
      <c r="T507" s="41"/>
      <c r="U507" s="41"/>
      <c r="V507" s="41"/>
      <c r="W507" s="41">
        <f t="shared" si="56"/>
        <v>0</v>
      </c>
      <c r="X507" s="77" t="str">
        <f t="shared" si="62"/>
        <v/>
      </c>
      <c r="AG507" s="81" t="str">
        <f t="shared" si="64"/>
        <v/>
      </c>
      <c r="AH507" s="41"/>
      <c r="AI507" s="41"/>
      <c r="AJ507" s="83" t="str">
        <f>IF(Data_BeeindigingsdatumTijd484="","",Data_BeeindigingsdatumTijd484)</f>
        <v/>
      </c>
      <c r="AK507" s="41"/>
      <c r="AL507" s="41"/>
      <c r="AM507" s="82" t="str">
        <f>IF(Data_LoonkostenTijd484="","",Data_LoonkostenTijd484)</f>
        <v/>
      </c>
      <c r="AN507" s="41"/>
      <c r="AO507" s="276" t="str">
        <f>IF(Data_PersoonAanUitTijd484=-1,"v","")</f>
        <v/>
      </c>
      <c r="AP507" s="41"/>
      <c r="AQ507" s="76" t="s">
        <v>160</v>
      </c>
      <c r="AR507" s="41"/>
      <c r="AS507" s="41"/>
      <c r="AT507" s="41"/>
      <c r="AU507" s="41"/>
      <c r="AV507" s="41">
        <f t="shared" si="57"/>
        <v>0</v>
      </c>
      <c r="AW507" s="77">
        <f t="shared" si="58"/>
        <v>0</v>
      </c>
      <c r="AX507" s="41"/>
      <c r="AY507" s="41"/>
      <c r="AZ507" s="41"/>
      <c r="BA507" s="81" t="str">
        <f>IF(Data_NaamPersoonVastVrij484="","",Data_NaamPersoonVastVrij484)</f>
        <v/>
      </c>
      <c r="BB507" s="41"/>
      <c r="BC507" s="41"/>
      <c r="BD507" s="83" t="str">
        <f>IF(Data_BeeindigingsdatumVastVrij484="","",Data_BeeindigingsdatumVastVrij484)</f>
        <v/>
      </c>
      <c r="BE507" s="41"/>
      <c r="BF507" s="41"/>
      <c r="BG507" s="82" t="str">
        <f>IF(Data_LoonkostenVastVrij484="","",Data_LoonkostenVastVrij484)</f>
        <v/>
      </c>
      <c r="BH507" s="41"/>
      <c r="BI507" s="76" t="str">
        <f>IF(Data_PersoonAanUitVastVrij484=-1,"v","")</f>
        <v/>
      </c>
      <c r="BJ507" s="41"/>
      <c r="BK507" s="76" t="s">
        <v>160</v>
      </c>
      <c r="BL507" s="41"/>
      <c r="BM507" s="41"/>
      <c r="BN507" s="41"/>
      <c r="BO507" s="41"/>
      <c r="BP507" s="41">
        <f t="shared" si="59"/>
        <v>0</v>
      </c>
      <c r="BQ507" s="77">
        <f t="shared" si="60"/>
        <v>0</v>
      </c>
      <c r="BS507" s="81" t="str">
        <f>IF(Data_NaamPersoonVastOntslag484="","",Data_NaamPersoonVastOntslag484)</f>
        <v/>
      </c>
      <c r="BV507" s="83" t="str">
        <f>IF(Data_BeeindigingsdatumVastOntslag484="","",Data_BeeindigingsdatumVastOntslag484)</f>
        <v/>
      </c>
      <c r="BY507" s="82" t="str">
        <f>IF(Data_LoonkostenVastOntslag484="","",Data_LoonkostenVastOntslag484)</f>
        <v/>
      </c>
      <c r="CA507" s="76" t="str">
        <f>IF(Data_PersoonAanUitVastOntslag484=-1,"v","")</f>
        <v/>
      </c>
      <c r="CB507" s="41"/>
      <c r="CC507" s="76" t="s">
        <v>160</v>
      </c>
      <c r="CD507" s="41"/>
      <c r="CE507" s="41"/>
      <c r="CF507" s="41"/>
      <c r="CG507" s="41"/>
      <c r="CH507" s="41">
        <f t="shared" si="63"/>
        <v>0</v>
      </c>
      <c r="CI507" s="41">
        <f t="shared" si="61"/>
        <v>0</v>
      </c>
    </row>
    <row r="508" spans="8:87" x14ac:dyDescent="0.25">
      <c r="H508" s="81" t="str">
        <f>IF(Data_NaamPersoonNatVerloop485="","",Data_NaamPersoonNatVerloop485)</f>
        <v/>
      </c>
      <c r="I508" s="41"/>
      <c r="J508" s="41"/>
      <c r="K508" s="83" t="str">
        <f>IF(Data_BeeindigingsdatumNatVerloop485="","",Data_BeeindigingsdatumNatVerloop485)</f>
        <v/>
      </c>
      <c r="L508" s="41"/>
      <c r="M508" s="41"/>
      <c r="N508" s="82" t="str">
        <f>IF(Data_LoonkostenNatVerloop485="","",Data_LoonkostenNatVerloop485)</f>
        <v/>
      </c>
      <c r="O508" s="41"/>
      <c r="P508" s="276" t="s">
        <v>160</v>
      </c>
      <c r="Q508" s="41"/>
      <c r="R508" s="76" t="s">
        <v>160</v>
      </c>
      <c r="S508" s="41"/>
      <c r="T508" s="41"/>
      <c r="U508" s="41"/>
      <c r="V508" s="41"/>
      <c r="W508" s="41">
        <f t="shared" si="56"/>
        <v>0</v>
      </c>
      <c r="X508" s="77" t="str">
        <f t="shared" si="62"/>
        <v/>
      </c>
      <c r="AG508" s="81" t="str">
        <f t="shared" si="64"/>
        <v/>
      </c>
      <c r="AH508" s="41"/>
      <c r="AI508" s="41"/>
      <c r="AJ508" s="83" t="str">
        <f>IF(Data_BeeindigingsdatumTijd485="","",Data_BeeindigingsdatumTijd485)</f>
        <v/>
      </c>
      <c r="AK508" s="41"/>
      <c r="AL508" s="41"/>
      <c r="AM508" s="82" t="str">
        <f>IF(Data_LoonkostenTijd485="","",Data_LoonkostenTijd485)</f>
        <v/>
      </c>
      <c r="AN508" s="41"/>
      <c r="AO508" s="276" t="str">
        <f>IF(Data_PersoonAanUitTijd485=-1,"v","")</f>
        <v/>
      </c>
      <c r="AP508" s="41"/>
      <c r="AQ508" s="76" t="s">
        <v>160</v>
      </c>
      <c r="AR508" s="41"/>
      <c r="AS508" s="41"/>
      <c r="AT508" s="41"/>
      <c r="AU508" s="41"/>
      <c r="AV508" s="41">
        <f t="shared" si="57"/>
        <v>0</v>
      </c>
      <c r="AW508" s="77">
        <f t="shared" si="58"/>
        <v>0</v>
      </c>
      <c r="AX508" s="41"/>
      <c r="AY508" s="41"/>
      <c r="AZ508" s="41"/>
      <c r="BA508" s="81" t="str">
        <f>IF(Data_NaamPersoonVastVrij485="","",Data_NaamPersoonVastVrij485)</f>
        <v/>
      </c>
      <c r="BB508" s="41"/>
      <c r="BC508" s="41"/>
      <c r="BD508" s="83" t="str">
        <f>IF(Data_BeeindigingsdatumVastVrij485="","",Data_BeeindigingsdatumVastVrij485)</f>
        <v/>
      </c>
      <c r="BE508" s="41"/>
      <c r="BF508" s="41"/>
      <c r="BG508" s="82" t="str">
        <f>IF(Data_LoonkostenVastVrij485="","",Data_LoonkostenVastVrij485)</f>
        <v/>
      </c>
      <c r="BH508" s="41"/>
      <c r="BI508" s="76" t="str">
        <f>IF(Data_PersoonAanUitVastVrij485=-1,"v","")</f>
        <v/>
      </c>
      <c r="BJ508" s="41"/>
      <c r="BK508" s="76" t="s">
        <v>160</v>
      </c>
      <c r="BL508" s="41"/>
      <c r="BM508" s="41"/>
      <c r="BN508" s="41"/>
      <c r="BO508" s="41"/>
      <c r="BP508" s="41">
        <f t="shared" si="59"/>
        <v>0</v>
      </c>
      <c r="BQ508" s="77">
        <f t="shared" si="60"/>
        <v>0</v>
      </c>
      <c r="BS508" s="81" t="str">
        <f>IF(Data_NaamPersoonVastOntslag485="","",Data_NaamPersoonVastOntslag485)</f>
        <v/>
      </c>
      <c r="BV508" s="83" t="str">
        <f>IF(Data_BeeindigingsdatumVastOntslag485="","",Data_BeeindigingsdatumVastOntslag485)</f>
        <v/>
      </c>
      <c r="BY508" s="82" t="str">
        <f>IF(Data_LoonkostenVastOntslag485="","",Data_LoonkostenVastOntslag485)</f>
        <v/>
      </c>
      <c r="CA508" s="76" t="str">
        <f>IF(Data_PersoonAanUitVastOntslag485=-1,"v","")</f>
        <v/>
      </c>
      <c r="CB508" s="41"/>
      <c r="CC508" s="76" t="s">
        <v>160</v>
      </c>
      <c r="CD508" s="41"/>
      <c r="CE508" s="41"/>
      <c r="CF508" s="41"/>
      <c r="CG508" s="41"/>
      <c r="CH508" s="41">
        <f t="shared" si="63"/>
        <v>0</v>
      </c>
      <c r="CI508" s="41">
        <f t="shared" si="61"/>
        <v>0</v>
      </c>
    </row>
    <row r="509" spans="8:87" x14ac:dyDescent="0.25">
      <c r="H509" s="81" t="str">
        <f>IF(Data_NaamPersoonNatVerloop486="","",Data_NaamPersoonNatVerloop486)</f>
        <v/>
      </c>
      <c r="I509" s="41"/>
      <c r="J509" s="41"/>
      <c r="K509" s="83" t="str">
        <f>IF(Data_BeeindigingsdatumNatVerloop486="","",Data_BeeindigingsdatumNatVerloop486)</f>
        <v/>
      </c>
      <c r="L509" s="41"/>
      <c r="M509" s="41"/>
      <c r="N509" s="82" t="str">
        <f>IF(Data_LoonkostenNatVerloop486="","",Data_LoonkostenNatVerloop486)</f>
        <v/>
      </c>
      <c r="O509" s="41"/>
      <c r="P509" s="276" t="s">
        <v>160</v>
      </c>
      <c r="Q509" s="41"/>
      <c r="R509" s="76" t="s">
        <v>160</v>
      </c>
      <c r="S509" s="41"/>
      <c r="T509" s="41"/>
      <c r="U509" s="41"/>
      <c r="V509" s="41"/>
      <c r="W509" s="41">
        <f t="shared" si="56"/>
        <v>0</v>
      </c>
      <c r="X509" s="77" t="str">
        <f t="shared" si="62"/>
        <v/>
      </c>
      <c r="AG509" s="81" t="str">
        <f t="shared" si="64"/>
        <v/>
      </c>
      <c r="AH509" s="41"/>
      <c r="AI509" s="41"/>
      <c r="AJ509" s="83" t="str">
        <f>IF(Data_BeeindigingsdatumTijd486="","",Data_BeeindigingsdatumTijd486)</f>
        <v/>
      </c>
      <c r="AK509" s="41"/>
      <c r="AL509" s="41"/>
      <c r="AM509" s="82" t="str">
        <f>IF(Data_LoonkostenTijd486="","",Data_LoonkostenTijd486)</f>
        <v/>
      </c>
      <c r="AN509" s="41"/>
      <c r="AO509" s="276" t="str">
        <f>IF(Data_PersoonAanUitTijd486=-1,"v","")</f>
        <v/>
      </c>
      <c r="AP509" s="41"/>
      <c r="AQ509" s="76" t="s">
        <v>160</v>
      </c>
      <c r="AR509" s="41"/>
      <c r="AS509" s="41"/>
      <c r="AT509" s="41"/>
      <c r="AU509" s="41"/>
      <c r="AV509" s="41">
        <f t="shared" si="57"/>
        <v>0</v>
      </c>
      <c r="AW509" s="77">
        <f t="shared" si="58"/>
        <v>0</v>
      </c>
      <c r="AX509" s="41"/>
      <c r="AY509" s="41"/>
      <c r="AZ509" s="41"/>
      <c r="BA509" s="81" t="str">
        <f>IF(Data_NaamPersoonVastVrij486="","",Data_NaamPersoonVastVrij486)</f>
        <v/>
      </c>
      <c r="BB509" s="41"/>
      <c r="BC509" s="41"/>
      <c r="BD509" s="83" t="str">
        <f>IF(Data_BeeindigingsdatumVastVrij486="","",Data_BeeindigingsdatumVastVrij486)</f>
        <v/>
      </c>
      <c r="BE509" s="41"/>
      <c r="BF509" s="41"/>
      <c r="BG509" s="82" t="str">
        <f>IF(Data_LoonkostenVastVrij486="","",Data_LoonkostenVastVrij486)</f>
        <v/>
      </c>
      <c r="BH509" s="41"/>
      <c r="BI509" s="76" t="str">
        <f>IF(Data_PersoonAanUitVastVrij486=-1,"v","")</f>
        <v/>
      </c>
      <c r="BJ509" s="41"/>
      <c r="BK509" s="76" t="s">
        <v>160</v>
      </c>
      <c r="BL509" s="41"/>
      <c r="BM509" s="41"/>
      <c r="BN509" s="41"/>
      <c r="BO509" s="41"/>
      <c r="BP509" s="41">
        <f t="shared" si="59"/>
        <v>0</v>
      </c>
      <c r="BQ509" s="77">
        <f t="shared" si="60"/>
        <v>0</v>
      </c>
      <c r="BS509" s="81" t="str">
        <f>IF(Data_NaamPersoonVastOntslag486="","",Data_NaamPersoonVastOntslag486)</f>
        <v/>
      </c>
      <c r="BV509" s="83" t="str">
        <f>IF(Data_BeeindigingsdatumVastOntslag486="","",Data_BeeindigingsdatumVastOntslag486)</f>
        <v/>
      </c>
      <c r="BY509" s="82" t="str">
        <f>IF(Data_LoonkostenVastOntslag486="","",Data_LoonkostenVastOntslag486)</f>
        <v/>
      </c>
      <c r="CA509" s="76" t="str">
        <f>IF(Data_PersoonAanUitVastOntslag486=-1,"v","")</f>
        <v/>
      </c>
      <c r="CB509" s="41"/>
      <c r="CC509" s="76" t="s">
        <v>160</v>
      </c>
      <c r="CD509" s="41"/>
      <c r="CE509" s="41"/>
      <c r="CF509" s="41"/>
      <c r="CG509" s="41"/>
      <c r="CH509" s="41">
        <f t="shared" si="63"/>
        <v>0</v>
      </c>
      <c r="CI509" s="41">
        <f t="shared" si="61"/>
        <v>0</v>
      </c>
    </row>
    <row r="510" spans="8:87" x14ac:dyDescent="0.25">
      <c r="H510" s="81" t="str">
        <f>IF(Data_NaamPersoonNatVerloop487="","",Data_NaamPersoonNatVerloop487)</f>
        <v/>
      </c>
      <c r="I510" s="41"/>
      <c r="J510" s="41"/>
      <c r="K510" s="83" t="str">
        <f>IF(Data_BeeindigingsdatumNatVerloop487="","",Data_BeeindigingsdatumNatVerloop487)</f>
        <v/>
      </c>
      <c r="L510" s="41"/>
      <c r="M510" s="41"/>
      <c r="N510" s="82" t="str">
        <f>IF(Data_LoonkostenNatVerloop487="","",Data_LoonkostenNatVerloop487)</f>
        <v/>
      </c>
      <c r="O510" s="41"/>
      <c r="P510" s="276" t="s">
        <v>160</v>
      </c>
      <c r="Q510" s="41"/>
      <c r="R510" s="76" t="s">
        <v>160</v>
      </c>
      <c r="S510" s="41"/>
      <c r="T510" s="41"/>
      <c r="U510" s="41"/>
      <c r="V510" s="41"/>
      <c r="W510" s="41">
        <f t="shared" si="56"/>
        <v>0</v>
      </c>
      <c r="X510" s="77" t="str">
        <f t="shared" si="62"/>
        <v/>
      </c>
      <c r="AG510" s="81" t="str">
        <f t="shared" si="64"/>
        <v/>
      </c>
      <c r="AH510" s="41"/>
      <c r="AI510" s="41"/>
      <c r="AJ510" s="83" t="str">
        <f>IF(Data_BeeindigingsdatumTijd487="","",Data_BeeindigingsdatumTijd487)</f>
        <v/>
      </c>
      <c r="AK510" s="41"/>
      <c r="AL510" s="41"/>
      <c r="AM510" s="82" t="str">
        <f>IF(Data_LoonkostenTijd487="","",Data_LoonkostenTijd487)</f>
        <v/>
      </c>
      <c r="AN510" s="41"/>
      <c r="AO510" s="276" t="str">
        <f>IF(Data_PersoonAanUitTijd487=-1,"v","")</f>
        <v/>
      </c>
      <c r="AP510" s="41"/>
      <c r="AQ510" s="76" t="s">
        <v>160</v>
      </c>
      <c r="AR510" s="41"/>
      <c r="AS510" s="41"/>
      <c r="AT510" s="41"/>
      <c r="AU510" s="41"/>
      <c r="AV510" s="41">
        <f t="shared" si="57"/>
        <v>0</v>
      </c>
      <c r="AW510" s="77">
        <f t="shared" si="58"/>
        <v>0</v>
      </c>
      <c r="AX510" s="41"/>
      <c r="AY510" s="41"/>
      <c r="AZ510" s="41"/>
      <c r="BA510" s="81" t="str">
        <f>IF(Data_NaamPersoonVastVrij487="","",Data_NaamPersoonVastVrij487)</f>
        <v/>
      </c>
      <c r="BB510" s="41"/>
      <c r="BC510" s="41"/>
      <c r="BD510" s="83" t="str">
        <f>IF(Data_BeeindigingsdatumVastVrij487="","",Data_BeeindigingsdatumVastVrij487)</f>
        <v/>
      </c>
      <c r="BE510" s="41"/>
      <c r="BF510" s="41"/>
      <c r="BG510" s="82" t="str">
        <f>IF(Data_LoonkostenVastVrij487="","",Data_LoonkostenVastVrij487)</f>
        <v/>
      </c>
      <c r="BH510" s="41"/>
      <c r="BI510" s="76" t="str">
        <f>IF(Data_PersoonAanUitVastVrij487=-1,"v","")</f>
        <v/>
      </c>
      <c r="BJ510" s="41"/>
      <c r="BK510" s="76" t="s">
        <v>160</v>
      </c>
      <c r="BL510" s="41"/>
      <c r="BM510" s="41"/>
      <c r="BN510" s="41"/>
      <c r="BO510" s="41"/>
      <c r="BP510" s="41">
        <f t="shared" si="59"/>
        <v>0</v>
      </c>
      <c r="BQ510" s="77">
        <f t="shared" si="60"/>
        <v>0</v>
      </c>
      <c r="BS510" s="81" t="str">
        <f>IF(Data_NaamPersoonVastOntslag487="","",Data_NaamPersoonVastOntslag487)</f>
        <v/>
      </c>
      <c r="BV510" s="83" t="str">
        <f>IF(Data_BeeindigingsdatumVastOntslag487="","",Data_BeeindigingsdatumVastOntslag487)</f>
        <v/>
      </c>
      <c r="BY510" s="82" t="str">
        <f>IF(Data_LoonkostenVastOntslag487="","",Data_LoonkostenVastOntslag487)</f>
        <v/>
      </c>
      <c r="CA510" s="76" t="str">
        <f>IF(Data_PersoonAanUitVastOntslag487=-1,"v","")</f>
        <v/>
      </c>
      <c r="CB510" s="41"/>
      <c r="CC510" s="76" t="s">
        <v>160</v>
      </c>
      <c r="CD510" s="41"/>
      <c r="CE510" s="41"/>
      <c r="CF510" s="41"/>
      <c r="CG510" s="41"/>
      <c r="CH510" s="41">
        <f t="shared" si="63"/>
        <v>0</v>
      </c>
      <c r="CI510" s="41">
        <f t="shared" si="61"/>
        <v>0</v>
      </c>
    </row>
    <row r="511" spans="8:87" x14ac:dyDescent="0.25">
      <c r="H511" s="81" t="str">
        <f>IF(Data_NaamPersoonNatVerloop488="","",Data_NaamPersoonNatVerloop488)</f>
        <v/>
      </c>
      <c r="I511" s="41"/>
      <c r="J511" s="41"/>
      <c r="K511" s="83" t="str">
        <f>IF(Data_BeeindigingsdatumNatVerloop488="","",Data_BeeindigingsdatumNatVerloop488)</f>
        <v/>
      </c>
      <c r="L511" s="41"/>
      <c r="M511" s="41"/>
      <c r="N511" s="82" t="str">
        <f>IF(Data_LoonkostenNatVerloop488="","",Data_LoonkostenNatVerloop488)</f>
        <v/>
      </c>
      <c r="O511" s="41"/>
      <c r="P511" s="276" t="s">
        <v>160</v>
      </c>
      <c r="Q511" s="41"/>
      <c r="R511" s="76" t="s">
        <v>160</v>
      </c>
      <c r="S511" s="41"/>
      <c r="T511" s="41"/>
      <c r="U511" s="41"/>
      <c r="V511" s="41"/>
      <c r="W511" s="41">
        <f t="shared" si="56"/>
        <v>0</v>
      </c>
      <c r="X511" s="77" t="str">
        <f t="shared" si="62"/>
        <v/>
      </c>
      <c r="AG511" s="81" t="str">
        <f t="shared" si="64"/>
        <v/>
      </c>
      <c r="AH511" s="41"/>
      <c r="AI511" s="41"/>
      <c r="AJ511" s="83" t="str">
        <f>IF(Data_BeeindigingsdatumTijd488="","",Data_BeeindigingsdatumTijd488)</f>
        <v/>
      </c>
      <c r="AK511" s="41"/>
      <c r="AL511" s="41"/>
      <c r="AM511" s="82" t="str">
        <f>IF(Data_LoonkostenTijd488="","",Data_LoonkostenTijd488)</f>
        <v/>
      </c>
      <c r="AN511" s="41"/>
      <c r="AO511" s="276" t="str">
        <f>IF(Data_PersoonAanUitTijd488=-1,"v","")</f>
        <v/>
      </c>
      <c r="AP511" s="41"/>
      <c r="AQ511" s="76" t="s">
        <v>160</v>
      </c>
      <c r="AR511" s="41"/>
      <c r="AS511" s="41"/>
      <c r="AT511" s="41"/>
      <c r="AU511" s="41"/>
      <c r="AV511" s="41">
        <f t="shared" si="57"/>
        <v>0</v>
      </c>
      <c r="AW511" s="77">
        <f t="shared" si="58"/>
        <v>0</v>
      </c>
      <c r="AX511" s="41"/>
      <c r="AY511" s="41"/>
      <c r="AZ511" s="41"/>
      <c r="BA511" s="81" t="str">
        <f>IF(Data_NaamPersoonVastVrij488="","",Data_NaamPersoonVastVrij488)</f>
        <v/>
      </c>
      <c r="BB511" s="41"/>
      <c r="BC511" s="41"/>
      <c r="BD511" s="83" t="str">
        <f>IF(Data_BeeindigingsdatumVastVrij488="","",Data_BeeindigingsdatumVastVrij488)</f>
        <v/>
      </c>
      <c r="BE511" s="41"/>
      <c r="BF511" s="41"/>
      <c r="BG511" s="82" t="str">
        <f>IF(Data_LoonkostenVastVrij488="","",Data_LoonkostenVastVrij488)</f>
        <v/>
      </c>
      <c r="BH511" s="41"/>
      <c r="BI511" s="76" t="str">
        <f>IF(Data_PersoonAanUitVastVrij488=-1,"v","")</f>
        <v/>
      </c>
      <c r="BJ511" s="41"/>
      <c r="BK511" s="76" t="s">
        <v>160</v>
      </c>
      <c r="BL511" s="41"/>
      <c r="BM511" s="41"/>
      <c r="BN511" s="41"/>
      <c r="BO511" s="41"/>
      <c r="BP511" s="41">
        <f t="shared" si="59"/>
        <v>0</v>
      </c>
      <c r="BQ511" s="77">
        <f t="shared" si="60"/>
        <v>0</v>
      </c>
      <c r="BS511" s="81" t="str">
        <f>IF(Data_NaamPersoonVastOntslag488="","",Data_NaamPersoonVastOntslag488)</f>
        <v/>
      </c>
      <c r="BV511" s="83" t="str">
        <f>IF(Data_BeeindigingsdatumVastOntslag488="","",Data_BeeindigingsdatumVastOntslag488)</f>
        <v/>
      </c>
      <c r="BY511" s="82" t="str">
        <f>IF(Data_LoonkostenVastOntslag488="","",Data_LoonkostenVastOntslag488)</f>
        <v/>
      </c>
      <c r="CA511" s="76" t="str">
        <f>IF(Data_PersoonAanUitVastOntslag488=-1,"v","")</f>
        <v/>
      </c>
      <c r="CB511" s="41"/>
      <c r="CC511" s="76" t="s">
        <v>160</v>
      </c>
      <c r="CD511" s="41"/>
      <c r="CE511" s="41"/>
      <c r="CF511" s="41"/>
      <c r="CG511" s="41"/>
      <c r="CH511" s="41">
        <f t="shared" si="63"/>
        <v>0</v>
      </c>
      <c r="CI511" s="41">
        <f t="shared" si="61"/>
        <v>0</v>
      </c>
    </row>
    <row r="512" spans="8:87" x14ac:dyDescent="0.25">
      <c r="H512" s="81" t="str">
        <f>IF(Data_NaamPersoonNatVerloop489="","",Data_NaamPersoonNatVerloop489)</f>
        <v/>
      </c>
      <c r="I512" s="41"/>
      <c r="J512" s="41"/>
      <c r="K512" s="83" t="str">
        <f>IF(Data_BeeindigingsdatumNatVerloop489="","",Data_BeeindigingsdatumNatVerloop489)</f>
        <v/>
      </c>
      <c r="L512" s="41"/>
      <c r="M512" s="41"/>
      <c r="N512" s="82" t="str">
        <f>IF(Data_LoonkostenNatVerloop489="","",Data_LoonkostenNatVerloop489)</f>
        <v/>
      </c>
      <c r="O512" s="41"/>
      <c r="P512" s="276" t="s">
        <v>160</v>
      </c>
      <c r="Q512" s="41"/>
      <c r="R512" s="76" t="s">
        <v>160</v>
      </c>
      <c r="S512" s="41"/>
      <c r="T512" s="41"/>
      <c r="U512" s="41"/>
      <c r="V512" s="41"/>
      <c r="W512" s="41">
        <f t="shared" si="56"/>
        <v>0</v>
      </c>
      <c r="X512" s="77" t="str">
        <f t="shared" si="62"/>
        <v/>
      </c>
      <c r="AG512" s="81" t="str">
        <f t="shared" si="64"/>
        <v/>
      </c>
      <c r="AH512" s="41"/>
      <c r="AI512" s="41"/>
      <c r="AJ512" s="83" t="str">
        <f>IF(Data_BeeindigingsdatumTijd489="","",Data_BeeindigingsdatumTijd489)</f>
        <v/>
      </c>
      <c r="AK512" s="41"/>
      <c r="AL512" s="41"/>
      <c r="AM512" s="82" t="str">
        <f>IF(Data_LoonkostenTijd489="","",Data_LoonkostenTijd489)</f>
        <v/>
      </c>
      <c r="AN512" s="41"/>
      <c r="AO512" s="276" t="str">
        <f>IF(Data_PersoonAanUitTijd489=-1,"v","")</f>
        <v/>
      </c>
      <c r="AP512" s="41"/>
      <c r="AQ512" s="76" t="s">
        <v>160</v>
      </c>
      <c r="AR512" s="41"/>
      <c r="AS512" s="41"/>
      <c r="AT512" s="41"/>
      <c r="AU512" s="41"/>
      <c r="AV512" s="41">
        <f t="shared" si="57"/>
        <v>0</v>
      </c>
      <c r="AW512" s="77">
        <f t="shared" si="58"/>
        <v>0</v>
      </c>
      <c r="AX512" s="41"/>
      <c r="AY512" s="41"/>
      <c r="AZ512" s="41"/>
      <c r="BA512" s="81" t="str">
        <f>IF(Data_NaamPersoonVastVrij489="","",Data_NaamPersoonVastVrij489)</f>
        <v/>
      </c>
      <c r="BB512" s="41"/>
      <c r="BC512" s="41"/>
      <c r="BD512" s="83" t="str">
        <f>IF(Data_BeeindigingsdatumVastVrij489="","",Data_BeeindigingsdatumVastVrij489)</f>
        <v/>
      </c>
      <c r="BE512" s="41"/>
      <c r="BF512" s="41"/>
      <c r="BG512" s="82" t="str">
        <f>IF(Data_LoonkostenVastVrij489="","",Data_LoonkostenVastVrij489)</f>
        <v/>
      </c>
      <c r="BH512" s="41"/>
      <c r="BI512" s="76" t="str">
        <f>IF(Data_PersoonAanUitVastVrij489=-1,"v","")</f>
        <v/>
      </c>
      <c r="BJ512" s="41"/>
      <c r="BK512" s="76" t="s">
        <v>160</v>
      </c>
      <c r="BL512" s="41"/>
      <c r="BM512" s="41"/>
      <c r="BN512" s="41"/>
      <c r="BO512" s="41"/>
      <c r="BP512" s="41">
        <f t="shared" si="59"/>
        <v>0</v>
      </c>
      <c r="BQ512" s="77">
        <f t="shared" si="60"/>
        <v>0</v>
      </c>
      <c r="BS512" s="81" t="str">
        <f>IF(Data_NaamPersoonVastOntslag489="","",Data_NaamPersoonVastOntslag489)</f>
        <v/>
      </c>
      <c r="BV512" s="83" t="str">
        <f>IF(Data_BeeindigingsdatumVastOntslag489="","",Data_BeeindigingsdatumVastOntslag489)</f>
        <v/>
      </c>
      <c r="BY512" s="82" t="str">
        <f>IF(Data_LoonkostenVastOntslag489="","",Data_LoonkostenVastOntslag489)</f>
        <v/>
      </c>
      <c r="CA512" s="76" t="str">
        <f>IF(Data_PersoonAanUitVastOntslag489=-1,"v","")</f>
        <v/>
      </c>
      <c r="CB512" s="41"/>
      <c r="CC512" s="76" t="s">
        <v>160</v>
      </c>
      <c r="CD512" s="41"/>
      <c r="CE512" s="41"/>
      <c r="CF512" s="41"/>
      <c r="CG512" s="41"/>
      <c r="CH512" s="41">
        <f t="shared" si="63"/>
        <v>0</v>
      </c>
      <c r="CI512" s="41">
        <f t="shared" si="61"/>
        <v>0</v>
      </c>
    </row>
    <row r="513" spans="8:87" x14ac:dyDescent="0.25">
      <c r="H513" s="81" t="str">
        <f>IF(Data_NaamPersoonNatVerloop490="","",Data_NaamPersoonNatVerloop490)</f>
        <v/>
      </c>
      <c r="I513" s="41"/>
      <c r="J513" s="41"/>
      <c r="K513" s="83" t="str">
        <f>IF(Data_BeeindigingsdatumNatVerloop490="","",Data_BeeindigingsdatumNatVerloop490)</f>
        <v/>
      </c>
      <c r="L513" s="41"/>
      <c r="M513" s="41"/>
      <c r="N513" s="82" t="str">
        <f>IF(Data_LoonkostenNatVerloop490="","",Data_LoonkostenNatVerloop490)</f>
        <v/>
      </c>
      <c r="O513" s="41"/>
      <c r="P513" s="276" t="s">
        <v>160</v>
      </c>
      <c r="Q513" s="41"/>
      <c r="R513" s="76" t="s">
        <v>160</v>
      </c>
      <c r="S513" s="41"/>
      <c r="T513" s="41"/>
      <c r="U513" s="41"/>
      <c r="V513" s="41"/>
      <c r="W513" s="41">
        <f t="shared" si="56"/>
        <v>0</v>
      </c>
      <c r="X513" s="77" t="str">
        <f t="shared" si="62"/>
        <v/>
      </c>
      <c r="AG513" s="81" t="str">
        <f t="shared" si="64"/>
        <v/>
      </c>
      <c r="AH513" s="41"/>
      <c r="AI513" s="41"/>
      <c r="AJ513" s="83" t="str">
        <f>IF(Data_BeeindigingsdatumTijd490="","",Data_BeeindigingsdatumTijd490)</f>
        <v/>
      </c>
      <c r="AK513" s="41"/>
      <c r="AL513" s="41"/>
      <c r="AM513" s="82" t="str">
        <f>IF(Data_LoonkostenTijd490="","",Data_LoonkostenTijd490)</f>
        <v/>
      </c>
      <c r="AN513" s="41"/>
      <c r="AO513" s="276" t="str">
        <f>IF(Data_PersoonAanUitTijd490=-1,"v","")</f>
        <v/>
      </c>
      <c r="AP513" s="41"/>
      <c r="AQ513" s="76" t="s">
        <v>160</v>
      </c>
      <c r="AR513" s="41"/>
      <c r="AS513" s="41"/>
      <c r="AT513" s="41"/>
      <c r="AU513" s="41"/>
      <c r="AV513" s="41">
        <f t="shared" si="57"/>
        <v>0</v>
      </c>
      <c r="AW513" s="77">
        <f t="shared" si="58"/>
        <v>0</v>
      </c>
      <c r="AX513" s="41"/>
      <c r="AY513" s="41"/>
      <c r="AZ513" s="41"/>
      <c r="BA513" s="81" t="str">
        <f>IF(Data_NaamPersoonVastVrij490="","",Data_NaamPersoonVastVrij490)</f>
        <v/>
      </c>
      <c r="BB513" s="41"/>
      <c r="BC513" s="41"/>
      <c r="BD513" s="83" t="str">
        <f>IF(Data_BeeindigingsdatumVastVrij490="","",Data_BeeindigingsdatumVastVrij490)</f>
        <v/>
      </c>
      <c r="BE513" s="41"/>
      <c r="BF513" s="41"/>
      <c r="BG513" s="82" t="str">
        <f>IF(Data_LoonkostenVastVrij490="","",Data_LoonkostenVastVrij490)</f>
        <v/>
      </c>
      <c r="BH513" s="41"/>
      <c r="BI513" s="76" t="str">
        <f>IF(Data_PersoonAanUitVastVrij490=-1,"v","")</f>
        <v/>
      </c>
      <c r="BJ513" s="41"/>
      <c r="BK513" s="76" t="s">
        <v>160</v>
      </c>
      <c r="BL513" s="41"/>
      <c r="BM513" s="41"/>
      <c r="BN513" s="41"/>
      <c r="BO513" s="41"/>
      <c r="BP513" s="41">
        <f t="shared" si="59"/>
        <v>0</v>
      </c>
      <c r="BQ513" s="77">
        <f t="shared" si="60"/>
        <v>0</v>
      </c>
      <c r="BS513" s="81" t="str">
        <f>IF(Data_NaamPersoonVastOntslag490="","",Data_NaamPersoonVastOntslag490)</f>
        <v/>
      </c>
      <c r="BV513" s="83" t="str">
        <f>IF(Data_BeeindigingsdatumVastOntslag490="","",Data_BeeindigingsdatumVastOntslag490)</f>
        <v/>
      </c>
      <c r="BY513" s="82" t="str">
        <f>IF(Data_LoonkostenVastOntslag490="","",Data_LoonkostenVastOntslag490)</f>
        <v/>
      </c>
      <c r="CA513" s="76" t="str">
        <f>IF(Data_PersoonAanUitVastOntslag490=-1,"v","")</f>
        <v/>
      </c>
      <c r="CB513" s="41"/>
      <c r="CC513" s="76" t="s">
        <v>160</v>
      </c>
      <c r="CD513" s="41"/>
      <c r="CE513" s="41"/>
      <c r="CF513" s="41"/>
      <c r="CG513" s="41"/>
      <c r="CH513" s="41">
        <f t="shared" si="63"/>
        <v>0</v>
      </c>
      <c r="CI513" s="41">
        <f t="shared" si="61"/>
        <v>0</v>
      </c>
    </row>
    <row r="514" spans="8:87" x14ac:dyDescent="0.25">
      <c r="H514" s="81" t="str">
        <f>IF(Data_NaamPersoonNatVerloop491="","",Data_NaamPersoonNatVerloop491)</f>
        <v/>
      </c>
      <c r="I514" s="41"/>
      <c r="J514" s="41"/>
      <c r="K514" s="83" t="str">
        <f>IF(Data_BeeindigingsdatumNatVerloop491="","",Data_BeeindigingsdatumNatVerloop491)</f>
        <v/>
      </c>
      <c r="L514" s="41"/>
      <c r="M514" s="41"/>
      <c r="N514" s="82" t="str">
        <f>IF(Data_LoonkostenNatVerloop491="","",Data_LoonkostenNatVerloop491)</f>
        <v/>
      </c>
      <c r="O514" s="41"/>
      <c r="P514" s="276" t="s">
        <v>160</v>
      </c>
      <c r="Q514" s="41"/>
      <c r="R514" s="76" t="s">
        <v>160</v>
      </c>
      <c r="S514" s="41"/>
      <c r="T514" s="41"/>
      <c r="U514" s="41"/>
      <c r="V514" s="41"/>
      <c r="W514" s="41">
        <f t="shared" si="56"/>
        <v>0</v>
      </c>
      <c r="X514" s="77" t="str">
        <f t="shared" si="62"/>
        <v/>
      </c>
      <c r="AG514" s="81" t="str">
        <f t="shared" si="64"/>
        <v/>
      </c>
      <c r="AH514" s="41"/>
      <c r="AI514" s="41"/>
      <c r="AJ514" s="83" t="str">
        <f>IF(Data_BeeindigingsdatumTijd491="","",Data_BeeindigingsdatumTijd491)</f>
        <v/>
      </c>
      <c r="AK514" s="41"/>
      <c r="AL514" s="41"/>
      <c r="AM514" s="82" t="str">
        <f>IF(Data_LoonkostenTijd491="","",Data_LoonkostenTijd491)</f>
        <v/>
      </c>
      <c r="AN514" s="41"/>
      <c r="AO514" s="276" t="str">
        <f>IF(Data_PersoonAanUitTijd491=-1,"v","")</f>
        <v/>
      </c>
      <c r="AP514" s="41"/>
      <c r="AQ514" s="76" t="s">
        <v>160</v>
      </c>
      <c r="AR514" s="41"/>
      <c r="AS514" s="41"/>
      <c r="AT514" s="41"/>
      <c r="AU514" s="41"/>
      <c r="AV514" s="41">
        <f t="shared" si="57"/>
        <v>0</v>
      </c>
      <c r="AW514" s="77">
        <f t="shared" si="58"/>
        <v>0</v>
      </c>
      <c r="AX514" s="41"/>
      <c r="AY514" s="41"/>
      <c r="AZ514" s="41"/>
      <c r="BA514" s="81" t="str">
        <f>IF(Data_NaamPersoonVastVrij491="","",Data_NaamPersoonVastVrij491)</f>
        <v/>
      </c>
      <c r="BB514" s="41"/>
      <c r="BC514" s="41"/>
      <c r="BD514" s="83" t="str">
        <f>IF(Data_BeeindigingsdatumVastVrij491="","",Data_BeeindigingsdatumVastVrij491)</f>
        <v/>
      </c>
      <c r="BE514" s="41"/>
      <c r="BF514" s="41"/>
      <c r="BG514" s="82" t="str">
        <f>IF(Data_LoonkostenVastVrij491="","",Data_LoonkostenVastVrij491)</f>
        <v/>
      </c>
      <c r="BH514" s="41"/>
      <c r="BI514" s="76" t="str">
        <f>IF(Data_PersoonAanUitVastVrij491=-1,"v","")</f>
        <v/>
      </c>
      <c r="BJ514" s="41"/>
      <c r="BK514" s="76" t="s">
        <v>160</v>
      </c>
      <c r="BL514" s="41"/>
      <c r="BM514" s="41"/>
      <c r="BN514" s="41"/>
      <c r="BO514" s="41"/>
      <c r="BP514" s="41">
        <f t="shared" si="59"/>
        <v>0</v>
      </c>
      <c r="BQ514" s="77">
        <f t="shared" si="60"/>
        <v>0</v>
      </c>
      <c r="BS514" s="81" t="str">
        <f>IF(Data_NaamPersoonVastOntslag491="","",Data_NaamPersoonVastOntslag491)</f>
        <v/>
      </c>
      <c r="BV514" s="83" t="str">
        <f>IF(Data_BeeindigingsdatumVastOntslag491="","",Data_BeeindigingsdatumVastOntslag491)</f>
        <v/>
      </c>
      <c r="BY514" s="82" t="str">
        <f>IF(Data_LoonkostenVastOntslag491="","",Data_LoonkostenVastOntslag491)</f>
        <v/>
      </c>
      <c r="CA514" s="76" t="str">
        <f>IF(Data_PersoonAanUitVastOntslag491=-1,"v","")</f>
        <v/>
      </c>
      <c r="CB514" s="41"/>
      <c r="CC514" s="76" t="s">
        <v>160</v>
      </c>
      <c r="CD514" s="41"/>
      <c r="CE514" s="41"/>
      <c r="CF514" s="41"/>
      <c r="CG514" s="41"/>
      <c r="CH514" s="41">
        <f t="shared" si="63"/>
        <v>0</v>
      </c>
      <c r="CI514" s="41">
        <f t="shared" si="61"/>
        <v>0</v>
      </c>
    </row>
    <row r="515" spans="8:87" x14ac:dyDescent="0.25">
      <c r="H515" s="81" t="str">
        <f>IF(Data_NaamPersoonNatVerloop492="","",Data_NaamPersoonNatVerloop492)</f>
        <v/>
      </c>
      <c r="I515" s="41"/>
      <c r="J515" s="41"/>
      <c r="K515" s="83" t="str">
        <f>IF(Data_BeeindigingsdatumNatVerloop492="","",Data_BeeindigingsdatumNatVerloop492)</f>
        <v/>
      </c>
      <c r="L515" s="41"/>
      <c r="M515" s="41"/>
      <c r="N515" s="82" t="str">
        <f>IF(Data_LoonkostenNatVerloop492="","",Data_LoonkostenNatVerloop492)</f>
        <v/>
      </c>
      <c r="O515" s="41"/>
      <c r="P515" s="276" t="s">
        <v>160</v>
      </c>
      <c r="Q515" s="41"/>
      <c r="R515" s="76" t="s">
        <v>160</v>
      </c>
      <c r="S515" s="41"/>
      <c r="T515" s="41"/>
      <c r="U515" s="41"/>
      <c r="V515" s="41"/>
      <c r="W515" s="41">
        <f t="shared" si="56"/>
        <v>0</v>
      </c>
      <c r="X515" s="77" t="str">
        <f t="shared" si="62"/>
        <v/>
      </c>
      <c r="AG515" s="81" t="str">
        <f t="shared" si="64"/>
        <v/>
      </c>
      <c r="AH515" s="41"/>
      <c r="AI515" s="41"/>
      <c r="AJ515" s="83" t="str">
        <f>IF(Data_BeeindigingsdatumTijd492="","",Data_BeeindigingsdatumTijd492)</f>
        <v/>
      </c>
      <c r="AK515" s="41"/>
      <c r="AL515" s="41"/>
      <c r="AM515" s="82" t="str">
        <f>IF(Data_LoonkostenTijd492="","",Data_LoonkostenTijd492)</f>
        <v/>
      </c>
      <c r="AN515" s="41"/>
      <c r="AO515" s="276" t="str">
        <f>IF(Data_PersoonAanUitTijd492=-1,"v","")</f>
        <v/>
      </c>
      <c r="AP515" s="41"/>
      <c r="AQ515" s="76" t="s">
        <v>160</v>
      </c>
      <c r="AR515" s="41"/>
      <c r="AS515" s="41"/>
      <c r="AT515" s="41"/>
      <c r="AU515" s="41"/>
      <c r="AV515" s="41">
        <f t="shared" si="57"/>
        <v>0</v>
      </c>
      <c r="AW515" s="77">
        <f t="shared" si="58"/>
        <v>0</v>
      </c>
      <c r="AX515" s="41"/>
      <c r="AY515" s="41"/>
      <c r="AZ515" s="41"/>
      <c r="BA515" s="81" t="str">
        <f>IF(Data_NaamPersoonVastVrij492="","",Data_NaamPersoonVastVrij492)</f>
        <v/>
      </c>
      <c r="BB515" s="41"/>
      <c r="BC515" s="41"/>
      <c r="BD515" s="83" t="str">
        <f>IF(Data_BeeindigingsdatumVastVrij492="","",Data_BeeindigingsdatumVastVrij492)</f>
        <v/>
      </c>
      <c r="BE515" s="41"/>
      <c r="BF515" s="41"/>
      <c r="BG515" s="82" t="str">
        <f>IF(Data_LoonkostenVastVrij492="","",Data_LoonkostenVastVrij492)</f>
        <v/>
      </c>
      <c r="BH515" s="41"/>
      <c r="BI515" s="76" t="str">
        <f>IF(Data_PersoonAanUitVastVrij492=-1,"v","")</f>
        <v/>
      </c>
      <c r="BJ515" s="41"/>
      <c r="BK515" s="76" t="s">
        <v>160</v>
      </c>
      <c r="BL515" s="41"/>
      <c r="BM515" s="41"/>
      <c r="BN515" s="41"/>
      <c r="BO515" s="41"/>
      <c r="BP515" s="41">
        <f t="shared" si="59"/>
        <v>0</v>
      </c>
      <c r="BQ515" s="77">
        <f t="shared" si="60"/>
        <v>0</v>
      </c>
      <c r="BS515" s="81" t="str">
        <f>IF(Data_NaamPersoonVastOntslag492="","",Data_NaamPersoonVastOntslag492)</f>
        <v/>
      </c>
      <c r="BV515" s="83" t="str">
        <f>IF(Data_BeeindigingsdatumVastOntslag492="","",Data_BeeindigingsdatumVastOntslag492)</f>
        <v/>
      </c>
      <c r="BY515" s="82" t="str">
        <f>IF(Data_LoonkostenVastOntslag492="","",Data_LoonkostenVastOntslag492)</f>
        <v/>
      </c>
      <c r="CA515" s="76" t="str">
        <f>IF(Data_PersoonAanUitVastOntslag492=-1,"v","")</f>
        <v/>
      </c>
      <c r="CB515" s="41"/>
      <c r="CC515" s="76" t="s">
        <v>160</v>
      </c>
      <c r="CD515" s="41"/>
      <c r="CE515" s="41"/>
      <c r="CF515" s="41"/>
      <c r="CG515" s="41"/>
      <c r="CH515" s="41">
        <f t="shared" si="63"/>
        <v>0</v>
      </c>
      <c r="CI515" s="41">
        <f t="shared" si="61"/>
        <v>0</v>
      </c>
    </row>
    <row r="516" spans="8:87" x14ac:dyDescent="0.25">
      <c r="H516" s="81" t="str">
        <f>IF(Data_NaamPersoonNatVerloop493="","",Data_NaamPersoonNatVerloop493)</f>
        <v/>
      </c>
      <c r="I516" s="41"/>
      <c r="J516" s="41"/>
      <c r="K516" s="83" t="str">
        <f>IF(Data_BeeindigingsdatumNatVerloop493="","",Data_BeeindigingsdatumNatVerloop493)</f>
        <v/>
      </c>
      <c r="L516" s="41"/>
      <c r="M516" s="41"/>
      <c r="N516" s="82" t="str">
        <f>IF(Data_LoonkostenNatVerloop493="","",Data_LoonkostenNatVerloop493)</f>
        <v/>
      </c>
      <c r="O516" s="41"/>
      <c r="P516" s="276" t="s">
        <v>160</v>
      </c>
      <c r="Q516" s="41"/>
      <c r="R516" s="76" t="s">
        <v>160</v>
      </c>
      <c r="S516" s="41"/>
      <c r="T516" s="41"/>
      <c r="U516" s="41"/>
      <c r="V516" s="41"/>
      <c r="W516" s="41">
        <f t="shared" si="56"/>
        <v>0</v>
      </c>
      <c r="X516" s="77" t="str">
        <f t="shared" si="62"/>
        <v/>
      </c>
      <c r="AG516" s="81" t="str">
        <f t="shared" si="64"/>
        <v/>
      </c>
      <c r="AH516" s="41"/>
      <c r="AI516" s="41"/>
      <c r="AJ516" s="83" t="str">
        <f>IF(Data_BeeindigingsdatumTijd493="","",Data_BeeindigingsdatumTijd493)</f>
        <v/>
      </c>
      <c r="AK516" s="41"/>
      <c r="AL516" s="41"/>
      <c r="AM516" s="82" t="str">
        <f>IF(Data_LoonkostenTijd493="","",Data_LoonkostenTijd493)</f>
        <v/>
      </c>
      <c r="AN516" s="41"/>
      <c r="AO516" s="276" t="str">
        <f>IF(Data_PersoonAanUitTijd493=-1,"v","")</f>
        <v/>
      </c>
      <c r="AP516" s="41"/>
      <c r="AQ516" s="76" t="s">
        <v>160</v>
      </c>
      <c r="AR516" s="41"/>
      <c r="AS516" s="41"/>
      <c r="AT516" s="41"/>
      <c r="AU516" s="41"/>
      <c r="AV516" s="41">
        <f t="shared" si="57"/>
        <v>0</v>
      </c>
      <c r="AW516" s="77">
        <f t="shared" si="58"/>
        <v>0</v>
      </c>
      <c r="AX516" s="41"/>
      <c r="AY516" s="41"/>
      <c r="AZ516" s="41"/>
      <c r="BA516" s="81" t="str">
        <f>IF(Data_NaamPersoonVastVrij493="","",Data_NaamPersoonVastVrij493)</f>
        <v/>
      </c>
      <c r="BB516" s="41"/>
      <c r="BC516" s="41"/>
      <c r="BD516" s="83" t="str">
        <f>IF(Data_BeeindigingsdatumVastVrij493="","",Data_BeeindigingsdatumVastVrij493)</f>
        <v/>
      </c>
      <c r="BE516" s="41"/>
      <c r="BF516" s="41"/>
      <c r="BG516" s="82" t="str">
        <f>IF(Data_LoonkostenVastVrij493="","",Data_LoonkostenVastVrij493)</f>
        <v/>
      </c>
      <c r="BH516" s="41"/>
      <c r="BI516" s="76" t="str">
        <f>IF(Data_PersoonAanUitVastVrij493=-1,"v","")</f>
        <v/>
      </c>
      <c r="BJ516" s="41"/>
      <c r="BK516" s="76" t="s">
        <v>160</v>
      </c>
      <c r="BL516" s="41"/>
      <c r="BM516" s="41"/>
      <c r="BN516" s="41"/>
      <c r="BO516" s="41"/>
      <c r="BP516" s="41">
        <f t="shared" si="59"/>
        <v>0</v>
      </c>
      <c r="BQ516" s="77">
        <f t="shared" si="60"/>
        <v>0</v>
      </c>
      <c r="BS516" s="81" t="str">
        <f>IF(Data_NaamPersoonVastOntslag493="","",Data_NaamPersoonVastOntslag493)</f>
        <v/>
      </c>
      <c r="BV516" s="83" t="str">
        <f>IF(Data_BeeindigingsdatumVastOntslag493="","",Data_BeeindigingsdatumVastOntslag493)</f>
        <v/>
      </c>
      <c r="BY516" s="82" t="str">
        <f>IF(Data_LoonkostenVastOntslag493="","",Data_LoonkostenVastOntslag493)</f>
        <v/>
      </c>
      <c r="CA516" s="76" t="str">
        <f>IF(Data_PersoonAanUitVastOntslag493=-1,"v","")</f>
        <v/>
      </c>
      <c r="CB516" s="41"/>
      <c r="CC516" s="76" t="s">
        <v>160</v>
      </c>
      <c r="CD516" s="41"/>
      <c r="CE516" s="41"/>
      <c r="CF516" s="41"/>
      <c r="CG516" s="41"/>
      <c r="CH516" s="41">
        <f t="shared" si="63"/>
        <v>0</v>
      </c>
      <c r="CI516" s="41">
        <f t="shared" si="61"/>
        <v>0</v>
      </c>
    </row>
    <row r="517" spans="8:87" x14ac:dyDescent="0.25">
      <c r="H517" s="81" t="str">
        <f>IF(Data_NaamPersoonNatVerloop494="","",Data_NaamPersoonNatVerloop494)</f>
        <v/>
      </c>
      <c r="I517" s="41"/>
      <c r="J517" s="41"/>
      <c r="K517" s="83" t="str">
        <f>IF(Data_BeeindigingsdatumNatVerloop494="","",Data_BeeindigingsdatumNatVerloop494)</f>
        <v/>
      </c>
      <c r="L517" s="41"/>
      <c r="M517" s="41"/>
      <c r="N517" s="82" t="str">
        <f>IF(Data_LoonkostenNatVerloop494="","",Data_LoonkostenNatVerloop494)</f>
        <v/>
      </c>
      <c r="O517" s="41"/>
      <c r="P517" s="276" t="s">
        <v>160</v>
      </c>
      <c r="Q517" s="41"/>
      <c r="R517" s="76" t="s">
        <v>160</v>
      </c>
      <c r="S517" s="41"/>
      <c r="T517" s="41"/>
      <c r="U517" s="41"/>
      <c r="V517" s="41"/>
      <c r="W517" s="41">
        <f t="shared" si="56"/>
        <v>0</v>
      </c>
      <c r="X517" s="77" t="str">
        <f t="shared" si="62"/>
        <v/>
      </c>
      <c r="AG517" s="81" t="str">
        <f t="shared" si="64"/>
        <v/>
      </c>
      <c r="AH517" s="41"/>
      <c r="AI517" s="41"/>
      <c r="AJ517" s="83" t="str">
        <f>IF(Data_BeeindigingsdatumTijd494="","",Data_BeeindigingsdatumTijd494)</f>
        <v/>
      </c>
      <c r="AK517" s="41"/>
      <c r="AL517" s="41"/>
      <c r="AM517" s="82" t="str">
        <f>IF(Data_LoonkostenTijd494="","",Data_LoonkostenTijd494)</f>
        <v/>
      </c>
      <c r="AN517" s="41"/>
      <c r="AO517" s="276" t="str">
        <f>IF(Data_PersoonAanUitTijd494=-1,"v","")</f>
        <v/>
      </c>
      <c r="AP517" s="41"/>
      <c r="AQ517" s="76" t="s">
        <v>160</v>
      </c>
      <c r="AR517" s="41"/>
      <c r="AS517" s="41"/>
      <c r="AT517" s="41"/>
      <c r="AU517" s="41"/>
      <c r="AV517" s="41">
        <f t="shared" si="57"/>
        <v>0</v>
      </c>
      <c r="AW517" s="77">
        <f t="shared" si="58"/>
        <v>0</v>
      </c>
      <c r="AX517" s="41"/>
      <c r="AY517" s="41"/>
      <c r="AZ517" s="41"/>
      <c r="BA517" s="81" t="str">
        <f>IF(Data_NaamPersoonVastVrij494="","",Data_NaamPersoonVastVrij494)</f>
        <v/>
      </c>
      <c r="BB517" s="41"/>
      <c r="BC517" s="41"/>
      <c r="BD517" s="83" t="str">
        <f>IF(Data_BeeindigingsdatumVastVrij494="","",Data_BeeindigingsdatumVastVrij494)</f>
        <v/>
      </c>
      <c r="BE517" s="41"/>
      <c r="BF517" s="41"/>
      <c r="BG517" s="82" t="str">
        <f>IF(Data_LoonkostenVastVrij494="","",Data_LoonkostenVastVrij494)</f>
        <v/>
      </c>
      <c r="BH517" s="41"/>
      <c r="BI517" s="76" t="str">
        <f>IF(Data_PersoonAanUitVastVrij494=-1,"v","")</f>
        <v/>
      </c>
      <c r="BJ517" s="41"/>
      <c r="BK517" s="76" t="s">
        <v>160</v>
      </c>
      <c r="BL517" s="41"/>
      <c r="BM517" s="41"/>
      <c r="BN517" s="41"/>
      <c r="BO517" s="41"/>
      <c r="BP517" s="41">
        <f t="shared" si="59"/>
        <v>0</v>
      </c>
      <c r="BQ517" s="77">
        <f t="shared" si="60"/>
        <v>0</v>
      </c>
      <c r="BS517" s="81" t="str">
        <f>IF(Data_NaamPersoonVastOntslag494="","",Data_NaamPersoonVastOntslag494)</f>
        <v/>
      </c>
      <c r="BV517" s="83" t="str">
        <f>IF(Data_BeeindigingsdatumVastOntslag494="","",Data_BeeindigingsdatumVastOntslag494)</f>
        <v/>
      </c>
      <c r="BY517" s="82" t="str">
        <f>IF(Data_LoonkostenVastOntslag494="","",Data_LoonkostenVastOntslag494)</f>
        <v/>
      </c>
      <c r="CA517" s="76" t="str">
        <f>IF(Data_PersoonAanUitVastOntslag494=-1,"v","")</f>
        <v/>
      </c>
      <c r="CB517" s="41"/>
      <c r="CC517" s="76" t="s">
        <v>160</v>
      </c>
      <c r="CD517" s="41"/>
      <c r="CE517" s="41"/>
      <c r="CF517" s="41"/>
      <c r="CG517" s="41"/>
      <c r="CH517" s="41">
        <f t="shared" si="63"/>
        <v>0</v>
      </c>
      <c r="CI517" s="41">
        <f t="shared" si="61"/>
        <v>0</v>
      </c>
    </row>
    <row r="518" spans="8:87" x14ac:dyDescent="0.25">
      <c r="H518" s="81" t="str">
        <f>IF(Data_NaamPersoonNatVerloop495="","",Data_NaamPersoonNatVerloop495)</f>
        <v/>
      </c>
      <c r="I518" s="41"/>
      <c r="J518" s="41"/>
      <c r="K518" s="83" t="str">
        <f>IF(Data_BeeindigingsdatumNatVerloop495="","",Data_BeeindigingsdatumNatVerloop495)</f>
        <v/>
      </c>
      <c r="L518" s="41"/>
      <c r="M518" s="41"/>
      <c r="N518" s="82" t="str">
        <f>IF(Data_LoonkostenNatVerloop495="","",Data_LoonkostenNatVerloop495)</f>
        <v/>
      </c>
      <c r="O518" s="41"/>
      <c r="P518" s="276" t="s">
        <v>160</v>
      </c>
      <c r="Q518" s="41"/>
      <c r="R518" s="76" t="s">
        <v>160</v>
      </c>
      <c r="S518" s="41"/>
      <c r="T518" s="41"/>
      <c r="U518" s="41"/>
      <c r="V518" s="41"/>
      <c r="W518" s="41">
        <f t="shared" si="56"/>
        <v>0</v>
      </c>
      <c r="X518" s="77" t="str">
        <f t="shared" si="62"/>
        <v/>
      </c>
      <c r="AG518" s="81" t="str">
        <f t="shared" si="64"/>
        <v/>
      </c>
      <c r="AH518" s="41"/>
      <c r="AI518" s="41"/>
      <c r="AJ518" s="83" t="str">
        <f>IF(Data_BeeindigingsdatumTijd495="","",Data_BeeindigingsdatumTijd495)</f>
        <v/>
      </c>
      <c r="AK518" s="41"/>
      <c r="AL518" s="41"/>
      <c r="AM518" s="82" t="str">
        <f>IF(Data_LoonkostenTijd495="","",Data_LoonkostenTijd495)</f>
        <v/>
      </c>
      <c r="AN518" s="41"/>
      <c r="AO518" s="276" t="str">
        <f>IF(Data_PersoonAanUitTijd495=-1,"v","")</f>
        <v/>
      </c>
      <c r="AP518" s="41"/>
      <c r="AQ518" s="76" t="s">
        <v>160</v>
      </c>
      <c r="AR518" s="41"/>
      <c r="AS518" s="41"/>
      <c r="AT518" s="41"/>
      <c r="AU518" s="41"/>
      <c r="AV518" s="41">
        <f t="shared" si="57"/>
        <v>0</v>
      </c>
      <c r="AW518" s="77">
        <f t="shared" si="58"/>
        <v>0</v>
      </c>
      <c r="AX518" s="41"/>
      <c r="AY518" s="41"/>
      <c r="AZ518" s="41"/>
      <c r="BA518" s="81" t="str">
        <f>IF(Data_NaamPersoonVastVrij495="","",Data_NaamPersoonVastVrij495)</f>
        <v/>
      </c>
      <c r="BB518" s="41"/>
      <c r="BC518" s="41"/>
      <c r="BD518" s="83" t="str">
        <f>IF(Data_BeeindigingsdatumVastVrij495="","",Data_BeeindigingsdatumVastVrij495)</f>
        <v/>
      </c>
      <c r="BE518" s="41"/>
      <c r="BF518" s="41"/>
      <c r="BG518" s="82" t="str">
        <f>IF(Data_LoonkostenVastVrij495="","",Data_LoonkostenVastVrij495)</f>
        <v/>
      </c>
      <c r="BH518" s="41"/>
      <c r="BI518" s="76" t="str">
        <f>IF(Data_PersoonAanUitVastVrij495=-1,"v","")</f>
        <v/>
      </c>
      <c r="BJ518" s="41"/>
      <c r="BK518" s="76" t="s">
        <v>160</v>
      </c>
      <c r="BL518" s="41"/>
      <c r="BM518" s="41"/>
      <c r="BN518" s="41"/>
      <c r="BO518" s="41"/>
      <c r="BP518" s="41">
        <f t="shared" si="59"/>
        <v>0</v>
      </c>
      <c r="BQ518" s="77">
        <f t="shared" si="60"/>
        <v>0</v>
      </c>
      <c r="BS518" s="81" t="str">
        <f>IF(Data_NaamPersoonVastOntslag495="","",Data_NaamPersoonVastOntslag495)</f>
        <v/>
      </c>
      <c r="BV518" s="83" t="str">
        <f>IF(Data_BeeindigingsdatumVastOntslag495="","",Data_BeeindigingsdatumVastOntslag495)</f>
        <v/>
      </c>
      <c r="BY518" s="82" t="str">
        <f>IF(Data_LoonkostenVastOntslag495="","",Data_LoonkostenVastOntslag495)</f>
        <v/>
      </c>
      <c r="CA518" s="76" t="str">
        <f>IF(Data_PersoonAanUitVastOntslag495=-1,"v","")</f>
        <v/>
      </c>
      <c r="CB518" s="41"/>
      <c r="CC518" s="76" t="s">
        <v>160</v>
      </c>
      <c r="CD518" s="41"/>
      <c r="CE518" s="41"/>
      <c r="CF518" s="41"/>
      <c r="CG518" s="41"/>
      <c r="CH518" s="41">
        <f t="shared" si="63"/>
        <v>0</v>
      </c>
      <c r="CI518" s="41">
        <f t="shared" si="61"/>
        <v>0</v>
      </c>
    </row>
    <row r="519" spans="8:87" x14ac:dyDescent="0.25">
      <c r="H519" s="81" t="str">
        <f>IF(Data_NaamPersoonNatVerloop496="","",Data_NaamPersoonNatVerloop496)</f>
        <v/>
      </c>
      <c r="I519" s="41"/>
      <c r="J519" s="41"/>
      <c r="K519" s="83" t="str">
        <f>IF(Data_BeeindigingsdatumNatVerloop496="","",Data_BeeindigingsdatumNatVerloop496)</f>
        <v/>
      </c>
      <c r="L519" s="41"/>
      <c r="M519" s="41"/>
      <c r="N519" s="82" t="str">
        <f>IF(Data_LoonkostenNatVerloop496="","",Data_LoonkostenNatVerloop496)</f>
        <v/>
      </c>
      <c r="O519" s="41"/>
      <c r="P519" s="276" t="s">
        <v>160</v>
      </c>
      <c r="Q519" s="41"/>
      <c r="R519" s="76" t="s">
        <v>160</v>
      </c>
      <c r="S519" s="41"/>
      <c r="T519" s="41"/>
      <c r="U519" s="41"/>
      <c r="V519" s="41"/>
      <c r="W519" s="41">
        <f t="shared" si="56"/>
        <v>0</v>
      </c>
      <c r="X519" s="77" t="str">
        <f t="shared" si="62"/>
        <v/>
      </c>
      <c r="AG519" s="81" t="str">
        <f t="shared" si="64"/>
        <v/>
      </c>
      <c r="AH519" s="41"/>
      <c r="AI519" s="41"/>
      <c r="AJ519" s="83" t="str">
        <f>IF(Data_BeeindigingsdatumTijd496="","",Data_BeeindigingsdatumTijd496)</f>
        <v/>
      </c>
      <c r="AK519" s="41"/>
      <c r="AL519" s="41"/>
      <c r="AM519" s="82" t="str">
        <f>IF(Data_LoonkostenTijd496="","",Data_LoonkostenTijd496)</f>
        <v/>
      </c>
      <c r="AN519" s="41"/>
      <c r="AO519" s="276" t="str">
        <f>IF(Data_PersoonAanUitTijd496=-1,"v","")</f>
        <v/>
      </c>
      <c r="AP519" s="41"/>
      <c r="AQ519" s="76" t="s">
        <v>160</v>
      </c>
      <c r="AR519" s="41"/>
      <c r="AS519" s="41"/>
      <c r="AT519" s="41"/>
      <c r="AU519" s="41"/>
      <c r="AV519" s="41">
        <f t="shared" si="57"/>
        <v>0</v>
      </c>
      <c r="AW519" s="77">
        <f t="shared" si="58"/>
        <v>0</v>
      </c>
      <c r="AX519" s="41"/>
      <c r="AY519" s="41"/>
      <c r="AZ519" s="41"/>
      <c r="BA519" s="81" t="str">
        <f>IF(Data_NaamPersoonVastVrij496="","",Data_NaamPersoonVastVrij496)</f>
        <v/>
      </c>
      <c r="BB519" s="41"/>
      <c r="BC519" s="41"/>
      <c r="BD519" s="83" t="str">
        <f>IF(Data_BeeindigingsdatumVastVrij496="","",Data_BeeindigingsdatumVastVrij496)</f>
        <v/>
      </c>
      <c r="BE519" s="41"/>
      <c r="BF519" s="41"/>
      <c r="BG519" s="82" t="str">
        <f>IF(Data_LoonkostenVastVrij496="","",Data_LoonkostenVastVrij496)</f>
        <v/>
      </c>
      <c r="BH519" s="41"/>
      <c r="BI519" s="76" t="str">
        <f>IF(Data_PersoonAanUitVastVrij496=-1,"v","")</f>
        <v/>
      </c>
      <c r="BJ519" s="41"/>
      <c r="BK519" s="76" t="s">
        <v>160</v>
      </c>
      <c r="BL519" s="41"/>
      <c r="BM519" s="41"/>
      <c r="BN519" s="41"/>
      <c r="BO519" s="41"/>
      <c r="BP519" s="41">
        <f t="shared" si="59"/>
        <v>0</v>
      </c>
      <c r="BQ519" s="77">
        <f t="shared" si="60"/>
        <v>0</v>
      </c>
      <c r="BS519" s="81" t="str">
        <f>IF(Data_NaamPersoonVastOntslag496="","",Data_NaamPersoonVastOntslag496)</f>
        <v/>
      </c>
      <c r="BV519" s="83" t="str">
        <f>IF(Data_BeeindigingsdatumVastOntslag496="","",Data_BeeindigingsdatumVastOntslag496)</f>
        <v/>
      </c>
      <c r="BY519" s="82" t="str">
        <f>IF(Data_LoonkostenVastOntslag496="","",Data_LoonkostenVastOntslag496)</f>
        <v/>
      </c>
      <c r="CA519" s="76" t="str">
        <f>IF(Data_PersoonAanUitVastOntslag496=-1,"v","")</f>
        <v/>
      </c>
      <c r="CB519" s="41"/>
      <c r="CC519" s="76" t="s">
        <v>160</v>
      </c>
      <c r="CD519" s="41"/>
      <c r="CE519" s="41"/>
      <c r="CF519" s="41"/>
      <c r="CG519" s="41"/>
      <c r="CH519" s="41">
        <f t="shared" si="63"/>
        <v>0</v>
      </c>
      <c r="CI519" s="41">
        <f t="shared" si="61"/>
        <v>0</v>
      </c>
    </row>
    <row r="520" spans="8:87" x14ac:dyDescent="0.25">
      <c r="H520" s="81" t="str">
        <f>IF(Data_NaamPersoonNatVerloop497="","",Data_NaamPersoonNatVerloop497)</f>
        <v/>
      </c>
      <c r="I520" s="41"/>
      <c r="J520" s="41"/>
      <c r="K520" s="83" t="str">
        <f>IF(Data_BeeindigingsdatumNatVerloop497="","",Data_BeeindigingsdatumNatVerloop497)</f>
        <v/>
      </c>
      <c r="L520" s="41"/>
      <c r="M520" s="41"/>
      <c r="N520" s="82" t="str">
        <f>IF(Data_LoonkostenNatVerloop497="","",Data_LoonkostenNatVerloop497)</f>
        <v/>
      </c>
      <c r="O520" s="41"/>
      <c r="P520" s="276" t="s">
        <v>160</v>
      </c>
      <c r="Q520" s="41"/>
      <c r="R520" s="76" t="s">
        <v>160</v>
      </c>
      <c r="S520" s="41"/>
      <c r="T520" s="41"/>
      <c r="U520" s="41"/>
      <c r="V520" s="41"/>
      <c r="W520" s="41">
        <f t="shared" si="56"/>
        <v>0</v>
      </c>
      <c r="X520" s="77" t="str">
        <f t="shared" si="62"/>
        <v/>
      </c>
      <c r="AG520" s="81" t="str">
        <f t="shared" si="64"/>
        <v/>
      </c>
      <c r="AH520" s="41"/>
      <c r="AI520" s="41"/>
      <c r="AJ520" s="83" t="str">
        <f>IF(Data_BeeindigingsdatumTijd497="","",Data_BeeindigingsdatumTijd497)</f>
        <v/>
      </c>
      <c r="AK520" s="41"/>
      <c r="AL520" s="41"/>
      <c r="AM520" s="82" t="str">
        <f>IF(Data_LoonkostenTijd497="","",Data_LoonkostenTijd497)</f>
        <v/>
      </c>
      <c r="AN520" s="41"/>
      <c r="AO520" s="276" t="str">
        <f>IF(Data_PersoonAanUitTijd497=-1,"v","")</f>
        <v/>
      </c>
      <c r="AP520" s="41"/>
      <c r="AQ520" s="76" t="s">
        <v>160</v>
      </c>
      <c r="AR520" s="41"/>
      <c r="AS520" s="41"/>
      <c r="AT520" s="41"/>
      <c r="AU520" s="41"/>
      <c r="AV520" s="41">
        <f t="shared" si="57"/>
        <v>0</v>
      </c>
      <c r="AW520" s="77">
        <f t="shared" si="58"/>
        <v>0</v>
      </c>
      <c r="AX520" s="41"/>
      <c r="AY520" s="41"/>
      <c r="AZ520" s="41"/>
      <c r="BA520" s="81" t="str">
        <f>IF(Data_NaamPersoonVastVrij497="","",Data_NaamPersoonVastVrij497)</f>
        <v/>
      </c>
      <c r="BB520" s="41"/>
      <c r="BC520" s="41"/>
      <c r="BD520" s="83" t="str">
        <f>IF(Data_BeeindigingsdatumVastVrij497="","",Data_BeeindigingsdatumVastVrij497)</f>
        <v/>
      </c>
      <c r="BE520" s="41"/>
      <c r="BF520" s="41"/>
      <c r="BG520" s="82" t="str">
        <f>IF(Data_LoonkostenVastVrij497="","",Data_LoonkostenVastVrij497)</f>
        <v/>
      </c>
      <c r="BH520" s="41"/>
      <c r="BI520" s="76" t="str">
        <f>IF(Data_PersoonAanUitVastVrij497=-1,"v","")</f>
        <v/>
      </c>
      <c r="BJ520" s="41"/>
      <c r="BK520" s="76" t="s">
        <v>160</v>
      </c>
      <c r="BL520" s="41"/>
      <c r="BM520" s="41"/>
      <c r="BN520" s="41"/>
      <c r="BO520" s="41"/>
      <c r="BP520" s="41">
        <f t="shared" si="59"/>
        <v>0</v>
      </c>
      <c r="BQ520" s="77">
        <f t="shared" si="60"/>
        <v>0</v>
      </c>
      <c r="BS520" s="81" t="str">
        <f>IF(Data_NaamPersoonVastOntslag497="","",Data_NaamPersoonVastOntslag497)</f>
        <v/>
      </c>
      <c r="BV520" s="83" t="str">
        <f>IF(Data_BeeindigingsdatumVastOntslag497="","",Data_BeeindigingsdatumVastOntslag497)</f>
        <v/>
      </c>
      <c r="BY520" s="82" t="str">
        <f>IF(Data_LoonkostenVastOntslag497="","",Data_LoonkostenVastOntslag497)</f>
        <v/>
      </c>
      <c r="CA520" s="76" t="str">
        <f>IF(Data_PersoonAanUitVastOntslag497=-1,"v","")</f>
        <v/>
      </c>
      <c r="CB520" s="41"/>
      <c r="CC520" s="76" t="s">
        <v>160</v>
      </c>
      <c r="CD520" s="41"/>
      <c r="CE520" s="41"/>
      <c r="CF520" s="41"/>
      <c r="CG520" s="41"/>
      <c r="CH520" s="41">
        <f t="shared" si="63"/>
        <v>0</v>
      </c>
      <c r="CI520" s="41">
        <f t="shared" si="61"/>
        <v>0</v>
      </c>
    </row>
    <row r="521" spans="8:87" x14ac:dyDescent="0.25">
      <c r="H521" s="81" t="str">
        <f>IF(Data_NaamPersoonNatVerloop498="","",Data_NaamPersoonNatVerloop498)</f>
        <v/>
      </c>
      <c r="I521" s="41"/>
      <c r="J521" s="41"/>
      <c r="K521" s="83" t="str">
        <f>IF(Data_BeeindigingsdatumNatVerloop498="","",Data_BeeindigingsdatumNatVerloop498)</f>
        <v/>
      </c>
      <c r="L521" s="41"/>
      <c r="M521" s="41"/>
      <c r="N521" s="82" t="str">
        <f>IF(Data_LoonkostenNatVerloop498="","",Data_LoonkostenNatVerloop498)</f>
        <v/>
      </c>
      <c r="O521" s="41"/>
      <c r="P521" s="276" t="s">
        <v>160</v>
      </c>
      <c r="Q521" s="41"/>
      <c r="R521" s="76" t="s">
        <v>160</v>
      </c>
      <c r="S521" s="41"/>
      <c r="T521" s="41"/>
      <c r="U521" s="41"/>
      <c r="V521" s="41"/>
      <c r="W521" s="41">
        <f t="shared" si="56"/>
        <v>0</v>
      </c>
      <c r="X521" s="77" t="str">
        <f t="shared" si="62"/>
        <v/>
      </c>
      <c r="AG521" s="81" t="str">
        <f t="shared" si="64"/>
        <v/>
      </c>
      <c r="AH521" s="41"/>
      <c r="AI521" s="41"/>
      <c r="AJ521" s="83" t="str">
        <f>IF(Data_BeeindigingsdatumTijd498="","",Data_BeeindigingsdatumTijd498)</f>
        <v/>
      </c>
      <c r="AK521" s="41"/>
      <c r="AL521" s="41"/>
      <c r="AM521" s="82" t="str">
        <f>IF(Data_LoonkostenTijd498="","",Data_LoonkostenTijd498)</f>
        <v/>
      </c>
      <c r="AN521" s="41"/>
      <c r="AO521" s="276" t="str">
        <f>IF(Data_PersoonAanUitTijd498=-1,"v","")</f>
        <v/>
      </c>
      <c r="AP521" s="41"/>
      <c r="AQ521" s="76" t="s">
        <v>160</v>
      </c>
      <c r="AR521" s="41"/>
      <c r="AS521" s="41"/>
      <c r="AT521" s="41"/>
      <c r="AU521" s="41"/>
      <c r="AV521" s="41">
        <f t="shared" si="57"/>
        <v>0</v>
      </c>
      <c r="AW521" s="77">
        <f t="shared" si="58"/>
        <v>0</v>
      </c>
      <c r="AX521" s="41"/>
      <c r="AY521" s="41"/>
      <c r="AZ521" s="41"/>
      <c r="BA521" s="81" t="str">
        <f>IF(Data_NaamPersoonVastVrij498="","",Data_NaamPersoonVastVrij498)</f>
        <v/>
      </c>
      <c r="BB521" s="41"/>
      <c r="BC521" s="41"/>
      <c r="BD521" s="83" t="str">
        <f>IF(Data_BeeindigingsdatumVastVrij498="","",Data_BeeindigingsdatumVastVrij498)</f>
        <v/>
      </c>
      <c r="BE521" s="41"/>
      <c r="BF521" s="41"/>
      <c r="BG521" s="82" t="str">
        <f>IF(Data_LoonkostenVastVrij498="","",Data_LoonkostenVastVrij498)</f>
        <v/>
      </c>
      <c r="BH521" s="41"/>
      <c r="BI521" s="76" t="str">
        <f>IF(Data_PersoonAanUitVastVrij498=-1,"v","")</f>
        <v/>
      </c>
      <c r="BJ521" s="41"/>
      <c r="BK521" s="76" t="s">
        <v>160</v>
      </c>
      <c r="BL521" s="41"/>
      <c r="BM521" s="41"/>
      <c r="BN521" s="41"/>
      <c r="BO521" s="41"/>
      <c r="BP521" s="41">
        <f t="shared" si="59"/>
        <v>0</v>
      </c>
      <c r="BQ521" s="77">
        <f t="shared" si="60"/>
        <v>0</v>
      </c>
      <c r="BS521" s="81" t="str">
        <f>IF(Data_NaamPersoonVastOntslag498="","",Data_NaamPersoonVastOntslag498)</f>
        <v/>
      </c>
      <c r="BV521" s="83" t="str">
        <f>IF(Data_BeeindigingsdatumVastOntslag498="","",Data_BeeindigingsdatumVastOntslag498)</f>
        <v/>
      </c>
      <c r="BY521" s="82" t="str">
        <f>IF(Data_LoonkostenVastOntslag498="","",Data_LoonkostenVastOntslag498)</f>
        <v/>
      </c>
      <c r="CA521" s="76" t="str">
        <f>IF(Data_PersoonAanUitVastOntslag498=-1,"v","")</f>
        <v/>
      </c>
      <c r="CB521" s="41"/>
      <c r="CC521" s="76" t="s">
        <v>160</v>
      </c>
      <c r="CD521" s="41"/>
      <c r="CE521" s="41"/>
      <c r="CF521" s="41"/>
      <c r="CG521" s="41"/>
      <c r="CH521" s="41">
        <f t="shared" si="63"/>
        <v>0</v>
      </c>
      <c r="CI521" s="41">
        <f t="shared" si="61"/>
        <v>0</v>
      </c>
    </row>
    <row r="522" spans="8:87" x14ac:dyDescent="0.25">
      <c r="H522" s="81" t="str">
        <f>IF(Data_NaamPersoonNatVerloop499="","",Data_NaamPersoonNatVerloop499)</f>
        <v/>
      </c>
      <c r="I522" s="41"/>
      <c r="J522" s="41"/>
      <c r="K522" s="83" t="str">
        <f>IF(Data_BeeindigingsdatumNatVerloop499="","",Data_BeeindigingsdatumNatVerloop499)</f>
        <v/>
      </c>
      <c r="L522" s="41"/>
      <c r="M522" s="41"/>
      <c r="N522" s="82" t="str">
        <f>IF(Data_LoonkostenNatVerloop499="","",Data_LoonkostenNatVerloop499)</f>
        <v/>
      </c>
      <c r="O522" s="41"/>
      <c r="P522" s="276" t="s">
        <v>160</v>
      </c>
      <c r="Q522" s="41"/>
      <c r="R522" s="76" t="s">
        <v>160</v>
      </c>
      <c r="S522" s="41"/>
      <c r="T522" s="41"/>
      <c r="U522" s="41"/>
      <c r="V522" s="41"/>
      <c r="W522" s="41">
        <f t="shared" si="56"/>
        <v>0</v>
      </c>
      <c r="X522" s="77" t="str">
        <f t="shared" si="62"/>
        <v/>
      </c>
      <c r="AG522" s="81" t="str">
        <f t="shared" si="64"/>
        <v/>
      </c>
      <c r="AH522" s="41"/>
      <c r="AI522" s="41"/>
      <c r="AJ522" s="83" t="str">
        <f>IF(Data_BeeindigingsdatumTijd499="","",Data_BeeindigingsdatumTijd499)</f>
        <v/>
      </c>
      <c r="AK522" s="41"/>
      <c r="AL522" s="41"/>
      <c r="AM522" s="82" t="str">
        <f>IF(Data_LoonkostenTijd499="","",Data_LoonkostenTijd499)</f>
        <v/>
      </c>
      <c r="AN522" s="41"/>
      <c r="AO522" s="276" t="str">
        <f>IF(Data_PersoonAanUitTijd499=-1,"v","")</f>
        <v/>
      </c>
      <c r="AP522" s="41"/>
      <c r="AQ522" s="76" t="s">
        <v>160</v>
      </c>
      <c r="AR522" s="41"/>
      <c r="AS522" s="41"/>
      <c r="AT522" s="41"/>
      <c r="AU522" s="41"/>
      <c r="AV522" s="41">
        <f t="shared" si="57"/>
        <v>0</v>
      </c>
      <c r="AW522" s="77">
        <f t="shared" si="58"/>
        <v>0</v>
      </c>
      <c r="AX522" s="41"/>
      <c r="AY522" s="41"/>
      <c r="AZ522" s="41"/>
      <c r="BA522" s="81" t="str">
        <f>IF(Data_NaamPersoonVastVrij499="","",Data_NaamPersoonVastVrij499)</f>
        <v/>
      </c>
      <c r="BB522" s="41"/>
      <c r="BC522" s="41"/>
      <c r="BD522" s="83" t="str">
        <f>IF(Data_BeeindigingsdatumVastVrij499="","",Data_BeeindigingsdatumVastVrij499)</f>
        <v/>
      </c>
      <c r="BE522" s="41"/>
      <c r="BF522" s="41"/>
      <c r="BG522" s="82" t="str">
        <f>IF(Data_LoonkostenVastVrij499="","",Data_LoonkostenVastVrij499)</f>
        <v/>
      </c>
      <c r="BH522" s="41"/>
      <c r="BI522" s="76" t="str">
        <f>IF(Data_PersoonAanUitVastVrij499=-1,"v","")</f>
        <v/>
      </c>
      <c r="BJ522" s="41"/>
      <c r="BK522" s="76" t="s">
        <v>160</v>
      </c>
      <c r="BL522" s="41"/>
      <c r="BM522" s="41"/>
      <c r="BN522" s="41"/>
      <c r="BO522" s="41"/>
      <c r="BP522" s="41">
        <f t="shared" si="59"/>
        <v>0</v>
      </c>
      <c r="BQ522" s="77">
        <f t="shared" si="60"/>
        <v>0</v>
      </c>
      <c r="BS522" s="81" t="str">
        <f>IF(Data_NaamPersoonVastOntslag499="","",Data_NaamPersoonVastOntslag499)</f>
        <v/>
      </c>
      <c r="BV522" s="83" t="str">
        <f>IF(Data_BeeindigingsdatumVastOntslag499="","",Data_BeeindigingsdatumVastOntslag499)</f>
        <v/>
      </c>
      <c r="BY522" s="82" t="str">
        <f>IF(Data_LoonkostenVastOntslag499="","",Data_LoonkostenVastOntslag499)</f>
        <v/>
      </c>
      <c r="CA522" s="76" t="str">
        <f>IF(Data_PersoonAanUitVastOntslag499=-1,"v","")</f>
        <v/>
      </c>
      <c r="CB522" s="41"/>
      <c r="CC522" s="76" t="s">
        <v>160</v>
      </c>
      <c r="CD522" s="41"/>
      <c r="CE522" s="41"/>
      <c r="CF522" s="41"/>
      <c r="CG522" s="41"/>
      <c r="CH522" s="41">
        <f t="shared" si="63"/>
        <v>0</v>
      </c>
      <c r="CI522" s="41">
        <f t="shared" si="61"/>
        <v>0</v>
      </c>
    </row>
    <row r="523" spans="8:87" x14ac:dyDescent="0.25">
      <c r="H523" s="81" t="str">
        <f>IF(Data_NaamPersoonNatVerloop500="","",Data_NaamPersoonNatVerloop500)</f>
        <v/>
      </c>
      <c r="I523" s="41"/>
      <c r="J523" s="41"/>
      <c r="K523" s="83" t="str">
        <f>IF(Data_BeeindigingsdatumNatVerloop500="","",Data_BeeindigingsdatumNatVerloop500)</f>
        <v/>
      </c>
      <c r="L523" s="41"/>
      <c r="M523" s="41"/>
      <c r="N523" s="82" t="str">
        <f>IF(Data_LoonkostenNatVerloop500="","",Data_LoonkostenNatVerloop500)</f>
        <v/>
      </c>
      <c r="O523" s="41"/>
      <c r="P523" s="276" t="s">
        <v>160</v>
      </c>
      <c r="Q523" s="41"/>
      <c r="R523" s="76" t="s">
        <v>160</v>
      </c>
      <c r="S523" s="41"/>
      <c r="T523" s="41"/>
      <c r="U523" s="41"/>
      <c r="V523" s="41"/>
      <c r="W523" s="41">
        <f t="shared" si="56"/>
        <v>0</v>
      </c>
      <c r="X523" s="77" t="str">
        <f t="shared" si="62"/>
        <v/>
      </c>
      <c r="AG523" s="81" t="str">
        <f t="shared" si="64"/>
        <v/>
      </c>
      <c r="AH523" s="41"/>
      <c r="AI523" s="41"/>
      <c r="AJ523" s="83" t="str">
        <f>IF(Data_BeeindigingsdatumTijd500="","",Data_BeeindigingsdatumTijd500)</f>
        <v/>
      </c>
      <c r="AK523" s="41"/>
      <c r="AL523" s="41"/>
      <c r="AM523" s="82" t="str">
        <f>IF(Data_LoonkostenTijd500="","",Data_LoonkostenTijd500)</f>
        <v/>
      </c>
      <c r="AN523" s="41"/>
      <c r="AO523" s="276" t="str">
        <f>IF(Data_PersoonAanUitTijd500=-1,"v","")</f>
        <v/>
      </c>
      <c r="AP523" s="41"/>
      <c r="AQ523" s="76" t="s">
        <v>160</v>
      </c>
      <c r="AR523" s="41"/>
      <c r="AS523" s="41"/>
      <c r="AT523" s="41"/>
      <c r="AU523" s="41"/>
      <c r="AV523" s="41">
        <f t="shared" si="57"/>
        <v>0</v>
      </c>
      <c r="AW523" s="77">
        <f t="shared" si="58"/>
        <v>0</v>
      </c>
      <c r="AX523" s="41"/>
      <c r="AY523" s="41"/>
      <c r="AZ523" s="41"/>
      <c r="BA523" s="81" t="str">
        <f>IF(Data_NaamPersoonVastVrij500="","",Data_NaamPersoonVastVrij500)</f>
        <v/>
      </c>
      <c r="BB523" s="41"/>
      <c r="BC523" s="41"/>
      <c r="BD523" s="83" t="str">
        <f>IF(Data_BeeindigingsdatumVastVrij500="","",Data_BeeindigingsdatumVastVrij500)</f>
        <v/>
      </c>
      <c r="BE523" s="41"/>
      <c r="BF523" s="41"/>
      <c r="BG523" s="82" t="str">
        <f>IF(Data_LoonkostenVastVrij500="","",Data_LoonkostenVastVrij500)</f>
        <v/>
      </c>
      <c r="BH523" s="41"/>
      <c r="BI523" s="76" t="str">
        <f>IF(Data_PersoonAanUitVastVrij500=-1,"v","")</f>
        <v/>
      </c>
      <c r="BJ523" s="41"/>
      <c r="BK523" s="76" t="s">
        <v>160</v>
      </c>
      <c r="BL523" s="41"/>
      <c r="BM523" s="41"/>
      <c r="BN523" s="41"/>
      <c r="BO523" s="41"/>
      <c r="BP523" s="41">
        <f t="shared" si="59"/>
        <v>0</v>
      </c>
      <c r="BQ523" s="77">
        <f t="shared" si="60"/>
        <v>0</v>
      </c>
      <c r="BS523" s="81" t="str">
        <f>IF(Data_NaamPersoonVastOntslag500="","",Data_NaamPersoonVastOntslag500)</f>
        <v/>
      </c>
      <c r="BV523" s="83" t="str">
        <f>IF(Data_BeeindigingsdatumVastOntslag500="","",Data_BeeindigingsdatumVastOntslag500)</f>
        <v/>
      </c>
      <c r="BY523" s="82" t="str">
        <f>IF(Data_LoonkostenVastOntslag500="","",Data_LoonkostenVastOntslag500)</f>
        <v/>
      </c>
      <c r="CA523" s="76" t="str">
        <f>IF(Data_PersoonAanUitVastOntslag500=-1,"v","")</f>
        <v/>
      </c>
      <c r="CB523" s="41"/>
      <c r="CC523" s="76" t="s">
        <v>160</v>
      </c>
      <c r="CD523" s="41"/>
      <c r="CE523" s="41"/>
      <c r="CF523" s="41"/>
      <c r="CG523" s="41"/>
      <c r="CH523" s="41">
        <f t="shared" si="63"/>
        <v>0</v>
      </c>
      <c r="CI523" s="41">
        <f t="shared" si="61"/>
        <v>0</v>
      </c>
    </row>
    <row r="524" spans="8:87" x14ac:dyDescent="0.25">
      <c r="H524" s="81" t="str">
        <f>IF(Data_NaamPersoonTijd478="","",Data_NaamPersoonTijd478)</f>
        <v/>
      </c>
      <c r="I524" s="41"/>
      <c r="J524" s="41"/>
      <c r="K524" s="83" t="str">
        <f>IF(Data_BeeindigingsdatumTijd500="","",Data_BeeindigingsdatumTijd500)</f>
        <v/>
      </c>
      <c r="L524" s="41"/>
      <c r="M524" s="41"/>
      <c r="N524" s="82"/>
      <c r="O524" s="41"/>
      <c r="P524" s="276" t="s">
        <v>160</v>
      </c>
      <c r="Q524" s="41"/>
      <c r="R524" s="76" t="s">
        <v>160</v>
      </c>
      <c r="S524" s="41"/>
      <c r="T524" s="41"/>
      <c r="U524" s="41"/>
      <c r="V524" s="41"/>
      <c r="W524" s="41">
        <f t="shared" si="56"/>
        <v>0</v>
      </c>
      <c r="X524" s="77">
        <f t="shared" si="62"/>
        <v>0</v>
      </c>
      <c r="AG524" s="81" t="str">
        <f t="shared" si="64"/>
        <v/>
      </c>
      <c r="AH524" s="41"/>
      <c r="AI524" s="41"/>
      <c r="AJ524" s="83" t="str">
        <f>IF(Data_BeeindigingsdatumTijd500="","",Data_BeeindigingsdatumTijd500)</f>
        <v/>
      </c>
      <c r="AK524" s="41"/>
      <c r="AL524" s="41"/>
      <c r="AM524" s="82"/>
      <c r="AN524" s="41"/>
      <c r="AO524" s="276"/>
      <c r="AP524" s="41"/>
      <c r="AQ524" s="76" t="s">
        <v>160</v>
      </c>
      <c r="AR524" s="41"/>
      <c r="AS524" s="41"/>
      <c r="AT524" s="41"/>
      <c r="AU524" s="41"/>
      <c r="AV524" s="41">
        <f t="shared" si="57"/>
        <v>0</v>
      </c>
      <c r="AW524" s="77">
        <f t="shared" si="58"/>
        <v>0</v>
      </c>
      <c r="BA524" s="81"/>
      <c r="BB524" s="41"/>
      <c r="BC524" s="41"/>
      <c r="BD524" s="83"/>
      <c r="BE524" s="41"/>
      <c r="BF524" s="41"/>
      <c r="BG524" s="82"/>
      <c r="BH524" s="41"/>
      <c r="BI524" s="76"/>
      <c r="BJ524" s="41"/>
      <c r="BK524" s="76" t="s">
        <v>160</v>
      </c>
      <c r="BL524" s="41"/>
      <c r="BM524" s="41"/>
      <c r="BN524" s="41"/>
      <c r="BO524" s="41"/>
      <c r="BP524" s="41">
        <f t="shared" si="59"/>
        <v>0</v>
      </c>
      <c r="BQ524" s="77">
        <f t="shared" si="60"/>
        <v>0</v>
      </c>
      <c r="BS524" s="81"/>
      <c r="BV524" s="83"/>
      <c r="BY524" s="82"/>
      <c r="CA524" s="76"/>
      <c r="CB524" s="41"/>
      <c r="CC524" s="76" t="s">
        <v>160</v>
      </c>
      <c r="CD524" s="41"/>
      <c r="CE524" s="41"/>
      <c r="CF524" s="41"/>
      <c r="CG524" s="41"/>
      <c r="CH524" s="41">
        <f t="shared" si="63"/>
        <v>0</v>
      </c>
      <c r="CI524" s="41">
        <f t="shared" si="61"/>
        <v>0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8" scale="89" orientation="portrait" r:id="rId1"/>
  <headerFooter>
    <oddFooter>&amp;L..\&amp;F - &amp;A&amp;C25-mrt-2013&amp;RVUIST: Henk Verbeek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pageSetUpPr fitToPage="1"/>
  </sheetPr>
  <dimension ref="A1:Q54"/>
  <sheetViews>
    <sheetView topLeftCell="A13" zoomScale="85" zoomScaleNormal="85" workbookViewId="0">
      <selection activeCell="F34" sqref="F34:J34"/>
    </sheetView>
  </sheetViews>
  <sheetFormatPr defaultColWidth="9.140625" defaultRowHeight="12.75" x14ac:dyDescent="0.2"/>
  <cols>
    <col min="1" max="7" width="3.7109375" style="7" customWidth="1"/>
    <col min="8" max="10" width="9.140625" style="7"/>
    <col min="11" max="11" width="11.7109375" style="7" customWidth="1"/>
    <col min="12" max="13" width="6.7109375" style="7" customWidth="1"/>
    <col min="14" max="14" width="9.140625" style="7"/>
    <col min="15" max="15" width="15.7109375" style="7" customWidth="1"/>
    <col min="16" max="16" width="1.7109375" style="7" customWidth="1"/>
    <col min="17" max="17" width="15.7109375" style="7" customWidth="1"/>
    <col min="18" max="18" width="2.7109375" style="7" customWidth="1"/>
    <col min="19" max="16384" width="9.140625" style="7"/>
  </cols>
  <sheetData>
    <row r="1" spans="1:17" ht="18" x14ac:dyDescent="0.25">
      <c r="A1" s="4" t="s">
        <v>20</v>
      </c>
      <c r="B1" s="5"/>
      <c r="C1" s="6"/>
      <c r="D1" s="6"/>
    </row>
    <row r="2" spans="1:17" ht="15.75" thickBot="1" x14ac:dyDescent="0.3">
      <c r="A2" s="8" t="s">
        <v>21</v>
      </c>
      <c r="B2" s="9"/>
      <c r="C2" s="10"/>
      <c r="F2" s="11" t="s">
        <v>22</v>
      </c>
    </row>
    <row r="3" spans="1:17" ht="16.5" thickBot="1" x14ac:dyDescent="0.3">
      <c r="A3" s="8" t="s">
        <v>23</v>
      </c>
      <c r="B3" s="9"/>
      <c r="C3" s="10"/>
      <c r="F3" s="11" t="s">
        <v>24</v>
      </c>
      <c r="M3" s="310" t="s">
        <v>783</v>
      </c>
      <c r="O3" s="311">
        <v>44044</v>
      </c>
    </row>
    <row r="4" spans="1:17" ht="15" x14ac:dyDescent="0.25">
      <c r="A4" s="8" t="s">
        <v>25</v>
      </c>
      <c r="B4" s="9"/>
      <c r="C4" s="10"/>
      <c r="F4" s="12" t="s">
        <v>181</v>
      </c>
    </row>
    <row r="5" spans="1:17" ht="15" x14ac:dyDescent="0.25">
      <c r="A5" s="8" t="s">
        <v>27</v>
      </c>
      <c r="B5" s="9"/>
      <c r="C5" s="13"/>
      <c r="F5" s="11" t="s">
        <v>44</v>
      </c>
    </row>
    <row r="7" spans="1:17" s="41" customFormat="1" ht="13.5" customHeight="1" x14ac:dyDescent="0.2">
      <c r="D7" s="42" t="s">
        <v>218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17" s="41" customFormat="1" ht="13.5" customHeight="1" x14ac:dyDescent="0.2">
      <c r="D8" s="42" t="s">
        <v>776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4" t="str">
        <f>DerdenEnZorg!Q10</f>
        <v>2019 - 2020</v>
      </c>
      <c r="P8" s="44"/>
      <c r="Q8" s="44" t="str">
        <f>'DUO-CFI'!T18</f>
        <v>2020 - 2021</v>
      </c>
    </row>
    <row r="9" spans="1:17" s="41" customFormat="1" ht="13.5" customHeight="1" x14ac:dyDescent="0.2">
      <c r="D9" s="43"/>
      <c r="E9" s="42" t="s">
        <v>219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</row>
    <row r="10" spans="1:17" s="41" customFormat="1" ht="13.5" customHeight="1" x14ac:dyDescent="0.2">
      <c r="D10" s="43"/>
      <c r="E10" s="43">
        <v>19</v>
      </c>
      <c r="F10" s="43" t="s">
        <v>177</v>
      </c>
      <c r="G10" s="43"/>
      <c r="H10" s="43"/>
      <c r="I10" s="43"/>
      <c r="J10" s="43"/>
      <c r="K10" s="43"/>
      <c r="L10" s="43"/>
      <c r="M10" s="43"/>
      <c r="N10" s="43"/>
      <c r="O10" s="45">
        <f>'DUO-CFI'!AL58</f>
        <v>0</v>
      </c>
      <c r="P10" s="45"/>
      <c r="Q10" s="45">
        <f>'DUO-CFI'!AP58</f>
        <v>0</v>
      </c>
    </row>
    <row r="11" spans="1:17" s="41" customFormat="1" ht="13.5" customHeight="1" x14ac:dyDescent="0.2">
      <c r="D11" s="43"/>
      <c r="E11" s="43">
        <v>15</v>
      </c>
      <c r="F11" s="43" t="s">
        <v>174</v>
      </c>
      <c r="G11" s="43"/>
      <c r="H11" s="43"/>
      <c r="I11" s="43"/>
      <c r="J11" s="43"/>
      <c r="K11" s="43" t="s">
        <v>220</v>
      </c>
      <c r="L11" s="43">
        <v>0.65</v>
      </c>
      <c r="M11" s="43"/>
      <c r="N11" s="43" t="s">
        <v>221</v>
      </c>
      <c r="O11" s="45">
        <f>ROUND('DUO-CFI'!AL50*$L11,2)</f>
        <v>0</v>
      </c>
      <c r="P11" s="45"/>
      <c r="Q11" s="45">
        <f>ROUND('DUO-CFI'!AP50*$L11,2)</f>
        <v>0</v>
      </c>
    </row>
    <row r="12" spans="1:17" s="41" customFormat="1" ht="13.5" customHeight="1" x14ac:dyDescent="0.2">
      <c r="D12" s="43"/>
      <c r="E12" s="43">
        <v>16</v>
      </c>
      <c r="F12" s="299" t="s">
        <v>782</v>
      </c>
      <c r="G12" s="43"/>
      <c r="H12" s="43"/>
      <c r="I12" s="43"/>
      <c r="J12" s="43"/>
      <c r="K12" s="43" t="s">
        <v>220</v>
      </c>
      <c r="L12" s="43">
        <v>-0.65</v>
      </c>
      <c r="M12" s="43"/>
      <c r="N12" s="43" t="s">
        <v>221</v>
      </c>
      <c r="O12" s="45">
        <f>ROUND('DUO-CFI'!AL52*$L12,2)</f>
        <v>0</v>
      </c>
      <c r="P12" s="45"/>
      <c r="Q12" s="45">
        <f>ROUND('DUO-CFI'!AP52*$L12,2)</f>
        <v>0</v>
      </c>
    </row>
    <row r="13" spans="1:17" s="41" customFormat="1" ht="13.5" customHeight="1" x14ac:dyDescent="0.2">
      <c r="D13" s="43"/>
      <c r="E13" s="43">
        <v>20</v>
      </c>
      <c r="F13" s="43" t="s">
        <v>178</v>
      </c>
      <c r="G13" s="43"/>
      <c r="H13" s="43"/>
      <c r="I13" s="43"/>
      <c r="J13" s="43"/>
      <c r="K13" s="43" t="s">
        <v>220</v>
      </c>
      <c r="L13" s="43">
        <v>0.65</v>
      </c>
      <c r="M13" s="43"/>
      <c r="N13" s="43" t="s">
        <v>221</v>
      </c>
      <c r="O13" s="45">
        <f>ROUND('DUO-CFI'!AL62*$L13,2)</f>
        <v>0</v>
      </c>
      <c r="P13" s="45"/>
      <c r="Q13" s="45">
        <f>ROUND('DUO-CFI'!AP62*$L13,2)</f>
        <v>0</v>
      </c>
    </row>
    <row r="14" spans="1:17" s="41" customFormat="1" ht="13.5" customHeight="1" x14ac:dyDescent="0.2"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5"/>
      <c r="P14" s="45"/>
      <c r="Q14" s="45"/>
    </row>
    <row r="15" spans="1:17" s="41" customFormat="1" ht="13.5" customHeight="1" x14ac:dyDescent="0.2">
      <c r="D15" s="43"/>
      <c r="E15" s="42" t="s">
        <v>222</v>
      </c>
      <c r="F15" s="43"/>
      <c r="G15" s="43"/>
      <c r="H15" s="43"/>
      <c r="I15" s="43"/>
      <c r="J15" s="43"/>
      <c r="K15" s="43"/>
      <c r="L15" s="43"/>
      <c r="M15" s="43"/>
      <c r="N15" s="43"/>
      <c r="O15" s="45"/>
      <c r="P15" s="45"/>
      <c r="Q15" s="45"/>
    </row>
    <row r="16" spans="1:17" s="41" customFormat="1" ht="13.5" customHeight="1" x14ac:dyDescent="0.2">
      <c r="D16" s="43"/>
      <c r="E16" s="43">
        <v>1</v>
      </c>
      <c r="F16" s="43" t="s">
        <v>159</v>
      </c>
      <c r="G16" s="43"/>
      <c r="H16" s="43"/>
      <c r="I16" s="43"/>
      <c r="J16" s="43"/>
      <c r="K16" s="43"/>
      <c r="L16" s="43"/>
      <c r="M16" s="43"/>
      <c r="N16" s="43"/>
      <c r="O16" s="45">
        <f>'DUO-CFI'!AL20</f>
        <v>0</v>
      </c>
      <c r="P16" s="45"/>
      <c r="Q16" s="45">
        <f>'DUO-CFI'!AP20</f>
        <v>0</v>
      </c>
    </row>
    <row r="17" spans="4:17" s="41" customFormat="1" ht="13.5" customHeight="1" x14ac:dyDescent="0.2">
      <c r="D17" s="43"/>
      <c r="E17" s="43">
        <v>2</v>
      </c>
      <c r="F17" s="43" t="s">
        <v>161</v>
      </c>
      <c r="G17" s="43"/>
      <c r="H17" s="43"/>
      <c r="I17" s="43"/>
      <c r="J17" s="43"/>
      <c r="K17" s="43"/>
      <c r="L17" s="43"/>
      <c r="M17" s="43"/>
      <c r="N17" s="43"/>
      <c r="O17" s="45">
        <f>'DUO-CFI'!AL22</f>
        <v>0</v>
      </c>
      <c r="P17" s="45"/>
      <c r="Q17" s="45">
        <f>'DUO-CFI'!AP22</f>
        <v>0</v>
      </c>
    </row>
    <row r="18" spans="4:17" s="41" customFormat="1" ht="13.5" customHeight="1" x14ac:dyDescent="0.2">
      <c r="D18" s="43"/>
      <c r="E18" s="43">
        <v>3</v>
      </c>
      <c r="F18" s="43" t="s">
        <v>162</v>
      </c>
      <c r="G18" s="43"/>
      <c r="H18" s="43"/>
      <c r="I18" s="43"/>
      <c r="J18" s="43"/>
      <c r="K18" s="43"/>
      <c r="L18" s="43"/>
      <c r="M18" s="43"/>
      <c r="N18" s="43"/>
      <c r="O18" s="45">
        <f>'DUO-CFI'!AL24</f>
        <v>0</v>
      </c>
      <c r="P18" s="45"/>
      <c r="Q18" s="45">
        <f>'DUO-CFI'!AP24</f>
        <v>0</v>
      </c>
    </row>
    <row r="19" spans="4:17" s="41" customFormat="1" ht="13.5" customHeight="1" x14ac:dyDescent="0.2">
      <c r="D19" s="43"/>
      <c r="E19" s="43">
        <v>4</v>
      </c>
      <c r="F19" s="43" t="s">
        <v>163</v>
      </c>
      <c r="G19" s="43"/>
      <c r="H19" s="43"/>
      <c r="I19" s="43"/>
      <c r="J19" s="43"/>
      <c r="K19" s="43"/>
      <c r="L19" s="43"/>
      <c r="M19" s="43"/>
      <c r="N19" s="43"/>
      <c r="O19" s="45">
        <f>'DUO-CFI'!AL26</f>
        <v>0</v>
      </c>
      <c r="P19" s="45"/>
      <c r="Q19" s="45">
        <f>'DUO-CFI'!AP26</f>
        <v>0</v>
      </c>
    </row>
    <row r="20" spans="4:17" s="41" customFormat="1" ht="13.5" customHeight="1" x14ac:dyDescent="0.2">
      <c r="D20" s="43"/>
      <c r="E20" s="43">
        <v>5</v>
      </c>
      <c r="F20" s="43" t="s">
        <v>164</v>
      </c>
      <c r="G20" s="43"/>
      <c r="H20" s="43"/>
      <c r="I20" s="43"/>
      <c r="J20" s="43"/>
      <c r="K20" s="43"/>
      <c r="L20" s="43"/>
      <c r="M20" s="43"/>
      <c r="N20" s="43"/>
      <c r="O20" s="45">
        <f>'DUO-CFI'!AL28</f>
        <v>0</v>
      </c>
      <c r="P20" s="45"/>
      <c r="Q20" s="45">
        <f>'DUO-CFI'!AP28</f>
        <v>0</v>
      </c>
    </row>
    <row r="21" spans="4:17" s="41" customFormat="1" ht="13.5" customHeight="1" x14ac:dyDescent="0.2">
      <c r="D21" s="43"/>
      <c r="E21" s="43">
        <v>6</v>
      </c>
      <c r="F21" s="43" t="s">
        <v>165</v>
      </c>
      <c r="G21" s="43"/>
      <c r="H21" s="43"/>
      <c r="I21" s="43"/>
      <c r="J21" s="43"/>
      <c r="K21" s="43"/>
      <c r="L21" s="43"/>
      <c r="M21" s="43"/>
      <c r="N21" s="43"/>
      <c r="O21" s="45">
        <f>'DUO-CFI'!AL30</f>
        <v>0</v>
      </c>
      <c r="P21" s="45"/>
      <c r="Q21" s="45">
        <f>'DUO-CFI'!AP30</f>
        <v>0</v>
      </c>
    </row>
    <row r="22" spans="4:17" s="41" customFormat="1" ht="13.5" customHeight="1" x14ac:dyDescent="0.2">
      <c r="D22" s="43"/>
      <c r="E22" s="43">
        <v>7</v>
      </c>
      <c r="F22" s="43" t="s">
        <v>166</v>
      </c>
      <c r="G22" s="43"/>
      <c r="H22" s="43"/>
      <c r="I22" s="43"/>
      <c r="J22" s="43"/>
      <c r="K22" s="43"/>
      <c r="L22" s="43"/>
      <c r="M22" s="43"/>
      <c r="N22" s="43"/>
      <c r="O22" s="45">
        <f>'DUO-CFI'!AL32</f>
        <v>0</v>
      </c>
      <c r="P22" s="45"/>
      <c r="Q22" s="45">
        <f>'DUO-CFI'!AP32</f>
        <v>0</v>
      </c>
    </row>
    <row r="23" spans="4:17" s="41" customFormat="1" ht="13.5" customHeight="1" x14ac:dyDescent="0.2">
      <c r="D23" s="43"/>
      <c r="E23" s="43">
        <v>8</v>
      </c>
      <c r="F23" s="43" t="s">
        <v>167</v>
      </c>
      <c r="G23" s="43"/>
      <c r="H23" s="43"/>
      <c r="I23" s="43"/>
      <c r="J23" s="43"/>
      <c r="K23" s="43"/>
      <c r="L23" s="43"/>
      <c r="M23" s="43"/>
      <c r="N23" s="43"/>
      <c r="O23" s="45">
        <f>'DUO-CFI'!AL34</f>
        <v>0</v>
      </c>
      <c r="P23" s="45"/>
      <c r="Q23" s="45">
        <f>'DUO-CFI'!AP34</f>
        <v>0</v>
      </c>
    </row>
    <row r="24" spans="4:17" s="41" customFormat="1" ht="13.5" customHeight="1" x14ac:dyDescent="0.2">
      <c r="D24" s="43"/>
      <c r="E24" s="43">
        <v>9</v>
      </c>
      <c r="F24" s="43" t="s">
        <v>168</v>
      </c>
      <c r="G24" s="43"/>
      <c r="H24" s="43"/>
      <c r="I24" s="43"/>
      <c r="J24" s="43"/>
      <c r="K24" s="43"/>
      <c r="L24" s="43"/>
      <c r="M24" s="43"/>
      <c r="N24" s="43"/>
      <c r="O24" s="45">
        <f>'DUO-CFI'!AL36</f>
        <v>0</v>
      </c>
      <c r="P24" s="45"/>
      <c r="Q24" s="45">
        <f>'DUO-CFI'!AP36</f>
        <v>0</v>
      </c>
    </row>
    <row r="25" spans="4:17" s="41" customFormat="1" ht="13.5" customHeight="1" x14ac:dyDescent="0.2">
      <c r="D25" s="43"/>
      <c r="E25" s="43">
        <v>10</v>
      </c>
      <c r="F25" s="43" t="s">
        <v>169</v>
      </c>
      <c r="G25" s="43"/>
      <c r="H25" s="43"/>
      <c r="I25" s="43"/>
      <c r="J25" s="43"/>
      <c r="K25" s="43"/>
      <c r="L25" s="43"/>
      <c r="M25" s="43"/>
      <c r="N25" s="43"/>
      <c r="O25" s="45">
        <f>'DUO-CFI'!AL38</f>
        <v>0</v>
      </c>
      <c r="P25" s="45"/>
      <c r="Q25" s="45">
        <f>'DUO-CFI'!AP38</f>
        <v>0</v>
      </c>
    </row>
    <row r="26" spans="4:17" s="41" customFormat="1" ht="13.5" customHeight="1" x14ac:dyDescent="0.2">
      <c r="D26" s="43"/>
      <c r="E26" s="299">
        <v>11</v>
      </c>
      <c r="F26" s="299" t="s">
        <v>170</v>
      </c>
      <c r="G26" s="43"/>
      <c r="H26" s="43"/>
      <c r="I26" s="43"/>
      <c r="J26" s="43"/>
      <c r="K26" s="43"/>
      <c r="L26" s="43"/>
      <c r="M26" s="43"/>
      <c r="N26" s="43"/>
      <c r="O26" s="45">
        <f>'DUO-CFI'!AL40</f>
        <v>0</v>
      </c>
      <c r="P26" s="45"/>
      <c r="Q26" s="45">
        <f>'DUO-CFI'!AP40</f>
        <v>0</v>
      </c>
    </row>
    <row r="27" spans="4:17" s="41" customFormat="1" ht="13.5" customHeight="1" x14ac:dyDescent="0.2">
      <c r="D27" s="43"/>
      <c r="E27" s="43">
        <v>12</v>
      </c>
      <c r="F27" s="43" t="s">
        <v>171</v>
      </c>
      <c r="G27" s="43"/>
      <c r="H27" s="43"/>
      <c r="I27" s="43"/>
      <c r="J27" s="43"/>
      <c r="K27" s="43"/>
      <c r="L27" s="299"/>
      <c r="M27" s="43"/>
      <c r="N27" s="299"/>
      <c r="O27" s="45">
        <f>'DUO-CFI'!AL44</f>
        <v>0</v>
      </c>
      <c r="P27" s="45"/>
      <c r="Q27" s="45">
        <f>'DUO-CFI'!AP44</f>
        <v>0</v>
      </c>
    </row>
    <row r="28" spans="4:17" s="41" customFormat="1" ht="13.5" customHeight="1" x14ac:dyDescent="0.2">
      <c r="D28" s="43"/>
      <c r="E28" s="43">
        <v>13</v>
      </c>
      <c r="F28" s="299" t="s">
        <v>172</v>
      </c>
      <c r="G28" s="43"/>
      <c r="H28" s="43"/>
      <c r="I28" s="43"/>
      <c r="J28" s="43"/>
      <c r="K28" s="43"/>
      <c r="L28" s="43"/>
      <c r="M28" s="43"/>
      <c r="N28" s="43"/>
      <c r="O28" s="45">
        <f>'DUO-CFI'!AL46</f>
        <v>0</v>
      </c>
      <c r="P28" s="45"/>
      <c r="Q28" s="45">
        <f>'DUO-CFI'!AP46</f>
        <v>0</v>
      </c>
    </row>
    <row r="29" spans="4:17" s="41" customFormat="1" ht="13.5" customHeight="1" x14ac:dyDescent="0.2">
      <c r="D29" s="43"/>
      <c r="E29" s="43">
        <v>14</v>
      </c>
      <c r="F29" s="43" t="s">
        <v>173</v>
      </c>
      <c r="G29" s="43"/>
      <c r="H29" s="43"/>
      <c r="I29" s="43"/>
      <c r="J29" s="43"/>
      <c r="K29" s="43"/>
      <c r="L29" s="43"/>
      <c r="M29" s="43"/>
      <c r="N29" s="43"/>
      <c r="O29" s="45">
        <f>'DUO-CFI'!AL48</f>
        <v>0</v>
      </c>
      <c r="P29" s="45"/>
      <c r="Q29" s="45">
        <f>'DUO-CFI'!AP48</f>
        <v>0</v>
      </c>
    </row>
    <row r="30" spans="4:17" s="41" customFormat="1" ht="13.5" customHeight="1" x14ac:dyDescent="0.2">
      <c r="D30" s="43"/>
      <c r="E30" s="43">
        <v>16</v>
      </c>
      <c r="F30" s="299" t="s">
        <v>175</v>
      </c>
      <c r="G30" s="43"/>
      <c r="H30" s="43"/>
      <c r="I30" s="43"/>
      <c r="J30" s="43"/>
      <c r="K30" s="43"/>
      <c r="L30" s="43"/>
      <c r="M30" s="43"/>
      <c r="N30" s="43"/>
      <c r="O30" s="45">
        <f>'DUO-CFI'!AL54</f>
        <v>0</v>
      </c>
      <c r="P30" s="45"/>
      <c r="Q30" s="45">
        <f>'DUO-CFI'!AP54</f>
        <v>0</v>
      </c>
    </row>
    <row r="31" spans="4:17" s="41" customFormat="1" ht="13.5" customHeight="1" x14ac:dyDescent="0.2">
      <c r="D31" s="43"/>
      <c r="E31" s="43">
        <v>17</v>
      </c>
      <c r="F31" s="299" t="s">
        <v>176</v>
      </c>
      <c r="G31" s="43"/>
      <c r="H31" s="43"/>
      <c r="I31" s="43"/>
      <c r="J31" s="43"/>
      <c r="K31" s="43"/>
      <c r="L31" s="43"/>
      <c r="M31" s="43"/>
      <c r="N31" s="43"/>
      <c r="O31" s="45">
        <f>'DUO-CFI'!AL56</f>
        <v>0</v>
      </c>
      <c r="P31" s="45"/>
      <c r="Q31" s="45">
        <f>'DUO-CFI'!AP56</f>
        <v>0</v>
      </c>
    </row>
    <row r="32" spans="4:17" s="41" customFormat="1" ht="13.5" customHeight="1" x14ac:dyDescent="0.2">
      <c r="D32" s="43"/>
      <c r="E32" s="43">
        <v>21</v>
      </c>
      <c r="F32" s="299" t="s">
        <v>779</v>
      </c>
      <c r="G32" s="43"/>
      <c r="H32" s="43"/>
      <c r="I32" s="43"/>
      <c r="J32" s="43"/>
      <c r="K32" s="43"/>
      <c r="L32" s="43"/>
      <c r="M32" s="43"/>
      <c r="N32" s="43"/>
      <c r="O32" s="45">
        <f>'DUO-CFI'!AL60</f>
        <v>0</v>
      </c>
      <c r="P32" s="45"/>
      <c r="Q32" s="45">
        <f>'DUO-CFI'!AP60</f>
        <v>0</v>
      </c>
    </row>
    <row r="33" spans="4:17" s="41" customFormat="1" ht="13.5" customHeight="1" x14ac:dyDescent="0.2">
      <c r="D33" s="43"/>
      <c r="E33" s="43">
        <v>22</v>
      </c>
      <c r="F33" s="299" t="s">
        <v>7517</v>
      </c>
      <c r="G33" s="43"/>
      <c r="H33" s="43"/>
      <c r="I33" s="43"/>
      <c r="J33" s="43"/>
      <c r="K33" s="43"/>
      <c r="L33" s="43"/>
      <c r="M33" s="43"/>
      <c r="N33" s="43"/>
      <c r="O33" s="45">
        <f>'DUO-CFI'!AL64</f>
        <v>0</v>
      </c>
      <c r="P33" s="45"/>
      <c r="Q33" s="45">
        <f>'DUO-CFI'!AP64</f>
        <v>0</v>
      </c>
    </row>
    <row r="34" spans="4:17" s="41" customFormat="1" ht="13.5" customHeight="1" x14ac:dyDescent="0.2">
      <c r="D34" s="43"/>
      <c r="E34" s="43">
        <v>23</v>
      </c>
      <c r="F34" s="334" t="str">
        <f>IF(ISBLANK('DUO-CFI'!C66),"",'DUO-CFI'!C66)</f>
        <v/>
      </c>
      <c r="G34" s="334"/>
      <c r="H34" s="334"/>
      <c r="I34" s="334"/>
      <c r="J34" s="334"/>
      <c r="K34" s="321"/>
      <c r="L34" s="303"/>
      <c r="M34" s="303"/>
      <c r="N34" s="303"/>
      <c r="O34" s="45" t="str">
        <f>'DUO-CFI'!AL66</f>
        <v/>
      </c>
      <c r="P34" s="45"/>
      <c r="Q34" s="45" t="str">
        <f>'DUO-CFI'!AP66</f>
        <v/>
      </c>
    </row>
    <row r="35" spans="4:17" s="41" customFormat="1" ht="13.5" customHeight="1" x14ac:dyDescent="0.2">
      <c r="D35" s="43"/>
      <c r="E35" s="43">
        <v>24</v>
      </c>
      <c r="F35" s="334" t="str">
        <f>IF(ISBLANK('DUO-CFI'!C68),"",'DUO-CFI'!C68)</f>
        <v/>
      </c>
      <c r="G35" s="334"/>
      <c r="H35" s="334"/>
      <c r="I35" s="334"/>
      <c r="J35" s="334"/>
      <c r="K35" s="43" t="s">
        <v>220</v>
      </c>
      <c r="L35" s="43">
        <v>0.65</v>
      </c>
      <c r="M35" s="43"/>
      <c r="N35" s="299" t="s">
        <v>221</v>
      </c>
      <c r="O35" s="45" t="str">
        <f>IF(Read_L_01_02_20="","",IF('DUO-CFI'!AL68="","",ROUND('DUO-CFI'!AL68*$L35,2)))</f>
        <v/>
      </c>
      <c r="P35" s="45"/>
      <c r="Q35" s="45" t="str">
        <f>IF(Read_L_01_02_20="","",IF('DUO-CFI'!AP68="","",ROUND('DUO-CFI'!AP68*$L35,2)))</f>
        <v/>
      </c>
    </row>
    <row r="36" spans="4:17" s="41" customFormat="1" ht="13.5" customHeight="1" x14ac:dyDescent="0.2"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5"/>
      <c r="P36" s="45"/>
      <c r="Q36" s="45"/>
    </row>
    <row r="37" spans="4:17" s="41" customFormat="1" ht="13.5" customHeight="1" x14ac:dyDescent="0.2">
      <c r="D37" s="43"/>
      <c r="E37" s="42" t="s">
        <v>101</v>
      </c>
      <c r="F37" s="43"/>
      <c r="G37" s="43"/>
      <c r="H37" s="43"/>
      <c r="I37" s="43"/>
      <c r="J37" s="43"/>
      <c r="K37" s="43"/>
      <c r="L37" s="43"/>
      <c r="M37" s="43"/>
      <c r="N37" s="43"/>
      <c r="O37" s="45">
        <f>DerdenEnZorg!Q28</f>
        <v>0</v>
      </c>
      <c r="P37" s="45"/>
      <c r="Q37" s="45">
        <f>DerdenEnZorg!S28</f>
        <v>0</v>
      </c>
    </row>
    <row r="38" spans="4:17" s="41" customFormat="1" ht="13.5" customHeight="1" x14ac:dyDescent="0.2"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5"/>
      <c r="P38" s="45"/>
      <c r="Q38" s="45"/>
    </row>
    <row r="39" spans="4:17" s="41" customFormat="1" ht="13.5" customHeight="1" x14ac:dyDescent="0.2">
      <c r="D39" s="43"/>
      <c r="E39" s="42" t="s">
        <v>777</v>
      </c>
      <c r="F39" s="43"/>
      <c r="G39" s="43"/>
      <c r="H39" s="43"/>
      <c r="I39" s="43"/>
      <c r="J39" s="43"/>
      <c r="K39" s="43"/>
      <c r="L39" s="43"/>
      <c r="M39" s="43"/>
      <c r="N39" s="43"/>
      <c r="O39" s="45">
        <f>DerdenEnZorg!Q43</f>
        <v>0</v>
      </c>
      <c r="P39" s="45"/>
      <c r="Q39" s="45">
        <f>DerdenEnZorg!S43</f>
        <v>0</v>
      </c>
    </row>
    <row r="40" spans="4:17" s="41" customFormat="1" ht="13.5" customHeight="1" x14ac:dyDescent="0.2"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6"/>
      <c r="P40" s="46"/>
      <c r="Q40" s="46"/>
    </row>
    <row r="41" spans="4:17" s="41" customFormat="1" ht="13.5" customHeight="1" x14ac:dyDescent="0.2">
      <c r="D41" s="43"/>
      <c r="E41" s="42" t="s">
        <v>223</v>
      </c>
      <c r="F41" s="43"/>
      <c r="G41" s="43"/>
      <c r="H41" s="43"/>
      <c r="I41" s="43"/>
      <c r="J41" s="43"/>
      <c r="K41" s="43"/>
      <c r="L41" s="43"/>
      <c r="M41" s="43"/>
      <c r="N41" s="43"/>
      <c r="O41" s="45">
        <f>SUM(O9:O40)</f>
        <v>0</v>
      </c>
      <c r="P41" s="45"/>
      <c r="Q41" s="45">
        <f>SUM(Q9:Q40)</f>
        <v>0</v>
      </c>
    </row>
    <row r="42" spans="4:17" s="41" customFormat="1" ht="13.5" customHeight="1" x14ac:dyDescent="0.2"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5"/>
      <c r="P42" s="45"/>
      <c r="Q42" s="45"/>
    </row>
    <row r="43" spans="4:17" s="41" customFormat="1" ht="13.5" customHeight="1" x14ac:dyDescent="0.2">
      <c r="D43" s="43"/>
      <c r="E43" s="42" t="s">
        <v>224</v>
      </c>
      <c r="F43" s="43"/>
      <c r="G43" s="43"/>
      <c r="H43" s="43"/>
      <c r="I43" s="43"/>
      <c r="J43" s="43"/>
      <c r="K43" s="43"/>
      <c r="L43" s="43"/>
      <c r="M43" s="43"/>
      <c r="N43" s="43"/>
      <c r="O43" s="45"/>
      <c r="P43" s="45"/>
      <c r="Q43" s="47">
        <f>Q41-O41</f>
        <v>0</v>
      </c>
    </row>
    <row r="44" spans="4:17" s="41" customFormat="1" ht="13.5" customHeight="1" x14ac:dyDescent="0.2"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5"/>
      <c r="P44" s="45"/>
      <c r="Q44" s="45"/>
    </row>
    <row r="45" spans="4:17" s="41" customFormat="1" ht="13.5" customHeight="1" x14ac:dyDescent="0.2">
      <c r="D45" s="42" t="s">
        <v>225</v>
      </c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5"/>
      <c r="P45" s="45"/>
      <c r="Q45" s="45"/>
    </row>
    <row r="46" spans="4:17" s="41" customFormat="1" ht="13.5" customHeight="1" x14ac:dyDescent="0.2">
      <c r="D46" s="42"/>
      <c r="E46" s="43"/>
      <c r="F46" s="42" t="str">
        <f>Personeel!C20</f>
        <v>Beëindigingen - Natuurlijk verloop en andere…</v>
      </c>
      <c r="G46" s="43"/>
      <c r="H46" s="43"/>
      <c r="I46" s="43"/>
      <c r="J46" s="43"/>
      <c r="K46" s="43"/>
      <c r="L46" s="43"/>
      <c r="M46" s="43"/>
      <c r="N46" s="43"/>
      <c r="O46" s="45"/>
      <c r="P46" s="45"/>
      <c r="Q46" s="45">
        <f>Personeel!X10</f>
        <v>0</v>
      </c>
    </row>
    <row r="47" spans="4:17" s="41" customFormat="1" ht="13.5" customHeight="1" x14ac:dyDescent="0.2">
      <c r="D47" s="43"/>
      <c r="E47" s="43"/>
      <c r="F47" s="42" t="str">
        <f>Personeel!AB20</f>
        <v xml:space="preserve">Beëindigingen - Tijdelijke dienstverbanden </v>
      </c>
      <c r="G47" s="43"/>
      <c r="H47" s="43"/>
      <c r="I47" s="43"/>
      <c r="J47" s="43"/>
      <c r="K47" s="43"/>
      <c r="L47" s="43"/>
      <c r="M47" s="43"/>
      <c r="N47" s="43"/>
      <c r="O47" s="45"/>
      <c r="P47" s="45"/>
      <c r="Q47" s="45">
        <f>Personeel!X11</f>
        <v>0</v>
      </c>
    </row>
    <row r="48" spans="4:17" s="41" customFormat="1" ht="13.5" customHeight="1" x14ac:dyDescent="0.2">
      <c r="D48" s="43"/>
      <c r="E48" s="43"/>
      <c r="F48" s="42" t="str">
        <f>Personeel!BA20</f>
        <v>Beëindigingen - Vaste dienstverbanden met wederzijds goedvinden</v>
      </c>
      <c r="G48" s="43"/>
      <c r="H48" s="43"/>
      <c r="I48" s="43"/>
      <c r="J48" s="43"/>
      <c r="K48" s="43"/>
      <c r="L48" s="43"/>
      <c r="M48" s="43"/>
      <c r="N48" s="43"/>
      <c r="O48" s="45"/>
      <c r="P48" s="45"/>
      <c r="Q48" s="45">
        <f>Personeel!X12</f>
        <v>0</v>
      </c>
    </row>
    <row r="49" spans="4:17" s="41" customFormat="1" ht="13.5" customHeight="1" x14ac:dyDescent="0.2">
      <c r="D49" s="43"/>
      <c r="E49" s="43"/>
      <c r="F49" s="42" t="str">
        <f>Personeel!BS20</f>
        <v>Ontslagen - Vaste dienstverbanden</v>
      </c>
      <c r="G49" s="43"/>
      <c r="H49" s="43"/>
      <c r="I49" s="43"/>
      <c r="J49" s="43"/>
      <c r="K49" s="43"/>
      <c r="L49" s="43"/>
      <c r="M49" s="43"/>
      <c r="N49" s="43"/>
      <c r="O49" s="45"/>
      <c r="P49" s="45"/>
      <c r="Q49" s="45">
        <f>Personeel!X13</f>
        <v>0</v>
      </c>
    </row>
    <row r="50" spans="4:17" s="41" customFormat="1" ht="13.5" customHeight="1" x14ac:dyDescent="0.2"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5"/>
      <c r="P50" s="45"/>
      <c r="Q50" s="45"/>
    </row>
    <row r="51" spans="4:17" s="41" customFormat="1" ht="13.5" customHeight="1" x14ac:dyDescent="0.2">
      <c r="D51" s="43"/>
      <c r="E51" s="43"/>
      <c r="F51" s="42" t="s">
        <v>226</v>
      </c>
      <c r="G51" s="43"/>
      <c r="H51" s="43"/>
      <c r="I51" s="43"/>
      <c r="J51" s="43"/>
      <c r="K51" s="43"/>
      <c r="L51" s="43"/>
      <c r="M51" s="43"/>
      <c r="N51" s="43"/>
      <c r="O51" s="45"/>
      <c r="P51" s="45"/>
      <c r="Q51" s="48">
        <f>SUM(Q46:Q49)</f>
        <v>0</v>
      </c>
    </row>
    <row r="52" spans="4:17" s="41" customFormat="1" ht="13.5" customHeight="1" x14ac:dyDescent="0.2"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5"/>
      <c r="P52" s="45"/>
      <c r="Q52" s="45"/>
    </row>
    <row r="53" spans="4:17" s="41" customFormat="1" ht="13.5" customHeight="1" x14ac:dyDescent="0.2">
      <c r="D53" s="42" t="s">
        <v>227</v>
      </c>
      <c r="E53" s="43"/>
      <c r="F53" s="43"/>
      <c r="G53" s="43"/>
      <c r="H53" s="43"/>
      <c r="I53" s="43"/>
      <c r="J53" s="43"/>
      <c r="K53" s="43"/>
      <c r="L53" s="43"/>
      <c r="M53" s="43"/>
      <c r="N53" s="49" t="s">
        <v>228</v>
      </c>
      <c r="O53" s="45"/>
      <c r="P53" s="45"/>
      <c r="Q53" s="47">
        <f>Q43+Q51</f>
        <v>0</v>
      </c>
    </row>
    <row r="54" spans="4:17" ht="12.75" customHeight="1" x14ac:dyDescent="0.2"/>
  </sheetData>
  <mergeCells count="2">
    <mergeCell ref="F34:J34"/>
    <mergeCell ref="F35:J35"/>
  </mergeCells>
  <phoneticPr fontId="37" type="noConversion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>
    <oddFooter>&amp;L..\&amp;F - &amp;A&amp;C26-mrt-2013&amp;RVUIST: Henk Verbeek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M118"/>
  <sheetViews>
    <sheetView topLeftCell="A16" workbookViewId="0">
      <selection activeCell="J37" sqref="J37"/>
    </sheetView>
  </sheetViews>
  <sheetFormatPr defaultColWidth="9.140625" defaultRowHeight="12.75" x14ac:dyDescent="0.2"/>
  <cols>
    <col min="1" max="1" width="9.140625" style="92"/>
    <col min="2" max="2" width="4.7109375" style="92" customWidth="1"/>
    <col min="3" max="3" width="12.7109375" style="92" customWidth="1"/>
    <col min="4" max="4" width="4.7109375" style="92" customWidth="1"/>
    <col min="5" max="5" width="12.7109375" style="92" customWidth="1"/>
    <col min="6" max="6" width="4.7109375" style="92" customWidth="1"/>
    <col min="7" max="7" width="12.7109375" style="92" customWidth="1"/>
    <col min="8" max="8" width="4.7109375" style="92" customWidth="1"/>
    <col min="9" max="13" width="12.7109375" style="92" customWidth="1"/>
    <col min="14" max="16384" width="9.140625" style="92"/>
  </cols>
  <sheetData>
    <row r="1" spans="1:13" ht="18" x14ac:dyDescent="0.25">
      <c r="A1" s="90" t="s">
        <v>230</v>
      </c>
      <c r="B1" s="91"/>
      <c r="C1" s="91"/>
    </row>
    <row r="2" spans="1:13" x14ac:dyDescent="0.2">
      <c r="A2" s="93" t="s">
        <v>231</v>
      </c>
      <c r="B2" s="94"/>
      <c r="C2" s="93" t="s">
        <v>20</v>
      </c>
    </row>
    <row r="3" spans="1:13" x14ac:dyDescent="0.2">
      <c r="A3" s="93" t="s">
        <v>21</v>
      </c>
      <c r="B3" s="94"/>
      <c r="C3" s="93" t="s">
        <v>22</v>
      </c>
    </row>
    <row r="4" spans="1:13" x14ac:dyDescent="0.2">
      <c r="A4" s="93" t="s">
        <v>23</v>
      </c>
      <c r="B4" s="94"/>
      <c r="C4" s="93" t="s">
        <v>232</v>
      </c>
    </row>
    <row r="5" spans="1:13" x14ac:dyDescent="0.2">
      <c r="A5" s="93" t="s">
        <v>25</v>
      </c>
      <c r="B5" s="94"/>
      <c r="C5" s="93" t="s">
        <v>233</v>
      </c>
    </row>
    <row r="6" spans="1:13" x14ac:dyDescent="0.2">
      <c r="A6" s="93" t="s">
        <v>27</v>
      </c>
      <c r="B6" s="94"/>
      <c r="C6" s="94" t="s">
        <v>234</v>
      </c>
    </row>
    <row r="7" spans="1:13" x14ac:dyDescent="0.2">
      <c r="A7" s="93"/>
      <c r="B7" s="94"/>
      <c r="C7" s="94"/>
    </row>
    <row r="8" spans="1:13" ht="15" x14ac:dyDescent="0.25">
      <c r="B8" s="95" t="s">
        <v>235</v>
      </c>
    </row>
    <row r="10" spans="1:13" x14ac:dyDescent="0.2">
      <c r="B10" s="92" t="s">
        <v>236</v>
      </c>
    </row>
    <row r="11" spans="1:13" x14ac:dyDescent="0.2">
      <c r="B11" s="92" t="s">
        <v>237</v>
      </c>
    </row>
    <row r="13" spans="1:13" ht="39.950000000000003" customHeight="1" x14ac:dyDescent="0.2">
      <c r="B13" s="335" t="s">
        <v>656</v>
      </c>
      <c r="C13" s="336"/>
      <c r="D13" s="335" t="s">
        <v>657</v>
      </c>
      <c r="E13" s="336"/>
      <c r="F13" s="335" t="s">
        <v>658</v>
      </c>
      <c r="G13" s="336"/>
      <c r="H13" s="335" t="s">
        <v>659</v>
      </c>
      <c r="I13" s="335"/>
      <c r="J13" s="335" t="s">
        <v>660</v>
      </c>
      <c r="K13" s="335"/>
      <c r="L13" s="335" t="s">
        <v>661</v>
      </c>
      <c r="M13" s="335"/>
    </row>
    <row r="14" spans="1:13" x14ac:dyDescent="0.2">
      <c r="B14" s="335" t="s">
        <v>662</v>
      </c>
      <c r="C14" s="336"/>
      <c r="D14" s="335" t="s">
        <v>663</v>
      </c>
      <c r="E14" s="336"/>
      <c r="F14" s="335" t="s">
        <v>664</v>
      </c>
      <c r="G14" s="336"/>
      <c r="H14" s="335" t="s">
        <v>665</v>
      </c>
      <c r="I14" s="335"/>
      <c r="J14" s="335" t="s">
        <v>666</v>
      </c>
      <c r="K14" s="335"/>
      <c r="L14" s="335" t="s">
        <v>667</v>
      </c>
      <c r="M14" s="335"/>
    </row>
    <row r="15" spans="1:13" x14ac:dyDescent="0.2">
      <c r="B15" s="98" t="s">
        <v>668</v>
      </c>
      <c r="C15" s="98" t="s">
        <v>669</v>
      </c>
      <c r="D15" s="98" t="s">
        <v>668</v>
      </c>
      <c r="E15" s="98" t="s">
        <v>669</v>
      </c>
      <c r="F15" s="98" t="s">
        <v>668</v>
      </c>
      <c r="G15" s="98" t="s">
        <v>669</v>
      </c>
      <c r="H15" s="98" t="s">
        <v>668</v>
      </c>
      <c r="I15" s="98" t="s">
        <v>669</v>
      </c>
      <c r="J15" s="98" t="s">
        <v>668</v>
      </c>
      <c r="K15" s="98" t="s">
        <v>669</v>
      </c>
      <c r="L15" s="98" t="s">
        <v>668</v>
      </c>
      <c r="M15" s="98" t="s">
        <v>669</v>
      </c>
    </row>
    <row r="16" spans="1:13" ht="15" x14ac:dyDescent="0.25">
      <c r="B16" s="92" t="s">
        <v>238</v>
      </c>
      <c r="C16" s="92" t="s">
        <v>239</v>
      </c>
      <c r="D16" s="92" t="s">
        <v>238</v>
      </c>
      <c r="E16" s="92" t="s">
        <v>240</v>
      </c>
      <c r="F16" s="92" t="s">
        <v>238</v>
      </c>
      <c r="G16" s="92" t="s">
        <v>241</v>
      </c>
      <c r="H16" s="92" t="s">
        <v>238</v>
      </c>
      <c r="I16" s="92" t="s">
        <v>241</v>
      </c>
      <c r="J16" s="92" t="s">
        <v>238</v>
      </c>
      <c r="K16" s="92" t="s">
        <v>242</v>
      </c>
      <c r="L16" s="92" t="s">
        <v>238</v>
      </c>
      <c r="M16" s="92" t="s">
        <v>243</v>
      </c>
    </row>
    <row r="17" spans="2:13" ht="15" x14ac:dyDescent="0.25">
      <c r="B17" s="92" t="s">
        <v>244</v>
      </c>
      <c r="C17" s="92" t="s">
        <v>240</v>
      </c>
      <c r="D17" s="92" t="s">
        <v>244</v>
      </c>
      <c r="E17" s="92" t="s">
        <v>245</v>
      </c>
      <c r="F17" s="92" t="s">
        <v>244</v>
      </c>
      <c r="G17" s="92" t="s">
        <v>246</v>
      </c>
      <c r="H17" s="92" t="s">
        <v>244</v>
      </c>
      <c r="I17" s="92" t="s">
        <v>246</v>
      </c>
      <c r="J17" s="92" t="s">
        <v>244</v>
      </c>
      <c r="K17" s="92" t="s">
        <v>247</v>
      </c>
      <c r="L17" s="92" t="s">
        <v>244</v>
      </c>
      <c r="M17" s="92" t="s">
        <v>248</v>
      </c>
    </row>
    <row r="18" spans="2:13" ht="15" x14ac:dyDescent="0.25">
      <c r="B18" s="92" t="s">
        <v>249</v>
      </c>
      <c r="C18" s="92" t="s">
        <v>241</v>
      </c>
      <c r="D18" s="92" t="s">
        <v>249</v>
      </c>
      <c r="E18" s="92" t="s">
        <v>246</v>
      </c>
      <c r="F18" s="92" t="s">
        <v>249</v>
      </c>
      <c r="G18" s="92" t="s">
        <v>250</v>
      </c>
      <c r="H18" s="92" t="s">
        <v>249</v>
      </c>
      <c r="I18" s="92" t="s">
        <v>250</v>
      </c>
      <c r="J18" s="92" t="s">
        <v>249</v>
      </c>
      <c r="K18" s="92" t="s">
        <v>251</v>
      </c>
      <c r="L18" s="92" t="s">
        <v>249</v>
      </c>
      <c r="M18" s="92" t="s">
        <v>252</v>
      </c>
    </row>
    <row r="19" spans="2:13" ht="15" x14ac:dyDescent="0.25">
      <c r="B19" s="92" t="s">
        <v>253</v>
      </c>
      <c r="C19" s="92" t="s">
        <v>245</v>
      </c>
      <c r="D19" s="92" t="s">
        <v>253</v>
      </c>
      <c r="E19" s="92" t="s">
        <v>254</v>
      </c>
      <c r="F19" s="92" t="s">
        <v>253</v>
      </c>
      <c r="G19" s="92" t="s">
        <v>255</v>
      </c>
      <c r="H19" s="92" t="s">
        <v>253</v>
      </c>
      <c r="I19" s="92" t="s">
        <v>255</v>
      </c>
      <c r="J19" s="92" t="s">
        <v>253</v>
      </c>
      <c r="K19" s="92" t="s">
        <v>256</v>
      </c>
      <c r="L19" s="92" t="s">
        <v>253</v>
      </c>
      <c r="M19" s="92" t="s">
        <v>257</v>
      </c>
    </row>
    <row r="20" spans="2:13" ht="15" x14ac:dyDescent="0.25">
      <c r="B20" s="92" t="s">
        <v>258</v>
      </c>
      <c r="C20" s="92" t="s">
        <v>259</v>
      </c>
      <c r="D20" s="92" t="s">
        <v>258</v>
      </c>
      <c r="E20" s="92" t="s">
        <v>250</v>
      </c>
      <c r="F20" s="92" t="s">
        <v>258</v>
      </c>
      <c r="G20" s="92" t="s">
        <v>260</v>
      </c>
      <c r="H20" s="92" t="s">
        <v>258</v>
      </c>
      <c r="I20" s="92" t="s">
        <v>260</v>
      </c>
      <c r="J20" s="92" t="s">
        <v>258</v>
      </c>
      <c r="K20" s="92" t="s">
        <v>261</v>
      </c>
      <c r="L20" s="92" t="s">
        <v>258</v>
      </c>
      <c r="M20" s="92" t="s">
        <v>262</v>
      </c>
    </row>
    <row r="21" spans="2:13" ht="15" x14ac:dyDescent="0.25">
      <c r="B21" s="92" t="s">
        <v>263</v>
      </c>
      <c r="C21" s="92" t="s">
        <v>246</v>
      </c>
      <c r="D21" s="92" t="s">
        <v>263</v>
      </c>
      <c r="E21" s="92" t="s">
        <v>264</v>
      </c>
      <c r="F21" s="92" t="s">
        <v>263</v>
      </c>
      <c r="G21" s="92" t="s">
        <v>262</v>
      </c>
      <c r="H21" s="92" t="s">
        <v>263</v>
      </c>
      <c r="I21" s="92" t="s">
        <v>262</v>
      </c>
      <c r="J21" s="92" t="s">
        <v>263</v>
      </c>
      <c r="K21" s="92" t="s">
        <v>262</v>
      </c>
      <c r="L21" s="92" t="s">
        <v>263</v>
      </c>
      <c r="M21" s="92" t="s">
        <v>265</v>
      </c>
    </row>
    <row r="22" spans="2:13" ht="15" x14ac:dyDescent="0.25">
      <c r="B22" s="92" t="s">
        <v>266</v>
      </c>
      <c r="C22" s="92" t="s">
        <v>254</v>
      </c>
      <c r="D22" s="92" t="s">
        <v>266</v>
      </c>
      <c r="E22" s="92" t="s">
        <v>255</v>
      </c>
      <c r="F22" s="92" t="s">
        <v>266</v>
      </c>
      <c r="G22" s="92" t="s">
        <v>267</v>
      </c>
      <c r="H22" s="92" t="s">
        <v>266</v>
      </c>
      <c r="I22" s="92" t="s">
        <v>267</v>
      </c>
      <c r="J22" s="92" t="s">
        <v>266</v>
      </c>
      <c r="K22" s="92" t="s">
        <v>268</v>
      </c>
      <c r="L22" s="92" t="s">
        <v>266</v>
      </c>
      <c r="M22" s="92" t="s">
        <v>269</v>
      </c>
    </row>
    <row r="23" spans="2:13" ht="15" x14ac:dyDescent="0.25">
      <c r="B23" s="92" t="s">
        <v>270</v>
      </c>
      <c r="C23" s="92" t="s">
        <v>250</v>
      </c>
      <c r="D23" s="92" t="s">
        <v>270</v>
      </c>
      <c r="E23" s="92" t="s">
        <v>271</v>
      </c>
      <c r="F23" s="92" t="s">
        <v>270</v>
      </c>
      <c r="G23" s="92" t="s">
        <v>272</v>
      </c>
      <c r="H23" s="92" t="s">
        <v>270</v>
      </c>
      <c r="I23" s="92" t="s">
        <v>272</v>
      </c>
      <c r="J23" s="92" t="s">
        <v>270</v>
      </c>
      <c r="K23" s="92" t="s">
        <v>265</v>
      </c>
      <c r="L23" s="92" t="s">
        <v>270</v>
      </c>
      <c r="M23" s="92" t="s">
        <v>273</v>
      </c>
    </row>
    <row r="24" spans="2:13" ht="15" x14ac:dyDescent="0.25">
      <c r="B24" s="92" t="s">
        <v>274</v>
      </c>
      <c r="C24" s="92" t="s">
        <v>264</v>
      </c>
      <c r="D24" s="92" t="s">
        <v>274</v>
      </c>
      <c r="E24" s="92" t="s">
        <v>260</v>
      </c>
      <c r="F24" s="92" t="s">
        <v>274</v>
      </c>
      <c r="G24" s="92" t="s">
        <v>275</v>
      </c>
      <c r="H24" s="92" t="s">
        <v>274</v>
      </c>
      <c r="I24" s="92" t="s">
        <v>275</v>
      </c>
      <c r="J24" s="92" t="s">
        <v>274</v>
      </c>
      <c r="K24" s="92" t="s">
        <v>276</v>
      </c>
      <c r="L24" s="92" t="s">
        <v>274</v>
      </c>
      <c r="M24" s="92" t="s">
        <v>277</v>
      </c>
    </row>
    <row r="25" spans="2:13" ht="15" x14ac:dyDescent="0.25">
      <c r="B25" s="92" t="s">
        <v>278</v>
      </c>
      <c r="C25" s="92" t="s">
        <v>255</v>
      </c>
      <c r="D25" s="92" t="s">
        <v>278</v>
      </c>
      <c r="E25" s="92" t="s">
        <v>262</v>
      </c>
      <c r="F25" s="92" t="s">
        <v>278</v>
      </c>
      <c r="G25" s="92" t="s">
        <v>279</v>
      </c>
      <c r="H25" s="92" t="s">
        <v>278</v>
      </c>
      <c r="I25" s="92" t="s">
        <v>279</v>
      </c>
      <c r="J25" s="92" t="s">
        <v>278</v>
      </c>
      <c r="K25" s="92" t="s">
        <v>269</v>
      </c>
      <c r="L25" s="92" t="s">
        <v>278</v>
      </c>
      <c r="M25" s="92" t="s">
        <v>280</v>
      </c>
    </row>
    <row r="26" spans="2:13" ht="15" x14ac:dyDescent="0.25">
      <c r="B26" s="92" t="s">
        <v>281</v>
      </c>
      <c r="C26" s="92" t="s">
        <v>271</v>
      </c>
      <c r="D26" s="92" t="s">
        <v>281</v>
      </c>
      <c r="E26" s="92" t="s">
        <v>267</v>
      </c>
      <c r="F26" s="92" t="s">
        <v>281</v>
      </c>
      <c r="G26" s="92" t="s">
        <v>282</v>
      </c>
      <c r="H26" s="92" t="s">
        <v>281</v>
      </c>
      <c r="I26" s="92" t="s">
        <v>282</v>
      </c>
      <c r="J26" s="92" t="s">
        <v>281</v>
      </c>
      <c r="K26" s="92" t="s">
        <v>273</v>
      </c>
      <c r="L26" s="92" t="s">
        <v>281</v>
      </c>
      <c r="M26" s="92" t="s">
        <v>283</v>
      </c>
    </row>
    <row r="27" spans="2:13" ht="15" x14ac:dyDescent="0.25">
      <c r="B27" s="92" t="s">
        <v>284</v>
      </c>
      <c r="C27" s="92" t="s">
        <v>260</v>
      </c>
      <c r="D27" s="92" t="s">
        <v>284</v>
      </c>
      <c r="E27" s="92" t="s">
        <v>272</v>
      </c>
      <c r="F27" s="92" t="s">
        <v>284</v>
      </c>
      <c r="G27" s="92" t="s">
        <v>285</v>
      </c>
      <c r="H27" s="92" t="s">
        <v>284</v>
      </c>
      <c r="I27" s="92" t="s">
        <v>285</v>
      </c>
      <c r="J27" s="92" t="s">
        <v>284</v>
      </c>
      <c r="K27" s="92" t="s">
        <v>277</v>
      </c>
      <c r="L27" s="92" t="s">
        <v>284</v>
      </c>
      <c r="M27" s="92" t="s">
        <v>286</v>
      </c>
    </row>
    <row r="28" spans="2:13" ht="15" x14ac:dyDescent="0.25">
      <c r="B28" s="92" t="s">
        <v>287</v>
      </c>
      <c r="C28" s="92" t="s">
        <v>262</v>
      </c>
      <c r="D28" s="92" t="s">
        <v>287</v>
      </c>
      <c r="E28" s="92" t="s">
        <v>275</v>
      </c>
      <c r="F28" s="92" t="s">
        <v>287</v>
      </c>
      <c r="G28" s="92" t="s">
        <v>288</v>
      </c>
      <c r="H28" s="92" t="s">
        <v>287</v>
      </c>
      <c r="I28" s="92" t="s">
        <v>288</v>
      </c>
      <c r="J28" s="92" t="s">
        <v>287</v>
      </c>
      <c r="K28" s="92" t="s">
        <v>280</v>
      </c>
      <c r="L28" s="92" t="s">
        <v>287</v>
      </c>
      <c r="M28" s="92" t="s">
        <v>289</v>
      </c>
    </row>
    <row r="29" spans="2:13" ht="15" x14ac:dyDescent="0.25">
      <c r="B29" s="92" t="s">
        <v>290</v>
      </c>
      <c r="C29" s="92" t="s">
        <v>290</v>
      </c>
      <c r="D29" s="92" t="s">
        <v>291</v>
      </c>
      <c r="E29" s="92" t="s">
        <v>279</v>
      </c>
      <c r="F29" s="92" t="s">
        <v>291</v>
      </c>
      <c r="G29" s="92" t="s">
        <v>292</v>
      </c>
      <c r="H29" s="92" t="s">
        <v>291</v>
      </c>
      <c r="I29" s="92" t="s">
        <v>292</v>
      </c>
      <c r="J29" s="92" t="s">
        <v>291</v>
      </c>
      <c r="K29" s="92" t="s">
        <v>283</v>
      </c>
      <c r="L29" s="92" t="s">
        <v>291</v>
      </c>
      <c r="M29" s="92" t="s">
        <v>293</v>
      </c>
    </row>
    <row r="30" spans="2:13" ht="15" x14ac:dyDescent="0.25">
      <c r="B30" s="92" t="s">
        <v>290</v>
      </c>
      <c r="C30" s="92" t="s">
        <v>290</v>
      </c>
      <c r="D30" s="92" t="s">
        <v>294</v>
      </c>
      <c r="E30" s="92" t="s">
        <v>282</v>
      </c>
      <c r="F30" s="92" t="s">
        <v>294</v>
      </c>
      <c r="G30" s="92" t="s">
        <v>295</v>
      </c>
      <c r="H30" s="92" t="s">
        <v>294</v>
      </c>
      <c r="I30" s="92" t="s">
        <v>295</v>
      </c>
      <c r="J30" s="92" t="s">
        <v>294</v>
      </c>
      <c r="K30" s="92" t="s">
        <v>286</v>
      </c>
      <c r="L30" s="92" t="s">
        <v>294</v>
      </c>
      <c r="M30" s="92" t="s">
        <v>296</v>
      </c>
    </row>
    <row r="31" spans="2:13" ht="15" x14ac:dyDescent="0.25">
      <c r="B31" s="92" t="s">
        <v>290</v>
      </c>
      <c r="C31" s="92" t="s">
        <v>290</v>
      </c>
      <c r="D31" s="92" t="s">
        <v>290</v>
      </c>
      <c r="E31" s="92" t="s">
        <v>290</v>
      </c>
      <c r="F31" s="92" t="s">
        <v>297</v>
      </c>
      <c r="G31" s="92" t="s">
        <v>298</v>
      </c>
      <c r="H31" s="92" t="s">
        <v>297</v>
      </c>
      <c r="I31" s="92" t="s">
        <v>298</v>
      </c>
      <c r="J31" s="92" t="s">
        <v>297</v>
      </c>
      <c r="K31" s="92" t="s">
        <v>289</v>
      </c>
      <c r="L31" s="92" t="s">
        <v>297</v>
      </c>
      <c r="M31" s="92" t="s">
        <v>299</v>
      </c>
    </row>
    <row r="32" spans="2:13" ht="15" x14ac:dyDescent="0.25">
      <c r="B32" s="92" t="s">
        <v>290</v>
      </c>
      <c r="C32" s="92" t="s">
        <v>290</v>
      </c>
      <c r="D32" s="92" t="s">
        <v>290</v>
      </c>
      <c r="E32" s="92" t="s">
        <v>290</v>
      </c>
      <c r="F32" s="92" t="s">
        <v>290</v>
      </c>
      <c r="G32" s="92" t="s">
        <v>290</v>
      </c>
      <c r="H32" s="92" t="s">
        <v>300</v>
      </c>
      <c r="I32" s="92" t="s">
        <v>301</v>
      </c>
      <c r="J32" s="92" t="s">
        <v>302</v>
      </c>
      <c r="K32" s="92" t="s">
        <v>293</v>
      </c>
      <c r="L32" s="92" t="s">
        <v>302</v>
      </c>
      <c r="M32" s="92" t="s">
        <v>303</v>
      </c>
    </row>
    <row r="33" spans="2:13" ht="15" x14ac:dyDescent="0.25">
      <c r="B33" s="92" t="s">
        <v>290</v>
      </c>
      <c r="C33" s="92" t="s">
        <v>290</v>
      </c>
      <c r="D33" s="92" t="s">
        <v>290</v>
      </c>
      <c r="E33" s="92" t="s">
        <v>290</v>
      </c>
      <c r="F33" s="92" t="s">
        <v>290</v>
      </c>
      <c r="G33" s="92" t="s">
        <v>290</v>
      </c>
      <c r="H33" s="92" t="s">
        <v>304</v>
      </c>
      <c r="I33" s="92" t="s">
        <v>305</v>
      </c>
      <c r="J33" s="92" t="s">
        <v>306</v>
      </c>
      <c r="K33" s="92" t="s">
        <v>307</v>
      </c>
      <c r="L33" s="92" t="s">
        <v>306</v>
      </c>
      <c r="M33" s="92" t="s">
        <v>308</v>
      </c>
    </row>
    <row r="38" spans="2:13" ht="15" x14ac:dyDescent="0.25">
      <c r="B38" s="95" t="s">
        <v>309</v>
      </c>
    </row>
    <row r="40" spans="2:13" x14ac:dyDescent="0.2">
      <c r="B40" s="92" t="s">
        <v>310</v>
      </c>
    </row>
    <row r="41" spans="2:13" x14ac:dyDescent="0.2">
      <c r="B41" s="92" t="s">
        <v>237</v>
      </c>
    </row>
    <row r="43" spans="2:13" x14ac:dyDescent="0.2">
      <c r="B43" s="338" t="s">
        <v>670</v>
      </c>
      <c r="C43" s="336"/>
      <c r="D43" s="338" t="s">
        <v>671</v>
      </c>
      <c r="E43" s="336"/>
      <c r="F43" s="99" t="s">
        <v>672</v>
      </c>
      <c r="G43" s="98"/>
      <c r="H43" s="99" t="s">
        <v>673</v>
      </c>
      <c r="I43" s="98"/>
    </row>
    <row r="44" spans="2:13" ht="15" x14ac:dyDescent="0.25">
      <c r="B44" s="98" t="s">
        <v>674</v>
      </c>
      <c r="D44" s="98" t="s">
        <v>675</v>
      </c>
      <c r="F44" s="98" t="s">
        <v>663</v>
      </c>
      <c r="G44" s="98"/>
      <c r="H44" s="98" t="s">
        <v>676</v>
      </c>
      <c r="I44" s="98"/>
    </row>
    <row r="45" spans="2:13" x14ac:dyDescent="0.2">
      <c r="B45" s="98" t="s">
        <v>668</v>
      </c>
      <c r="C45" s="98" t="s">
        <v>669</v>
      </c>
      <c r="D45" s="98" t="s">
        <v>668</v>
      </c>
      <c r="E45" s="98" t="s">
        <v>669</v>
      </c>
      <c r="F45" s="98" t="s">
        <v>668</v>
      </c>
      <c r="G45" s="98" t="s">
        <v>669</v>
      </c>
      <c r="H45" s="98" t="s">
        <v>668</v>
      </c>
      <c r="I45" s="98" t="s">
        <v>677</v>
      </c>
    </row>
    <row r="46" spans="2:13" ht="15" x14ac:dyDescent="0.25">
      <c r="B46" s="92" t="s">
        <v>238</v>
      </c>
      <c r="C46" s="92" t="s">
        <v>239</v>
      </c>
      <c r="D46" s="92" t="s">
        <v>238</v>
      </c>
      <c r="E46" s="92" t="s">
        <v>239</v>
      </c>
      <c r="F46" s="92" t="s">
        <v>238</v>
      </c>
      <c r="G46" s="92" t="s">
        <v>240</v>
      </c>
      <c r="H46" s="92" t="s">
        <v>238</v>
      </c>
      <c r="I46" s="92" t="s">
        <v>240</v>
      </c>
    </row>
    <row r="47" spans="2:13" ht="15" x14ac:dyDescent="0.25">
      <c r="B47" s="92" t="s">
        <v>244</v>
      </c>
      <c r="C47" s="92" t="s">
        <v>240</v>
      </c>
      <c r="D47" s="92" t="s">
        <v>244</v>
      </c>
      <c r="E47" s="92" t="s">
        <v>240</v>
      </c>
      <c r="F47" s="92" t="s">
        <v>244</v>
      </c>
      <c r="G47" s="92" t="s">
        <v>245</v>
      </c>
      <c r="H47" s="92" t="s">
        <v>244</v>
      </c>
      <c r="I47" s="92" t="s">
        <v>245</v>
      </c>
    </row>
    <row r="48" spans="2:13" ht="15" x14ac:dyDescent="0.25">
      <c r="B48" s="92" t="s">
        <v>249</v>
      </c>
      <c r="C48" s="92" t="s">
        <v>241</v>
      </c>
      <c r="D48" s="92" t="s">
        <v>249</v>
      </c>
      <c r="E48" s="92" t="s">
        <v>241</v>
      </c>
      <c r="F48" s="92" t="s">
        <v>249</v>
      </c>
      <c r="G48" s="92" t="s">
        <v>246</v>
      </c>
      <c r="H48" s="92" t="s">
        <v>249</v>
      </c>
      <c r="I48" s="92" t="s">
        <v>246</v>
      </c>
    </row>
    <row r="49" spans="2:9" ht="15" x14ac:dyDescent="0.25">
      <c r="B49" s="92" t="s">
        <v>253</v>
      </c>
      <c r="C49" s="92" t="s">
        <v>245</v>
      </c>
      <c r="D49" s="92" t="s">
        <v>253</v>
      </c>
      <c r="E49" s="92" t="s">
        <v>245</v>
      </c>
      <c r="F49" s="92" t="s">
        <v>253</v>
      </c>
      <c r="G49" s="92" t="s">
        <v>254</v>
      </c>
      <c r="H49" s="92" t="s">
        <v>253</v>
      </c>
      <c r="I49" s="92" t="s">
        <v>254</v>
      </c>
    </row>
    <row r="50" spans="2:9" ht="15" x14ac:dyDescent="0.25">
      <c r="B50" s="92" t="s">
        <v>258</v>
      </c>
      <c r="C50" s="92" t="s">
        <v>259</v>
      </c>
      <c r="D50" s="92" t="s">
        <v>258</v>
      </c>
      <c r="E50" s="92" t="s">
        <v>259</v>
      </c>
      <c r="F50" s="92" t="s">
        <v>258</v>
      </c>
      <c r="G50" s="92" t="s">
        <v>250</v>
      </c>
      <c r="H50" s="92" t="s">
        <v>258</v>
      </c>
      <c r="I50" s="92" t="s">
        <v>250</v>
      </c>
    </row>
    <row r="51" spans="2:9" ht="15" x14ac:dyDescent="0.25">
      <c r="B51" s="92" t="s">
        <v>263</v>
      </c>
      <c r="C51" s="92" t="s">
        <v>246</v>
      </c>
      <c r="D51" s="92" t="s">
        <v>263</v>
      </c>
      <c r="E51" s="92" t="s">
        <v>246</v>
      </c>
      <c r="F51" s="92" t="s">
        <v>263</v>
      </c>
      <c r="G51" s="92" t="s">
        <v>264</v>
      </c>
      <c r="H51" s="92" t="s">
        <v>263</v>
      </c>
      <c r="I51" s="92" t="s">
        <v>264</v>
      </c>
    </row>
    <row r="52" spans="2:9" ht="15" x14ac:dyDescent="0.25">
      <c r="B52" s="92" t="s">
        <v>266</v>
      </c>
      <c r="C52" s="92" t="s">
        <v>254</v>
      </c>
      <c r="D52" s="92" t="s">
        <v>266</v>
      </c>
      <c r="E52" s="92" t="s">
        <v>254</v>
      </c>
      <c r="F52" s="92" t="s">
        <v>266</v>
      </c>
      <c r="G52" s="92" t="s">
        <v>255</v>
      </c>
      <c r="H52" s="92" t="s">
        <v>266</v>
      </c>
      <c r="I52" s="92" t="s">
        <v>255</v>
      </c>
    </row>
    <row r="53" spans="2:9" ht="15" x14ac:dyDescent="0.25">
      <c r="B53" s="92" t="s">
        <v>270</v>
      </c>
      <c r="C53" s="92" t="s">
        <v>250</v>
      </c>
      <c r="D53" s="92" t="s">
        <v>270</v>
      </c>
      <c r="E53" s="92" t="s">
        <v>250</v>
      </c>
      <c r="F53" s="92" t="s">
        <v>270</v>
      </c>
      <c r="G53" s="92" t="s">
        <v>271</v>
      </c>
      <c r="H53" s="92" t="s">
        <v>270</v>
      </c>
      <c r="I53" s="92" t="s">
        <v>271</v>
      </c>
    </row>
    <row r="54" spans="2:9" ht="15" x14ac:dyDescent="0.25">
      <c r="B54" s="92" t="s">
        <v>274</v>
      </c>
      <c r="C54" s="92" t="s">
        <v>264</v>
      </c>
      <c r="D54" s="92" t="s">
        <v>274</v>
      </c>
      <c r="E54" s="92" t="s">
        <v>264</v>
      </c>
      <c r="F54" s="92" t="s">
        <v>274</v>
      </c>
      <c r="G54" s="92" t="s">
        <v>260</v>
      </c>
      <c r="H54" s="92" t="s">
        <v>274</v>
      </c>
      <c r="I54" s="92" t="s">
        <v>260</v>
      </c>
    </row>
    <row r="55" spans="2:9" ht="15" x14ac:dyDescent="0.25">
      <c r="B55" s="92" t="s">
        <v>278</v>
      </c>
      <c r="C55" s="92" t="s">
        <v>255</v>
      </c>
      <c r="D55" s="92" t="s">
        <v>278</v>
      </c>
      <c r="E55" s="92" t="s">
        <v>255</v>
      </c>
      <c r="F55" s="92" t="s">
        <v>278</v>
      </c>
      <c r="G55" s="92" t="s">
        <v>262</v>
      </c>
      <c r="H55" s="92" t="s">
        <v>278</v>
      </c>
      <c r="I55" s="92" t="s">
        <v>262</v>
      </c>
    </row>
    <row r="56" spans="2:9" ht="15" x14ac:dyDescent="0.25">
      <c r="B56" s="92" t="s">
        <v>281</v>
      </c>
      <c r="C56" s="92" t="s">
        <v>271</v>
      </c>
      <c r="D56" s="92" t="s">
        <v>281</v>
      </c>
      <c r="E56" s="92" t="s">
        <v>271</v>
      </c>
      <c r="F56" s="92" t="s">
        <v>281</v>
      </c>
      <c r="G56" s="92" t="s">
        <v>267</v>
      </c>
      <c r="H56" s="92" t="s">
        <v>281</v>
      </c>
      <c r="I56" s="92" t="s">
        <v>267</v>
      </c>
    </row>
    <row r="57" spans="2:9" ht="15" x14ac:dyDescent="0.25">
      <c r="B57" s="92" t="s">
        <v>290</v>
      </c>
      <c r="C57" s="92" t="s">
        <v>290</v>
      </c>
      <c r="D57" s="92" t="s">
        <v>284</v>
      </c>
      <c r="E57" s="92" t="s">
        <v>260</v>
      </c>
      <c r="F57" s="92" t="s">
        <v>284</v>
      </c>
      <c r="G57" s="92" t="s">
        <v>272</v>
      </c>
      <c r="H57" s="92" t="s">
        <v>284</v>
      </c>
      <c r="I57" s="92" t="s">
        <v>272</v>
      </c>
    </row>
    <row r="58" spans="2:9" ht="15" x14ac:dyDescent="0.25">
      <c r="B58" s="92" t="s">
        <v>290</v>
      </c>
      <c r="C58" s="92" t="s">
        <v>290</v>
      </c>
      <c r="D58" s="92" t="s">
        <v>287</v>
      </c>
      <c r="E58" s="92" t="s">
        <v>262</v>
      </c>
      <c r="F58" s="92" t="s">
        <v>287</v>
      </c>
      <c r="G58" s="92" t="s">
        <v>275</v>
      </c>
      <c r="H58" s="92" t="s">
        <v>287</v>
      </c>
      <c r="I58" s="92" t="s">
        <v>275</v>
      </c>
    </row>
    <row r="59" spans="2:9" ht="15" x14ac:dyDescent="0.25">
      <c r="B59" s="92" t="s">
        <v>290</v>
      </c>
      <c r="C59" s="92" t="s">
        <v>290</v>
      </c>
      <c r="D59" s="92" t="s">
        <v>290</v>
      </c>
      <c r="E59" s="92" t="s">
        <v>290</v>
      </c>
      <c r="F59" s="92" t="s">
        <v>291</v>
      </c>
      <c r="G59" s="92" t="s">
        <v>279</v>
      </c>
      <c r="H59" s="92" t="s">
        <v>291</v>
      </c>
      <c r="I59" s="92" t="s">
        <v>279</v>
      </c>
    </row>
    <row r="60" spans="2:9" ht="15" x14ac:dyDescent="0.25">
      <c r="B60" s="92" t="s">
        <v>290</v>
      </c>
      <c r="C60" s="92" t="s">
        <v>290</v>
      </c>
      <c r="D60" s="92" t="s">
        <v>290</v>
      </c>
      <c r="E60" s="92" t="s">
        <v>290</v>
      </c>
      <c r="F60" s="92" t="s">
        <v>294</v>
      </c>
      <c r="G60" s="92" t="s">
        <v>282</v>
      </c>
      <c r="H60" s="92" t="s">
        <v>294</v>
      </c>
      <c r="I60" s="92" t="s">
        <v>282</v>
      </c>
    </row>
    <row r="61" spans="2:9" ht="15" x14ac:dyDescent="0.25">
      <c r="B61" s="92" t="s">
        <v>290</v>
      </c>
      <c r="C61" s="92" t="s">
        <v>290</v>
      </c>
      <c r="D61" s="92" t="s">
        <v>290</v>
      </c>
      <c r="E61" s="92" t="s">
        <v>290</v>
      </c>
      <c r="F61" s="92" t="s">
        <v>290</v>
      </c>
      <c r="G61" s="92" t="s">
        <v>290</v>
      </c>
      <c r="H61" s="92" t="s">
        <v>311</v>
      </c>
      <c r="I61" s="92" t="s">
        <v>285</v>
      </c>
    </row>
    <row r="62" spans="2:9" ht="15" x14ac:dyDescent="0.25">
      <c r="B62" s="92" t="s">
        <v>290</v>
      </c>
      <c r="C62" s="92" t="s">
        <v>290</v>
      </c>
      <c r="D62" s="92" t="s">
        <v>290</v>
      </c>
      <c r="E62" s="92" t="s">
        <v>290</v>
      </c>
      <c r="F62" s="92" t="s">
        <v>290</v>
      </c>
      <c r="G62" s="92" t="s">
        <v>290</v>
      </c>
      <c r="H62" s="92" t="s">
        <v>300</v>
      </c>
      <c r="I62" s="92" t="s">
        <v>288</v>
      </c>
    </row>
    <row r="65" spans="2:9" ht="15" x14ac:dyDescent="0.25">
      <c r="B65" s="95" t="s">
        <v>312</v>
      </c>
    </row>
    <row r="67" spans="2:9" x14ac:dyDescent="0.2">
      <c r="B67" s="92" t="s">
        <v>310</v>
      </c>
    </row>
    <row r="68" spans="2:9" x14ac:dyDescent="0.2">
      <c r="B68" s="92" t="s">
        <v>237</v>
      </c>
    </row>
    <row r="70" spans="2:9" x14ac:dyDescent="0.2">
      <c r="B70" s="98" t="s">
        <v>678</v>
      </c>
      <c r="D70" s="98" t="s">
        <v>679</v>
      </c>
      <c r="F70" s="98" t="s">
        <v>680</v>
      </c>
      <c r="G70" s="98"/>
      <c r="H70" s="98" t="s">
        <v>681</v>
      </c>
      <c r="I70" s="98"/>
    </row>
    <row r="71" spans="2:9" ht="15" x14ac:dyDescent="0.25">
      <c r="B71" s="98" t="s">
        <v>682</v>
      </c>
      <c r="D71" s="98" t="s">
        <v>674</v>
      </c>
      <c r="F71" s="98" t="s">
        <v>664</v>
      </c>
      <c r="G71" s="98"/>
      <c r="H71" s="98" t="s">
        <v>665</v>
      </c>
      <c r="I71" s="98"/>
    </row>
    <row r="72" spans="2:9" x14ac:dyDescent="0.2">
      <c r="B72" s="98" t="s">
        <v>668</v>
      </c>
      <c r="C72" s="98" t="s">
        <v>669</v>
      </c>
      <c r="D72" s="98" t="s">
        <v>668</v>
      </c>
      <c r="E72" s="98" t="s">
        <v>669</v>
      </c>
      <c r="F72" s="98" t="s">
        <v>668</v>
      </c>
      <c r="G72" s="98" t="s">
        <v>669</v>
      </c>
      <c r="H72" s="98" t="s">
        <v>668</v>
      </c>
      <c r="I72" s="98" t="s">
        <v>677</v>
      </c>
    </row>
    <row r="73" spans="2:9" ht="15" x14ac:dyDescent="0.25">
      <c r="B73" s="92" t="s">
        <v>238</v>
      </c>
      <c r="C73" s="92" t="s">
        <v>240</v>
      </c>
      <c r="D73" s="92" t="s">
        <v>238</v>
      </c>
      <c r="E73" s="92" t="s">
        <v>240</v>
      </c>
      <c r="F73" s="92" t="s">
        <v>238</v>
      </c>
      <c r="G73" s="92" t="s">
        <v>241</v>
      </c>
      <c r="H73" s="92" t="s">
        <v>238</v>
      </c>
      <c r="I73" s="92" t="s">
        <v>241</v>
      </c>
    </row>
    <row r="74" spans="2:9" ht="15" x14ac:dyDescent="0.25">
      <c r="B74" s="92" t="s">
        <v>244</v>
      </c>
      <c r="C74" s="92" t="s">
        <v>245</v>
      </c>
      <c r="D74" s="92" t="s">
        <v>244</v>
      </c>
      <c r="E74" s="92" t="s">
        <v>245</v>
      </c>
      <c r="F74" s="92" t="s">
        <v>244</v>
      </c>
      <c r="G74" s="92" t="s">
        <v>246</v>
      </c>
      <c r="H74" s="92" t="s">
        <v>244</v>
      </c>
      <c r="I74" s="92" t="s">
        <v>246</v>
      </c>
    </row>
    <row r="75" spans="2:9" ht="15" x14ac:dyDescent="0.25">
      <c r="B75" s="92" t="s">
        <v>249</v>
      </c>
      <c r="C75" s="92" t="s">
        <v>246</v>
      </c>
      <c r="D75" s="92" t="s">
        <v>249</v>
      </c>
      <c r="E75" s="92" t="s">
        <v>246</v>
      </c>
      <c r="F75" s="92" t="s">
        <v>249</v>
      </c>
      <c r="G75" s="92" t="s">
        <v>250</v>
      </c>
      <c r="H75" s="92" t="s">
        <v>249</v>
      </c>
      <c r="I75" s="92" t="s">
        <v>250</v>
      </c>
    </row>
    <row r="76" spans="2:9" ht="15" x14ac:dyDescent="0.25">
      <c r="B76" s="92" t="s">
        <v>253</v>
      </c>
      <c r="C76" s="92" t="s">
        <v>254</v>
      </c>
      <c r="D76" s="92" t="s">
        <v>253</v>
      </c>
      <c r="E76" s="92" t="s">
        <v>254</v>
      </c>
      <c r="F76" s="92" t="s">
        <v>253</v>
      </c>
      <c r="G76" s="92" t="s">
        <v>255</v>
      </c>
      <c r="H76" s="92" t="s">
        <v>253</v>
      </c>
      <c r="I76" s="92" t="s">
        <v>255</v>
      </c>
    </row>
    <row r="77" spans="2:9" ht="15" x14ac:dyDescent="0.25">
      <c r="B77" s="92" t="s">
        <v>258</v>
      </c>
      <c r="C77" s="92" t="s">
        <v>250</v>
      </c>
      <c r="D77" s="92" t="s">
        <v>258</v>
      </c>
      <c r="E77" s="92" t="s">
        <v>250</v>
      </c>
      <c r="F77" s="92" t="s">
        <v>258</v>
      </c>
      <c r="G77" s="92" t="s">
        <v>260</v>
      </c>
      <c r="H77" s="92" t="s">
        <v>258</v>
      </c>
      <c r="I77" s="92" t="s">
        <v>260</v>
      </c>
    </row>
    <row r="78" spans="2:9" ht="15" x14ac:dyDescent="0.25">
      <c r="B78" s="92" t="s">
        <v>263</v>
      </c>
      <c r="C78" s="92" t="s">
        <v>264</v>
      </c>
      <c r="D78" s="92" t="s">
        <v>263</v>
      </c>
      <c r="E78" s="92" t="s">
        <v>264</v>
      </c>
      <c r="F78" s="92" t="s">
        <v>263</v>
      </c>
      <c r="G78" s="92" t="s">
        <v>262</v>
      </c>
      <c r="H78" s="92" t="s">
        <v>263</v>
      </c>
      <c r="I78" s="92" t="s">
        <v>262</v>
      </c>
    </row>
    <row r="79" spans="2:9" ht="15" x14ac:dyDescent="0.25">
      <c r="B79" s="92" t="s">
        <v>266</v>
      </c>
      <c r="C79" s="92" t="s">
        <v>255</v>
      </c>
      <c r="D79" s="92" t="s">
        <v>266</v>
      </c>
      <c r="E79" s="92" t="s">
        <v>255</v>
      </c>
      <c r="F79" s="92" t="s">
        <v>266</v>
      </c>
      <c r="G79" s="92" t="s">
        <v>267</v>
      </c>
      <c r="H79" s="92" t="s">
        <v>266</v>
      </c>
      <c r="I79" s="92" t="s">
        <v>267</v>
      </c>
    </row>
    <row r="80" spans="2:9" ht="15" x14ac:dyDescent="0.25">
      <c r="B80" s="92" t="s">
        <v>270</v>
      </c>
      <c r="C80" s="92" t="s">
        <v>271</v>
      </c>
      <c r="D80" s="92" t="s">
        <v>270</v>
      </c>
      <c r="E80" s="92" t="s">
        <v>271</v>
      </c>
      <c r="F80" s="92" t="s">
        <v>270</v>
      </c>
      <c r="G80" s="92" t="s">
        <v>272</v>
      </c>
      <c r="H80" s="92" t="s">
        <v>270</v>
      </c>
      <c r="I80" s="92" t="s">
        <v>272</v>
      </c>
    </row>
    <row r="81" spans="2:9" ht="15" x14ac:dyDescent="0.25">
      <c r="B81" s="92" t="s">
        <v>274</v>
      </c>
      <c r="C81" s="92" t="s">
        <v>260</v>
      </c>
      <c r="D81" s="92" t="s">
        <v>274</v>
      </c>
      <c r="E81" s="92" t="s">
        <v>260</v>
      </c>
      <c r="F81" s="92" t="s">
        <v>274</v>
      </c>
      <c r="G81" s="92" t="s">
        <v>275</v>
      </c>
      <c r="H81" s="92" t="s">
        <v>274</v>
      </c>
      <c r="I81" s="92" t="s">
        <v>275</v>
      </c>
    </row>
    <row r="82" spans="2:9" ht="15" x14ac:dyDescent="0.25">
      <c r="B82" s="92" t="s">
        <v>278</v>
      </c>
      <c r="C82" s="92" t="s">
        <v>262</v>
      </c>
      <c r="D82" s="92" t="s">
        <v>278</v>
      </c>
      <c r="E82" s="92" t="s">
        <v>262</v>
      </c>
      <c r="F82" s="92" t="s">
        <v>278</v>
      </c>
      <c r="G82" s="92" t="s">
        <v>279</v>
      </c>
      <c r="H82" s="92" t="s">
        <v>278</v>
      </c>
      <c r="I82" s="92" t="s">
        <v>279</v>
      </c>
    </row>
    <row r="83" spans="2:9" ht="15" x14ac:dyDescent="0.25">
      <c r="B83" s="92" t="s">
        <v>290</v>
      </c>
      <c r="C83" s="92" t="s">
        <v>290</v>
      </c>
      <c r="D83" s="92" t="s">
        <v>281</v>
      </c>
      <c r="E83" s="92" t="s">
        <v>267</v>
      </c>
      <c r="F83" s="92" t="s">
        <v>281</v>
      </c>
      <c r="G83" s="92" t="s">
        <v>282</v>
      </c>
      <c r="H83" s="92" t="s">
        <v>281</v>
      </c>
      <c r="I83" s="92" t="s">
        <v>282</v>
      </c>
    </row>
    <row r="84" spans="2:9" ht="15" x14ac:dyDescent="0.25">
      <c r="B84" s="92" t="s">
        <v>290</v>
      </c>
      <c r="C84" s="92" t="s">
        <v>290</v>
      </c>
      <c r="D84" s="92" t="s">
        <v>290</v>
      </c>
      <c r="E84" s="92" t="s">
        <v>290</v>
      </c>
      <c r="F84" s="92" t="s">
        <v>284</v>
      </c>
      <c r="G84" s="92" t="s">
        <v>285</v>
      </c>
      <c r="H84" s="92" t="s">
        <v>284</v>
      </c>
      <c r="I84" s="92" t="s">
        <v>285</v>
      </c>
    </row>
    <row r="85" spans="2:9" ht="15" x14ac:dyDescent="0.25">
      <c r="B85" s="92" t="s">
        <v>290</v>
      </c>
      <c r="C85" s="92" t="s">
        <v>290</v>
      </c>
      <c r="D85" s="92" t="s">
        <v>290</v>
      </c>
      <c r="E85" s="92" t="s">
        <v>290</v>
      </c>
      <c r="F85" s="92" t="s">
        <v>287</v>
      </c>
      <c r="G85" s="92" t="s">
        <v>288</v>
      </c>
      <c r="H85" s="92" t="s">
        <v>287</v>
      </c>
      <c r="I85" s="92" t="s">
        <v>288</v>
      </c>
    </row>
    <row r="86" spans="2:9" ht="15" x14ac:dyDescent="0.25">
      <c r="B86" s="92" t="s">
        <v>290</v>
      </c>
      <c r="C86" s="92" t="s">
        <v>290</v>
      </c>
      <c r="D86" s="92" t="s">
        <v>290</v>
      </c>
      <c r="E86" s="92" t="s">
        <v>290</v>
      </c>
      <c r="F86" s="92" t="s">
        <v>290</v>
      </c>
      <c r="G86" s="92" t="s">
        <v>290</v>
      </c>
      <c r="H86" s="92" t="s">
        <v>313</v>
      </c>
      <c r="I86" s="92" t="s">
        <v>292</v>
      </c>
    </row>
    <row r="87" spans="2:9" ht="15" x14ac:dyDescent="0.25">
      <c r="B87" s="92" t="s">
        <v>290</v>
      </c>
      <c r="C87" s="92" t="s">
        <v>290</v>
      </c>
      <c r="D87" s="92" t="s">
        <v>290</v>
      </c>
      <c r="E87" s="92" t="s">
        <v>290</v>
      </c>
      <c r="F87" s="92" t="s">
        <v>290</v>
      </c>
      <c r="G87" s="92" t="s">
        <v>290</v>
      </c>
      <c r="H87" s="92" t="s">
        <v>314</v>
      </c>
      <c r="I87" s="92" t="s">
        <v>295</v>
      </c>
    </row>
    <row r="90" spans="2:9" ht="15" x14ac:dyDescent="0.25">
      <c r="B90" s="95" t="s">
        <v>315</v>
      </c>
    </row>
    <row r="92" spans="2:9" x14ac:dyDescent="0.2">
      <c r="B92" s="92" t="s">
        <v>236</v>
      </c>
    </row>
    <row r="93" spans="2:9" x14ac:dyDescent="0.2">
      <c r="B93" s="92" t="s">
        <v>237</v>
      </c>
    </row>
    <row r="96" spans="2:9" ht="39.950000000000003" customHeight="1" x14ac:dyDescent="0.2">
      <c r="B96" s="335" t="s">
        <v>683</v>
      </c>
      <c r="C96" s="337"/>
      <c r="D96" s="335" t="s">
        <v>684</v>
      </c>
      <c r="E96" s="337"/>
      <c r="F96" s="100" t="s">
        <v>685</v>
      </c>
      <c r="G96" s="100"/>
      <c r="H96" s="100" t="s">
        <v>685</v>
      </c>
      <c r="I96" s="100"/>
    </row>
    <row r="97" spans="2:9" ht="15" x14ac:dyDescent="0.25">
      <c r="B97" s="98" t="s">
        <v>686</v>
      </c>
      <c r="D97" s="98" t="s">
        <v>687</v>
      </c>
      <c r="F97" s="98" t="s">
        <v>688</v>
      </c>
      <c r="G97" s="98"/>
      <c r="H97" s="98" t="s">
        <v>689</v>
      </c>
      <c r="I97" s="98"/>
    </row>
    <row r="98" spans="2:9" x14ac:dyDescent="0.2">
      <c r="B98" s="98" t="s">
        <v>668</v>
      </c>
      <c r="C98" s="98" t="s">
        <v>669</v>
      </c>
      <c r="D98" s="98" t="s">
        <v>668</v>
      </c>
      <c r="E98" s="98" t="s">
        <v>669</v>
      </c>
      <c r="F98" s="98" t="s">
        <v>668</v>
      </c>
      <c r="G98" s="98" t="s">
        <v>669</v>
      </c>
      <c r="H98" s="98" t="s">
        <v>668</v>
      </c>
      <c r="I98" s="98" t="s">
        <v>677</v>
      </c>
    </row>
    <row r="99" spans="2:9" ht="15" x14ac:dyDescent="0.25">
      <c r="B99" s="92" t="s">
        <v>238</v>
      </c>
      <c r="C99" s="92" t="s">
        <v>316</v>
      </c>
      <c r="D99" s="92" t="s">
        <v>238</v>
      </c>
      <c r="E99" s="92" t="s">
        <v>317</v>
      </c>
      <c r="F99" s="92" t="s">
        <v>238</v>
      </c>
      <c r="G99" s="92" t="s">
        <v>318</v>
      </c>
      <c r="H99" s="92" t="s">
        <v>238</v>
      </c>
      <c r="I99" s="92" t="s">
        <v>319</v>
      </c>
    </row>
    <row r="100" spans="2:9" ht="15" x14ac:dyDescent="0.25">
      <c r="B100" s="92" t="s">
        <v>244</v>
      </c>
      <c r="C100" s="92" t="s">
        <v>320</v>
      </c>
      <c r="D100" s="92" t="s">
        <v>244</v>
      </c>
      <c r="E100" s="92" t="s">
        <v>318</v>
      </c>
      <c r="F100" s="92" t="s">
        <v>244</v>
      </c>
      <c r="G100" s="92" t="s">
        <v>319</v>
      </c>
      <c r="H100" s="92" t="s">
        <v>244</v>
      </c>
      <c r="I100" s="92" t="s">
        <v>321</v>
      </c>
    </row>
    <row r="101" spans="2:9" ht="15" x14ac:dyDescent="0.25">
      <c r="B101" s="92" t="s">
        <v>249</v>
      </c>
      <c r="C101" s="92" t="s">
        <v>322</v>
      </c>
      <c r="D101" s="92" t="s">
        <v>249</v>
      </c>
      <c r="E101" s="92" t="s">
        <v>319</v>
      </c>
      <c r="F101" s="92" t="s">
        <v>249</v>
      </c>
      <c r="G101" s="92" t="s">
        <v>321</v>
      </c>
      <c r="H101" s="92" t="s">
        <v>249</v>
      </c>
      <c r="I101" s="92" t="s">
        <v>323</v>
      </c>
    </row>
    <row r="102" spans="2:9" ht="15" x14ac:dyDescent="0.25">
      <c r="B102" s="92" t="s">
        <v>253</v>
      </c>
      <c r="C102" s="92" t="s">
        <v>324</v>
      </c>
      <c r="D102" s="92" t="s">
        <v>253</v>
      </c>
      <c r="E102" s="92" t="s">
        <v>325</v>
      </c>
      <c r="F102" s="92" t="s">
        <v>253</v>
      </c>
      <c r="G102" s="92" t="s">
        <v>323</v>
      </c>
      <c r="H102" s="92" t="s">
        <v>253</v>
      </c>
      <c r="I102" s="92" t="s">
        <v>326</v>
      </c>
    </row>
    <row r="103" spans="2:9" ht="15" x14ac:dyDescent="0.25">
      <c r="B103" s="92" t="s">
        <v>258</v>
      </c>
      <c r="C103" s="92" t="s">
        <v>327</v>
      </c>
      <c r="D103" s="92" t="s">
        <v>258</v>
      </c>
      <c r="E103" s="92" t="s">
        <v>321</v>
      </c>
      <c r="F103" s="92" t="s">
        <v>258</v>
      </c>
      <c r="G103" s="92" t="s">
        <v>328</v>
      </c>
      <c r="H103" s="92" t="s">
        <v>258</v>
      </c>
      <c r="I103" s="92" t="s">
        <v>329</v>
      </c>
    </row>
    <row r="104" spans="2:9" ht="15" x14ac:dyDescent="0.25">
      <c r="B104" s="92" t="s">
        <v>263</v>
      </c>
      <c r="C104" s="92" t="s">
        <v>330</v>
      </c>
      <c r="D104" s="92" t="s">
        <v>263</v>
      </c>
      <c r="E104" s="92" t="s">
        <v>331</v>
      </c>
      <c r="F104" s="92" t="s">
        <v>263</v>
      </c>
      <c r="G104" s="92" t="s">
        <v>326</v>
      </c>
      <c r="H104" s="92" t="s">
        <v>263</v>
      </c>
      <c r="I104" s="92" t="s">
        <v>332</v>
      </c>
    </row>
    <row r="105" spans="2:9" ht="15" x14ac:dyDescent="0.25">
      <c r="B105" s="92" t="s">
        <v>266</v>
      </c>
      <c r="C105" s="92" t="s">
        <v>333</v>
      </c>
      <c r="D105" s="92" t="s">
        <v>266</v>
      </c>
      <c r="E105" s="92" t="s">
        <v>323</v>
      </c>
      <c r="F105" s="92" t="s">
        <v>266</v>
      </c>
      <c r="G105" s="92" t="s">
        <v>334</v>
      </c>
      <c r="H105" s="92" t="s">
        <v>266</v>
      </c>
      <c r="I105" s="92" t="s">
        <v>335</v>
      </c>
    </row>
    <row r="106" spans="2:9" ht="15" x14ac:dyDescent="0.25">
      <c r="B106" s="92" t="s">
        <v>270</v>
      </c>
      <c r="C106" s="92" t="s">
        <v>336</v>
      </c>
      <c r="D106" s="92" t="s">
        <v>270</v>
      </c>
      <c r="E106" s="92" t="s">
        <v>328</v>
      </c>
      <c r="F106" s="92" t="s">
        <v>270</v>
      </c>
      <c r="G106" s="92" t="s">
        <v>329</v>
      </c>
      <c r="H106" s="92" t="s">
        <v>270</v>
      </c>
      <c r="I106" s="92" t="s">
        <v>337</v>
      </c>
    </row>
    <row r="107" spans="2:9" ht="15" x14ac:dyDescent="0.25">
      <c r="B107" s="92" t="s">
        <v>274</v>
      </c>
      <c r="C107" s="92" t="s">
        <v>338</v>
      </c>
      <c r="D107" s="92" t="s">
        <v>274</v>
      </c>
      <c r="E107" s="92" t="s">
        <v>326</v>
      </c>
      <c r="F107" s="92" t="s">
        <v>274</v>
      </c>
      <c r="G107" s="92" t="s">
        <v>339</v>
      </c>
      <c r="H107" s="92" t="s">
        <v>274</v>
      </c>
      <c r="I107" s="92" t="s">
        <v>340</v>
      </c>
    </row>
    <row r="108" spans="2:9" ht="15" x14ac:dyDescent="0.25">
      <c r="B108" s="92" t="s">
        <v>278</v>
      </c>
      <c r="C108" s="92" t="s">
        <v>341</v>
      </c>
      <c r="D108" s="92" t="s">
        <v>278</v>
      </c>
      <c r="E108" s="92" t="s">
        <v>334</v>
      </c>
      <c r="F108" s="92" t="s">
        <v>278</v>
      </c>
      <c r="G108" s="92" t="s">
        <v>332</v>
      </c>
      <c r="H108" s="92" t="s">
        <v>278</v>
      </c>
      <c r="I108" s="92" t="s">
        <v>342</v>
      </c>
    </row>
    <row r="109" spans="2:9" ht="15" x14ac:dyDescent="0.25">
      <c r="B109" s="92" t="s">
        <v>281</v>
      </c>
      <c r="C109" s="92" t="s">
        <v>343</v>
      </c>
      <c r="D109" s="92" t="s">
        <v>281</v>
      </c>
      <c r="E109" s="92" t="s">
        <v>329</v>
      </c>
      <c r="F109" s="92" t="s">
        <v>281</v>
      </c>
      <c r="G109" s="92" t="s">
        <v>335</v>
      </c>
      <c r="H109" s="92" t="s">
        <v>281</v>
      </c>
      <c r="I109" s="92" t="s">
        <v>344</v>
      </c>
    </row>
    <row r="110" spans="2:9" ht="15" x14ac:dyDescent="0.25">
      <c r="B110" s="92" t="s">
        <v>284</v>
      </c>
      <c r="C110" s="92" t="s">
        <v>345</v>
      </c>
      <c r="D110" s="92" t="s">
        <v>284</v>
      </c>
      <c r="E110" s="92" t="s">
        <v>339</v>
      </c>
      <c r="F110" s="92" t="s">
        <v>284</v>
      </c>
      <c r="G110" s="92" t="s">
        <v>337</v>
      </c>
      <c r="H110" s="92" t="s">
        <v>284</v>
      </c>
      <c r="I110" s="92" t="s">
        <v>346</v>
      </c>
    </row>
    <row r="111" spans="2:9" ht="15" x14ac:dyDescent="0.25">
      <c r="B111" s="92" t="s">
        <v>287</v>
      </c>
      <c r="C111" s="92" t="s">
        <v>332</v>
      </c>
      <c r="D111" s="92" t="s">
        <v>287</v>
      </c>
      <c r="E111" s="92" t="s">
        <v>332</v>
      </c>
      <c r="F111" s="92" t="s">
        <v>287</v>
      </c>
      <c r="G111" s="92" t="s">
        <v>340</v>
      </c>
      <c r="H111" s="92" t="s">
        <v>287</v>
      </c>
      <c r="I111" s="92" t="s">
        <v>347</v>
      </c>
    </row>
    <row r="112" spans="2:9" ht="15" x14ac:dyDescent="0.25">
      <c r="B112" s="92" t="s">
        <v>290</v>
      </c>
      <c r="C112" s="92" t="s">
        <v>290</v>
      </c>
      <c r="D112" s="92" t="s">
        <v>291</v>
      </c>
      <c r="E112" s="92" t="s">
        <v>335</v>
      </c>
      <c r="F112" s="92" t="s">
        <v>291</v>
      </c>
      <c r="G112" s="92" t="s">
        <v>342</v>
      </c>
      <c r="H112" s="92" t="s">
        <v>291</v>
      </c>
      <c r="I112" s="92" t="s">
        <v>348</v>
      </c>
    </row>
    <row r="113" spans="2:9" ht="15" x14ac:dyDescent="0.25">
      <c r="B113" s="92" t="s">
        <v>290</v>
      </c>
      <c r="C113" s="92" t="s">
        <v>290</v>
      </c>
      <c r="D113" s="92" t="s">
        <v>294</v>
      </c>
      <c r="E113" s="92" t="s">
        <v>337</v>
      </c>
      <c r="F113" s="92" t="s">
        <v>294</v>
      </c>
      <c r="G113" s="92" t="s">
        <v>344</v>
      </c>
      <c r="H113" s="92" t="s">
        <v>294</v>
      </c>
      <c r="I113" s="92" t="s">
        <v>349</v>
      </c>
    </row>
    <row r="114" spans="2:9" ht="15" x14ac:dyDescent="0.25">
      <c r="B114" s="92" t="s">
        <v>290</v>
      </c>
      <c r="C114" s="92" t="s">
        <v>290</v>
      </c>
      <c r="D114" s="92" t="s">
        <v>297</v>
      </c>
      <c r="E114" s="92" t="s">
        <v>340</v>
      </c>
      <c r="F114" s="92" t="s">
        <v>297</v>
      </c>
      <c r="G114" s="92" t="s">
        <v>346</v>
      </c>
      <c r="H114" s="92" t="s">
        <v>297</v>
      </c>
      <c r="I114" s="92" t="s">
        <v>350</v>
      </c>
    </row>
    <row r="115" spans="2:9" ht="15" x14ac:dyDescent="0.25">
      <c r="B115" s="92" t="s">
        <v>290</v>
      </c>
      <c r="C115" s="92" t="s">
        <v>290</v>
      </c>
      <c r="D115" s="92" t="s">
        <v>302</v>
      </c>
      <c r="E115" s="92" t="s">
        <v>342</v>
      </c>
      <c r="F115" s="92" t="s">
        <v>302</v>
      </c>
      <c r="G115" s="92" t="s">
        <v>347</v>
      </c>
      <c r="H115" s="92" t="s">
        <v>302</v>
      </c>
      <c r="I115" s="92" t="s">
        <v>351</v>
      </c>
    </row>
    <row r="116" spans="2:9" ht="15" x14ac:dyDescent="0.25">
      <c r="B116" s="92" t="s">
        <v>290</v>
      </c>
      <c r="C116" s="92" t="s">
        <v>290</v>
      </c>
      <c r="D116" s="92" t="s">
        <v>306</v>
      </c>
      <c r="E116" s="92" t="s">
        <v>352</v>
      </c>
      <c r="F116" s="92" t="s">
        <v>306</v>
      </c>
      <c r="G116" s="92" t="s">
        <v>348</v>
      </c>
      <c r="H116" s="92" t="s">
        <v>306</v>
      </c>
      <c r="I116" s="92" t="s">
        <v>353</v>
      </c>
    </row>
    <row r="117" spans="2:9" ht="15" x14ac:dyDescent="0.25">
      <c r="B117" s="92" t="s">
        <v>290</v>
      </c>
      <c r="C117" s="92" t="s">
        <v>290</v>
      </c>
      <c r="D117" s="92" t="s">
        <v>290</v>
      </c>
      <c r="E117" s="92" t="s">
        <v>290</v>
      </c>
      <c r="F117" s="92" t="s">
        <v>354</v>
      </c>
      <c r="G117" s="92" t="s">
        <v>349</v>
      </c>
      <c r="H117" s="92" t="s">
        <v>354</v>
      </c>
      <c r="I117" s="92" t="s">
        <v>355</v>
      </c>
    </row>
    <row r="118" spans="2:9" ht="15" x14ac:dyDescent="0.25">
      <c r="B118" s="92" t="s">
        <v>290</v>
      </c>
      <c r="C118" s="92" t="s">
        <v>290</v>
      </c>
      <c r="D118" s="92" t="s">
        <v>290</v>
      </c>
      <c r="E118" s="92" t="s">
        <v>290</v>
      </c>
      <c r="F118" s="92" t="s">
        <v>356</v>
      </c>
      <c r="G118" s="92" t="s">
        <v>357</v>
      </c>
      <c r="H118" s="92" t="s">
        <v>290</v>
      </c>
      <c r="I118" s="92" t="s">
        <v>290</v>
      </c>
    </row>
  </sheetData>
  <mergeCells count="16">
    <mergeCell ref="B96:C96"/>
    <mergeCell ref="D96:E96"/>
    <mergeCell ref="B14:C14"/>
    <mergeCell ref="D14:E14"/>
    <mergeCell ref="B43:C43"/>
    <mergeCell ref="D43:E43"/>
    <mergeCell ref="B13:C13"/>
    <mergeCell ref="D13:E13"/>
    <mergeCell ref="J14:K14"/>
    <mergeCell ref="L14:M14"/>
    <mergeCell ref="J13:K13"/>
    <mergeCell ref="L13:M13"/>
    <mergeCell ref="F13:G13"/>
    <mergeCell ref="H13:I13"/>
    <mergeCell ref="F14:G14"/>
    <mergeCell ref="H14:I14"/>
  </mergeCells>
  <phoneticPr fontId="37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AC75"/>
  <sheetViews>
    <sheetView topLeftCell="A13" workbookViewId="0">
      <selection activeCell="C16" sqref="C16"/>
    </sheetView>
  </sheetViews>
  <sheetFormatPr defaultColWidth="9.140625" defaultRowHeight="12.75" x14ac:dyDescent="0.2"/>
  <cols>
    <col min="1" max="1" width="9.140625" style="92"/>
    <col min="2" max="2" width="4.7109375" style="92" customWidth="1"/>
    <col min="3" max="3" width="12.7109375" style="92" customWidth="1"/>
    <col min="4" max="4" width="4.7109375" style="92" customWidth="1"/>
    <col min="5" max="5" width="12.7109375" style="92" customWidth="1"/>
    <col min="6" max="6" width="4.7109375" style="92" customWidth="1"/>
    <col min="7" max="7" width="12.7109375" style="92" customWidth="1"/>
    <col min="8" max="8" width="4.7109375" style="92" customWidth="1"/>
    <col min="9" max="9" width="12.7109375" style="92" customWidth="1"/>
    <col min="10" max="10" width="4.7109375" style="92" customWidth="1"/>
    <col min="11" max="11" width="12.7109375" style="92" customWidth="1"/>
    <col min="12" max="12" width="4.7109375" style="92" customWidth="1"/>
    <col min="13" max="13" width="12.7109375" style="92" customWidth="1"/>
    <col min="14" max="14" width="3.7109375" style="92" customWidth="1"/>
    <col min="15" max="15" width="12.7109375" style="92" customWidth="1"/>
    <col min="16" max="16" width="3.7109375" style="92" customWidth="1"/>
    <col min="17" max="17" width="12.7109375" style="92" customWidth="1"/>
    <col min="18" max="18" width="3.7109375" style="92" customWidth="1"/>
    <col min="19" max="19" width="12.7109375" style="92" customWidth="1"/>
    <col min="20" max="20" width="3.7109375" style="92" customWidth="1"/>
    <col min="21" max="21" width="12.7109375" style="92" customWidth="1"/>
    <col min="22" max="22" width="3.7109375" style="92" customWidth="1"/>
    <col min="23" max="23" width="12.7109375" style="92" customWidth="1"/>
    <col min="24" max="24" width="3.7109375" style="92" customWidth="1"/>
    <col min="25" max="25" width="12.7109375" style="92" customWidth="1"/>
    <col min="26" max="26" width="3.7109375" style="92" customWidth="1"/>
    <col min="27" max="27" width="12.7109375" style="92" customWidth="1"/>
    <col min="28" max="28" width="3.7109375" style="92" customWidth="1"/>
    <col min="29" max="29" width="12.7109375" style="92" customWidth="1"/>
    <col min="30" max="16384" width="9.140625" style="92"/>
  </cols>
  <sheetData>
    <row r="1" spans="1:11" ht="18" x14ac:dyDescent="0.25">
      <c r="A1" s="90" t="s">
        <v>230</v>
      </c>
      <c r="B1" s="91"/>
      <c r="C1" s="91"/>
    </row>
    <row r="2" spans="1:11" x14ac:dyDescent="0.2">
      <c r="A2" s="93" t="s">
        <v>231</v>
      </c>
      <c r="B2" s="94"/>
      <c r="C2" s="93" t="s">
        <v>20</v>
      </c>
    </row>
    <row r="3" spans="1:11" x14ac:dyDescent="0.2">
      <c r="A3" s="93" t="s">
        <v>21</v>
      </c>
      <c r="B3" s="94"/>
      <c r="C3" s="93" t="s">
        <v>22</v>
      </c>
    </row>
    <row r="4" spans="1:11" x14ac:dyDescent="0.2">
      <c r="A4" s="93" t="s">
        <v>23</v>
      </c>
      <c r="B4" s="94"/>
      <c r="C4" s="93" t="s">
        <v>232</v>
      </c>
    </row>
    <row r="5" spans="1:11" x14ac:dyDescent="0.2">
      <c r="A5" s="93" t="s">
        <v>25</v>
      </c>
      <c r="B5" s="94"/>
      <c r="C5" s="93" t="s">
        <v>233</v>
      </c>
    </row>
    <row r="6" spans="1:11" x14ac:dyDescent="0.2">
      <c r="A6" s="93" t="s">
        <v>27</v>
      </c>
      <c r="B6" s="94"/>
      <c r="C6" s="94" t="s">
        <v>358</v>
      </c>
    </row>
    <row r="7" spans="1:11" x14ac:dyDescent="0.2">
      <c r="A7" s="93"/>
      <c r="B7" s="94"/>
      <c r="C7" s="94"/>
    </row>
    <row r="8" spans="1:11" ht="15" x14ac:dyDescent="0.25">
      <c r="B8" s="95" t="s">
        <v>359</v>
      </c>
    </row>
    <row r="10" spans="1:11" x14ac:dyDescent="0.2">
      <c r="B10" s="92" t="s">
        <v>360</v>
      </c>
    </row>
    <row r="11" spans="1:11" x14ac:dyDescent="0.2">
      <c r="B11" s="92" t="s">
        <v>361</v>
      </c>
    </row>
    <row r="14" spans="1:11" ht="15" x14ac:dyDescent="0.25">
      <c r="B14" s="98" t="s">
        <v>690</v>
      </c>
      <c r="D14" s="98" t="s">
        <v>691</v>
      </c>
      <c r="F14" s="98" t="s">
        <v>692</v>
      </c>
      <c r="G14" s="98"/>
      <c r="H14" s="98" t="s">
        <v>693</v>
      </c>
      <c r="I14" s="98"/>
      <c r="J14" s="98" t="s">
        <v>694</v>
      </c>
      <c r="K14" s="98"/>
    </row>
    <row r="15" spans="1:11" ht="14.25" x14ac:dyDescent="0.2">
      <c r="B15" s="98" t="s">
        <v>695</v>
      </c>
      <c r="C15" s="98" t="s">
        <v>696</v>
      </c>
      <c r="D15" s="98" t="s">
        <v>695</v>
      </c>
      <c r="E15" s="98" t="s">
        <v>696</v>
      </c>
      <c r="F15" s="98" t="s">
        <v>695</v>
      </c>
      <c r="G15" s="98" t="s">
        <v>696</v>
      </c>
      <c r="H15" s="98" t="s">
        <v>695</v>
      </c>
      <c r="I15" s="98" t="s">
        <v>696</v>
      </c>
      <c r="J15" s="98" t="s">
        <v>695</v>
      </c>
      <c r="K15" s="98" t="s">
        <v>697</v>
      </c>
    </row>
    <row r="16" spans="1:11" ht="15" x14ac:dyDescent="0.25">
      <c r="B16" s="92" t="s">
        <v>238</v>
      </c>
      <c r="C16" s="92" t="s">
        <v>362</v>
      </c>
      <c r="D16" s="92" t="s">
        <v>238</v>
      </c>
      <c r="E16" s="92" t="s">
        <v>363</v>
      </c>
      <c r="F16" s="92" t="s">
        <v>238</v>
      </c>
      <c r="G16" s="92" t="s">
        <v>364</v>
      </c>
      <c r="H16" s="92" t="s">
        <v>238</v>
      </c>
      <c r="I16" s="92" t="s">
        <v>365</v>
      </c>
      <c r="J16" s="92" t="s">
        <v>238</v>
      </c>
      <c r="K16" s="92" t="s">
        <v>366</v>
      </c>
    </row>
    <row r="17" spans="2:11" ht="15" x14ac:dyDescent="0.25">
      <c r="B17" s="92" t="s">
        <v>244</v>
      </c>
      <c r="C17" s="92" t="s">
        <v>367</v>
      </c>
      <c r="D17" s="92" t="s">
        <v>244</v>
      </c>
      <c r="E17" s="92" t="s">
        <v>368</v>
      </c>
      <c r="F17" s="92" t="s">
        <v>244</v>
      </c>
      <c r="G17" s="92" t="s">
        <v>369</v>
      </c>
      <c r="H17" s="92" t="s">
        <v>244</v>
      </c>
      <c r="I17" s="92" t="s">
        <v>370</v>
      </c>
      <c r="J17" s="92" t="s">
        <v>244</v>
      </c>
      <c r="K17" s="92" t="s">
        <v>371</v>
      </c>
    </row>
    <row r="18" spans="2:11" ht="15" x14ac:dyDescent="0.25">
      <c r="B18" s="92" t="s">
        <v>249</v>
      </c>
      <c r="C18" s="92" t="s">
        <v>364</v>
      </c>
      <c r="D18" s="92" t="s">
        <v>249</v>
      </c>
      <c r="E18" s="92" t="s">
        <v>372</v>
      </c>
      <c r="F18" s="92" t="s">
        <v>249</v>
      </c>
      <c r="G18" s="92" t="s">
        <v>373</v>
      </c>
      <c r="H18" s="92" t="s">
        <v>249</v>
      </c>
      <c r="I18" s="92" t="s">
        <v>374</v>
      </c>
      <c r="J18" s="92" t="s">
        <v>249</v>
      </c>
      <c r="K18" s="92" t="s">
        <v>375</v>
      </c>
    </row>
    <row r="19" spans="2:11" ht="15" x14ac:dyDescent="0.25">
      <c r="B19" s="92" t="s">
        <v>253</v>
      </c>
      <c r="C19" s="92" t="s">
        <v>376</v>
      </c>
      <c r="D19" s="92" t="s">
        <v>253</v>
      </c>
      <c r="E19" s="92" t="s">
        <v>377</v>
      </c>
      <c r="F19" s="92" t="s">
        <v>253</v>
      </c>
      <c r="G19" s="92" t="s">
        <v>324</v>
      </c>
      <c r="H19" s="92" t="s">
        <v>253</v>
      </c>
      <c r="I19" s="92" t="s">
        <v>378</v>
      </c>
      <c r="J19" s="92" t="s">
        <v>253</v>
      </c>
      <c r="K19" s="92" t="s">
        <v>379</v>
      </c>
    </row>
    <row r="20" spans="2:11" ht="15" x14ac:dyDescent="0.25">
      <c r="B20" s="92" t="s">
        <v>258</v>
      </c>
      <c r="C20" s="92" t="s">
        <v>380</v>
      </c>
      <c r="D20" s="92" t="s">
        <v>258</v>
      </c>
      <c r="E20" s="92" t="s">
        <v>381</v>
      </c>
      <c r="F20" s="92" t="s">
        <v>258</v>
      </c>
      <c r="G20" s="92" t="s">
        <v>382</v>
      </c>
      <c r="H20" s="92" t="s">
        <v>258</v>
      </c>
      <c r="I20" s="92" t="s">
        <v>383</v>
      </c>
      <c r="J20" s="92" t="s">
        <v>258</v>
      </c>
      <c r="K20" s="92" t="s">
        <v>384</v>
      </c>
    </row>
    <row r="21" spans="2:11" ht="15" x14ac:dyDescent="0.25">
      <c r="B21" s="92" t="s">
        <v>263</v>
      </c>
      <c r="C21" s="92" t="s">
        <v>385</v>
      </c>
      <c r="D21" s="92" t="s">
        <v>263</v>
      </c>
      <c r="E21" s="92" t="s">
        <v>386</v>
      </c>
      <c r="F21" s="92" t="s">
        <v>263</v>
      </c>
      <c r="G21" s="92" t="s">
        <v>387</v>
      </c>
      <c r="H21" s="92" t="s">
        <v>263</v>
      </c>
      <c r="I21" s="92" t="s">
        <v>388</v>
      </c>
      <c r="J21" s="92" t="s">
        <v>263</v>
      </c>
      <c r="K21" s="92" t="s">
        <v>389</v>
      </c>
    </row>
    <row r="22" spans="2:11" ht="15" x14ac:dyDescent="0.25">
      <c r="B22" s="92" t="s">
        <v>266</v>
      </c>
      <c r="C22" s="92" t="s">
        <v>390</v>
      </c>
      <c r="D22" s="92" t="s">
        <v>266</v>
      </c>
      <c r="E22" s="92" t="s">
        <v>391</v>
      </c>
      <c r="F22" s="92" t="s">
        <v>266</v>
      </c>
      <c r="G22" s="92" t="s">
        <v>392</v>
      </c>
      <c r="H22" s="92" t="s">
        <v>266</v>
      </c>
      <c r="I22" s="92" t="s">
        <v>393</v>
      </c>
      <c r="J22" s="92" t="s">
        <v>266</v>
      </c>
      <c r="K22" s="92" t="s">
        <v>394</v>
      </c>
    </row>
    <row r="23" spans="2:11" ht="15" x14ac:dyDescent="0.25">
      <c r="B23" s="92" t="s">
        <v>270</v>
      </c>
      <c r="C23" s="92" t="s">
        <v>395</v>
      </c>
      <c r="D23" s="92" t="s">
        <v>270</v>
      </c>
      <c r="E23" s="92" t="s">
        <v>396</v>
      </c>
      <c r="F23" s="92" t="s">
        <v>270</v>
      </c>
      <c r="G23" s="92" t="s">
        <v>397</v>
      </c>
      <c r="H23" s="92" t="s">
        <v>270</v>
      </c>
      <c r="I23" s="92" t="s">
        <v>398</v>
      </c>
      <c r="J23" s="92" t="s">
        <v>270</v>
      </c>
      <c r="K23" s="92" t="s">
        <v>399</v>
      </c>
    </row>
    <row r="24" spans="2:11" ht="15" x14ac:dyDescent="0.25">
      <c r="B24" s="92" t="s">
        <v>274</v>
      </c>
      <c r="C24" s="92" t="s">
        <v>400</v>
      </c>
      <c r="D24" s="92" t="s">
        <v>274</v>
      </c>
      <c r="E24" s="92" t="s">
        <v>401</v>
      </c>
      <c r="F24" s="92" t="s">
        <v>274</v>
      </c>
      <c r="G24" s="92" t="s">
        <v>402</v>
      </c>
      <c r="H24" s="92" t="s">
        <v>274</v>
      </c>
      <c r="I24" s="92" t="s">
        <v>403</v>
      </c>
      <c r="J24" s="92" t="s">
        <v>274</v>
      </c>
      <c r="K24" s="92" t="s">
        <v>404</v>
      </c>
    </row>
    <row r="25" spans="2:11" ht="15" x14ac:dyDescent="0.25">
      <c r="B25" s="92" t="s">
        <v>278</v>
      </c>
      <c r="C25" s="92" t="s">
        <v>405</v>
      </c>
      <c r="D25" s="92" t="s">
        <v>278</v>
      </c>
      <c r="E25" s="92" t="s">
        <v>406</v>
      </c>
      <c r="F25" s="92" t="s">
        <v>278</v>
      </c>
      <c r="G25" s="92" t="s">
        <v>407</v>
      </c>
      <c r="H25" s="92" t="s">
        <v>278</v>
      </c>
      <c r="I25" s="92" t="s">
        <v>408</v>
      </c>
      <c r="J25" s="92" t="s">
        <v>278</v>
      </c>
      <c r="K25" s="92" t="s">
        <v>409</v>
      </c>
    </row>
    <row r="26" spans="2:11" ht="15" x14ac:dyDescent="0.25">
      <c r="B26" s="92" t="s">
        <v>281</v>
      </c>
      <c r="C26" s="92" t="s">
        <v>410</v>
      </c>
      <c r="D26" s="92" t="s">
        <v>281</v>
      </c>
      <c r="E26" s="92" t="s">
        <v>411</v>
      </c>
      <c r="F26" s="92" t="s">
        <v>281</v>
      </c>
      <c r="G26" s="92" t="s">
        <v>412</v>
      </c>
      <c r="H26" s="92" t="s">
        <v>281</v>
      </c>
      <c r="I26" s="92" t="s">
        <v>413</v>
      </c>
      <c r="J26" s="92" t="s">
        <v>281</v>
      </c>
      <c r="K26" s="92" t="s">
        <v>414</v>
      </c>
    </row>
    <row r="27" spans="2:11" ht="15" x14ac:dyDescent="0.25">
      <c r="B27" s="92" t="s">
        <v>284</v>
      </c>
      <c r="C27" s="92" t="s">
        <v>415</v>
      </c>
      <c r="D27" s="92" t="s">
        <v>284</v>
      </c>
      <c r="E27" s="92" t="s">
        <v>416</v>
      </c>
      <c r="F27" s="92" t="s">
        <v>284</v>
      </c>
      <c r="G27" s="92" t="s">
        <v>332</v>
      </c>
      <c r="H27" s="92" t="s">
        <v>284</v>
      </c>
      <c r="I27" s="92" t="s">
        <v>417</v>
      </c>
      <c r="J27" s="92" t="s">
        <v>284</v>
      </c>
      <c r="K27" s="92" t="s">
        <v>418</v>
      </c>
    </row>
    <row r="28" spans="2:11" ht="15" x14ac:dyDescent="0.25">
      <c r="B28" s="92" t="s">
        <v>287</v>
      </c>
      <c r="C28" s="92" t="s">
        <v>419</v>
      </c>
      <c r="D28" s="92" t="s">
        <v>287</v>
      </c>
      <c r="E28" s="92" t="s">
        <v>420</v>
      </c>
      <c r="F28" s="92" t="s">
        <v>287</v>
      </c>
      <c r="G28" s="92" t="s">
        <v>421</v>
      </c>
      <c r="H28" s="92" t="s">
        <v>287</v>
      </c>
      <c r="I28" s="92" t="s">
        <v>422</v>
      </c>
      <c r="J28" s="92" t="s">
        <v>287</v>
      </c>
      <c r="K28" s="92" t="s">
        <v>423</v>
      </c>
    </row>
    <row r="29" spans="2:11" ht="15" x14ac:dyDescent="0.25">
      <c r="B29" s="92" t="s">
        <v>291</v>
      </c>
      <c r="C29" s="92" t="s">
        <v>424</v>
      </c>
      <c r="D29" s="92" t="s">
        <v>291</v>
      </c>
      <c r="E29" s="92" t="s">
        <v>425</v>
      </c>
      <c r="F29" s="92" t="s">
        <v>291</v>
      </c>
      <c r="G29" s="92" t="s">
        <v>426</v>
      </c>
      <c r="H29" s="92" t="s">
        <v>291</v>
      </c>
      <c r="I29" s="92" t="s">
        <v>427</v>
      </c>
      <c r="J29" s="92" t="s">
        <v>291</v>
      </c>
      <c r="K29" s="92" t="s">
        <v>428</v>
      </c>
    </row>
    <row r="30" spans="2:11" ht="15" x14ac:dyDescent="0.25">
      <c r="B30" s="92" t="s">
        <v>294</v>
      </c>
      <c r="C30" s="92" t="s">
        <v>429</v>
      </c>
      <c r="D30" s="92" t="s">
        <v>294</v>
      </c>
      <c r="E30" s="92" t="s">
        <v>430</v>
      </c>
      <c r="F30" s="92" t="s">
        <v>294</v>
      </c>
      <c r="G30" s="92" t="s">
        <v>431</v>
      </c>
      <c r="H30" s="92" t="s">
        <v>294</v>
      </c>
      <c r="I30" s="92" t="s">
        <v>432</v>
      </c>
      <c r="J30" s="92" t="s">
        <v>294</v>
      </c>
      <c r="K30" s="92" t="s">
        <v>433</v>
      </c>
    </row>
    <row r="33" spans="2:29" ht="15" x14ac:dyDescent="0.25">
      <c r="B33" s="95" t="s">
        <v>434</v>
      </c>
    </row>
    <row r="35" spans="2:29" x14ac:dyDescent="0.2">
      <c r="B35" s="92" t="s">
        <v>435</v>
      </c>
    </row>
    <row r="36" spans="2:29" x14ac:dyDescent="0.2">
      <c r="B36" s="92" t="s">
        <v>237</v>
      </c>
    </row>
    <row r="38" spans="2:29" ht="15" x14ac:dyDescent="0.25">
      <c r="B38" s="98" t="s">
        <v>698</v>
      </c>
      <c r="D38" s="98" t="s">
        <v>699</v>
      </c>
      <c r="F38" s="98" t="s">
        <v>700</v>
      </c>
      <c r="H38" s="98" t="s">
        <v>701</v>
      </c>
      <c r="I38" s="98"/>
      <c r="J38" s="98" t="s">
        <v>702</v>
      </c>
      <c r="K38" s="98"/>
      <c r="L38" s="98" t="s">
        <v>703</v>
      </c>
      <c r="M38" s="98"/>
      <c r="N38" s="98" t="s">
        <v>704</v>
      </c>
      <c r="P38" s="98" t="s">
        <v>705</v>
      </c>
      <c r="R38" s="98" t="s">
        <v>706</v>
      </c>
      <c r="T38" s="98" t="s">
        <v>707</v>
      </c>
      <c r="U38" s="98"/>
      <c r="V38" s="98" t="s">
        <v>708</v>
      </c>
      <c r="W38" s="98"/>
      <c r="X38" s="98" t="s">
        <v>709</v>
      </c>
      <c r="Y38" s="98"/>
      <c r="Z38" s="98" t="s">
        <v>710</v>
      </c>
      <c r="AB38" s="98" t="s">
        <v>711</v>
      </c>
      <c r="AC38" s="98"/>
    </row>
    <row r="39" spans="2:29" ht="14.25" x14ac:dyDescent="0.2">
      <c r="B39" s="98" t="s">
        <v>668</v>
      </c>
      <c r="C39" s="98" t="s">
        <v>696</v>
      </c>
      <c r="D39" s="98" t="s">
        <v>695</v>
      </c>
      <c r="E39" s="98" t="s">
        <v>696</v>
      </c>
      <c r="F39" s="98" t="s">
        <v>695</v>
      </c>
      <c r="G39" s="98" t="s">
        <v>696</v>
      </c>
      <c r="H39" s="98" t="s">
        <v>695</v>
      </c>
      <c r="I39" s="98" t="s">
        <v>696</v>
      </c>
      <c r="J39" s="98" t="s">
        <v>695</v>
      </c>
      <c r="K39" s="98" t="s">
        <v>696</v>
      </c>
      <c r="L39" s="98" t="s">
        <v>695</v>
      </c>
      <c r="M39" s="98" t="s">
        <v>697</v>
      </c>
      <c r="N39" s="98" t="s">
        <v>668</v>
      </c>
      <c r="O39" s="98" t="s">
        <v>696</v>
      </c>
      <c r="P39" s="98" t="s">
        <v>695</v>
      </c>
      <c r="Q39" s="98" t="s">
        <v>696</v>
      </c>
      <c r="R39" s="98" t="s">
        <v>695</v>
      </c>
      <c r="S39" s="98" t="s">
        <v>696</v>
      </c>
      <c r="T39" s="98" t="s">
        <v>695</v>
      </c>
      <c r="U39" s="98" t="s">
        <v>696</v>
      </c>
      <c r="V39" s="98" t="s">
        <v>695</v>
      </c>
      <c r="W39" s="98" t="s">
        <v>696</v>
      </c>
      <c r="X39" s="98" t="s">
        <v>695</v>
      </c>
      <c r="Y39" s="98" t="s">
        <v>697</v>
      </c>
      <c r="Z39" s="98" t="s">
        <v>695</v>
      </c>
      <c r="AA39" s="98" t="s">
        <v>696</v>
      </c>
      <c r="AB39" s="98" t="s">
        <v>695</v>
      </c>
      <c r="AC39" s="98" t="s">
        <v>697</v>
      </c>
    </row>
    <row r="40" spans="2:29" ht="15" x14ac:dyDescent="0.25">
      <c r="B40" s="92" t="s">
        <v>238</v>
      </c>
      <c r="C40" s="92" t="s">
        <v>436</v>
      </c>
      <c r="D40" s="92" t="s">
        <v>238</v>
      </c>
      <c r="E40" s="92" t="s">
        <v>437</v>
      </c>
      <c r="F40" s="92" t="s">
        <v>238</v>
      </c>
      <c r="G40" s="92" t="s">
        <v>437</v>
      </c>
      <c r="H40" s="92" t="s">
        <v>238</v>
      </c>
      <c r="I40" s="92" t="s">
        <v>438</v>
      </c>
      <c r="J40" s="92" t="s">
        <v>238</v>
      </c>
      <c r="K40" s="92" t="s">
        <v>439</v>
      </c>
      <c r="L40" s="92" t="s">
        <v>238</v>
      </c>
      <c r="M40" s="92" t="s">
        <v>440</v>
      </c>
      <c r="N40" s="92" t="s">
        <v>238</v>
      </c>
      <c r="O40" s="92" t="s">
        <v>441</v>
      </c>
      <c r="P40" s="92" t="s">
        <v>238</v>
      </c>
      <c r="Q40" s="92" t="s">
        <v>442</v>
      </c>
      <c r="R40" s="92" t="s">
        <v>238</v>
      </c>
      <c r="S40" s="92" t="s">
        <v>443</v>
      </c>
      <c r="T40" s="92" t="s">
        <v>238</v>
      </c>
      <c r="U40" s="92" t="s">
        <v>443</v>
      </c>
      <c r="V40" s="92" t="s">
        <v>238</v>
      </c>
      <c r="W40" s="92" t="s">
        <v>444</v>
      </c>
      <c r="X40" s="92" t="s">
        <v>238</v>
      </c>
      <c r="Y40" s="92" t="s">
        <v>445</v>
      </c>
      <c r="Z40" s="92" t="s">
        <v>238</v>
      </c>
      <c r="AA40" s="92" t="s">
        <v>446</v>
      </c>
      <c r="AB40" s="92" t="s">
        <v>238</v>
      </c>
      <c r="AC40" s="92" t="s">
        <v>447</v>
      </c>
    </row>
    <row r="41" spans="2:29" ht="15" x14ac:dyDescent="0.25">
      <c r="B41" s="92" t="s">
        <v>244</v>
      </c>
      <c r="C41" s="92" t="s">
        <v>438</v>
      </c>
      <c r="D41" s="92" t="s">
        <v>244</v>
      </c>
      <c r="E41" s="92" t="s">
        <v>439</v>
      </c>
      <c r="F41" s="92" t="s">
        <v>244</v>
      </c>
      <c r="G41" s="92" t="s">
        <v>440</v>
      </c>
      <c r="H41" s="92" t="s">
        <v>244</v>
      </c>
      <c r="I41" s="92" t="s">
        <v>448</v>
      </c>
      <c r="J41" s="92" t="s">
        <v>244</v>
      </c>
      <c r="K41" s="92" t="s">
        <v>448</v>
      </c>
      <c r="L41" s="92" t="s">
        <v>244</v>
      </c>
      <c r="M41" s="92" t="s">
        <v>449</v>
      </c>
      <c r="N41" s="92" t="s">
        <v>244</v>
      </c>
      <c r="O41" s="92" t="s">
        <v>450</v>
      </c>
      <c r="P41" s="92" t="s">
        <v>244</v>
      </c>
      <c r="Q41" s="92" t="s">
        <v>451</v>
      </c>
      <c r="R41" s="92" t="s">
        <v>244</v>
      </c>
      <c r="S41" s="92" t="s">
        <v>444</v>
      </c>
      <c r="T41" s="92" t="s">
        <v>244</v>
      </c>
      <c r="U41" s="92" t="s">
        <v>452</v>
      </c>
      <c r="V41" s="92" t="s">
        <v>244</v>
      </c>
      <c r="W41" s="92" t="s">
        <v>452</v>
      </c>
      <c r="X41" s="92" t="s">
        <v>244</v>
      </c>
      <c r="Y41" s="92" t="s">
        <v>453</v>
      </c>
      <c r="Z41" s="92" t="s">
        <v>244</v>
      </c>
      <c r="AA41" s="92" t="s">
        <v>454</v>
      </c>
      <c r="AB41" s="92" t="s">
        <v>244</v>
      </c>
      <c r="AC41" s="92" t="s">
        <v>422</v>
      </c>
    </row>
    <row r="42" spans="2:29" ht="15" x14ac:dyDescent="0.25">
      <c r="B42" s="92" t="s">
        <v>249</v>
      </c>
      <c r="C42" s="92" t="s">
        <v>448</v>
      </c>
      <c r="D42" s="92" t="s">
        <v>249</v>
      </c>
      <c r="E42" s="92" t="s">
        <v>440</v>
      </c>
      <c r="F42" s="92" t="s">
        <v>249</v>
      </c>
      <c r="G42" s="92" t="s">
        <v>449</v>
      </c>
      <c r="H42" s="92" t="s">
        <v>249</v>
      </c>
      <c r="I42" s="92" t="s">
        <v>455</v>
      </c>
      <c r="J42" s="92" t="s">
        <v>249</v>
      </c>
      <c r="K42" s="92" t="s">
        <v>449</v>
      </c>
      <c r="L42" s="92" t="s">
        <v>249</v>
      </c>
      <c r="M42" s="92" t="s">
        <v>456</v>
      </c>
      <c r="N42" s="92" t="s">
        <v>249</v>
      </c>
      <c r="O42" s="92" t="s">
        <v>456</v>
      </c>
      <c r="P42" s="92" t="s">
        <v>249</v>
      </c>
      <c r="Q42" s="92" t="s">
        <v>457</v>
      </c>
      <c r="R42" s="92" t="s">
        <v>249</v>
      </c>
      <c r="S42" s="92" t="s">
        <v>458</v>
      </c>
      <c r="T42" s="92" t="s">
        <v>249</v>
      </c>
      <c r="U42" s="92" t="s">
        <v>458</v>
      </c>
      <c r="V42" s="92" t="s">
        <v>249</v>
      </c>
      <c r="W42" s="92" t="s">
        <v>458</v>
      </c>
      <c r="X42" s="92" t="s">
        <v>249</v>
      </c>
      <c r="Y42" s="92" t="s">
        <v>459</v>
      </c>
      <c r="Z42" s="92" t="s">
        <v>249</v>
      </c>
      <c r="AA42" s="92" t="s">
        <v>460</v>
      </c>
      <c r="AB42" s="92" t="s">
        <v>249</v>
      </c>
      <c r="AC42" s="92" t="s">
        <v>461</v>
      </c>
    </row>
    <row r="43" spans="2:29" ht="15" x14ac:dyDescent="0.25">
      <c r="B43" s="92" t="s">
        <v>253</v>
      </c>
      <c r="C43" s="92" t="s">
        <v>440</v>
      </c>
      <c r="D43" s="92" t="s">
        <v>253</v>
      </c>
      <c r="E43" s="92" t="s">
        <v>449</v>
      </c>
      <c r="F43" s="92" t="s">
        <v>253</v>
      </c>
      <c r="G43" s="92" t="s">
        <v>450</v>
      </c>
      <c r="H43" s="92" t="s">
        <v>253</v>
      </c>
      <c r="I43" s="92" t="s">
        <v>441</v>
      </c>
      <c r="J43" s="92" t="s">
        <v>253</v>
      </c>
      <c r="K43" s="92" t="s">
        <v>450</v>
      </c>
      <c r="L43" s="92" t="s">
        <v>253</v>
      </c>
      <c r="M43" s="92" t="s">
        <v>451</v>
      </c>
      <c r="N43" s="92" t="s">
        <v>253</v>
      </c>
      <c r="O43" s="92" t="s">
        <v>457</v>
      </c>
      <c r="P43" s="92" t="s">
        <v>253</v>
      </c>
      <c r="Q43" s="92" t="s">
        <v>462</v>
      </c>
      <c r="R43" s="92" t="s">
        <v>253</v>
      </c>
      <c r="S43" s="92" t="s">
        <v>463</v>
      </c>
      <c r="T43" s="92" t="s">
        <v>253</v>
      </c>
      <c r="U43" s="92" t="s">
        <v>463</v>
      </c>
      <c r="V43" s="92" t="s">
        <v>253</v>
      </c>
      <c r="W43" s="92" t="s">
        <v>463</v>
      </c>
      <c r="X43" s="92" t="s">
        <v>253</v>
      </c>
      <c r="Y43" s="92" t="s">
        <v>464</v>
      </c>
      <c r="Z43" s="92" t="s">
        <v>253</v>
      </c>
      <c r="AA43" s="92" t="s">
        <v>465</v>
      </c>
      <c r="AB43" s="92" t="s">
        <v>253</v>
      </c>
      <c r="AC43" s="92" t="s">
        <v>466</v>
      </c>
    </row>
    <row r="44" spans="2:29" ht="15" x14ac:dyDescent="0.25">
      <c r="B44" s="92" t="s">
        <v>258</v>
      </c>
      <c r="C44" s="92" t="s">
        <v>455</v>
      </c>
      <c r="D44" s="92" t="s">
        <v>258</v>
      </c>
      <c r="E44" s="92" t="s">
        <v>441</v>
      </c>
      <c r="F44" s="92" t="s">
        <v>258</v>
      </c>
      <c r="G44" s="92" t="s">
        <v>467</v>
      </c>
      <c r="H44" s="92" t="s">
        <v>258</v>
      </c>
      <c r="I44" s="92" t="s">
        <v>467</v>
      </c>
      <c r="J44" s="92" t="s">
        <v>258</v>
      </c>
      <c r="K44" s="92" t="s">
        <v>456</v>
      </c>
      <c r="L44" s="92" t="s">
        <v>258</v>
      </c>
      <c r="M44" s="92" t="s">
        <v>468</v>
      </c>
      <c r="N44" s="92" t="s">
        <v>258</v>
      </c>
      <c r="O44" s="92" t="s">
        <v>469</v>
      </c>
      <c r="P44" s="92" t="s">
        <v>258</v>
      </c>
      <c r="Q44" s="92" t="s">
        <v>470</v>
      </c>
      <c r="R44" s="92" t="s">
        <v>258</v>
      </c>
      <c r="S44" s="92" t="s">
        <v>471</v>
      </c>
      <c r="T44" s="92" t="s">
        <v>258</v>
      </c>
      <c r="U44" s="92" t="s">
        <v>471</v>
      </c>
      <c r="V44" s="92" t="s">
        <v>258</v>
      </c>
      <c r="W44" s="92" t="s">
        <v>471</v>
      </c>
      <c r="X44" s="92" t="s">
        <v>258</v>
      </c>
      <c r="Y44" s="92" t="s">
        <v>472</v>
      </c>
      <c r="Z44" s="92" t="s">
        <v>258</v>
      </c>
      <c r="AA44" s="92" t="s">
        <v>473</v>
      </c>
      <c r="AB44" s="92" t="s">
        <v>258</v>
      </c>
      <c r="AC44" s="92" t="s">
        <v>474</v>
      </c>
    </row>
    <row r="45" spans="2:29" ht="15" x14ac:dyDescent="0.25">
      <c r="B45" s="92" t="s">
        <v>263</v>
      </c>
      <c r="C45" s="92" t="s">
        <v>449</v>
      </c>
      <c r="D45" s="92" t="s">
        <v>263</v>
      </c>
      <c r="E45" s="92" t="s">
        <v>450</v>
      </c>
      <c r="F45" s="92" t="s">
        <v>263</v>
      </c>
      <c r="G45" s="92" t="s">
        <v>456</v>
      </c>
      <c r="H45" s="92" t="s">
        <v>263</v>
      </c>
      <c r="I45" s="92" t="s">
        <v>456</v>
      </c>
      <c r="J45" s="92" t="s">
        <v>263</v>
      </c>
      <c r="K45" s="92" t="s">
        <v>442</v>
      </c>
      <c r="L45" s="92" t="s">
        <v>263</v>
      </c>
      <c r="M45" s="92" t="s">
        <v>457</v>
      </c>
      <c r="N45" s="92" t="s">
        <v>263</v>
      </c>
      <c r="O45" s="92" t="s">
        <v>475</v>
      </c>
      <c r="P45" s="92" t="s">
        <v>263</v>
      </c>
      <c r="Q45" s="92" t="s">
        <v>476</v>
      </c>
      <c r="R45" s="92" t="s">
        <v>263</v>
      </c>
      <c r="S45" s="92" t="s">
        <v>477</v>
      </c>
      <c r="T45" s="92" t="s">
        <v>263</v>
      </c>
      <c r="U45" s="92" t="s">
        <v>477</v>
      </c>
      <c r="V45" s="92" t="s">
        <v>263</v>
      </c>
      <c r="W45" s="92" t="s">
        <v>477</v>
      </c>
      <c r="X45" s="92" t="s">
        <v>263</v>
      </c>
      <c r="Y45" s="92" t="s">
        <v>478</v>
      </c>
      <c r="Z45" s="92" t="s">
        <v>263</v>
      </c>
      <c r="AA45" s="92" t="s">
        <v>422</v>
      </c>
      <c r="AB45" s="92" t="s">
        <v>263</v>
      </c>
      <c r="AC45" s="92" t="s">
        <v>479</v>
      </c>
    </row>
    <row r="46" spans="2:29" ht="15" x14ac:dyDescent="0.25">
      <c r="B46" s="92" t="s">
        <v>266</v>
      </c>
      <c r="C46" s="92" t="s">
        <v>441</v>
      </c>
      <c r="D46" s="92" t="s">
        <v>266</v>
      </c>
      <c r="E46" s="92" t="s">
        <v>467</v>
      </c>
      <c r="F46" s="92" t="s">
        <v>266</v>
      </c>
      <c r="G46" s="92" t="s">
        <v>442</v>
      </c>
      <c r="H46" s="92" t="s">
        <v>266</v>
      </c>
      <c r="I46" s="92" t="s">
        <v>442</v>
      </c>
      <c r="J46" s="92" t="s">
        <v>266</v>
      </c>
      <c r="K46" s="92" t="s">
        <v>451</v>
      </c>
      <c r="L46" s="92" t="s">
        <v>266</v>
      </c>
      <c r="M46" s="92" t="s">
        <v>480</v>
      </c>
      <c r="N46" s="92" t="s">
        <v>266</v>
      </c>
      <c r="O46" s="92" t="s">
        <v>462</v>
      </c>
      <c r="P46" s="92" t="s">
        <v>266</v>
      </c>
      <c r="Q46" s="92" t="s">
        <v>481</v>
      </c>
      <c r="R46" s="92" t="s">
        <v>266</v>
      </c>
      <c r="S46" s="92" t="s">
        <v>482</v>
      </c>
      <c r="T46" s="92" t="s">
        <v>266</v>
      </c>
      <c r="U46" s="92" t="s">
        <v>482</v>
      </c>
      <c r="V46" s="92" t="s">
        <v>266</v>
      </c>
      <c r="W46" s="92" t="s">
        <v>482</v>
      </c>
      <c r="X46" s="92" t="s">
        <v>266</v>
      </c>
      <c r="Y46" s="92" t="s">
        <v>454</v>
      </c>
      <c r="Z46" s="92" t="s">
        <v>266</v>
      </c>
      <c r="AA46" s="92" t="s">
        <v>483</v>
      </c>
      <c r="AB46" s="92" t="s">
        <v>266</v>
      </c>
      <c r="AC46" s="92" t="s">
        <v>484</v>
      </c>
    </row>
    <row r="47" spans="2:29" ht="15" x14ac:dyDescent="0.25">
      <c r="B47" s="92" t="s">
        <v>290</v>
      </c>
      <c r="C47" s="92" t="s">
        <v>290</v>
      </c>
      <c r="D47" s="92" t="s">
        <v>270</v>
      </c>
      <c r="E47" s="92" t="s">
        <v>456</v>
      </c>
      <c r="F47" s="92" t="s">
        <v>270</v>
      </c>
      <c r="G47" s="92" t="s">
        <v>451</v>
      </c>
      <c r="H47" s="92" t="s">
        <v>270</v>
      </c>
      <c r="I47" s="92" t="s">
        <v>451</v>
      </c>
      <c r="J47" s="92" t="s">
        <v>270</v>
      </c>
      <c r="K47" s="92" t="s">
        <v>468</v>
      </c>
      <c r="L47" s="92" t="s">
        <v>270</v>
      </c>
      <c r="M47" s="92" t="s">
        <v>469</v>
      </c>
      <c r="N47" s="92" t="s">
        <v>270</v>
      </c>
      <c r="O47" s="92" t="s">
        <v>485</v>
      </c>
      <c r="P47" s="92" t="s">
        <v>270</v>
      </c>
      <c r="Q47" s="92" t="s">
        <v>373</v>
      </c>
      <c r="R47" s="92" t="s">
        <v>270</v>
      </c>
      <c r="S47" s="92" t="s">
        <v>445</v>
      </c>
      <c r="T47" s="92" t="s">
        <v>270</v>
      </c>
      <c r="U47" s="92" t="s">
        <v>445</v>
      </c>
      <c r="V47" s="92" t="s">
        <v>270</v>
      </c>
      <c r="W47" s="92" t="s">
        <v>453</v>
      </c>
      <c r="X47" s="92" t="s">
        <v>270</v>
      </c>
      <c r="Y47" s="92" t="s">
        <v>460</v>
      </c>
      <c r="Z47" s="92" t="s">
        <v>270</v>
      </c>
      <c r="AA47" s="92" t="s">
        <v>461</v>
      </c>
      <c r="AB47" s="92" t="s">
        <v>270</v>
      </c>
      <c r="AC47" s="92" t="s">
        <v>486</v>
      </c>
    </row>
    <row r="48" spans="2:29" ht="15" x14ac:dyDescent="0.25">
      <c r="B48" s="92" t="s">
        <v>290</v>
      </c>
      <c r="C48" s="92" t="s">
        <v>290</v>
      </c>
      <c r="D48" s="92" t="s">
        <v>290</v>
      </c>
      <c r="E48" s="92" t="s">
        <v>290</v>
      </c>
      <c r="F48" s="92" t="s">
        <v>274</v>
      </c>
      <c r="G48" s="92" t="s">
        <v>468</v>
      </c>
      <c r="H48" s="92" t="s">
        <v>274</v>
      </c>
      <c r="I48" s="92" t="s">
        <v>468</v>
      </c>
      <c r="J48" s="92" t="s">
        <v>274</v>
      </c>
      <c r="K48" s="92" t="s">
        <v>457</v>
      </c>
      <c r="L48" s="92" t="s">
        <v>274</v>
      </c>
      <c r="M48" s="92" t="s">
        <v>475</v>
      </c>
      <c r="N48" s="92" t="s">
        <v>274</v>
      </c>
      <c r="O48" s="92" t="s">
        <v>470</v>
      </c>
      <c r="P48" s="92" t="s">
        <v>274</v>
      </c>
      <c r="Q48" s="92" t="s">
        <v>487</v>
      </c>
      <c r="R48" s="92" t="s">
        <v>274</v>
      </c>
      <c r="S48" s="92" t="s">
        <v>453</v>
      </c>
      <c r="T48" s="92" t="s">
        <v>274</v>
      </c>
      <c r="U48" s="92" t="s">
        <v>453</v>
      </c>
      <c r="V48" s="92" t="s">
        <v>274</v>
      </c>
      <c r="W48" s="92" t="s">
        <v>459</v>
      </c>
      <c r="X48" s="92" t="s">
        <v>274</v>
      </c>
      <c r="Y48" s="92" t="s">
        <v>465</v>
      </c>
      <c r="Z48" s="92" t="s">
        <v>274</v>
      </c>
      <c r="AA48" s="92" t="s">
        <v>466</v>
      </c>
      <c r="AB48" s="92" t="s">
        <v>274</v>
      </c>
      <c r="AC48" s="92" t="s">
        <v>488</v>
      </c>
    </row>
    <row r="49" spans="2:29" ht="15" x14ac:dyDescent="0.25">
      <c r="B49" s="92" t="s">
        <v>290</v>
      </c>
      <c r="C49" s="92" t="s">
        <v>290</v>
      </c>
      <c r="D49" s="92" t="s">
        <v>290</v>
      </c>
      <c r="E49" s="92" t="s">
        <v>290</v>
      </c>
      <c r="F49" s="92" t="s">
        <v>290</v>
      </c>
      <c r="G49" s="92" t="s">
        <v>290</v>
      </c>
      <c r="H49" s="92" t="s">
        <v>278</v>
      </c>
      <c r="I49" s="92" t="s">
        <v>457</v>
      </c>
      <c r="J49" s="92" t="s">
        <v>278</v>
      </c>
      <c r="K49" s="92" t="s">
        <v>480</v>
      </c>
      <c r="L49" s="92" t="s">
        <v>278</v>
      </c>
      <c r="M49" s="92" t="s">
        <v>462</v>
      </c>
      <c r="N49" s="92" t="s">
        <v>278</v>
      </c>
      <c r="O49" s="92" t="s">
        <v>489</v>
      </c>
      <c r="P49" s="92" t="s">
        <v>278</v>
      </c>
      <c r="Q49" s="92" t="s">
        <v>490</v>
      </c>
      <c r="R49" s="92" t="s">
        <v>278</v>
      </c>
      <c r="S49" s="92" t="s">
        <v>459</v>
      </c>
      <c r="T49" s="92" t="s">
        <v>278</v>
      </c>
      <c r="U49" s="92" t="s">
        <v>459</v>
      </c>
      <c r="V49" s="92" t="s">
        <v>278</v>
      </c>
      <c r="W49" s="92" t="s">
        <v>464</v>
      </c>
      <c r="X49" s="92" t="s">
        <v>278</v>
      </c>
      <c r="Y49" s="92" t="s">
        <v>473</v>
      </c>
      <c r="Z49" s="92" t="s">
        <v>278</v>
      </c>
      <c r="AA49" s="92" t="s">
        <v>474</v>
      </c>
      <c r="AB49" s="92" t="s">
        <v>278</v>
      </c>
      <c r="AC49" s="92" t="s">
        <v>491</v>
      </c>
    </row>
    <row r="50" spans="2:29" ht="15" x14ac:dyDescent="0.25">
      <c r="B50" s="92" t="s">
        <v>290</v>
      </c>
      <c r="C50" s="92" t="s">
        <v>290</v>
      </c>
      <c r="D50" s="92" t="s">
        <v>290</v>
      </c>
      <c r="E50" s="92" t="s">
        <v>290</v>
      </c>
      <c r="F50" s="92" t="s">
        <v>290</v>
      </c>
      <c r="G50" s="92" t="s">
        <v>290</v>
      </c>
      <c r="H50" s="92" t="s">
        <v>281</v>
      </c>
      <c r="I50" s="92" t="s">
        <v>480</v>
      </c>
      <c r="J50" s="92" t="s">
        <v>281</v>
      </c>
      <c r="K50" s="92" t="s">
        <v>469</v>
      </c>
      <c r="L50" s="92" t="s">
        <v>281</v>
      </c>
      <c r="M50" s="92" t="s">
        <v>485</v>
      </c>
      <c r="N50" s="92" t="s">
        <v>281</v>
      </c>
      <c r="O50" s="92" t="s">
        <v>476</v>
      </c>
      <c r="P50" s="92" t="s">
        <v>281</v>
      </c>
      <c r="Q50" s="92" t="s">
        <v>492</v>
      </c>
      <c r="R50" s="92" t="s">
        <v>290</v>
      </c>
      <c r="S50" s="92" t="s">
        <v>290</v>
      </c>
      <c r="T50" s="92" t="s">
        <v>281</v>
      </c>
      <c r="U50" s="92" t="s">
        <v>464</v>
      </c>
      <c r="V50" s="92" t="s">
        <v>281</v>
      </c>
      <c r="W50" s="92" t="s">
        <v>472</v>
      </c>
      <c r="X50" s="92" t="s">
        <v>281</v>
      </c>
      <c r="Y50" s="92" t="s">
        <v>447</v>
      </c>
      <c r="Z50" s="92" t="s">
        <v>281</v>
      </c>
      <c r="AA50" s="92" t="s">
        <v>479</v>
      </c>
      <c r="AB50" s="92" t="s">
        <v>281</v>
      </c>
      <c r="AC50" s="92" t="s">
        <v>493</v>
      </c>
    </row>
    <row r="51" spans="2:29" ht="15" x14ac:dyDescent="0.25">
      <c r="B51" s="92" t="s">
        <v>290</v>
      </c>
      <c r="C51" s="92" t="s">
        <v>290</v>
      </c>
      <c r="D51" s="92" t="s">
        <v>290</v>
      </c>
      <c r="E51" s="92" t="s">
        <v>290</v>
      </c>
      <c r="F51" s="92" t="s">
        <v>290</v>
      </c>
      <c r="G51" s="92" t="s">
        <v>290</v>
      </c>
      <c r="H51" s="92" t="s">
        <v>290</v>
      </c>
      <c r="I51" s="92" t="s">
        <v>290</v>
      </c>
      <c r="J51" s="92" t="s">
        <v>284</v>
      </c>
      <c r="K51" s="92" t="s">
        <v>475</v>
      </c>
      <c r="L51" s="92" t="s">
        <v>290</v>
      </c>
      <c r="M51" s="92" t="s">
        <v>290</v>
      </c>
      <c r="N51" s="92" t="s">
        <v>284</v>
      </c>
      <c r="O51" s="92" t="s">
        <v>481</v>
      </c>
      <c r="P51" s="92" t="s">
        <v>284</v>
      </c>
      <c r="Q51" s="92" t="s">
        <v>494</v>
      </c>
      <c r="R51" s="92" t="s">
        <v>290</v>
      </c>
      <c r="S51" s="92" t="s">
        <v>495</v>
      </c>
      <c r="T51" s="92" t="s">
        <v>284</v>
      </c>
      <c r="U51" s="92" t="s">
        <v>472</v>
      </c>
      <c r="V51" s="92" t="s">
        <v>284</v>
      </c>
      <c r="W51" s="92" t="s">
        <v>478</v>
      </c>
      <c r="X51" s="92" t="s">
        <v>284</v>
      </c>
      <c r="Y51" s="92" t="s">
        <v>422</v>
      </c>
      <c r="Z51" s="92" t="s">
        <v>284</v>
      </c>
      <c r="AA51" s="92" t="s">
        <v>484</v>
      </c>
      <c r="AB51" s="92" t="s">
        <v>290</v>
      </c>
      <c r="AC51" s="92" t="s">
        <v>290</v>
      </c>
    </row>
    <row r="52" spans="2:29" ht="15" x14ac:dyDescent="0.25">
      <c r="N52" s="92" t="s">
        <v>290</v>
      </c>
      <c r="O52" s="92" t="s">
        <v>290</v>
      </c>
      <c r="P52" s="92" t="s">
        <v>287</v>
      </c>
      <c r="Q52" s="92" t="s">
        <v>496</v>
      </c>
      <c r="R52" s="92" t="s">
        <v>495</v>
      </c>
      <c r="S52" s="92" t="s">
        <v>495</v>
      </c>
      <c r="T52" s="92" t="s">
        <v>287</v>
      </c>
      <c r="U52" s="92" t="s">
        <v>478</v>
      </c>
      <c r="V52" s="92" t="s">
        <v>287</v>
      </c>
      <c r="W52" s="92" t="s">
        <v>446</v>
      </c>
      <c r="X52" s="92" t="s">
        <v>287</v>
      </c>
      <c r="Y52" s="92" t="s">
        <v>483</v>
      </c>
      <c r="Z52" s="92" t="s">
        <v>287</v>
      </c>
      <c r="AA52" s="92" t="s">
        <v>497</v>
      </c>
      <c r="AB52" s="92" t="s">
        <v>290</v>
      </c>
      <c r="AC52" s="92" t="s">
        <v>290</v>
      </c>
    </row>
    <row r="53" spans="2:29" ht="15" x14ac:dyDescent="0.25">
      <c r="N53" s="92" t="s">
        <v>290</v>
      </c>
      <c r="O53" s="92" t="s">
        <v>290</v>
      </c>
      <c r="P53" s="92" t="s">
        <v>290</v>
      </c>
      <c r="Q53" s="92" t="s">
        <v>290</v>
      </c>
      <c r="R53" s="92" t="s">
        <v>290</v>
      </c>
      <c r="S53" s="92" t="s">
        <v>290</v>
      </c>
      <c r="T53" s="92" t="s">
        <v>290</v>
      </c>
      <c r="U53" s="92" t="s">
        <v>290</v>
      </c>
      <c r="V53" s="92" t="s">
        <v>291</v>
      </c>
      <c r="W53" s="92" t="s">
        <v>454</v>
      </c>
      <c r="X53" s="92" t="s">
        <v>291</v>
      </c>
      <c r="Y53" s="92" t="s">
        <v>461</v>
      </c>
    </row>
    <row r="54" spans="2:29" ht="15" x14ac:dyDescent="0.25">
      <c r="N54" s="92" t="s">
        <v>290</v>
      </c>
      <c r="O54" s="92" t="s">
        <v>290</v>
      </c>
      <c r="P54" s="92" t="s">
        <v>290</v>
      </c>
      <c r="Q54" s="92" t="s">
        <v>290</v>
      </c>
      <c r="R54" s="92" t="s">
        <v>290</v>
      </c>
      <c r="S54" s="92" t="s">
        <v>290</v>
      </c>
      <c r="T54" s="92" t="s">
        <v>290</v>
      </c>
      <c r="U54" s="92" t="s">
        <v>290</v>
      </c>
      <c r="V54" s="92" t="s">
        <v>294</v>
      </c>
      <c r="W54" s="92" t="s">
        <v>460</v>
      </c>
      <c r="X54" s="92" t="s">
        <v>294</v>
      </c>
      <c r="Y54" s="92" t="s">
        <v>466</v>
      </c>
    </row>
    <row r="55" spans="2:29" ht="15" x14ac:dyDescent="0.25">
      <c r="N55" s="92" t="s">
        <v>290</v>
      </c>
      <c r="O55" s="92" t="s">
        <v>290</v>
      </c>
      <c r="P55" s="92" t="s">
        <v>290</v>
      </c>
      <c r="Q55" s="92" t="s">
        <v>290</v>
      </c>
      <c r="R55" s="92" t="s">
        <v>290</v>
      </c>
      <c r="S55" s="92" t="s">
        <v>290</v>
      </c>
      <c r="T55" s="92" t="s">
        <v>290</v>
      </c>
      <c r="U55" s="92" t="s">
        <v>290</v>
      </c>
      <c r="V55" s="92" t="s">
        <v>297</v>
      </c>
      <c r="W55" s="92" t="s">
        <v>465</v>
      </c>
      <c r="X55" s="92" t="s">
        <v>297</v>
      </c>
      <c r="Y55" s="92" t="s">
        <v>498</v>
      </c>
    </row>
    <row r="56" spans="2:29" ht="15" x14ac:dyDescent="0.25">
      <c r="N56" s="92" t="s">
        <v>290</v>
      </c>
      <c r="O56" s="92" t="s">
        <v>290</v>
      </c>
      <c r="P56" s="92" t="s">
        <v>290</v>
      </c>
      <c r="Q56" s="92" t="s">
        <v>290</v>
      </c>
      <c r="R56" s="92" t="s">
        <v>290</v>
      </c>
      <c r="S56" s="92" t="s">
        <v>290</v>
      </c>
      <c r="T56" s="92" t="s">
        <v>290</v>
      </c>
      <c r="U56" s="92" t="s">
        <v>290</v>
      </c>
      <c r="V56" s="92" t="s">
        <v>302</v>
      </c>
      <c r="W56" s="92" t="s">
        <v>473</v>
      </c>
      <c r="X56" s="92" t="s">
        <v>290</v>
      </c>
      <c r="Y56" s="92" t="s">
        <v>290</v>
      </c>
    </row>
    <row r="57" spans="2:29" ht="15" x14ac:dyDescent="0.25">
      <c r="N57" s="92" t="s">
        <v>290</v>
      </c>
      <c r="O57" s="92" t="s">
        <v>290</v>
      </c>
      <c r="P57" s="92" t="s">
        <v>290</v>
      </c>
      <c r="Q57" s="92" t="s">
        <v>290</v>
      </c>
      <c r="R57" s="92" t="s">
        <v>290</v>
      </c>
      <c r="S57" s="92" t="s">
        <v>290</v>
      </c>
      <c r="T57" s="92" t="s">
        <v>290</v>
      </c>
      <c r="U57" s="92" t="s">
        <v>290</v>
      </c>
      <c r="V57" s="92" t="s">
        <v>306</v>
      </c>
      <c r="W57" s="92" t="s">
        <v>499</v>
      </c>
      <c r="X57" s="92" t="s">
        <v>290</v>
      </c>
      <c r="Y57" s="92" t="s">
        <v>290</v>
      </c>
    </row>
    <row r="60" spans="2:29" ht="15" x14ac:dyDescent="0.25">
      <c r="B60" s="95" t="s">
        <v>500</v>
      </c>
    </row>
    <row r="62" spans="2:29" x14ac:dyDescent="0.2">
      <c r="B62" s="92" t="s">
        <v>501</v>
      </c>
    </row>
    <row r="64" spans="2:29" ht="45" customHeight="1" x14ac:dyDescent="0.2">
      <c r="B64" s="339" t="s">
        <v>502</v>
      </c>
      <c r="C64" s="337"/>
      <c r="D64" s="339" t="s">
        <v>503</v>
      </c>
      <c r="E64" s="337"/>
      <c r="F64" s="339" t="s">
        <v>504</v>
      </c>
      <c r="G64" s="337"/>
    </row>
    <row r="65" spans="2:7" x14ac:dyDescent="0.2">
      <c r="B65" s="101" t="s">
        <v>505</v>
      </c>
      <c r="C65" s="101"/>
      <c r="D65" s="101" t="s">
        <v>506</v>
      </c>
      <c r="E65" s="101"/>
      <c r="F65" s="101" t="s">
        <v>507</v>
      </c>
      <c r="G65" s="101"/>
    </row>
    <row r="66" spans="2:7" ht="15" x14ac:dyDescent="0.25">
      <c r="B66" s="101" t="s">
        <v>508</v>
      </c>
      <c r="C66" s="101" t="s">
        <v>509</v>
      </c>
      <c r="D66" s="101" t="s">
        <v>508</v>
      </c>
      <c r="E66" s="101" t="s">
        <v>509</v>
      </c>
      <c r="F66" s="101" t="s">
        <v>508</v>
      </c>
      <c r="G66" s="101" t="s">
        <v>509</v>
      </c>
    </row>
    <row r="67" spans="2:7" ht="15" x14ac:dyDescent="0.25">
      <c r="B67" s="92" t="s">
        <v>510</v>
      </c>
      <c r="C67" s="92" t="s">
        <v>511</v>
      </c>
      <c r="D67" s="92" t="s">
        <v>238</v>
      </c>
      <c r="E67" s="92" t="s">
        <v>437</v>
      </c>
      <c r="F67" s="92" t="s">
        <v>238</v>
      </c>
      <c r="G67" s="92" t="s">
        <v>512</v>
      </c>
    </row>
    <row r="68" spans="2:7" ht="15" x14ac:dyDescent="0.25">
      <c r="B68" s="92" t="s">
        <v>513</v>
      </c>
      <c r="C68" s="92" t="s">
        <v>437</v>
      </c>
      <c r="D68" s="92" t="s">
        <v>244</v>
      </c>
      <c r="E68" s="92" t="s">
        <v>439</v>
      </c>
      <c r="F68" s="92" t="s">
        <v>244</v>
      </c>
      <c r="G68" s="92" t="s">
        <v>440</v>
      </c>
    </row>
    <row r="69" spans="2:7" ht="15" x14ac:dyDescent="0.25">
      <c r="B69" s="92" t="s">
        <v>238</v>
      </c>
      <c r="C69" s="92" t="s">
        <v>437</v>
      </c>
      <c r="D69" s="92" t="s">
        <v>249</v>
      </c>
      <c r="E69" s="92" t="s">
        <v>440</v>
      </c>
      <c r="F69" s="92" t="s">
        <v>249</v>
      </c>
      <c r="G69" s="92" t="s">
        <v>449</v>
      </c>
    </row>
    <row r="70" spans="2:7" ht="15" x14ac:dyDescent="0.25">
      <c r="B70" s="92" t="s">
        <v>244</v>
      </c>
      <c r="C70" s="92" t="s">
        <v>438</v>
      </c>
      <c r="D70" s="92" t="s">
        <v>253</v>
      </c>
      <c r="E70" s="92" t="s">
        <v>449</v>
      </c>
      <c r="F70" s="92" t="s">
        <v>253</v>
      </c>
      <c r="G70" s="92" t="s">
        <v>450</v>
      </c>
    </row>
    <row r="71" spans="2:7" ht="15" x14ac:dyDescent="0.25">
      <c r="B71" s="92" t="s">
        <v>249</v>
      </c>
      <c r="C71" s="92" t="s">
        <v>448</v>
      </c>
      <c r="D71" s="92" t="s">
        <v>258</v>
      </c>
      <c r="E71" s="92" t="s">
        <v>441</v>
      </c>
      <c r="F71" s="92" t="s">
        <v>258</v>
      </c>
      <c r="G71" s="92" t="s">
        <v>467</v>
      </c>
    </row>
    <row r="72" spans="2:7" ht="15" x14ac:dyDescent="0.25">
      <c r="B72" s="92" t="s">
        <v>253</v>
      </c>
      <c r="C72" s="92" t="s">
        <v>440</v>
      </c>
      <c r="D72" s="92" t="s">
        <v>263</v>
      </c>
      <c r="E72" s="92" t="s">
        <v>450</v>
      </c>
      <c r="F72" s="92" t="s">
        <v>263</v>
      </c>
      <c r="G72" s="92" t="s">
        <v>456</v>
      </c>
    </row>
    <row r="73" spans="2:7" ht="15" x14ac:dyDescent="0.25">
      <c r="B73" s="92" t="s">
        <v>258</v>
      </c>
      <c r="C73" s="92" t="s">
        <v>455</v>
      </c>
      <c r="D73" s="92" t="s">
        <v>266</v>
      </c>
      <c r="E73" s="92" t="s">
        <v>467</v>
      </c>
      <c r="F73" s="92" t="s">
        <v>266</v>
      </c>
      <c r="G73" s="92" t="s">
        <v>442</v>
      </c>
    </row>
    <row r="74" spans="2:7" ht="15" x14ac:dyDescent="0.25">
      <c r="B74" s="92" t="s">
        <v>263</v>
      </c>
      <c r="C74" s="92" t="s">
        <v>449</v>
      </c>
      <c r="D74" s="92" t="s">
        <v>270</v>
      </c>
      <c r="E74" s="92" t="s">
        <v>456</v>
      </c>
      <c r="F74" s="92" t="s">
        <v>290</v>
      </c>
      <c r="G74" s="92" t="s">
        <v>290</v>
      </c>
    </row>
    <row r="75" spans="2:7" ht="15" x14ac:dyDescent="0.25">
      <c r="B75" s="92" t="s">
        <v>266</v>
      </c>
      <c r="C75" s="92" t="s">
        <v>441</v>
      </c>
      <c r="D75" s="92" t="s">
        <v>290</v>
      </c>
      <c r="E75" s="92" t="s">
        <v>290</v>
      </c>
      <c r="F75" s="92" t="s">
        <v>290</v>
      </c>
      <c r="G75" s="92" t="s">
        <v>290</v>
      </c>
    </row>
  </sheetData>
  <mergeCells count="3">
    <mergeCell ref="B64:C64"/>
    <mergeCell ref="D64:E64"/>
    <mergeCell ref="F64:G64"/>
  </mergeCells>
  <phoneticPr fontId="37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AI122"/>
  <sheetViews>
    <sheetView topLeftCell="A37" zoomScale="85" zoomScaleNormal="85" workbookViewId="0">
      <selection activeCell="O61" sqref="O61"/>
    </sheetView>
  </sheetViews>
  <sheetFormatPr defaultColWidth="9.140625" defaultRowHeight="12.75" x14ac:dyDescent="0.2"/>
  <cols>
    <col min="1" max="3" width="3.7109375" style="92" customWidth="1"/>
    <col min="4" max="4" width="4.7109375" style="92" customWidth="1"/>
    <col min="5" max="5" width="12.7109375" style="92" customWidth="1"/>
    <col min="6" max="6" width="4.7109375" style="92" customWidth="1"/>
    <col min="7" max="7" width="12.7109375" style="92" customWidth="1"/>
    <col min="8" max="8" width="4.7109375" style="92" customWidth="1"/>
    <col min="9" max="9" width="12.7109375" style="92" customWidth="1"/>
    <col min="10" max="10" width="4.7109375" style="92" customWidth="1"/>
    <col min="11" max="11" width="12.7109375" style="92" customWidth="1"/>
    <col min="12" max="12" width="4.7109375" style="92" customWidth="1"/>
    <col min="13" max="13" width="12.7109375" style="92" customWidth="1"/>
    <col min="14" max="14" width="4.7109375" style="92" customWidth="1"/>
    <col min="15" max="15" width="12.7109375" style="92" customWidth="1"/>
    <col min="16" max="16" width="4.7109375" style="92" customWidth="1"/>
    <col min="17" max="17" width="12.7109375" style="92" customWidth="1"/>
    <col min="18" max="18" width="4.7109375" style="92" customWidth="1"/>
    <col min="19" max="19" width="12.7109375" style="92" customWidth="1"/>
    <col min="20" max="20" width="4.7109375" style="92" customWidth="1"/>
    <col min="21" max="21" width="12.7109375" style="92" customWidth="1"/>
    <col min="22" max="22" width="4.7109375" style="92" customWidth="1"/>
    <col min="23" max="23" width="12.7109375" style="92" customWidth="1"/>
    <col min="24" max="24" width="4.7109375" style="92" customWidth="1"/>
    <col min="25" max="25" width="12.7109375" style="92" customWidth="1"/>
    <col min="26" max="26" width="4.7109375" style="92" customWidth="1"/>
    <col min="27" max="27" width="12.7109375" style="92" customWidth="1"/>
    <col min="28" max="28" width="4.7109375" style="92" customWidth="1"/>
    <col min="29" max="29" width="12.7109375" style="92" customWidth="1"/>
    <col min="30" max="30" width="4.7109375" style="92" customWidth="1"/>
    <col min="31" max="31" width="12.7109375" style="92" customWidth="1"/>
    <col min="32" max="32" width="4.7109375" style="92" customWidth="1"/>
    <col min="33" max="33" width="12.7109375" style="92" customWidth="1"/>
    <col min="34" max="34" width="4.7109375" style="92" customWidth="1"/>
    <col min="35" max="35" width="12.7109375" style="92" customWidth="1"/>
    <col min="36" max="16384" width="9.140625" style="92"/>
  </cols>
  <sheetData>
    <row r="1" spans="1:25" ht="18" x14ac:dyDescent="0.25">
      <c r="A1" s="90" t="s">
        <v>230</v>
      </c>
      <c r="B1" s="91"/>
      <c r="C1" s="91"/>
    </row>
    <row r="2" spans="1:25" x14ac:dyDescent="0.2">
      <c r="A2" s="93" t="s">
        <v>231</v>
      </c>
      <c r="B2" s="94"/>
      <c r="E2" s="93" t="s">
        <v>20</v>
      </c>
    </row>
    <row r="3" spans="1:25" x14ac:dyDescent="0.2">
      <c r="A3" s="93" t="s">
        <v>21</v>
      </c>
      <c r="B3" s="94"/>
      <c r="E3" s="93" t="s">
        <v>22</v>
      </c>
    </row>
    <row r="4" spans="1:25" x14ac:dyDescent="0.2">
      <c r="A4" s="93" t="s">
        <v>23</v>
      </c>
      <c r="B4" s="94"/>
      <c r="E4" s="93" t="s">
        <v>232</v>
      </c>
    </row>
    <row r="5" spans="1:25" x14ac:dyDescent="0.2">
      <c r="A5" s="93" t="s">
        <v>25</v>
      </c>
      <c r="B5" s="94"/>
      <c r="E5" s="93" t="s">
        <v>233</v>
      </c>
    </row>
    <row r="6" spans="1:25" x14ac:dyDescent="0.2">
      <c r="A6" s="93" t="s">
        <v>27</v>
      </c>
      <c r="B6" s="94"/>
      <c r="E6" s="94" t="s">
        <v>514</v>
      </c>
    </row>
    <row r="9" spans="1:25" x14ac:dyDescent="0.2">
      <c r="B9" s="102" t="s">
        <v>515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5" ht="39.950000000000003" customHeight="1" x14ac:dyDescent="0.2">
      <c r="F10" s="97"/>
      <c r="G10" s="97"/>
      <c r="H10" s="340" t="s">
        <v>656</v>
      </c>
      <c r="I10" s="341"/>
      <c r="J10" s="340" t="s">
        <v>657</v>
      </c>
      <c r="K10" s="341"/>
      <c r="L10" s="104" t="s">
        <v>673</v>
      </c>
      <c r="M10" s="104"/>
      <c r="N10" s="100"/>
      <c r="O10" s="100"/>
      <c r="P10" s="340" t="s">
        <v>658</v>
      </c>
      <c r="Q10" s="341"/>
      <c r="R10" s="97"/>
      <c r="S10" s="97"/>
      <c r="T10" s="340" t="s">
        <v>659</v>
      </c>
      <c r="U10" s="340"/>
      <c r="V10" s="340" t="s">
        <v>660</v>
      </c>
      <c r="W10" s="340"/>
      <c r="X10" s="340" t="s">
        <v>661</v>
      </c>
      <c r="Y10" s="340"/>
    </row>
    <row r="11" spans="1:25" ht="15" customHeight="1" x14ac:dyDescent="0.25">
      <c r="F11" s="97"/>
      <c r="G11" s="97"/>
      <c r="H11" s="340" t="s">
        <v>662</v>
      </c>
      <c r="I11" s="341"/>
      <c r="J11" s="340" t="s">
        <v>663</v>
      </c>
      <c r="K11" s="341"/>
      <c r="L11" s="105" t="s">
        <v>712</v>
      </c>
      <c r="M11" s="104"/>
      <c r="N11" s="100"/>
      <c r="O11" s="100"/>
      <c r="P11" s="340" t="s">
        <v>664</v>
      </c>
      <c r="Q11" s="341"/>
      <c r="R11" s="97"/>
      <c r="S11" s="97"/>
      <c r="T11" s="340" t="s">
        <v>516</v>
      </c>
      <c r="U11" s="340"/>
      <c r="V11" s="340" t="s">
        <v>666</v>
      </c>
      <c r="W11" s="340"/>
      <c r="X11" s="340" t="s">
        <v>667</v>
      </c>
      <c r="Y11" s="340"/>
    </row>
    <row r="12" spans="1:25" ht="12.75" customHeight="1" x14ac:dyDescent="0.2">
      <c r="B12" s="106" t="s">
        <v>517</v>
      </c>
      <c r="C12" s="107"/>
      <c r="D12" s="107"/>
      <c r="E12" s="107"/>
      <c r="F12" s="108"/>
      <c r="G12" s="108"/>
      <c r="H12" s="108"/>
      <c r="I12" s="108"/>
      <c r="J12" s="109"/>
      <c r="K12" s="108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25" s="110" customFormat="1" ht="15" customHeight="1" x14ac:dyDescent="0.25">
      <c r="F13" s="342" t="s">
        <v>670</v>
      </c>
      <c r="G13" s="343"/>
      <c r="H13" s="342" t="s">
        <v>671</v>
      </c>
      <c r="I13" s="343"/>
      <c r="J13" s="111" t="s">
        <v>672</v>
      </c>
      <c r="K13" s="112"/>
    </row>
    <row r="14" spans="1:25" ht="15" x14ac:dyDescent="0.25">
      <c r="F14" s="113" t="s">
        <v>674</v>
      </c>
      <c r="G14" s="107"/>
      <c r="H14" s="113" t="s">
        <v>675</v>
      </c>
      <c r="I14" s="107"/>
      <c r="J14" s="344" t="s">
        <v>663</v>
      </c>
      <c r="K14" s="345"/>
      <c r="M14" s="98"/>
      <c r="N14" s="98"/>
      <c r="O14" s="98"/>
    </row>
    <row r="15" spans="1:25" x14ac:dyDescent="0.2">
      <c r="B15" s="114" t="s">
        <v>518</v>
      </c>
      <c r="C15" s="115"/>
      <c r="D15" s="115"/>
      <c r="E15" s="115"/>
      <c r="F15" s="116"/>
      <c r="G15" s="115"/>
      <c r="H15" s="116"/>
      <c r="I15" s="115"/>
      <c r="J15" s="117"/>
      <c r="K15" s="118"/>
      <c r="L15" s="116"/>
      <c r="M15" s="116"/>
      <c r="N15" s="116"/>
      <c r="O15" s="116"/>
      <c r="P15" s="117"/>
      <c r="Q15" s="118"/>
      <c r="R15" s="118"/>
      <c r="S15" s="118"/>
      <c r="T15" s="119"/>
      <c r="U15" s="119"/>
      <c r="V15" s="119"/>
      <c r="W15" s="119"/>
      <c r="X15" s="119"/>
      <c r="Y15" s="119"/>
    </row>
    <row r="16" spans="1:25" s="110" customFormat="1" ht="15" customHeight="1" x14ac:dyDescent="0.2">
      <c r="D16" s="116" t="s">
        <v>678</v>
      </c>
      <c r="E16" s="120"/>
      <c r="F16" s="116" t="s">
        <v>679</v>
      </c>
      <c r="G16" s="120"/>
      <c r="H16" s="346" t="s">
        <v>671</v>
      </c>
      <c r="I16" s="347"/>
      <c r="J16" s="121" t="s">
        <v>672</v>
      </c>
      <c r="K16" s="120"/>
      <c r="L16" s="121" t="s">
        <v>673</v>
      </c>
      <c r="M16" s="122"/>
      <c r="N16" s="116" t="s">
        <v>680</v>
      </c>
      <c r="O16" s="116"/>
      <c r="P16" s="119"/>
      <c r="R16" s="116" t="s">
        <v>681</v>
      </c>
      <c r="S16" s="116"/>
      <c r="T16" s="119"/>
      <c r="U16" s="119"/>
      <c r="V16" s="119"/>
      <c r="W16" s="119"/>
      <c r="X16" s="119"/>
      <c r="Y16" s="119"/>
    </row>
    <row r="17" spans="4:29" ht="15" x14ac:dyDescent="0.25">
      <c r="D17" s="116" t="s">
        <v>682</v>
      </c>
      <c r="E17" s="115"/>
      <c r="F17" s="116" t="s">
        <v>674</v>
      </c>
      <c r="G17" s="115"/>
      <c r="H17" s="116" t="s">
        <v>675</v>
      </c>
      <c r="I17" s="115"/>
      <c r="J17" s="116" t="s">
        <v>663</v>
      </c>
      <c r="K17" s="118"/>
      <c r="L17" s="116" t="s">
        <v>712</v>
      </c>
      <c r="M17" s="116"/>
      <c r="N17" s="116" t="s">
        <v>664</v>
      </c>
      <c r="O17" s="116"/>
      <c r="P17" s="96"/>
      <c r="Q17" s="97"/>
      <c r="R17" s="116" t="s">
        <v>516</v>
      </c>
      <c r="S17" s="116"/>
      <c r="T17" s="96"/>
      <c r="U17" s="96"/>
      <c r="V17" s="96"/>
      <c r="W17" s="96"/>
      <c r="X17" s="96"/>
      <c r="Y17" s="96"/>
    </row>
    <row r="18" spans="4:29" ht="14.25" x14ac:dyDescent="0.2">
      <c r="D18" s="123" t="s">
        <v>695</v>
      </c>
      <c r="E18" s="124" t="s">
        <v>696</v>
      </c>
      <c r="F18" s="124" t="s">
        <v>695</v>
      </c>
      <c r="G18" s="124" t="s">
        <v>696</v>
      </c>
      <c r="H18" s="124" t="s">
        <v>695</v>
      </c>
      <c r="I18" s="124" t="s">
        <v>696</v>
      </c>
      <c r="J18" s="124" t="s">
        <v>695</v>
      </c>
      <c r="K18" s="124" t="s">
        <v>696</v>
      </c>
      <c r="L18" s="124" t="s">
        <v>695</v>
      </c>
      <c r="M18" s="124" t="s">
        <v>696</v>
      </c>
      <c r="N18" s="124" t="s">
        <v>695</v>
      </c>
      <c r="O18" s="124" t="s">
        <v>696</v>
      </c>
      <c r="P18" s="124" t="s">
        <v>695</v>
      </c>
      <c r="Q18" s="124" t="s">
        <v>696</v>
      </c>
      <c r="R18" s="124" t="s">
        <v>695</v>
      </c>
      <c r="S18" s="124" t="s">
        <v>696</v>
      </c>
      <c r="T18" s="124" t="s">
        <v>695</v>
      </c>
      <c r="U18" s="124" t="s">
        <v>696</v>
      </c>
      <c r="V18" s="124" t="s">
        <v>695</v>
      </c>
      <c r="W18" s="124" t="s">
        <v>696</v>
      </c>
      <c r="X18" s="124" t="s">
        <v>695</v>
      </c>
      <c r="Y18" s="125" t="s">
        <v>696</v>
      </c>
    </row>
    <row r="19" spans="4:29" ht="15" x14ac:dyDescent="0.25">
      <c r="D19" s="92" t="s">
        <v>238</v>
      </c>
      <c r="E19" s="92" t="s">
        <v>240</v>
      </c>
      <c r="F19" s="92" t="s">
        <v>238</v>
      </c>
      <c r="G19" s="92" t="s">
        <v>239</v>
      </c>
      <c r="H19" s="92" t="s">
        <v>238</v>
      </c>
      <c r="I19" s="92" t="s">
        <v>239</v>
      </c>
      <c r="J19" s="92" t="s">
        <v>238</v>
      </c>
      <c r="K19" s="92" t="s">
        <v>240</v>
      </c>
      <c r="L19" s="92" t="s">
        <v>238</v>
      </c>
      <c r="M19" s="92" t="s">
        <v>240</v>
      </c>
      <c r="N19" s="92" t="s">
        <v>238</v>
      </c>
      <c r="O19" s="92" t="s">
        <v>241</v>
      </c>
      <c r="P19" s="92" t="s">
        <v>238</v>
      </c>
      <c r="Q19" s="92" t="s">
        <v>241</v>
      </c>
      <c r="R19" s="92" t="s">
        <v>238</v>
      </c>
      <c r="S19" s="92" t="s">
        <v>241</v>
      </c>
      <c r="T19" s="92" t="s">
        <v>238</v>
      </c>
      <c r="U19" s="92" t="s">
        <v>241</v>
      </c>
      <c r="V19" s="92" t="s">
        <v>238</v>
      </c>
      <c r="W19" s="92" t="s">
        <v>242</v>
      </c>
      <c r="X19" s="92" t="s">
        <v>238</v>
      </c>
      <c r="Y19" s="92" t="s">
        <v>243</v>
      </c>
    </row>
    <row r="20" spans="4:29" ht="15" x14ac:dyDescent="0.25">
      <c r="D20" s="92" t="s">
        <v>244</v>
      </c>
      <c r="E20" s="92" t="s">
        <v>245</v>
      </c>
      <c r="F20" s="92" t="s">
        <v>244</v>
      </c>
      <c r="G20" s="92" t="s">
        <v>240</v>
      </c>
      <c r="H20" s="92" t="s">
        <v>244</v>
      </c>
      <c r="I20" s="92" t="s">
        <v>240</v>
      </c>
      <c r="J20" s="92" t="s">
        <v>244</v>
      </c>
      <c r="K20" s="92" t="s">
        <v>245</v>
      </c>
      <c r="L20" s="92" t="s">
        <v>244</v>
      </c>
      <c r="M20" s="92" t="s">
        <v>245</v>
      </c>
      <c r="N20" s="92" t="s">
        <v>244</v>
      </c>
      <c r="O20" s="92" t="s">
        <v>246</v>
      </c>
      <c r="P20" s="92" t="s">
        <v>244</v>
      </c>
      <c r="Q20" s="92" t="s">
        <v>246</v>
      </c>
      <c r="R20" s="92" t="s">
        <v>244</v>
      </c>
      <c r="S20" s="92" t="s">
        <v>246</v>
      </c>
      <c r="T20" s="92" t="s">
        <v>244</v>
      </c>
      <c r="U20" s="92" t="s">
        <v>246</v>
      </c>
      <c r="V20" s="92" t="s">
        <v>244</v>
      </c>
      <c r="W20" s="92" t="s">
        <v>247</v>
      </c>
      <c r="X20" s="92" t="s">
        <v>244</v>
      </c>
      <c r="Y20" s="92" t="s">
        <v>248</v>
      </c>
    </row>
    <row r="21" spans="4:29" ht="15" x14ac:dyDescent="0.25">
      <c r="D21" s="92" t="s">
        <v>249</v>
      </c>
      <c r="E21" s="92" t="s">
        <v>246</v>
      </c>
      <c r="F21" s="92" t="s">
        <v>249</v>
      </c>
      <c r="G21" s="92" t="s">
        <v>241</v>
      </c>
      <c r="H21" s="92" t="s">
        <v>249</v>
      </c>
      <c r="I21" s="92" t="s">
        <v>241</v>
      </c>
      <c r="J21" s="92" t="s">
        <v>249</v>
      </c>
      <c r="K21" s="92" t="s">
        <v>246</v>
      </c>
      <c r="L21" s="92" t="s">
        <v>249</v>
      </c>
      <c r="M21" s="92" t="s">
        <v>246</v>
      </c>
      <c r="N21" s="92" t="s">
        <v>249</v>
      </c>
      <c r="O21" s="92" t="s">
        <v>250</v>
      </c>
      <c r="P21" s="92" t="s">
        <v>249</v>
      </c>
      <c r="Q21" s="92" t="s">
        <v>250</v>
      </c>
      <c r="R21" s="92" t="s">
        <v>249</v>
      </c>
      <c r="S21" s="92" t="s">
        <v>250</v>
      </c>
      <c r="T21" s="92" t="s">
        <v>249</v>
      </c>
      <c r="U21" s="92" t="s">
        <v>250</v>
      </c>
      <c r="V21" s="92" t="s">
        <v>249</v>
      </c>
      <c r="W21" s="92" t="s">
        <v>251</v>
      </c>
      <c r="X21" s="92" t="s">
        <v>249</v>
      </c>
      <c r="Y21" s="92" t="s">
        <v>252</v>
      </c>
    </row>
    <row r="22" spans="4:29" ht="15" x14ac:dyDescent="0.25">
      <c r="D22" s="92" t="s">
        <v>253</v>
      </c>
      <c r="E22" s="92" t="s">
        <v>254</v>
      </c>
      <c r="F22" s="92" t="s">
        <v>253</v>
      </c>
      <c r="G22" s="92" t="s">
        <v>245</v>
      </c>
      <c r="H22" s="92" t="s">
        <v>253</v>
      </c>
      <c r="I22" s="92" t="s">
        <v>245</v>
      </c>
      <c r="J22" s="92" t="s">
        <v>253</v>
      </c>
      <c r="K22" s="92" t="s">
        <v>254</v>
      </c>
      <c r="L22" s="92" t="s">
        <v>253</v>
      </c>
      <c r="M22" s="92" t="s">
        <v>254</v>
      </c>
      <c r="N22" s="92" t="s">
        <v>253</v>
      </c>
      <c r="O22" s="92" t="s">
        <v>255</v>
      </c>
      <c r="P22" s="92" t="s">
        <v>253</v>
      </c>
      <c r="Q22" s="92" t="s">
        <v>255</v>
      </c>
      <c r="R22" s="92" t="s">
        <v>253</v>
      </c>
      <c r="S22" s="92" t="s">
        <v>255</v>
      </c>
      <c r="T22" s="92" t="s">
        <v>253</v>
      </c>
      <c r="U22" s="92" t="s">
        <v>255</v>
      </c>
      <c r="V22" s="92" t="s">
        <v>253</v>
      </c>
      <c r="W22" s="92" t="s">
        <v>256</v>
      </c>
      <c r="X22" s="92" t="s">
        <v>253</v>
      </c>
      <c r="Y22" s="92" t="s">
        <v>257</v>
      </c>
    </row>
    <row r="23" spans="4:29" ht="15" x14ac:dyDescent="0.25">
      <c r="D23" s="92" t="s">
        <v>258</v>
      </c>
      <c r="E23" s="92" t="s">
        <v>250</v>
      </c>
      <c r="F23" s="92" t="s">
        <v>258</v>
      </c>
      <c r="G23" s="92" t="s">
        <v>259</v>
      </c>
      <c r="H23" s="92" t="s">
        <v>258</v>
      </c>
      <c r="I23" s="92" t="s">
        <v>259</v>
      </c>
      <c r="J23" s="92" t="s">
        <v>258</v>
      </c>
      <c r="K23" s="92" t="s">
        <v>250</v>
      </c>
      <c r="L23" s="92" t="s">
        <v>258</v>
      </c>
      <c r="M23" s="92" t="s">
        <v>250</v>
      </c>
      <c r="N23" s="92" t="s">
        <v>258</v>
      </c>
      <c r="O23" s="92" t="s">
        <v>260</v>
      </c>
      <c r="P23" s="92" t="s">
        <v>258</v>
      </c>
      <c r="Q23" s="92" t="s">
        <v>260</v>
      </c>
      <c r="R23" s="92" t="s">
        <v>258</v>
      </c>
      <c r="S23" s="92" t="s">
        <v>260</v>
      </c>
      <c r="T23" s="92" t="s">
        <v>258</v>
      </c>
      <c r="U23" s="92" t="s">
        <v>260</v>
      </c>
      <c r="V23" s="92" t="s">
        <v>258</v>
      </c>
      <c r="W23" s="92" t="s">
        <v>261</v>
      </c>
      <c r="X23" s="92" t="s">
        <v>258</v>
      </c>
      <c r="Y23" s="92" t="s">
        <v>262</v>
      </c>
    </row>
    <row r="24" spans="4:29" ht="15" x14ac:dyDescent="0.25">
      <c r="D24" s="92" t="s">
        <v>263</v>
      </c>
      <c r="E24" s="92" t="s">
        <v>264</v>
      </c>
      <c r="F24" s="92" t="s">
        <v>263</v>
      </c>
      <c r="G24" s="92" t="s">
        <v>246</v>
      </c>
      <c r="H24" s="92" t="s">
        <v>263</v>
      </c>
      <c r="I24" s="92" t="s">
        <v>246</v>
      </c>
      <c r="J24" s="92" t="s">
        <v>263</v>
      </c>
      <c r="K24" s="92" t="s">
        <v>264</v>
      </c>
      <c r="L24" s="92" t="s">
        <v>263</v>
      </c>
      <c r="M24" s="92" t="s">
        <v>264</v>
      </c>
      <c r="N24" s="92" t="s">
        <v>263</v>
      </c>
      <c r="O24" s="92" t="s">
        <v>262</v>
      </c>
      <c r="P24" s="92" t="s">
        <v>263</v>
      </c>
      <c r="Q24" s="92" t="s">
        <v>262</v>
      </c>
      <c r="R24" s="92" t="s">
        <v>263</v>
      </c>
      <c r="S24" s="92" t="s">
        <v>262</v>
      </c>
      <c r="T24" s="92" t="s">
        <v>263</v>
      </c>
      <c r="U24" s="92" t="s">
        <v>262</v>
      </c>
      <c r="V24" s="92" t="s">
        <v>263</v>
      </c>
      <c r="W24" s="92" t="s">
        <v>262</v>
      </c>
      <c r="X24" s="92" t="s">
        <v>263</v>
      </c>
      <c r="Y24" s="92" t="s">
        <v>265</v>
      </c>
    </row>
    <row r="25" spans="4:29" ht="15" x14ac:dyDescent="0.25">
      <c r="D25" s="92" t="s">
        <v>266</v>
      </c>
      <c r="E25" s="92" t="s">
        <v>255</v>
      </c>
      <c r="F25" s="92" t="s">
        <v>266</v>
      </c>
      <c r="G25" s="92" t="s">
        <v>254</v>
      </c>
      <c r="H25" s="92" t="s">
        <v>266</v>
      </c>
      <c r="I25" s="92" t="s">
        <v>254</v>
      </c>
      <c r="J25" s="92" t="s">
        <v>266</v>
      </c>
      <c r="K25" s="92" t="s">
        <v>255</v>
      </c>
      <c r="L25" s="92" t="s">
        <v>266</v>
      </c>
      <c r="M25" s="92" t="s">
        <v>255</v>
      </c>
      <c r="N25" s="92" t="s">
        <v>266</v>
      </c>
      <c r="O25" s="92" t="s">
        <v>267</v>
      </c>
      <c r="P25" s="92" t="s">
        <v>266</v>
      </c>
      <c r="Q25" s="92" t="s">
        <v>267</v>
      </c>
      <c r="R25" s="92" t="s">
        <v>266</v>
      </c>
      <c r="S25" s="92" t="s">
        <v>267</v>
      </c>
      <c r="T25" s="92" t="s">
        <v>266</v>
      </c>
      <c r="U25" s="92" t="s">
        <v>267</v>
      </c>
      <c r="V25" s="92" t="s">
        <v>266</v>
      </c>
      <c r="W25" s="92" t="s">
        <v>268</v>
      </c>
      <c r="X25" s="92" t="s">
        <v>266</v>
      </c>
      <c r="Y25" s="92" t="s">
        <v>269</v>
      </c>
    </row>
    <row r="26" spans="4:29" ht="15" x14ac:dyDescent="0.25">
      <c r="D26" s="92" t="s">
        <v>270</v>
      </c>
      <c r="E26" s="92" t="s">
        <v>271</v>
      </c>
      <c r="F26" s="92" t="s">
        <v>270</v>
      </c>
      <c r="G26" s="92" t="s">
        <v>250</v>
      </c>
      <c r="H26" s="92" t="s">
        <v>270</v>
      </c>
      <c r="I26" s="92" t="s">
        <v>250</v>
      </c>
      <c r="J26" s="92" t="s">
        <v>270</v>
      </c>
      <c r="K26" s="92" t="s">
        <v>271</v>
      </c>
      <c r="L26" s="92" t="s">
        <v>270</v>
      </c>
      <c r="M26" s="92" t="s">
        <v>271</v>
      </c>
      <c r="N26" s="92" t="s">
        <v>270</v>
      </c>
      <c r="O26" s="92" t="s">
        <v>272</v>
      </c>
      <c r="P26" s="92" t="s">
        <v>270</v>
      </c>
      <c r="Q26" s="92" t="s">
        <v>272</v>
      </c>
      <c r="R26" s="92" t="s">
        <v>270</v>
      </c>
      <c r="S26" s="92" t="s">
        <v>272</v>
      </c>
      <c r="T26" s="92" t="s">
        <v>270</v>
      </c>
      <c r="U26" s="92" t="s">
        <v>272</v>
      </c>
      <c r="V26" s="92" t="s">
        <v>270</v>
      </c>
      <c r="W26" s="92" t="s">
        <v>265</v>
      </c>
      <c r="X26" s="92" t="s">
        <v>270</v>
      </c>
      <c r="Y26" s="92" t="s">
        <v>273</v>
      </c>
    </row>
    <row r="27" spans="4:29" ht="15" x14ac:dyDescent="0.25">
      <c r="D27" s="92" t="s">
        <v>274</v>
      </c>
      <c r="E27" s="92" t="s">
        <v>260</v>
      </c>
      <c r="F27" s="92" t="s">
        <v>274</v>
      </c>
      <c r="G27" s="92" t="s">
        <v>264</v>
      </c>
      <c r="H27" s="92" t="s">
        <v>274</v>
      </c>
      <c r="I27" s="92" t="s">
        <v>264</v>
      </c>
      <c r="J27" s="92" t="s">
        <v>274</v>
      </c>
      <c r="K27" s="92" t="s">
        <v>260</v>
      </c>
      <c r="L27" s="92" t="s">
        <v>274</v>
      </c>
      <c r="M27" s="92" t="s">
        <v>260</v>
      </c>
      <c r="N27" s="92" t="s">
        <v>274</v>
      </c>
      <c r="O27" s="92" t="s">
        <v>275</v>
      </c>
      <c r="P27" s="92" t="s">
        <v>274</v>
      </c>
      <c r="Q27" s="92" t="s">
        <v>275</v>
      </c>
      <c r="R27" s="92" t="s">
        <v>274</v>
      </c>
      <c r="S27" s="92" t="s">
        <v>275</v>
      </c>
      <c r="T27" s="92" t="s">
        <v>274</v>
      </c>
      <c r="U27" s="92" t="s">
        <v>275</v>
      </c>
      <c r="V27" s="92" t="s">
        <v>274</v>
      </c>
      <c r="W27" s="92" t="s">
        <v>276</v>
      </c>
      <c r="X27" s="92" t="s">
        <v>274</v>
      </c>
      <c r="Y27" s="92" t="s">
        <v>277</v>
      </c>
    </row>
    <row r="28" spans="4:29" ht="15" x14ac:dyDescent="0.25">
      <c r="D28" s="92" t="s">
        <v>278</v>
      </c>
      <c r="E28" s="92" t="s">
        <v>262</v>
      </c>
      <c r="F28" s="92" t="s">
        <v>278</v>
      </c>
      <c r="G28" s="92" t="s">
        <v>255</v>
      </c>
      <c r="H28" s="92" t="s">
        <v>278</v>
      </c>
      <c r="I28" s="92" t="s">
        <v>255</v>
      </c>
      <c r="J28" s="92" t="s">
        <v>278</v>
      </c>
      <c r="K28" s="92" t="s">
        <v>262</v>
      </c>
      <c r="L28" s="92" t="s">
        <v>278</v>
      </c>
      <c r="M28" s="92" t="s">
        <v>262</v>
      </c>
      <c r="N28" s="92" t="s">
        <v>278</v>
      </c>
      <c r="O28" s="92" t="s">
        <v>279</v>
      </c>
      <c r="P28" s="92" t="s">
        <v>278</v>
      </c>
      <c r="Q28" s="92" t="s">
        <v>279</v>
      </c>
      <c r="R28" s="92" t="s">
        <v>278</v>
      </c>
      <c r="S28" s="92" t="s">
        <v>279</v>
      </c>
      <c r="T28" s="92" t="s">
        <v>278</v>
      </c>
      <c r="U28" s="92" t="s">
        <v>279</v>
      </c>
      <c r="V28" s="92" t="s">
        <v>278</v>
      </c>
      <c r="W28" s="92" t="s">
        <v>269</v>
      </c>
      <c r="X28" s="92" t="s">
        <v>278</v>
      </c>
      <c r="Y28" s="92" t="s">
        <v>280</v>
      </c>
    </row>
    <row r="29" spans="4:29" ht="15" x14ac:dyDescent="0.25">
      <c r="F29" s="92" t="s">
        <v>281</v>
      </c>
      <c r="G29" s="92" t="s">
        <v>271</v>
      </c>
      <c r="H29" s="92" t="s">
        <v>281</v>
      </c>
      <c r="I29" s="92" t="s">
        <v>271</v>
      </c>
      <c r="J29" s="92" t="s">
        <v>281</v>
      </c>
      <c r="K29" s="92" t="s">
        <v>267</v>
      </c>
      <c r="L29" s="92" t="s">
        <v>281</v>
      </c>
      <c r="M29" s="92" t="s">
        <v>267</v>
      </c>
      <c r="N29" s="92" t="s">
        <v>281</v>
      </c>
      <c r="O29" s="92" t="s">
        <v>282</v>
      </c>
      <c r="P29" s="92" t="s">
        <v>281</v>
      </c>
      <c r="Q29" s="92" t="s">
        <v>282</v>
      </c>
      <c r="R29" s="92" t="s">
        <v>281</v>
      </c>
      <c r="S29" s="92" t="s">
        <v>282</v>
      </c>
      <c r="T29" s="92" t="s">
        <v>281</v>
      </c>
      <c r="U29" s="92" t="s">
        <v>282</v>
      </c>
      <c r="V29" s="92" t="s">
        <v>281</v>
      </c>
      <c r="W29" s="92" t="s">
        <v>273</v>
      </c>
      <c r="X29" s="92" t="s">
        <v>281</v>
      </c>
      <c r="Y29" s="92" t="s">
        <v>283</v>
      </c>
    </row>
    <row r="30" spans="4:29" ht="15" x14ac:dyDescent="0.25">
      <c r="H30" s="92" t="s">
        <v>284</v>
      </c>
      <c r="I30" s="92" t="s">
        <v>260</v>
      </c>
      <c r="J30" s="92" t="s">
        <v>284</v>
      </c>
      <c r="K30" s="92" t="s">
        <v>272</v>
      </c>
      <c r="L30" s="92" t="s">
        <v>284</v>
      </c>
      <c r="M30" s="92" t="s">
        <v>272</v>
      </c>
      <c r="N30" s="92" t="s">
        <v>284</v>
      </c>
      <c r="O30" s="92" t="s">
        <v>285</v>
      </c>
      <c r="P30" s="92" t="s">
        <v>284</v>
      </c>
      <c r="Q30" s="92" t="s">
        <v>285</v>
      </c>
      <c r="R30" s="92" t="s">
        <v>284</v>
      </c>
      <c r="S30" s="92" t="s">
        <v>285</v>
      </c>
      <c r="T30" s="92" t="s">
        <v>284</v>
      </c>
      <c r="U30" s="92" t="s">
        <v>285</v>
      </c>
      <c r="V30" s="92" t="s">
        <v>284</v>
      </c>
      <c r="W30" s="92" t="s">
        <v>277</v>
      </c>
      <c r="X30" s="92" t="s">
        <v>284</v>
      </c>
      <c r="Y30" s="92" t="s">
        <v>286</v>
      </c>
      <c r="Z30" s="92" t="s">
        <v>290</v>
      </c>
      <c r="AA30" s="92" t="s">
        <v>290</v>
      </c>
    </row>
    <row r="31" spans="4:29" ht="15" x14ac:dyDescent="0.25">
      <c r="H31" s="92" t="s">
        <v>287</v>
      </c>
      <c r="I31" s="92" t="s">
        <v>262</v>
      </c>
      <c r="J31" s="92" t="s">
        <v>287</v>
      </c>
      <c r="K31" s="92" t="s">
        <v>275</v>
      </c>
      <c r="L31" s="92" t="s">
        <v>287</v>
      </c>
      <c r="M31" s="92" t="s">
        <v>275</v>
      </c>
      <c r="N31" s="92" t="s">
        <v>287</v>
      </c>
      <c r="O31" s="92" t="s">
        <v>288</v>
      </c>
      <c r="P31" s="92" t="s">
        <v>287</v>
      </c>
      <c r="Q31" s="92" t="s">
        <v>288</v>
      </c>
      <c r="R31" s="92" t="s">
        <v>287</v>
      </c>
      <c r="S31" s="92" t="s">
        <v>288</v>
      </c>
      <c r="T31" s="92" t="s">
        <v>287</v>
      </c>
      <c r="U31" s="92" t="s">
        <v>288</v>
      </c>
      <c r="V31" s="92" t="s">
        <v>287</v>
      </c>
      <c r="W31" s="92" t="s">
        <v>280</v>
      </c>
      <c r="X31" s="92" t="s">
        <v>287</v>
      </c>
      <c r="Y31" s="92" t="s">
        <v>289</v>
      </c>
      <c r="Z31" s="92" t="s">
        <v>290</v>
      </c>
      <c r="AA31" s="92" t="s">
        <v>290</v>
      </c>
    </row>
    <row r="32" spans="4:29" ht="15" x14ac:dyDescent="0.25">
      <c r="J32" s="92" t="s">
        <v>291</v>
      </c>
      <c r="K32" s="92" t="s">
        <v>279</v>
      </c>
      <c r="L32" s="92" t="s">
        <v>291</v>
      </c>
      <c r="M32" s="92" t="s">
        <v>279</v>
      </c>
      <c r="P32" s="92" t="s">
        <v>291</v>
      </c>
      <c r="Q32" s="92" t="s">
        <v>292</v>
      </c>
      <c r="R32" s="92" t="s">
        <v>313</v>
      </c>
      <c r="S32" s="92" t="s">
        <v>292</v>
      </c>
      <c r="T32" s="92" t="s">
        <v>291</v>
      </c>
      <c r="U32" s="92" t="s">
        <v>292</v>
      </c>
      <c r="V32" s="92" t="s">
        <v>291</v>
      </c>
      <c r="W32" s="92" t="s">
        <v>283</v>
      </c>
      <c r="X32" s="92" t="s">
        <v>291</v>
      </c>
      <c r="Y32" s="92" t="s">
        <v>293</v>
      </c>
      <c r="Z32" s="92" t="s">
        <v>290</v>
      </c>
      <c r="AA32" s="92" t="s">
        <v>290</v>
      </c>
      <c r="AB32" s="92" t="s">
        <v>290</v>
      </c>
      <c r="AC32" s="92" t="s">
        <v>290</v>
      </c>
    </row>
    <row r="33" spans="2:31" ht="15" x14ac:dyDescent="0.25">
      <c r="J33" s="92" t="s">
        <v>294</v>
      </c>
      <c r="K33" s="92" t="s">
        <v>282</v>
      </c>
      <c r="L33" s="92" t="s">
        <v>294</v>
      </c>
      <c r="M33" s="92" t="s">
        <v>282</v>
      </c>
      <c r="P33" s="92" t="s">
        <v>294</v>
      </c>
      <c r="Q33" s="92" t="s">
        <v>295</v>
      </c>
      <c r="R33" s="92" t="s">
        <v>314</v>
      </c>
      <c r="S33" s="92" t="s">
        <v>295</v>
      </c>
      <c r="T33" s="92" t="s">
        <v>294</v>
      </c>
      <c r="U33" s="92" t="s">
        <v>295</v>
      </c>
      <c r="V33" s="92" t="s">
        <v>294</v>
      </c>
      <c r="W33" s="92" t="s">
        <v>286</v>
      </c>
      <c r="X33" s="92" t="s">
        <v>294</v>
      </c>
      <c r="Y33" s="92" t="s">
        <v>296</v>
      </c>
      <c r="Z33" s="92" t="s">
        <v>290</v>
      </c>
      <c r="AA33" s="92" t="s">
        <v>290</v>
      </c>
      <c r="AB33" s="92" t="s">
        <v>290</v>
      </c>
      <c r="AC33" s="92" t="s">
        <v>290</v>
      </c>
    </row>
    <row r="34" spans="2:31" ht="15" x14ac:dyDescent="0.25">
      <c r="J34" s="92" t="s">
        <v>290</v>
      </c>
      <c r="K34" s="92" t="s">
        <v>290</v>
      </c>
      <c r="L34" s="92" t="s">
        <v>311</v>
      </c>
      <c r="M34" s="92" t="s">
        <v>285</v>
      </c>
      <c r="P34" s="92" t="s">
        <v>297</v>
      </c>
      <c r="Q34" s="92" t="s">
        <v>298</v>
      </c>
      <c r="T34" s="92" t="s">
        <v>297</v>
      </c>
      <c r="U34" s="92" t="s">
        <v>298</v>
      </c>
      <c r="V34" s="92" t="s">
        <v>297</v>
      </c>
      <c r="W34" s="92" t="s">
        <v>289</v>
      </c>
      <c r="X34" s="92" t="s">
        <v>297</v>
      </c>
      <c r="Y34" s="92" t="s">
        <v>299</v>
      </c>
      <c r="Z34" s="92" t="s">
        <v>290</v>
      </c>
      <c r="AA34" s="92" t="s">
        <v>290</v>
      </c>
      <c r="AB34" s="92" t="s">
        <v>290</v>
      </c>
      <c r="AC34" s="92" t="s">
        <v>290</v>
      </c>
      <c r="AD34" s="92" t="s">
        <v>290</v>
      </c>
      <c r="AE34" s="92" t="s">
        <v>290</v>
      </c>
    </row>
    <row r="35" spans="2:31" ht="15" x14ac:dyDescent="0.25">
      <c r="J35" s="92" t="s">
        <v>290</v>
      </c>
      <c r="K35" s="92" t="s">
        <v>290</v>
      </c>
      <c r="L35" s="92" t="s">
        <v>300</v>
      </c>
      <c r="M35" s="92" t="s">
        <v>288</v>
      </c>
      <c r="P35" s="92" t="s">
        <v>290</v>
      </c>
      <c r="Q35" s="92" t="s">
        <v>290</v>
      </c>
      <c r="T35" s="92" t="s">
        <v>300</v>
      </c>
      <c r="U35" s="92" t="s">
        <v>301</v>
      </c>
      <c r="V35" s="92" t="s">
        <v>302</v>
      </c>
      <c r="W35" s="92" t="s">
        <v>293</v>
      </c>
      <c r="X35" s="92" t="s">
        <v>302</v>
      </c>
      <c r="Y35" s="92" t="s">
        <v>303</v>
      </c>
      <c r="Z35" s="92" t="s">
        <v>290</v>
      </c>
      <c r="AA35" s="92" t="s">
        <v>290</v>
      </c>
      <c r="AB35" s="92" t="s">
        <v>290</v>
      </c>
      <c r="AC35" s="92" t="s">
        <v>290</v>
      </c>
      <c r="AD35" s="92" t="s">
        <v>290</v>
      </c>
      <c r="AE35" s="92" t="s">
        <v>290</v>
      </c>
    </row>
    <row r="36" spans="2:31" ht="15" x14ac:dyDescent="0.25">
      <c r="J36" s="92" t="s">
        <v>290</v>
      </c>
      <c r="K36" s="92" t="s">
        <v>290</v>
      </c>
      <c r="P36" s="92" t="s">
        <v>290</v>
      </c>
      <c r="Q36" s="92" t="s">
        <v>290</v>
      </c>
      <c r="T36" s="92" t="s">
        <v>304</v>
      </c>
      <c r="U36" s="92" t="s">
        <v>305</v>
      </c>
      <c r="V36" s="92" t="s">
        <v>306</v>
      </c>
      <c r="W36" s="92" t="s">
        <v>307</v>
      </c>
      <c r="X36" s="92" t="s">
        <v>306</v>
      </c>
      <c r="Y36" s="92" t="s">
        <v>308</v>
      </c>
    </row>
    <row r="38" spans="2:31" x14ac:dyDescent="0.2">
      <c r="F38" s="98"/>
      <c r="J38" s="98"/>
      <c r="K38" s="98"/>
      <c r="N38" s="98"/>
      <c r="O38" s="98"/>
    </row>
    <row r="39" spans="2:31" x14ac:dyDescent="0.2">
      <c r="B39" s="126" t="s">
        <v>519</v>
      </c>
      <c r="C39" s="126"/>
      <c r="D39" s="127"/>
      <c r="E39" s="127"/>
      <c r="F39" s="128"/>
      <c r="G39" s="127"/>
      <c r="H39" s="128"/>
      <c r="I39" s="127"/>
      <c r="J39" s="128"/>
      <c r="K39" s="128"/>
      <c r="N39" s="98"/>
      <c r="O39" s="98"/>
    </row>
    <row r="40" spans="2:31" x14ac:dyDescent="0.2">
      <c r="D40" s="350" t="s">
        <v>683</v>
      </c>
      <c r="E40" s="351"/>
      <c r="F40" s="350" t="s">
        <v>684</v>
      </c>
      <c r="G40" s="351"/>
      <c r="H40" s="129" t="s">
        <v>685</v>
      </c>
      <c r="I40" s="129"/>
      <c r="J40" s="129" t="s">
        <v>685</v>
      </c>
      <c r="K40" s="129"/>
      <c r="N40" s="98"/>
      <c r="O40" s="98"/>
    </row>
    <row r="41" spans="2:31" ht="15" x14ac:dyDescent="0.25">
      <c r="D41" s="128" t="s">
        <v>686</v>
      </c>
      <c r="E41" s="127"/>
      <c r="F41" s="128" t="s">
        <v>687</v>
      </c>
      <c r="G41" s="127"/>
      <c r="H41" s="128" t="s">
        <v>688</v>
      </c>
      <c r="I41" s="128"/>
      <c r="J41" s="128" t="s">
        <v>689</v>
      </c>
      <c r="K41" s="128"/>
    </row>
    <row r="42" spans="2:31" ht="14.25" x14ac:dyDescent="0.2">
      <c r="D42" s="123" t="s">
        <v>695</v>
      </c>
      <c r="E42" s="124" t="s">
        <v>696</v>
      </c>
      <c r="F42" s="124" t="s">
        <v>695</v>
      </c>
      <c r="G42" s="124" t="s">
        <v>696</v>
      </c>
      <c r="H42" s="124" t="s">
        <v>695</v>
      </c>
      <c r="I42" s="124" t="s">
        <v>696</v>
      </c>
      <c r="J42" s="124" t="s">
        <v>695</v>
      </c>
      <c r="K42" s="125" t="s">
        <v>696</v>
      </c>
    </row>
    <row r="43" spans="2:31" ht="15" x14ac:dyDescent="0.25">
      <c r="D43" s="92" t="s">
        <v>238</v>
      </c>
      <c r="E43" s="92" t="s">
        <v>316</v>
      </c>
      <c r="F43" s="92" t="s">
        <v>238</v>
      </c>
      <c r="G43" s="92" t="s">
        <v>317</v>
      </c>
      <c r="H43" s="92" t="s">
        <v>238</v>
      </c>
      <c r="I43" s="92" t="s">
        <v>318</v>
      </c>
      <c r="J43" s="92" t="s">
        <v>238</v>
      </c>
      <c r="K43" s="92" t="s">
        <v>319</v>
      </c>
    </row>
    <row r="44" spans="2:31" ht="15" x14ac:dyDescent="0.25">
      <c r="D44" s="92" t="s">
        <v>244</v>
      </c>
      <c r="E44" s="92" t="s">
        <v>320</v>
      </c>
      <c r="F44" s="92" t="s">
        <v>244</v>
      </c>
      <c r="G44" s="92" t="s">
        <v>318</v>
      </c>
      <c r="H44" s="92" t="s">
        <v>244</v>
      </c>
      <c r="I44" s="92" t="s">
        <v>319</v>
      </c>
      <c r="J44" s="92" t="s">
        <v>244</v>
      </c>
      <c r="K44" s="92" t="s">
        <v>321</v>
      </c>
    </row>
    <row r="45" spans="2:31" ht="15" x14ac:dyDescent="0.25">
      <c r="D45" s="92" t="s">
        <v>249</v>
      </c>
      <c r="E45" s="92" t="s">
        <v>322</v>
      </c>
      <c r="F45" s="92" t="s">
        <v>249</v>
      </c>
      <c r="G45" s="92" t="s">
        <v>319</v>
      </c>
      <c r="H45" s="92" t="s">
        <v>249</v>
      </c>
      <c r="I45" s="92" t="s">
        <v>321</v>
      </c>
      <c r="J45" s="92" t="s">
        <v>249</v>
      </c>
      <c r="K45" s="92" t="s">
        <v>323</v>
      </c>
    </row>
    <row r="46" spans="2:31" ht="15" x14ac:dyDescent="0.25">
      <c r="D46" s="92" t="s">
        <v>253</v>
      </c>
      <c r="E46" s="92" t="s">
        <v>324</v>
      </c>
      <c r="F46" s="92" t="s">
        <v>253</v>
      </c>
      <c r="G46" s="92" t="s">
        <v>325</v>
      </c>
      <c r="H46" s="92" t="s">
        <v>253</v>
      </c>
      <c r="I46" s="92" t="s">
        <v>323</v>
      </c>
      <c r="J46" s="92" t="s">
        <v>253</v>
      </c>
      <c r="K46" s="92" t="s">
        <v>326</v>
      </c>
    </row>
    <row r="47" spans="2:31" ht="15" x14ac:dyDescent="0.25">
      <c r="D47" s="92" t="s">
        <v>258</v>
      </c>
      <c r="E47" s="92" t="s">
        <v>327</v>
      </c>
      <c r="F47" s="92" t="s">
        <v>258</v>
      </c>
      <c r="G47" s="92" t="s">
        <v>321</v>
      </c>
      <c r="H47" s="92" t="s">
        <v>258</v>
      </c>
      <c r="I47" s="92" t="s">
        <v>328</v>
      </c>
      <c r="J47" s="92" t="s">
        <v>258</v>
      </c>
      <c r="K47" s="92" t="s">
        <v>329</v>
      </c>
    </row>
    <row r="48" spans="2:31" ht="15" x14ac:dyDescent="0.25">
      <c r="D48" s="92" t="s">
        <v>263</v>
      </c>
      <c r="E48" s="92" t="s">
        <v>330</v>
      </c>
      <c r="F48" s="92" t="s">
        <v>263</v>
      </c>
      <c r="G48" s="92" t="s">
        <v>331</v>
      </c>
      <c r="H48" s="92" t="s">
        <v>263</v>
      </c>
      <c r="I48" s="92" t="s">
        <v>326</v>
      </c>
      <c r="J48" s="92" t="s">
        <v>263</v>
      </c>
      <c r="K48" s="92" t="s">
        <v>332</v>
      </c>
    </row>
    <row r="49" spans="4:11" ht="15" x14ac:dyDescent="0.25">
      <c r="D49" s="92" t="s">
        <v>266</v>
      </c>
      <c r="E49" s="92" t="s">
        <v>333</v>
      </c>
      <c r="F49" s="92" t="s">
        <v>266</v>
      </c>
      <c r="G49" s="92" t="s">
        <v>323</v>
      </c>
      <c r="H49" s="92" t="s">
        <v>266</v>
      </c>
      <c r="I49" s="92" t="s">
        <v>334</v>
      </c>
      <c r="J49" s="92" t="s">
        <v>266</v>
      </c>
      <c r="K49" s="92" t="s">
        <v>335</v>
      </c>
    </row>
    <row r="50" spans="4:11" ht="15" x14ac:dyDescent="0.25">
      <c r="D50" s="92" t="s">
        <v>270</v>
      </c>
      <c r="E50" s="92" t="s">
        <v>336</v>
      </c>
      <c r="F50" s="92" t="s">
        <v>270</v>
      </c>
      <c r="G50" s="92" t="s">
        <v>328</v>
      </c>
      <c r="H50" s="92" t="s">
        <v>270</v>
      </c>
      <c r="I50" s="92" t="s">
        <v>329</v>
      </c>
      <c r="J50" s="92" t="s">
        <v>270</v>
      </c>
      <c r="K50" s="92" t="s">
        <v>337</v>
      </c>
    </row>
    <row r="51" spans="4:11" ht="15" x14ac:dyDescent="0.25">
      <c r="D51" s="92" t="s">
        <v>274</v>
      </c>
      <c r="E51" s="92" t="s">
        <v>338</v>
      </c>
      <c r="F51" s="92" t="s">
        <v>274</v>
      </c>
      <c r="G51" s="92" t="s">
        <v>326</v>
      </c>
      <c r="H51" s="92" t="s">
        <v>274</v>
      </c>
      <c r="I51" s="92" t="s">
        <v>339</v>
      </c>
      <c r="J51" s="92" t="s">
        <v>274</v>
      </c>
      <c r="K51" s="92" t="s">
        <v>340</v>
      </c>
    </row>
    <row r="52" spans="4:11" ht="15" x14ac:dyDescent="0.25">
      <c r="D52" s="92" t="s">
        <v>278</v>
      </c>
      <c r="E52" s="92" t="s">
        <v>341</v>
      </c>
      <c r="F52" s="92" t="s">
        <v>278</v>
      </c>
      <c r="G52" s="92" t="s">
        <v>334</v>
      </c>
      <c r="H52" s="92" t="s">
        <v>278</v>
      </c>
      <c r="I52" s="92" t="s">
        <v>332</v>
      </c>
      <c r="J52" s="92" t="s">
        <v>278</v>
      </c>
      <c r="K52" s="92" t="s">
        <v>342</v>
      </c>
    </row>
    <row r="53" spans="4:11" ht="15" x14ac:dyDescent="0.25">
      <c r="D53" s="92" t="s">
        <v>281</v>
      </c>
      <c r="E53" s="92" t="s">
        <v>343</v>
      </c>
      <c r="F53" s="92" t="s">
        <v>281</v>
      </c>
      <c r="G53" s="92" t="s">
        <v>329</v>
      </c>
      <c r="H53" s="92" t="s">
        <v>281</v>
      </c>
      <c r="I53" s="92" t="s">
        <v>335</v>
      </c>
      <c r="J53" s="92" t="s">
        <v>281</v>
      </c>
      <c r="K53" s="92" t="s">
        <v>344</v>
      </c>
    </row>
    <row r="54" spans="4:11" ht="15" x14ac:dyDescent="0.25">
      <c r="D54" s="92" t="s">
        <v>284</v>
      </c>
      <c r="E54" s="92" t="s">
        <v>345</v>
      </c>
      <c r="F54" s="92" t="s">
        <v>284</v>
      </c>
      <c r="G54" s="92" t="s">
        <v>339</v>
      </c>
      <c r="H54" s="92" t="s">
        <v>284</v>
      </c>
      <c r="I54" s="92" t="s">
        <v>337</v>
      </c>
      <c r="J54" s="92" t="s">
        <v>284</v>
      </c>
      <c r="K54" s="92" t="s">
        <v>346</v>
      </c>
    </row>
    <row r="55" spans="4:11" ht="15" x14ac:dyDescent="0.25">
      <c r="D55" s="92" t="s">
        <v>287</v>
      </c>
      <c r="E55" s="92" t="s">
        <v>332</v>
      </c>
      <c r="F55" s="92" t="s">
        <v>287</v>
      </c>
      <c r="G55" s="92" t="s">
        <v>332</v>
      </c>
      <c r="H55" s="92" t="s">
        <v>287</v>
      </c>
      <c r="I55" s="92" t="s">
        <v>340</v>
      </c>
      <c r="J55" s="92" t="s">
        <v>287</v>
      </c>
      <c r="K55" s="92" t="s">
        <v>347</v>
      </c>
    </row>
    <row r="56" spans="4:11" ht="15" x14ac:dyDescent="0.25">
      <c r="D56" s="92" t="s">
        <v>290</v>
      </c>
      <c r="E56" s="92" t="s">
        <v>290</v>
      </c>
      <c r="F56" s="92" t="s">
        <v>291</v>
      </c>
      <c r="G56" s="92" t="s">
        <v>335</v>
      </c>
      <c r="H56" s="92" t="s">
        <v>291</v>
      </c>
      <c r="I56" s="92" t="s">
        <v>342</v>
      </c>
      <c r="J56" s="92" t="s">
        <v>291</v>
      </c>
      <c r="K56" s="92" t="s">
        <v>348</v>
      </c>
    </row>
    <row r="57" spans="4:11" ht="15" x14ac:dyDescent="0.25">
      <c r="D57" s="92" t="s">
        <v>290</v>
      </c>
      <c r="E57" s="92" t="s">
        <v>290</v>
      </c>
      <c r="F57" s="92" t="s">
        <v>294</v>
      </c>
      <c r="G57" s="92" t="s">
        <v>337</v>
      </c>
      <c r="H57" s="92" t="s">
        <v>294</v>
      </c>
      <c r="I57" s="92" t="s">
        <v>344</v>
      </c>
      <c r="J57" s="92" t="s">
        <v>294</v>
      </c>
      <c r="K57" s="92" t="s">
        <v>349</v>
      </c>
    </row>
    <row r="58" spans="4:11" ht="15" x14ac:dyDescent="0.25">
      <c r="D58" s="92" t="s">
        <v>290</v>
      </c>
      <c r="E58" s="92" t="s">
        <v>290</v>
      </c>
      <c r="F58" s="92" t="s">
        <v>297</v>
      </c>
      <c r="G58" s="92" t="s">
        <v>340</v>
      </c>
      <c r="H58" s="92" t="s">
        <v>297</v>
      </c>
      <c r="I58" s="92" t="s">
        <v>346</v>
      </c>
      <c r="J58" s="92" t="s">
        <v>297</v>
      </c>
      <c r="K58" s="92" t="s">
        <v>350</v>
      </c>
    </row>
    <row r="59" spans="4:11" ht="15" x14ac:dyDescent="0.25">
      <c r="D59" s="92" t="s">
        <v>290</v>
      </c>
      <c r="E59" s="92" t="s">
        <v>290</v>
      </c>
      <c r="F59" s="92" t="s">
        <v>302</v>
      </c>
      <c r="G59" s="92" t="s">
        <v>342</v>
      </c>
      <c r="H59" s="92" t="s">
        <v>302</v>
      </c>
      <c r="I59" s="92" t="s">
        <v>347</v>
      </c>
      <c r="J59" s="92" t="s">
        <v>302</v>
      </c>
      <c r="K59" s="92" t="s">
        <v>351</v>
      </c>
    </row>
    <row r="60" spans="4:11" ht="15" x14ac:dyDescent="0.25">
      <c r="D60" s="92" t="s">
        <v>290</v>
      </c>
      <c r="E60" s="92" t="s">
        <v>290</v>
      </c>
      <c r="F60" s="92" t="s">
        <v>306</v>
      </c>
      <c r="G60" s="92" t="s">
        <v>352</v>
      </c>
      <c r="H60" s="92" t="s">
        <v>306</v>
      </c>
      <c r="I60" s="92" t="s">
        <v>348</v>
      </c>
      <c r="J60" s="92" t="s">
        <v>306</v>
      </c>
      <c r="K60" s="92" t="s">
        <v>353</v>
      </c>
    </row>
    <row r="61" spans="4:11" ht="15" x14ac:dyDescent="0.25">
      <c r="D61" s="92" t="s">
        <v>290</v>
      </c>
      <c r="E61" s="92" t="s">
        <v>290</v>
      </c>
      <c r="F61" s="92" t="s">
        <v>290</v>
      </c>
      <c r="G61" s="92" t="s">
        <v>290</v>
      </c>
      <c r="H61" s="92" t="s">
        <v>354</v>
      </c>
      <c r="I61" s="92" t="s">
        <v>349</v>
      </c>
      <c r="J61" s="92" t="s">
        <v>354</v>
      </c>
      <c r="K61" s="92" t="s">
        <v>355</v>
      </c>
    </row>
    <row r="62" spans="4:11" ht="15" x14ac:dyDescent="0.25">
      <c r="D62" s="92" t="s">
        <v>290</v>
      </c>
      <c r="E62" s="92" t="s">
        <v>290</v>
      </c>
      <c r="F62" s="92" t="s">
        <v>290</v>
      </c>
      <c r="G62" s="92" t="s">
        <v>290</v>
      </c>
      <c r="H62" s="92" t="s">
        <v>356</v>
      </c>
      <c r="I62" s="92" t="s">
        <v>357</v>
      </c>
      <c r="J62" s="92" t="s">
        <v>290</v>
      </c>
      <c r="K62" s="92" t="s">
        <v>290</v>
      </c>
    </row>
    <row r="65" spans="2:13" x14ac:dyDescent="0.2">
      <c r="B65" s="126" t="s">
        <v>520</v>
      </c>
      <c r="C65" s="126"/>
      <c r="D65" s="127"/>
      <c r="E65" s="127"/>
      <c r="F65" s="127"/>
      <c r="G65" s="127"/>
      <c r="H65" s="127"/>
      <c r="I65" s="127"/>
      <c r="J65" s="127"/>
      <c r="K65" s="127"/>
      <c r="L65" s="127"/>
      <c r="M65" s="127"/>
    </row>
    <row r="66" spans="2:13" ht="15" x14ac:dyDescent="0.25">
      <c r="D66" s="128" t="s">
        <v>690</v>
      </c>
      <c r="E66" s="127"/>
      <c r="F66" s="128" t="s">
        <v>691</v>
      </c>
      <c r="G66" s="127"/>
      <c r="H66" s="128" t="s">
        <v>692</v>
      </c>
      <c r="I66" s="128"/>
      <c r="J66" s="128" t="s">
        <v>693</v>
      </c>
      <c r="K66" s="128"/>
      <c r="L66" s="128" t="s">
        <v>694</v>
      </c>
      <c r="M66" s="128"/>
    </row>
    <row r="67" spans="2:13" ht="14.25" x14ac:dyDescent="0.2">
      <c r="D67" s="123" t="s">
        <v>695</v>
      </c>
      <c r="E67" s="124" t="s">
        <v>696</v>
      </c>
      <c r="F67" s="124" t="s">
        <v>695</v>
      </c>
      <c r="G67" s="124" t="s">
        <v>696</v>
      </c>
      <c r="H67" s="124" t="s">
        <v>695</v>
      </c>
      <c r="I67" s="124" t="s">
        <v>696</v>
      </c>
      <c r="J67" s="124" t="s">
        <v>695</v>
      </c>
      <c r="K67" s="124" t="s">
        <v>696</v>
      </c>
      <c r="L67" s="124" t="s">
        <v>695</v>
      </c>
      <c r="M67" s="125" t="s">
        <v>697</v>
      </c>
    </row>
    <row r="68" spans="2:13" ht="15" x14ac:dyDescent="0.25">
      <c r="D68" s="92" t="s">
        <v>238</v>
      </c>
      <c r="E68" s="92" t="s">
        <v>362</v>
      </c>
      <c r="F68" s="92" t="s">
        <v>238</v>
      </c>
      <c r="G68" s="92" t="s">
        <v>363</v>
      </c>
      <c r="H68" s="92" t="s">
        <v>238</v>
      </c>
      <c r="I68" s="92" t="s">
        <v>364</v>
      </c>
      <c r="J68" s="92" t="s">
        <v>238</v>
      </c>
      <c r="K68" s="92" t="s">
        <v>365</v>
      </c>
      <c r="L68" s="92" t="s">
        <v>238</v>
      </c>
      <c r="M68" s="92" t="s">
        <v>366</v>
      </c>
    </row>
    <row r="69" spans="2:13" ht="15" x14ac:dyDescent="0.25">
      <c r="D69" s="92" t="s">
        <v>244</v>
      </c>
      <c r="E69" s="92" t="s">
        <v>367</v>
      </c>
      <c r="F69" s="92" t="s">
        <v>244</v>
      </c>
      <c r="G69" s="92" t="s">
        <v>368</v>
      </c>
      <c r="H69" s="92" t="s">
        <v>244</v>
      </c>
      <c r="I69" s="92" t="s">
        <v>369</v>
      </c>
      <c r="J69" s="92" t="s">
        <v>244</v>
      </c>
      <c r="K69" s="92" t="s">
        <v>370</v>
      </c>
      <c r="L69" s="92" t="s">
        <v>244</v>
      </c>
      <c r="M69" s="92" t="s">
        <v>371</v>
      </c>
    </row>
    <row r="70" spans="2:13" ht="15" x14ac:dyDescent="0.25">
      <c r="D70" s="92" t="s">
        <v>249</v>
      </c>
      <c r="E70" s="92" t="s">
        <v>364</v>
      </c>
      <c r="F70" s="92" t="s">
        <v>249</v>
      </c>
      <c r="G70" s="92" t="s">
        <v>372</v>
      </c>
      <c r="H70" s="92" t="s">
        <v>249</v>
      </c>
      <c r="I70" s="92" t="s">
        <v>373</v>
      </c>
      <c r="J70" s="92" t="s">
        <v>249</v>
      </c>
      <c r="K70" s="92" t="s">
        <v>374</v>
      </c>
      <c r="L70" s="92" t="s">
        <v>249</v>
      </c>
      <c r="M70" s="92" t="s">
        <v>375</v>
      </c>
    </row>
    <row r="71" spans="2:13" ht="15" x14ac:dyDescent="0.25">
      <c r="D71" s="92" t="s">
        <v>253</v>
      </c>
      <c r="E71" s="92" t="s">
        <v>376</v>
      </c>
      <c r="F71" s="92" t="s">
        <v>253</v>
      </c>
      <c r="G71" s="92" t="s">
        <v>377</v>
      </c>
      <c r="H71" s="92" t="s">
        <v>253</v>
      </c>
      <c r="I71" s="92" t="s">
        <v>324</v>
      </c>
      <c r="J71" s="92" t="s">
        <v>253</v>
      </c>
      <c r="K71" s="92" t="s">
        <v>378</v>
      </c>
      <c r="L71" s="92" t="s">
        <v>253</v>
      </c>
      <c r="M71" s="92" t="s">
        <v>379</v>
      </c>
    </row>
    <row r="72" spans="2:13" ht="15" x14ac:dyDescent="0.25">
      <c r="D72" s="92" t="s">
        <v>258</v>
      </c>
      <c r="E72" s="92" t="s">
        <v>380</v>
      </c>
      <c r="F72" s="92" t="s">
        <v>258</v>
      </c>
      <c r="G72" s="92" t="s">
        <v>381</v>
      </c>
      <c r="H72" s="92" t="s">
        <v>258</v>
      </c>
      <c r="I72" s="92" t="s">
        <v>382</v>
      </c>
      <c r="J72" s="92" t="s">
        <v>258</v>
      </c>
      <c r="K72" s="92" t="s">
        <v>383</v>
      </c>
      <c r="L72" s="92" t="s">
        <v>258</v>
      </c>
      <c r="M72" s="92" t="s">
        <v>384</v>
      </c>
    </row>
    <row r="73" spans="2:13" ht="15" x14ac:dyDescent="0.25">
      <c r="D73" s="92" t="s">
        <v>263</v>
      </c>
      <c r="E73" s="92" t="s">
        <v>385</v>
      </c>
      <c r="F73" s="92" t="s">
        <v>263</v>
      </c>
      <c r="G73" s="92" t="s">
        <v>386</v>
      </c>
      <c r="H73" s="92" t="s">
        <v>263</v>
      </c>
      <c r="I73" s="92" t="s">
        <v>387</v>
      </c>
      <c r="J73" s="92" t="s">
        <v>263</v>
      </c>
      <c r="K73" s="92" t="s">
        <v>388</v>
      </c>
      <c r="L73" s="92" t="s">
        <v>263</v>
      </c>
      <c r="M73" s="92" t="s">
        <v>389</v>
      </c>
    </row>
    <row r="74" spans="2:13" ht="15" x14ac:dyDescent="0.25">
      <c r="D74" s="92" t="s">
        <v>266</v>
      </c>
      <c r="E74" s="92" t="s">
        <v>390</v>
      </c>
      <c r="F74" s="92" t="s">
        <v>266</v>
      </c>
      <c r="G74" s="92" t="s">
        <v>391</v>
      </c>
      <c r="H74" s="92" t="s">
        <v>266</v>
      </c>
      <c r="I74" s="92" t="s">
        <v>392</v>
      </c>
      <c r="J74" s="92" t="s">
        <v>266</v>
      </c>
      <c r="K74" s="92" t="s">
        <v>393</v>
      </c>
      <c r="L74" s="92" t="s">
        <v>266</v>
      </c>
      <c r="M74" s="92" t="s">
        <v>394</v>
      </c>
    </row>
    <row r="75" spans="2:13" ht="15" x14ac:dyDescent="0.25">
      <c r="D75" s="92" t="s">
        <v>270</v>
      </c>
      <c r="E75" s="92" t="s">
        <v>395</v>
      </c>
      <c r="F75" s="92" t="s">
        <v>270</v>
      </c>
      <c r="G75" s="92" t="s">
        <v>396</v>
      </c>
      <c r="H75" s="92" t="s">
        <v>270</v>
      </c>
      <c r="I75" s="92" t="s">
        <v>397</v>
      </c>
      <c r="J75" s="92" t="s">
        <v>270</v>
      </c>
      <c r="K75" s="92" t="s">
        <v>398</v>
      </c>
      <c r="L75" s="92" t="s">
        <v>270</v>
      </c>
      <c r="M75" s="92" t="s">
        <v>399</v>
      </c>
    </row>
    <row r="76" spans="2:13" ht="15" x14ac:dyDescent="0.25">
      <c r="D76" s="92" t="s">
        <v>274</v>
      </c>
      <c r="E76" s="92" t="s">
        <v>400</v>
      </c>
      <c r="F76" s="92" t="s">
        <v>274</v>
      </c>
      <c r="G76" s="92" t="s">
        <v>401</v>
      </c>
      <c r="H76" s="92" t="s">
        <v>274</v>
      </c>
      <c r="I76" s="92" t="s">
        <v>402</v>
      </c>
      <c r="J76" s="92" t="s">
        <v>274</v>
      </c>
      <c r="K76" s="92" t="s">
        <v>403</v>
      </c>
      <c r="L76" s="92" t="s">
        <v>274</v>
      </c>
      <c r="M76" s="92" t="s">
        <v>404</v>
      </c>
    </row>
    <row r="77" spans="2:13" ht="15" x14ac:dyDescent="0.25">
      <c r="D77" s="92" t="s">
        <v>278</v>
      </c>
      <c r="E77" s="92" t="s">
        <v>405</v>
      </c>
      <c r="F77" s="92" t="s">
        <v>278</v>
      </c>
      <c r="G77" s="92" t="s">
        <v>406</v>
      </c>
      <c r="H77" s="92" t="s">
        <v>278</v>
      </c>
      <c r="I77" s="92" t="s">
        <v>407</v>
      </c>
      <c r="J77" s="92" t="s">
        <v>278</v>
      </c>
      <c r="K77" s="92" t="s">
        <v>408</v>
      </c>
      <c r="L77" s="92" t="s">
        <v>278</v>
      </c>
      <c r="M77" s="92" t="s">
        <v>409</v>
      </c>
    </row>
    <row r="78" spans="2:13" ht="15" x14ac:dyDescent="0.25">
      <c r="D78" s="92" t="s">
        <v>281</v>
      </c>
      <c r="E78" s="92" t="s">
        <v>410</v>
      </c>
      <c r="F78" s="92" t="s">
        <v>281</v>
      </c>
      <c r="G78" s="92" t="s">
        <v>411</v>
      </c>
      <c r="H78" s="92" t="s">
        <v>281</v>
      </c>
      <c r="I78" s="92" t="s">
        <v>412</v>
      </c>
      <c r="J78" s="92" t="s">
        <v>281</v>
      </c>
      <c r="K78" s="92" t="s">
        <v>413</v>
      </c>
      <c r="L78" s="92" t="s">
        <v>281</v>
      </c>
      <c r="M78" s="92" t="s">
        <v>414</v>
      </c>
    </row>
    <row r="79" spans="2:13" ht="15" x14ac:dyDescent="0.25">
      <c r="D79" s="92" t="s">
        <v>284</v>
      </c>
      <c r="E79" s="92" t="s">
        <v>415</v>
      </c>
      <c r="F79" s="92" t="s">
        <v>284</v>
      </c>
      <c r="G79" s="92" t="s">
        <v>416</v>
      </c>
      <c r="H79" s="92" t="s">
        <v>284</v>
      </c>
      <c r="I79" s="92" t="s">
        <v>332</v>
      </c>
      <c r="J79" s="92" t="s">
        <v>284</v>
      </c>
      <c r="K79" s="92" t="s">
        <v>417</v>
      </c>
      <c r="L79" s="92" t="s">
        <v>284</v>
      </c>
      <c r="M79" s="92" t="s">
        <v>418</v>
      </c>
    </row>
    <row r="80" spans="2:13" ht="15" x14ac:dyDescent="0.25">
      <c r="D80" s="92" t="s">
        <v>287</v>
      </c>
      <c r="E80" s="92" t="s">
        <v>419</v>
      </c>
      <c r="F80" s="92" t="s">
        <v>287</v>
      </c>
      <c r="G80" s="92" t="s">
        <v>420</v>
      </c>
      <c r="H80" s="92" t="s">
        <v>287</v>
      </c>
      <c r="I80" s="92" t="s">
        <v>421</v>
      </c>
      <c r="J80" s="92" t="s">
        <v>287</v>
      </c>
      <c r="K80" s="92" t="s">
        <v>422</v>
      </c>
      <c r="L80" s="92" t="s">
        <v>287</v>
      </c>
      <c r="M80" s="92" t="s">
        <v>423</v>
      </c>
    </row>
    <row r="81" spans="2:35" ht="15" x14ac:dyDescent="0.25">
      <c r="D81" s="92" t="s">
        <v>291</v>
      </c>
      <c r="E81" s="92" t="s">
        <v>424</v>
      </c>
      <c r="F81" s="92" t="s">
        <v>291</v>
      </c>
      <c r="G81" s="92" t="s">
        <v>425</v>
      </c>
      <c r="H81" s="92" t="s">
        <v>291</v>
      </c>
      <c r="I81" s="92" t="s">
        <v>426</v>
      </c>
      <c r="J81" s="92" t="s">
        <v>291</v>
      </c>
      <c r="K81" s="92" t="s">
        <v>427</v>
      </c>
      <c r="L81" s="92" t="s">
        <v>291</v>
      </c>
      <c r="M81" s="92" t="s">
        <v>428</v>
      </c>
    </row>
    <row r="82" spans="2:35" ht="15" x14ac:dyDescent="0.25">
      <c r="D82" s="92" t="s">
        <v>294</v>
      </c>
      <c r="E82" s="92" t="s">
        <v>429</v>
      </c>
      <c r="F82" s="92" t="s">
        <v>294</v>
      </c>
      <c r="G82" s="92" t="s">
        <v>430</v>
      </c>
      <c r="H82" s="92" t="s">
        <v>294</v>
      </c>
      <c r="I82" s="92" t="s">
        <v>431</v>
      </c>
      <c r="J82" s="92" t="s">
        <v>294</v>
      </c>
      <c r="K82" s="92" t="s">
        <v>432</v>
      </c>
      <c r="L82" s="92" t="s">
        <v>294</v>
      </c>
      <c r="M82" s="92" t="s">
        <v>433</v>
      </c>
    </row>
    <row r="85" spans="2:35" x14ac:dyDescent="0.2">
      <c r="B85" s="130" t="s">
        <v>521</v>
      </c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</row>
    <row r="86" spans="2:35" ht="15" x14ac:dyDescent="0.25">
      <c r="F86" s="132" t="s">
        <v>698</v>
      </c>
      <c r="G86" s="131"/>
      <c r="H86" s="132" t="s">
        <v>699</v>
      </c>
      <c r="I86" s="131"/>
      <c r="L86" s="132" t="s">
        <v>700</v>
      </c>
      <c r="M86" s="131"/>
      <c r="N86" s="132" t="s">
        <v>701</v>
      </c>
      <c r="O86" s="132"/>
      <c r="P86" s="132" t="s">
        <v>702</v>
      </c>
      <c r="Q86" s="132"/>
      <c r="R86" s="132" t="s">
        <v>703</v>
      </c>
      <c r="S86" s="132"/>
      <c r="T86" s="132" t="s">
        <v>704</v>
      </c>
      <c r="U86" s="131"/>
      <c r="V86" s="132" t="s">
        <v>705</v>
      </c>
      <c r="W86" s="131"/>
      <c r="X86" s="132" t="s">
        <v>706</v>
      </c>
      <c r="Y86" s="131"/>
      <c r="Z86" s="132" t="s">
        <v>707</v>
      </c>
      <c r="AA86" s="132"/>
      <c r="AB86" s="132" t="s">
        <v>708</v>
      </c>
      <c r="AC86" s="132"/>
      <c r="AD86" s="132" t="s">
        <v>709</v>
      </c>
      <c r="AE86" s="132"/>
      <c r="AF86" s="132" t="s">
        <v>710</v>
      </c>
      <c r="AG86" s="131"/>
      <c r="AH86" s="132" t="s">
        <v>711</v>
      </c>
      <c r="AI86" s="132"/>
    </row>
    <row r="87" spans="2:35" x14ac:dyDescent="0.2">
      <c r="F87" s="132"/>
      <c r="G87" s="131"/>
      <c r="H87" s="132"/>
      <c r="I87" s="131"/>
    </row>
    <row r="88" spans="2:35" x14ac:dyDescent="0.2">
      <c r="B88" s="133" t="s">
        <v>522</v>
      </c>
      <c r="C88" s="134"/>
      <c r="D88" s="135"/>
      <c r="E88" s="134"/>
      <c r="H88" s="134"/>
      <c r="I88" s="134"/>
      <c r="J88" s="134"/>
      <c r="K88" s="134"/>
    </row>
    <row r="89" spans="2:35" ht="39.950000000000003" customHeight="1" x14ac:dyDescent="0.2">
      <c r="D89" s="348" t="s">
        <v>503</v>
      </c>
      <c r="E89" s="349"/>
      <c r="H89" s="348" t="s">
        <v>503</v>
      </c>
      <c r="I89" s="349"/>
      <c r="J89" s="348" t="s">
        <v>503</v>
      </c>
      <c r="K89" s="349"/>
    </row>
    <row r="90" spans="2:35" ht="15" x14ac:dyDescent="0.25">
      <c r="D90" s="135" t="s">
        <v>698</v>
      </c>
      <c r="E90" s="134"/>
      <c r="H90" s="135" t="s">
        <v>523</v>
      </c>
      <c r="I90" s="134"/>
      <c r="J90" s="135" t="s">
        <v>524</v>
      </c>
      <c r="K90" s="133"/>
    </row>
    <row r="91" spans="2:35" ht="14.25" x14ac:dyDescent="0.2">
      <c r="D91" s="123" t="s">
        <v>695</v>
      </c>
      <c r="E91" s="124" t="s">
        <v>696</v>
      </c>
      <c r="F91" s="124" t="s">
        <v>668</v>
      </c>
      <c r="G91" s="124" t="s">
        <v>696</v>
      </c>
      <c r="H91" s="124" t="s">
        <v>695</v>
      </c>
      <c r="I91" s="124" t="s">
        <v>696</v>
      </c>
      <c r="J91" s="124" t="s">
        <v>695</v>
      </c>
      <c r="K91" s="124" t="s">
        <v>696</v>
      </c>
      <c r="L91" s="124" t="s">
        <v>695</v>
      </c>
      <c r="M91" s="124" t="s">
        <v>696</v>
      </c>
      <c r="N91" s="124" t="s">
        <v>695</v>
      </c>
      <c r="O91" s="124" t="s">
        <v>696</v>
      </c>
      <c r="P91" s="124" t="s">
        <v>695</v>
      </c>
      <c r="Q91" s="124" t="s">
        <v>696</v>
      </c>
      <c r="R91" s="124" t="s">
        <v>695</v>
      </c>
      <c r="S91" s="124" t="s">
        <v>697</v>
      </c>
      <c r="T91" s="124" t="s">
        <v>668</v>
      </c>
      <c r="U91" s="124" t="s">
        <v>696</v>
      </c>
      <c r="V91" s="124" t="s">
        <v>695</v>
      </c>
      <c r="W91" s="124" t="s">
        <v>696</v>
      </c>
      <c r="X91" s="124" t="s">
        <v>695</v>
      </c>
      <c r="Y91" s="124" t="s">
        <v>696</v>
      </c>
      <c r="Z91" s="124" t="s">
        <v>695</v>
      </c>
      <c r="AA91" s="124" t="s">
        <v>696</v>
      </c>
      <c r="AB91" s="124" t="s">
        <v>695</v>
      </c>
      <c r="AC91" s="124" t="s">
        <v>696</v>
      </c>
      <c r="AD91" s="124" t="s">
        <v>695</v>
      </c>
      <c r="AE91" s="124" t="s">
        <v>697</v>
      </c>
      <c r="AF91" s="124" t="s">
        <v>695</v>
      </c>
      <c r="AG91" s="124" t="s">
        <v>696</v>
      </c>
      <c r="AH91" s="124" t="s">
        <v>695</v>
      </c>
      <c r="AI91" s="125" t="s">
        <v>697</v>
      </c>
    </row>
    <row r="92" spans="2:35" ht="15" x14ac:dyDescent="0.25">
      <c r="D92" s="92" t="s">
        <v>510</v>
      </c>
      <c r="E92" s="92" t="s">
        <v>511</v>
      </c>
      <c r="F92" s="136"/>
      <c r="G92" s="136"/>
      <c r="H92" s="136"/>
      <c r="I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</row>
    <row r="93" spans="2:35" ht="15" x14ac:dyDescent="0.25">
      <c r="D93" s="92" t="s">
        <v>513</v>
      </c>
      <c r="E93" s="92" t="s">
        <v>437</v>
      </c>
      <c r="F93" s="136"/>
      <c r="G93" s="136"/>
      <c r="H93" s="136"/>
      <c r="I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</row>
    <row r="94" spans="2:35" ht="15" x14ac:dyDescent="0.25">
      <c r="D94" s="92" t="s">
        <v>238</v>
      </c>
      <c r="E94" s="92" t="s">
        <v>437</v>
      </c>
      <c r="F94" s="92" t="s">
        <v>238</v>
      </c>
      <c r="G94" s="92" t="s">
        <v>436</v>
      </c>
      <c r="H94" s="92" t="s">
        <v>238</v>
      </c>
      <c r="I94" s="92" t="s">
        <v>437</v>
      </c>
      <c r="J94" s="92" t="s">
        <v>238</v>
      </c>
      <c r="K94" s="92" t="s">
        <v>512</v>
      </c>
      <c r="L94" s="92" t="s">
        <v>238</v>
      </c>
      <c r="M94" s="92" t="s">
        <v>437</v>
      </c>
      <c r="N94" s="92" t="s">
        <v>238</v>
      </c>
      <c r="O94" s="92" t="s">
        <v>438</v>
      </c>
      <c r="P94" s="92" t="s">
        <v>238</v>
      </c>
      <c r="Q94" s="92" t="s">
        <v>439</v>
      </c>
      <c r="R94" s="92" t="s">
        <v>238</v>
      </c>
      <c r="S94" s="92" t="s">
        <v>440</v>
      </c>
      <c r="T94" s="92" t="s">
        <v>238</v>
      </c>
      <c r="U94" s="92" t="s">
        <v>441</v>
      </c>
      <c r="V94" s="92" t="s">
        <v>238</v>
      </c>
      <c r="W94" s="92" t="s">
        <v>442</v>
      </c>
      <c r="X94" s="92" t="s">
        <v>238</v>
      </c>
      <c r="Y94" s="92" t="s">
        <v>443</v>
      </c>
      <c r="Z94" s="92" t="s">
        <v>238</v>
      </c>
      <c r="AA94" s="92" t="s">
        <v>443</v>
      </c>
      <c r="AB94" s="92" t="s">
        <v>238</v>
      </c>
      <c r="AC94" s="92" t="s">
        <v>444</v>
      </c>
      <c r="AD94" s="92" t="s">
        <v>238</v>
      </c>
      <c r="AE94" s="92" t="s">
        <v>445</v>
      </c>
      <c r="AF94" s="92" t="s">
        <v>238</v>
      </c>
      <c r="AG94" s="92" t="s">
        <v>446</v>
      </c>
      <c r="AH94" s="92" t="s">
        <v>238</v>
      </c>
      <c r="AI94" s="92" t="s">
        <v>447</v>
      </c>
    </row>
    <row r="95" spans="2:35" ht="15" x14ac:dyDescent="0.25">
      <c r="D95" s="92" t="s">
        <v>244</v>
      </c>
      <c r="E95" s="92" t="s">
        <v>438</v>
      </c>
      <c r="F95" s="92" t="s">
        <v>244</v>
      </c>
      <c r="G95" s="92" t="s">
        <v>438</v>
      </c>
      <c r="H95" s="92" t="s">
        <v>244</v>
      </c>
      <c r="I95" s="92" t="s">
        <v>439</v>
      </c>
      <c r="J95" s="92" t="s">
        <v>244</v>
      </c>
      <c r="K95" s="92" t="s">
        <v>440</v>
      </c>
      <c r="L95" s="92" t="s">
        <v>244</v>
      </c>
      <c r="M95" s="92" t="s">
        <v>440</v>
      </c>
      <c r="N95" s="92" t="s">
        <v>244</v>
      </c>
      <c r="O95" s="92" t="s">
        <v>448</v>
      </c>
      <c r="P95" s="92" t="s">
        <v>244</v>
      </c>
      <c r="Q95" s="92" t="s">
        <v>448</v>
      </c>
      <c r="R95" s="92" t="s">
        <v>244</v>
      </c>
      <c r="S95" s="92" t="s">
        <v>449</v>
      </c>
      <c r="T95" s="92" t="s">
        <v>244</v>
      </c>
      <c r="U95" s="92" t="s">
        <v>450</v>
      </c>
      <c r="V95" s="92" t="s">
        <v>244</v>
      </c>
      <c r="W95" s="92" t="s">
        <v>451</v>
      </c>
      <c r="X95" s="92" t="s">
        <v>244</v>
      </c>
      <c r="Y95" s="92" t="s">
        <v>444</v>
      </c>
      <c r="Z95" s="92" t="s">
        <v>244</v>
      </c>
      <c r="AA95" s="92" t="s">
        <v>452</v>
      </c>
      <c r="AB95" s="92" t="s">
        <v>244</v>
      </c>
      <c r="AC95" s="92" t="s">
        <v>452</v>
      </c>
      <c r="AD95" s="92" t="s">
        <v>244</v>
      </c>
      <c r="AE95" s="92" t="s">
        <v>453</v>
      </c>
      <c r="AF95" s="92" t="s">
        <v>244</v>
      </c>
      <c r="AG95" s="92" t="s">
        <v>454</v>
      </c>
      <c r="AH95" s="92" t="s">
        <v>244</v>
      </c>
      <c r="AI95" s="92" t="s">
        <v>422</v>
      </c>
    </row>
    <row r="96" spans="2:35" ht="15" x14ac:dyDescent="0.25">
      <c r="D96" s="92" t="s">
        <v>249</v>
      </c>
      <c r="E96" s="92" t="s">
        <v>448</v>
      </c>
      <c r="F96" s="92" t="s">
        <v>249</v>
      </c>
      <c r="G96" s="92" t="s">
        <v>448</v>
      </c>
      <c r="H96" s="92" t="s">
        <v>249</v>
      </c>
      <c r="I96" s="92" t="s">
        <v>440</v>
      </c>
      <c r="J96" s="92" t="s">
        <v>249</v>
      </c>
      <c r="K96" s="92" t="s">
        <v>449</v>
      </c>
      <c r="L96" s="92" t="s">
        <v>249</v>
      </c>
      <c r="M96" s="92" t="s">
        <v>449</v>
      </c>
      <c r="N96" s="92" t="s">
        <v>249</v>
      </c>
      <c r="O96" s="92" t="s">
        <v>455</v>
      </c>
      <c r="P96" s="92" t="s">
        <v>249</v>
      </c>
      <c r="Q96" s="92" t="s">
        <v>449</v>
      </c>
      <c r="R96" s="92" t="s">
        <v>249</v>
      </c>
      <c r="S96" s="92" t="s">
        <v>456</v>
      </c>
      <c r="T96" s="92" t="s">
        <v>249</v>
      </c>
      <c r="U96" s="92" t="s">
        <v>456</v>
      </c>
      <c r="V96" s="92" t="s">
        <v>249</v>
      </c>
      <c r="W96" s="92" t="s">
        <v>457</v>
      </c>
      <c r="X96" s="92" t="s">
        <v>249</v>
      </c>
      <c r="Y96" s="92" t="s">
        <v>458</v>
      </c>
      <c r="Z96" s="92" t="s">
        <v>249</v>
      </c>
      <c r="AA96" s="92" t="s">
        <v>458</v>
      </c>
      <c r="AB96" s="92" t="s">
        <v>249</v>
      </c>
      <c r="AC96" s="92" t="s">
        <v>458</v>
      </c>
      <c r="AD96" s="92" t="s">
        <v>249</v>
      </c>
      <c r="AE96" s="92" t="s">
        <v>459</v>
      </c>
      <c r="AF96" s="92" t="s">
        <v>249</v>
      </c>
      <c r="AG96" s="92" t="s">
        <v>460</v>
      </c>
      <c r="AH96" s="92" t="s">
        <v>249</v>
      </c>
      <c r="AI96" s="92" t="s">
        <v>461</v>
      </c>
    </row>
    <row r="97" spans="4:35" ht="15" x14ac:dyDescent="0.25">
      <c r="D97" s="92" t="s">
        <v>253</v>
      </c>
      <c r="E97" s="92" t="s">
        <v>440</v>
      </c>
      <c r="F97" s="92" t="s">
        <v>253</v>
      </c>
      <c r="G97" s="92" t="s">
        <v>440</v>
      </c>
      <c r="H97" s="92" t="s">
        <v>253</v>
      </c>
      <c r="I97" s="92" t="s">
        <v>449</v>
      </c>
      <c r="J97" s="92" t="s">
        <v>253</v>
      </c>
      <c r="K97" s="92" t="s">
        <v>450</v>
      </c>
      <c r="L97" s="92" t="s">
        <v>253</v>
      </c>
      <c r="M97" s="92" t="s">
        <v>450</v>
      </c>
      <c r="N97" s="92" t="s">
        <v>253</v>
      </c>
      <c r="O97" s="92" t="s">
        <v>441</v>
      </c>
      <c r="P97" s="92" t="s">
        <v>253</v>
      </c>
      <c r="Q97" s="92" t="s">
        <v>450</v>
      </c>
      <c r="R97" s="92" t="s">
        <v>253</v>
      </c>
      <c r="S97" s="92" t="s">
        <v>451</v>
      </c>
      <c r="T97" s="92" t="s">
        <v>253</v>
      </c>
      <c r="U97" s="92" t="s">
        <v>457</v>
      </c>
      <c r="V97" s="92" t="s">
        <v>253</v>
      </c>
      <c r="W97" s="92" t="s">
        <v>462</v>
      </c>
      <c r="X97" s="92" t="s">
        <v>253</v>
      </c>
      <c r="Y97" s="92" t="s">
        <v>463</v>
      </c>
      <c r="Z97" s="92" t="s">
        <v>253</v>
      </c>
      <c r="AA97" s="92" t="s">
        <v>463</v>
      </c>
      <c r="AB97" s="92" t="s">
        <v>253</v>
      </c>
      <c r="AC97" s="92" t="s">
        <v>463</v>
      </c>
      <c r="AD97" s="92" t="s">
        <v>253</v>
      </c>
      <c r="AE97" s="92" t="s">
        <v>464</v>
      </c>
      <c r="AF97" s="92" t="s">
        <v>253</v>
      </c>
      <c r="AG97" s="92" t="s">
        <v>465</v>
      </c>
      <c r="AH97" s="92" t="s">
        <v>253</v>
      </c>
      <c r="AI97" s="92" t="s">
        <v>466</v>
      </c>
    </row>
    <row r="98" spans="4:35" ht="15" x14ac:dyDescent="0.25">
      <c r="D98" s="92" t="s">
        <v>258</v>
      </c>
      <c r="E98" s="92" t="s">
        <v>455</v>
      </c>
      <c r="F98" s="92" t="s">
        <v>258</v>
      </c>
      <c r="G98" s="92" t="s">
        <v>455</v>
      </c>
      <c r="H98" s="92" t="s">
        <v>258</v>
      </c>
      <c r="I98" s="92" t="s">
        <v>441</v>
      </c>
      <c r="J98" s="92" t="s">
        <v>258</v>
      </c>
      <c r="K98" s="92" t="s">
        <v>467</v>
      </c>
      <c r="L98" s="92" t="s">
        <v>258</v>
      </c>
      <c r="M98" s="92" t="s">
        <v>467</v>
      </c>
      <c r="N98" s="92" t="s">
        <v>258</v>
      </c>
      <c r="O98" s="92" t="s">
        <v>467</v>
      </c>
      <c r="P98" s="92" t="s">
        <v>258</v>
      </c>
      <c r="Q98" s="92" t="s">
        <v>456</v>
      </c>
      <c r="R98" s="92" t="s">
        <v>258</v>
      </c>
      <c r="S98" s="92" t="s">
        <v>468</v>
      </c>
      <c r="T98" s="92" t="s">
        <v>258</v>
      </c>
      <c r="U98" s="92" t="s">
        <v>469</v>
      </c>
      <c r="V98" s="92" t="s">
        <v>258</v>
      </c>
      <c r="W98" s="92" t="s">
        <v>470</v>
      </c>
      <c r="X98" s="92" t="s">
        <v>258</v>
      </c>
      <c r="Y98" s="92" t="s">
        <v>471</v>
      </c>
      <c r="Z98" s="92" t="s">
        <v>258</v>
      </c>
      <c r="AA98" s="92" t="s">
        <v>471</v>
      </c>
      <c r="AB98" s="92" t="s">
        <v>258</v>
      </c>
      <c r="AC98" s="92" t="s">
        <v>471</v>
      </c>
      <c r="AD98" s="92" t="s">
        <v>258</v>
      </c>
      <c r="AE98" s="92" t="s">
        <v>472</v>
      </c>
      <c r="AF98" s="92" t="s">
        <v>258</v>
      </c>
      <c r="AG98" s="92" t="s">
        <v>473</v>
      </c>
      <c r="AH98" s="92" t="s">
        <v>258</v>
      </c>
      <c r="AI98" s="92" t="s">
        <v>474</v>
      </c>
    </row>
    <row r="99" spans="4:35" ht="15" x14ac:dyDescent="0.25">
      <c r="D99" s="92" t="s">
        <v>263</v>
      </c>
      <c r="E99" s="92" t="s">
        <v>449</v>
      </c>
      <c r="F99" s="92" t="s">
        <v>263</v>
      </c>
      <c r="G99" s="92" t="s">
        <v>449</v>
      </c>
      <c r="H99" s="92" t="s">
        <v>263</v>
      </c>
      <c r="I99" s="92" t="s">
        <v>450</v>
      </c>
      <c r="J99" s="92" t="s">
        <v>263</v>
      </c>
      <c r="K99" s="92" t="s">
        <v>456</v>
      </c>
      <c r="L99" s="92" t="s">
        <v>263</v>
      </c>
      <c r="M99" s="92" t="s">
        <v>456</v>
      </c>
      <c r="N99" s="92" t="s">
        <v>263</v>
      </c>
      <c r="O99" s="92" t="s">
        <v>456</v>
      </c>
      <c r="P99" s="92" t="s">
        <v>263</v>
      </c>
      <c r="Q99" s="92" t="s">
        <v>442</v>
      </c>
      <c r="R99" s="92" t="s">
        <v>263</v>
      </c>
      <c r="S99" s="92" t="s">
        <v>457</v>
      </c>
      <c r="T99" s="92" t="s">
        <v>263</v>
      </c>
      <c r="U99" s="92" t="s">
        <v>475</v>
      </c>
      <c r="V99" s="92" t="s">
        <v>263</v>
      </c>
      <c r="W99" s="92" t="s">
        <v>476</v>
      </c>
      <c r="X99" s="92" t="s">
        <v>263</v>
      </c>
      <c r="Y99" s="92" t="s">
        <v>477</v>
      </c>
      <c r="Z99" s="92" t="s">
        <v>263</v>
      </c>
      <c r="AA99" s="92" t="s">
        <v>477</v>
      </c>
      <c r="AB99" s="92" t="s">
        <v>263</v>
      </c>
      <c r="AC99" s="92" t="s">
        <v>477</v>
      </c>
      <c r="AD99" s="92" t="s">
        <v>263</v>
      </c>
      <c r="AE99" s="92" t="s">
        <v>478</v>
      </c>
      <c r="AF99" s="92" t="s">
        <v>263</v>
      </c>
      <c r="AG99" s="92" t="s">
        <v>422</v>
      </c>
      <c r="AH99" s="92" t="s">
        <v>263</v>
      </c>
      <c r="AI99" s="92" t="s">
        <v>479</v>
      </c>
    </row>
    <row r="100" spans="4:35" ht="15" x14ac:dyDescent="0.25">
      <c r="D100" s="92" t="s">
        <v>266</v>
      </c>
      <c r="E100" s="92" t="s">
        <v>441</v>
      </c>
      <c r="F100" s="92" t="s">
        <v>266</v>
      </c>
      <c r="G100" s="92" t="s">
        <v>441</v>
      </c>
      <c r="H100" s="92" t="s">
        <v>266</v>
      </c>
      <c r="I100" s="92" t="s">
        <v>467</v>
      </c>
      <c r="J100" s="92" t="s">
        <v>266</v>
      </c>
      <c r="K100" s="92" t="s">
        <v>442</v>
      </c>
      <c r="L100" s="92" t="s">
        <v>266</v>
      </c>
      <c r="M100" s="92" t="s">
        <v>442</v>
      </c>
      <c r="N100" s="92" t="s">
        <v>266</v>
      </c>
      <c r="O100" s="92" t="s">
        <v>442</v>
      </c>
      <c r="P100" s="92" t="s">
        <v>266</v>
      </c>
      <c r="Q100" s="92" t="s">
        <v>451</v>
      </c>
      <c r="R100" s="92" t="s">
        <v>266</v>
      </c>
      <c r="S100" s="92" t="s">
        <v>480</v>
      </c>
      <c r="T100" s="92" t="s">
        <v>266</v>
      </c>
      <c r="U100" s="92" t="s">
        <v>462</v>
      </c>
      <c r="V100" s="92" t="s">
        <v>266</v>
      </c>
      <c r="W100" s="92" t="s">
        <v>481</v>
      </c>
      <c r="X100" s="92" t="s">
        <v>266</v>
      </c>
      <c r="Y100" s="92" t="s">
        <v>482</v>
      </c>
      <c r="Z100" s="92" t="s">
        <v>266</v>
      </c>
      <c r="AA100" s="92" t="s">
        <v>482</v>
      </c>
      <c r="AB100" s="92" t="s">
        <v>266</v>
      </c>
      <c r="AC100" s="92" t="s">
        <v>482</v>
      </c>
      <c r="AD100" s="92" t="s">
        <v>266</v>
      </c>
      <c r="AE100" s="92" t="s">
        <v>454</v>
      </c>
      <c r="AF100" s="92" t="s">
        <v>266</v>
      </c>
      <c r="AG100" s="92" t="s">
        <v>483</v>
      </c>
      <c r="AH100" s="92" t="s">
        <v>266</v>
      </c>
      <c r="AI100" s="92" t="s">
        <v>484</v>
      </c>
    </row>
    <row r="101" spans="4:35" ht="15" x14ac:dyDescent="0.25">
      <c r="D101" s="92" t="s">
        <v>290</v>
      </c>
      <c r="E101" s="92" t="s">
        <v>290</v>
      </c>
      <c r="H101" s="92" t="s">
        <v>270</v>
      </c>
      <c r="I101" s="92" t="s">
        <v>456</v>
      </c>
      <c r="L101" s="92" t="s">
        <v>270</v>
      </c>
      <c r="M101" s="92" t="s">
        <v>451</v>
      </c>
      <c r="N101" s="92" t="s">
        <v>270</v>
      </c>
      <c r="O101" s="92" t="s">
        <v>451</v>
      </c>
      <c r="P101" s="92" t="s">
        <v>270</v>
      </c>
      <c r="Q101" s="92" t="s">
        <v>468</v>
      </c>
      <c r="R101" s="92" t="s">
        <v>270</v>
      </c>
      <c r="S101" s="92" t="s">
        <v>469</v>
      </c>
      <c r="T101" s="92" t="s">
        <v>270</v>
      </c>
      <c r="U101" s="92" t="s">
        <v>485</v>
      </c>
      <c r="V101" s="92" t="s">
        <v>270</v>
      </c>
      <c r="W101" s="92" t="s">
        <v>373</v>
      </c>
      <c r="X101" s="92" t="s">
        <v>270</v>
      </c>
      <c r="Y101" s="92" t="s">
        <v>445</v>
      </c>
      <c r="Z101" s="92" t="s">
        <v>270</v>
      </c>
      <c r="AA101" s="92" t="s">
        <v>445</v>
      </c>
      <c r="AB101" s="92" t="s">
        <v>270</v>
      </c>
      <c r="AC101" s="92" t="s">
        <v>453</v>
      </c>
      <c r="AD101" s="92" t="s">
        <v>270</v>
      </c>
      <c r="AE101" s="92" t="s">
        <v>460</v>
      </c>
      <c r="AF101" s="92" t="s">
        <v>270</v>
      </c>
      <c r="AG101" s="92" t="s">
        <v>461</v>
      </c>
      <c r="AH101" s="92" t="s">
        <v>270</v>
      </c>
      <c r="AI101" s="92" t="s">
        <v>486</v>
      </c>
    </row>
    <row r="102" spans="4:35" ht="15" x14ac:dyDescent="0.25">
      <c r="D102" s="92" t="s">
        <v>290</v>
      </c>
      <c r="E102" s="92" t="s">
        <v>290</v>
      </c>
      <c r="F102" s="92" t="s">
        <v>290</v>
      </c>
      <c r="G102" s="92" t="s">
        <v>290</v>
      </c>
      <c r="L102" s="92" t="s">
        <v>274</v>
      </c>
      <c r="M102" s="92" t="s">
        <v>468</v>
      </c>
      <c r="N102" s="92" t="s">
        <v>274</v>
      </c>
      <c r="O102" s="92" t="s">
        <v>468</v>
      </c>
      <c r="P102" s="92" t="s">
        <v>274</v>
      </c>
      <c r="Q102" s="92" t="s">
        <v>457</v>
      </c>
      <c r="R102" s="92" t="s">
        <v>274</v>
      </c>
      <c r="S102" s="92" t="s">
        <v>475</v>
      </c>
      <c r="T102" s="92" t="s">
        <v>274</v>
      </c>
      <c r="U102" s="92" t="s">
        <v>470</v>
      </c>
      <c r="V102" s="92" t="s">
        <v>274</v>
      </c>
      <c r="W102" s="92" t="s">
        <v>487</v>
      </c>
      <c r="X102" s="92" t="s">
        <v>274</v>
      </c>
      <c r="Y102" s="92" t="s">
        <v>453</v>
      </c>
      <c r="Z102" s="92" t="s">
        <v>274</v>
      </c>
      <c r="AA102" s="92" t="s">
        <v>453</v>
      </c>
      <c r="AB102" s="92" t="s">
        <v>274</v>
      </c>
      <c r="AC102" s="92" t="s">
        <v>459</v>
      </c>
      <c r="AD102" s="92" t="s">
        <v>274</v>
      </c>
      <c r="AE102" s="92" t="s">
        <v>465</v>
      </c>
      <c r="AF102" s="92" t="s">
        <v>274</v>
      </c>
      <c r="AG102" s="92" t="s">
        <v>466</v>
      </c>
      <c r="AH102" s="92" t="s">
        <v>274</v>
      </c>
      <c r="AI102" s="92" t="s">
        <v>488</v>
      </c>
    </row>
    <row r="103" spans="4:35" ht="15" x14ac:dyDescent="0.25">
      <c r="D103" s="92" t="s">
        <v>290</v>
      </c>
      <c r="E103" s="92" t="s">
        <v>290</v>
      </c>
      <c r="F103" s="92" t="s">
        <v>290</v>
      </c>
      <c r="G103" s="92" t="s">
        <v>290</v>
      </c>
      <c r="H103" s="92" t="s">
        <v>290</v>
      </c>
      <c r="I103" s="92" t="s">
        <v>290</v>
      </c>
      <c r="N103" s="92" t="s">
        <v>278</v>
      </c>
      <c r="O103" s="92" t="s">
        <v>457</v>
      </c>
      <c r="P103" s="92" t="s">
        <v>278</v>
      </c>
      <c r="Q103" s="92" t="s">
        <v>480</v>
      </c>
      <c r="R103" s="92" t="s">
        <v>278</v>
      </c>
      <c r="S103" s="92" t="s">
        <v>462</v>
      </c>
      <c r="T103" s="92" t="s">
        <v>278</v>
      </c>
      <c r="U103" s="92" t="s">
        <v>489</v>
      </c>
      <c r="V103" s="92" t="s">
        <v>278</v>
      </c>
      <c r="W103" s="92" t="s">
        <v>490</v>
      </c>
      <c r="X103" s="92" t="s">
        <v>278</v>
      </c>
      <c r="Y103" s="92" t="s">
        <v>459</v>
      </c>
      <c r="Z103" s="92" t="s">
        <v>278</v>
      </c>
      <c r="AA103" s="92" t="s">
        <v>459</v>
      </c>
      <c r="AB103" s="92" t="s">
        <v>278</v>
      </c>
      <c r="AC103" s="92" t="s">
        <v>464</v>
      </c>
      <c r="AD103" s="92" t="s">
        <v>278</v>
      </c>
      <c r="AE103" s="92" t="s">
        <v>473</v>
      </c>
      <c r="AF103" s="92" t="s">
        <v>278</v>
      </c>
      <c r="AG103" s="92" t="s">
        <v>474</v>
      </c>
      <c r="AH103" s="92" t="s">
        <v>278</v>
      </c>
      <c r="AI103" s="92" t="s">
        <v>491</v>
      </c>
    </row>
    <row r="104" spans="4:35" ht="15" x14ac:dyDescent="0.25">
      <c r="D104" s="92" t="s">
        <v>290</v>
      </c>
      <c r="E104" s="92" t="s">
        <v>290</v>
      </c>
      <c r="F104" s="92" t="s">
        <v>290</v>
      </c>
      <c r="G104" s="92" t="s">
        <v>290</v>
      </c>
      <c r="H104" s="92" t="s">
        <v>290</v>
      </c>
      <c r="I104" s="92" t="s">
        <v>290</v>
      </c>
      <c r="N104" s="92" t="s">
        <v>281</v>
      </c>
      <c r="O104" s="92" t="s">
        <v>480</v>
      </c>
      <c r="P104" s="92" t="s">
        <v>281</v>
      </c>
      <c r="Q104" s="92" t="s">
        <v>469</v>
      </c>
      <c r="R104" s="92" t="s">
        <v>281</v>
      </c>
      <c r="S104" s="92" t="s">
        <v>485</v>
      </c>
      <c r="T104" s="92" t="s">
        <v>281</v>
      </c>
      <c r="U104" s="92" t="s">
        <v>476</v>
      </c>
      <c r="V104" s="92" t="s">
        <v>281</v>
      </c>
      <c r="W104" s="92" t="s">
        <v>492</v>
      </c>
      <c r="X104" s="92" t="s">
        <v>290</v>
      </c>
      <c r="Y104" s="92" t="s">
        <v>290</v>
      </c>
      <c r="Z104" s="92" t="s">
        <v>281</v>
      </c>
      <c r="AA104" s="92" t="s">
        <v>464</v>
      </c>
      <c r="AB104" s="92" t="s">
        <v>281</v>
      </c>
      <c r="AC104" s="92" t="s">
        <v>472</v>
      </c>
      <c r="AD104" s="92" t="s">
        <v>281</v>
      </c>
      <c r="AE104" s="92" t="s">
        <v>447</v>
      </c>
      <c r="AF104" s="92" t="s">
        <v>281</v>
      </c>
      <c r="AG104" s="92" t="s">
        <v>479</v>
      </c>
      <c r="AH104" s="92" t="s">
        <v>281</v>
      </c>
      <c r="AI104" s="92" t="s">
        <v>493</v>
      </c>
    </row>
    <row r="105" spans="4:35" ht="15" x14ac:dyDescent="0.25">
      <c r="D105" s="92" t="s">
        <v>290</v>
      </c>
      <c r="E105" s="92" t="s">
        <v>290</v>
      </c>
      <c r="F105" s="92" t="s">
        <v>290</v>
      </c>
      <c r="G105" s="92" t="s">
        <v>290</v>
      </c>
      <c r="H105" s="92" t="s">
        <v>290</v>
      </c>
      <c r="I105" s="92" t="s">
        <v>290</v>
      </c>
      <c r="N105" s="92" t="s">
        <v>290</v>
      </c>
      <c r="O105" s="92" t="s">
        <v>290</v>
      </c>
      <c r="P105" s="92" t="s">
        <v>284</v>
      </c>
      <c r="Q105" s="92" t="s">
        <v>475</v>
      </c>
      <c r="R105" s="92" t="s">
        <v>290</v>
      </c>
      <c r="S105" s="92" t="s">
        <v>290</v>
      </c>
      <c r="T105" s="92" t="s">
        <v>284</v>
      </c>
      <c r="U105" s="92" t="s">
        <v>481</v>
      </c>
      <c r="V105" s="92" t="s">
        <v>284</v>
      </c>
      <c r="W105" s="92" t="s">
        <v>494</v>
      </c>
      <c r="X105" s="92" t="s">
        <v>290</v>
      </c>
      <c r="Y105" s="92" t="s">
        <v>495</v>
      </c>
      <c r="Z105" s="92" t="s">
        <v>284</v>
      </c>
      <c r="AA105" s="92" t="s">
        <v>472</v>
      </c>
      <c r="AB105" s="92" t="s">
        <v>284</v>
      </c>
      <c r="AC105" s="92" t="s">
        <v>478</v>
      </c>
      <c r="AD105" s="92" t="s">
        <v>284</v>
      </c>
      <c r="AE105" s="92" t="s">
        <v>422</v>
      </c>
      <c r="AF105" s="92" t="s">
        <v>284</v>
      </c>
      <c r="AG105" s="92" t="s">
        <v>484</v>
      </c>
      <c r="AH105" s="92" t="s">
        <v>290</v>
      </c>
      <c r="AI105" s="92" t="s">
        <v>290</v>
      </c>
    </row>
    <row r="106" spans="4:35" ht="15" x14ac:dyDescent="0.25">
      <c r="T106" s="92" t="s">
        <v>290</v>
      </c>
      <c r="U106" s="92" t="s">
        <v>290</v>
      </c>
      <c r="V106" s="92" t="s">
        <v>287</v>
      </c>
      <c r="W106" s="92" t="s">
        <v>496</v>
      </c>
      <c r="X106" s="92" t="s">
        <v>495</v>
      </c>
      <c r="Y106" s="92" t="s">
        <v>495</v>
      </c>
      <c r="Z106" s="92" t="s">
        <v>287</v>
      </c>
      <c r="AA106" s="92" t="s">
        <v>478</v>
      </c>
      <c r="AB106" s="92" t="s">
        <v>287</v>
      </c>
      <c r="AC106" s="92" t="s">
        <v>446</v>
      </c>
      <c r="AD106" s="92" t="s">
        <v>287</v>
      </c>
      <c r="AE106" s="92" t="s">
        <v>483</v>
      </c>
      <c r="AF106" s="92" t="s">
        <v>287</v>
      </c>
      <c r="AG106" s="92" t="s">
        <v>497</v>
      </c>
      <c r="AH106" s="92" t="s">
        <v>290</v>
      </c>
      <c r="AI106" s="92" t="s">
        <v>290</v>
      </c>
    </row>
    <row r="107" spans="4:35" ht="15" x14ac:dyDescent="0.25">
      <c r="P107" s="92" t="s">
        <v>290</v>
      </c>
      <c r="Q107" s="92" t="s">
        <v>290</v>
      </c>
      <c r="R107" s="92" t="s">
        <v>290</v>
      </c>
      <c r="S107" s="92" t="s">
        <v>290</v>
      </c>
      <c r="T107" s="92" t="s">
        <v>290</v>
      </c>
      <c r="U107" s="92" t="s">
        <v>290</v>
      </c>
      <c r="Z107" s="92" t="s">
        <v>290</v>
      </c>
      <c r="AA107" s="92" t="s">
        <v>290</v>
      </c>
      <c r="AB107" s="92" t="s">
        <v>291</v>
      </c>
      <c r="AC107" s="92" t="s">
        <v>454</v>
      </c>
      <c r="AD107" s="92" t="s">
        <v>291</v>
      </c>
      <c r="AE107" s="92" t="s">
        <v>461</v>
      </c>
    </row>
    <row r="108" spans="4:35" ht="15" x14ac:dyDescent="0.25">
      <c r="P108" s="92" t="s">
        <v>290</v>
      </c>
      <c r="Q108" s="92" t="s">
        <v>290</v>
      </c>
      <c r="R108" s="92" t="s">
        <v>290</v>
      </c>
      <c r="S108" s="92" t="s">
        <v>290</v>
      </c>
      <c r="T108" s="92" t="s">
        <v>290</v>
      </c>
      <c r="U108" s="92" t="s">
        <v>290</v>
      </c>
      <c r="Z108" s="92" t="s">
        <v>290</v>
      </c>
      <c r="AA108" s="92" t="s">
        <v>290</v>
      </c>
      <c r="AB108" s="92" t="s">
        <v>294</v>
      </c>
      <c r="AC108" s="92" t="s">
        <v>460</v>
      </c>
      <c r="AD108" s="92" t="s">
        <v>294</v>
      </c>
      <c r="AE108" s="92" t="s">
        <v>466</v>
      </c>
    </row>
    <row r="109" spans="4:35" ht="15" x14ac:dyDescent="0.25">
      <c r="P109" s="92" t="s">
        <v>290</v>
      </c>
      <c r="Q109" s="92" t="s">
        <v>290</v>
      </c>
      <c r="R109" s="92" t="s">
        <v>290</v>
      </c>
      <c r="S109" s="92" t="s">
        <v>290</v>
      </c>
      <c r="T109" s="92" t="s">
        <v>290</v>
      </c>
      <c r="U109" s="92" t="s">
        <v>290</v>
      </c>
      <c r="Z109" s="92" t="s">
        <v>290</v>
      </c>
      <c r="AA109" s="92" t="s">
        <v>290</v>
      </c>
      <c r="AB109" s="92" t="s">
        <v>297</v>
      </c>
      <c r="AC109" s="92" t="s">
        <v>465</v>
      </c>
      <c r="AD109" s="92" t="s">
        <v>297</v>
      </c>
      <c r="AE109" s="92" t="s">
        <v>498</v>
      </c>
    </row>
    <row r="110" spans="4:35" ht="15" x14ac:dyDescent="0.25">
      <c r="P110" s="92" t="s">
        <v>290</v>
      </c>
      <c r="Q110" s="92" t="s">
        <v>290</v>
      </c>
      <c r="R110" s="92" t="s">
        <v>290</v>
      </c>
      <c r="S110" s="92" t="s">
        <v>290</v>
      </c>
      <c r="T110" s="92" t="s">
        <v>290</v>
      </c>
      <c r="U110" s="92" t="s">
        <v>290</v>
      </c>
      <c r="Z110" s="92" t="s">
        <v>290</v>
      </c>
      <c r="AA110" s="92" t="s">
        <v>290</v>
      </c>
      <c r="AB110" s="92" t="s">
        <v>302</v>
      </c>
      <c r="AC110" s="92" t="s">
        <v>473</v>
      </c>
      <c r="AD110" s="92" t="s">
        <v>290</v>
      </c>
      <c r="AE110" s="92" t="s">
        <v>290</v>
      </c>
    </row>
    <row r="111" spans="4:35" ht="15" x14ac:dyDescent="0.25">
      <c r="D111" s="339"/>
      <c r="E111" s="337"/>
      <c r="F111" s="339"/>
      <c r="G111" s="337"/>
      <c r="H111" s="339"/>
      <c r="I111" s="337"/>
      <c r="P111" s="92" t="s">
        <v>290</v>
      </c>
      <c r="Q111" s="92" t="s">
        <v>290</v>
      </c>
      <c r="R111" s="92" t="s">
        <v>290</v>
      </c>
      <c r="S111" s="92" t="s">
        <v>290</v>
      </c>
      <c r="T111" s="92" t="s">
        <v>290</v>
      </c>
      <c r="U111" s="92" t="s">
        <v>290</v>
      </c>
      <c r="Z111" s="92" t="s">
        <v>290</v>
      </c>
      <c r="AA111" s="92" t="s">
        <v>290</v>
      </c>
      <c r="AB111" s="92" t="s">
        <v>306</v>
      </c>
      <c r="AC111" s="92" t="s">
        <v>499</v>
      </c>
      <c r="AD111" s="92" t="s">
        <v>290</v>
      </c>
      <c r="AE111" s="92" t="s">
        <v>290</v>
      </c>
    </row>
    <row r="112" spans="4:35" x14ac:dyDescent="0.2">
      <c r="D112" s="101"/>
      <c r="E112" s="101"/>
      <c r="F112" s="101"/>
      <c r="G112" s="101"/>
      <c r="H112" s="101"/>
      <c r="I112" s="101"/>
    </row>
    <row r="113" spans="4:9" x14ac:dyDescent="0.2">
      <c r="D113" s="101"/>
      <c r="E113" s="101"/>
      <c r="F113" s="101"/>
      <c r="G113" s="101"/>
      <c r="H113" s="101"/>
      <c r="I113" s="101"/>
    </row>
    <row r="121" spans="4:9" ht="15" x14ac:dyDescent="0.25">
      <c r="H121" s="92" t="s">
        <v>290</v>
      </c>
      <c r="I121" s="92" t="s">
        <v>290</v>
      </c>
    </row>
    <row r="122" spans="4:9" ht="15" x14ac:dyDescent="0.25">
      <c r="F122" s="92" t="s">
        <v>290</v>
      </c>
      <c r="G122" s="92" t="s">
        <v>290</v>
      </c>
      <c r="H122" s="92" t="s">
        <v>290</v>
      </c>
      <c r="I122" s="92" t="s">
        <v>290</v>
      </c>
    </row>
  </sheetData>
  <mergeCells count="24">
    <mergeCell ref="J89:K89"/>
    <mergeCell ref="D111:E111"/>
    <mergeCell ref="F111:G111"/>
    <mergeCell ref="H111:I111"/>
    <mergeCell ref="D40:E40"/>
    <mergeCell ref="F40:G40"/>
    <mergeCell ref="D89:E89"/>
    <mergeCell ref="H89:I89"/>
    <mergeCell ref="F13:G13"/>
    <mergeCell ref="H13:I13"/>
    <mergeCell ref="J14:K14"/>
    <mergeCell ref="H16:I16"/>
    <mergeCell ref="V11:W11"/>
    <mergeCell ref="V10:W10"/>
    <mergeCell ref="X10:Y10"/>
    <mergeCell ref="H10:I10"/>
    <mergeCell ref="J10:K10"/>
    <mergeCell ref="H11:I11"/>
    <mergeCell ref="J11:K11"/>
    <mergeCell ref="P11:Q11"/>
    <mergeCell ref="T11:U11"/>
    <mergeCell ref="P10:Q10"/>
    <mergeCell ref="T10:U10"/>
    <mergeCell ref="X11:Y11"/>
  </mergeCells>
  <phoneticPr fontId="37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>
    <pageSetUpPr fitToPage="1"/>
  </sheetPr>
  <dimension ref="A1:U109"/>
  <sheetViews>
    <sheetView topLeftCell="A31" zoomScale="85" zoomScaleNormal="85" workbookViewId="0">
      <selection activeCell="U91" sqref="U91"/>
    </sheetView>
  </sheetViews>
  <sheetFormatPr defaultColWidth="9.140625" defaultRowHeight="12.75" x14ac:dyDescent="0.2"/>
  <cols>
    <col min="1" max="3" width="3.7109375" style="92" customWidth="1"/>
    <col min="4" max="4" width="4.7109375" style="92" customWidth="1"/>
    <col min="5" max="5" width="15.7109375" style="92" customWidth="1"/>
    <col min="6" max="9" width="12.7109375" style="92" customWidth="1"/>
    <col min="10" max="10" width="14.140625" style="143" customWidth="1"/>
    <col min="11" max="12" width="8.7109375" style="92" customWidth="1"/>
    <col min="13" max="13" width="12.7109375" style="92" customWidth="1"/>
    <col min="14" max="15" width="8.7109375" style="92" customWidth="1"/>
    <col min="16" max="16" width="10.5703125" style="92" customWidth="1"/>
    <col min="17" max="17" width="8.7109375" style="92" customWidth="1"/>
    <col min="18" max="18" width="12.7109375" style="92" customWidth="1"/>
    <col min="19" max="19" width="16.28515625" style="92" customWidth="1"/>
    <col min="20" max="22" width="8.7109375" style="92" customWidth="1"/>
    <col min="23" max="23" width="12.7109375" style="92" customWidth="1"/>
    <col min="24" max="27" width="8.7109375" style="92" customWidth="1"/>
    <col min="28" max="28" width="9.140625" style="92"/>
    <col min="29" max="29" width="8.7109375" style="92" customWidth="1"/>
    <col min="30" max="30" width="2.7109375" style="92" customWidth="1"/>
    <col min="31" max="16384" width="9.140625" style="92"/>
  </cols>
  <sheetData>
    <row r="1" spans="1:21" ht="18" x14ac:dyDescent="0.25">
      <c r="A1" s="90" t="s">
        <v>230</v>
      </c>
      <c r="C1" s="91"/>
      <c r="D1" s="91"/>
    </row>
    <row r="2" spans="1:21" x14ac:dyDescent="0.2">
      <c r="A2" s="93" t="s">
        <v>231</v>
      </c>
      <c r="C2" s="94"/>
      <c r="E2" s="93" t="s">
        <v>20</v>
      </c>
    </row>
    <row r="3" spans="1:21" x14ac:dyDescent="0.2">
      <c r="A3" s="93" t="s">
        <v>21</v>
      </c>
      <c r="C3" s="94"/>
      <c r="E3" s="93" t="s">
        <v>22</v>
      </c>
    </row>
    <row r="4" spans="1:21" x14ac:dyDescent="0.2">
      <c r="A4" s="93" t="s">
        <v>23</v>
      </c>
      <c r="C4" s="94"/>
      <c r="E4" s="93" t="s">
        <v>232</v>
      </c>
    </row>
    <row r="5" spans="1:21" x14ac:dyDescent="0.2">
      <c r="A5" s="93" t="s">
        <v>25</v>
      </c>
      <c r="C5" s="94"/>
      <c r="E5" s="93" t="s">
        <v>233</v>
      </c>
    </row>
    <row r="6" spans="1:21" x14ac:dyDescent="0.2">
      <c r="A6" s="93" t="s">
        <v>27</v>
      </c>
      <c r="C6" s="94"/>
      <c r="E6" s="94" t="s">
        <v>556</v>
      </c>
    </row>
    <row r="8" spans="1:21" ht="13.5" thickBot="1" x14ac:dyDescent="0.25">
      <c r="D8" s="101"/>
      <c r="E8" s="101"/>
      <c r="F8" s="101"/>
      <c r="G8" s="101"/>
      <c r="H8" s="101"/>
    </row>
    <row r="9" spans="1:21" x14ac:dyDescent="0.2">
      <c r="D9" s="101"/>
      <c r="E9" s="152" t="s">
        <v>557</v>
      </c>
      <c r="F9" s="153"/>
      <c r="G9" s="154" t="s">
        <v>558</v>
      </c>
      <c r="H9" s="155"/>
      <c r="I9" s="155"/>
      <c r="J9" s="156"/>
      <c r="K9" s="155" t="s">
        <v>15</v>
      </c>
      <c r="L9" s="157" t="s">
        <v>16</v>
      </c>
      <c r="M9" s="158" t="s">
        <v>559</v>
      </c>
      <c r="N9" s="154" t="s">
        <v>560</v>
      </c>
      <c r="O9" s="157"/>
      <c r="P9" s="154" t="s">
        <v>561</v>
      </c>
      <c r="Q9" s="159"/>
      <c r="R9" s="153"/>
      <c r="S9" s="158" t="s">
        <v>562</v>
      </c>
      <c r="T9" s="154"/>
      <c r="U9" s="160"/>
    </row>
    <row r="10" spans="1:21" ht="13.5" thickBot="1" x14ac:dyDescent="0.25">
      <c r="D10" s="101"/>
      <c r="E10" s="161"/>
      <c r="F10" s="162"/>
      <c r="G10" s="163"/>
      <c r="H10" s="164"/>
      <c r="I10" s="164"/>
      <c r="J10" s="165"/>
      <c r="K10" s="164"/>
      <c r="L10" s="166"/>
      <c r="M10" s="167"/>
      <c r="N10" s="163"/>
      <c r="O10" s="166"/>
      <c r="P10" s="163"/>
      <c r="Q10" s="168"/>
      <c r="R10" s="162"/>
      <c r="S10" s="167" t="s">
        <v>563</v>
      </c>
      <c r="T10" s="167" t="s">
        <v>564</v>
      </c>
      <c r="U10" s="169" t="s">
        <v>565</v>
      </c>
    </row>
    <row r="11" spans="1:21" x14ac:dyDescent="0.2">
      <c r="D11" s="101"/>
      <c r="E11" s="170"/>
      <c r="F11" s="171"/>
      <c r="G11" s="172"/>
      <c r="H11" s="173"/>
      <c r="I11" s="173"/>
      <c r="J11" s="174"/>
      <c r="K11" s="173"/>
      <c r="L11" s="171"/>
      <c r="M11" s="175"/>
      <c r="N11" s="172"/>
      <c r="O11" s="171"/>
      <c r="P11" s="172"/>
      <c r="Q11" s="173"/>
      <c r="R11" s="171"/>
      <c r="S11" s="176"/>
      <c r="T11" s="176"/>
      <c r="U11" s="177"/>
    </row>
    <row r="12" spans="1:21" x14ac:dyDescent="0.2">
      <c r="D12" s="101"/>
      <c r="E12" s="178" t="s">
        <v>547</v>
      </c>
      <c r="F12" s="171"/>
      <c r="G12" s="179" t="s">
        <v>566</v>
      </c>
      <c r="H12" s="136"/>
      <c r="I12" s="173"/>
      <c r="J12" s="174"/>
      <c r="K12" s="173"/>
      <c r="L12" s="171"/>
      <c r="M12" s="175"/>
      <c r="N12" s="172"/>
      <c r="O12" s="171"/>
      <c r="P12" s="172"/>
      <c r="Q12" s="173"/>
      <c r="R12" s="171"/>
      <c r="S12" s="176" t="s">
        <v>567</v>
      </c>
      <c r="T12" s="176" t="s">
        <v>567</v>
      </c>
      <c r="U12" s="180" t="s">
        <v>567</v>
      </c>
    </row>
    <row r="13" spans="1:21" x14ac:dyDescent="0.2">
      <c r="D13" s="101"/>
      <c r="E13" s="170"/>
      <c r="F13" s="171"/>
      <c r="G13" s="172"/>
      <c r="H13" s="173"/>
      <c r="I13" s="173"/>
      <c r="J13" s="174"/>
      <c r="K13" s="173"/>
      <c r="L13" s="171"/>
      <c r="M13" s="175"/>
      <c r="N13" s="172"/>
      <c r="O13" s="171"/>
      <c r="P13" s="172"/>
      <c r="Q13" s="173"/>
      <c r="R13" s="171"/>
      <c r="S13" s="175"/>
      <c r="T13" s="175"/>
      <c r="U13" s="177"/>
    </row>
    <row r="14" spans="1:21" x14ac:dyDescent="0.2">
      <c r="D14" s="101"/>
      <c r="E14" s="178" t="s">
        <v>548</v>
      </c>
      <c r="F14" s="181" t="s">
        <v>568</v>
      </c>
      <c r="G14" s="179" t="s">
        <v>569</v>
      </c>
      <c r="H14" s="136"/>
      <c r="I14" s="173"/>
      <c r="J14" s="174"/>
      <c r="K14" s="182" t="s">
        <v>536</v>
      </c>
      <c r="L14" s="183">
        <v>15</v>
      </c>
      <c r="M14" s="184">
        <v>29.24</v>
      </c>
      <c r="N14" s="179" t="s">
        <v>570</v>
      </c>
      <c r="O14" s="171"/>
      <c r="P14" s="172"/>
      <c r="Q14" s="173"/>
      <c r="R14" s="171"/>
      <c r="S14" s="176" t="s">
        <v>567</v>
      </c>
      <c r="T14" s="176" t="s">
        <v>567</v>
      </c>
      <c r="U14" s="180" t="s">
        <v>567</v>
      </c>
    </row>
    <row r="15" spans="1:21" x14ac:dyDescent="0.2">
      <c r="D15" s="101"/>
      <c r="E15" s="178"/>
      <c r="F15" s="171"/>
      <c r="G15" s="179"/>
      <c r="H15" s="136"/>
      <c r="I15" s="173"/>
      <c r="J15" s="174"/>
      <c r="K15" s="182" t="s">
        <v>537</v>
      </c>
      <c r="L15" s="183">
        <v>15</v>
      </c>
      <c r="M15" s="184">
        <v>25.65</v>
      </c>
      <c r="N15" s="179" t="s">
        <v>570</v>
      </c>
      <c r="O15" s="171"/>
      <c r="P15" s="172"/>
      <c r="Q15" s="173"/>
      <c r="R15" s="171"/>
      <c r="S15" s="176" t="s">
        <v>567</v>
      </c>
      <c r="T15" s="176" t="s">
        <v>567</v>
      </c>
      <c r="U15" s="180" t="s">
        <v>567</v>
      </c>
    </row>
    <row r="16" spans="1:21" x14ac:dyDescent="0.2">
      <c r="D16" s="101"/>
      <c r="E16" s="178"/>
      <c r="F16" s="171"/>
      <c r="G16" s="179"/>
      <c r="H16" s="136"/>
      <c r="I16" s="173"/>
      <c r="J16" s="174"/>
      <c r="K16" s="182" t="s">
        <v>538</v>
      </c>
      <c r="L16" s="183">
        <v>15</v>
      </c>
      <c r="M16" s="184">
        <v>46.71</v>
      </c>
      <c r="N16" s="179" t="s">
        <v>570</v>
      </c>
      <c r="O16" s="171"/>
      <c r="P16" s="172"/>
      <c r="Q16" s="173"/>
      <c r="R16" s="171"/>
      <c r="S16" s="176" t="s">
        <v>567</v>
      </c>
      <c r="T16" s="176" t="s">
        <v>567</v>
      </c>
      <c r="U16" s="180" t="s">
        <v>567</v>
      </c>
    </row>
    <row r="17" spans="4:21" x14ac:dyDescent="0.2">
      <c r="D17" s="101"/>
      <c r="E17" s="178"/>
      <c r="F17" s="171"/>
      <c r="G17" s="179"/>
      <c r="H17" s="136"/>
      <c r="I17" s="173"/>
      <c r="J17" s="174"/>
      <c r="K17" s="182" t="s">
        <v>539</v>
      </c>
      <c r="L17" s="183">
        <v>15</v>
      </c>
      <c r="M17" s="184">
        <v>23.1</v>
      </c>
      <c r="N17" s="179" t="s">
        <v>570</v>
      </c>
      <c r="O17" s="171"/>
      <c r="P17" s="172"/>
      <c r="Q17" s="173"/>
      <c r="R17" s="171"/>
      <c r="S17" s="176" t="s">
        <v>567</v>
      </c>
      <c r="T17" s="176" t="s">
        <v>567</v>
      </c>
      <c r="U17" s="180" t="s">
        <v>567</v>
      </c>
    </row>
    <row r="18" spans="4:21" x14ac:dyDescent="0.2">
      <c r="D18" s="101"/>
      <c r="E18" s="170"/>
      <c r="F18" s="171"/>
      <c r="G18" s="172"/>
      <c r="H18" s="173"/>
      <c r="I18" s="173"/>
      <c r="J18" s="174"/>
      <c r="K18" s="173"/>
      <c r="L18" s="171"/>
      <c r="M18" s="175"/>
      <c r="N18" s="172"/>
      <c r="O18" s="171"/>
      <c r="P18" s="172"/>
      <c r="Q18" s="173"/>
      <c r="R18" s="171"/>
      <c r="S18" s="175"/>
      <c r="T18" s="175"/>
      <c r="U18" s="177"/>
    </row>
    <row r="19" spans="4:21" x14ac:dyDescent="0.2">
      <c r="D19" s="101"/>
      <c r="E19" s="178" t="s">
        <v>549</v>
      </c>
      <c r="F19" s="181" t="s">
        <v>568</v>
      </c>
      <c r="G19" s="179" t="s">
        <v>571</v>
      </c>
      <c r="H19" s="136"/>
      <c r="I19" s="185" t="s">
        <v>572</v>
      </c>
      <c r="K19" s="182" t="s">
        <v>536</v>
      </c>
      <c r="L19" s="183">
        <v>15</v>
      </c>
      <c r="M19" s="184">
        <v>715.21</v>
      </c>
      <c r="N19" s="179" t="s">
        <v>573</v>
      </c>
      <c r="O19" s="171"/>
      <c r="P19" s="172"/>
      <c r="Q19" s="173"/>
      <c r="R19" s="171"/>
      <c r="S19" s="176" t="s">
        <v>70</v>
      </c>
      <c r="T19" s="176" t="s">
        <v>70</v>
      </c>
      <c r="U19" s="177" t="s">
        <v>567</v>
      </c>
    </row>
    <row r="20" spans="4:21" x14ac:dyDescent="0.2">
      <c r="D20" s="101"/>
      <c r="E20" s="178"/>
      <c r="F20" s="171"/>
      <c r="G20" s="179"/>
      <c r="H20" s="136"/>
      <c r="I20" s="185"/>
      <c r="K20" s="182" t="s">
        <v>537</v>
      </c>
      <c r="L20" s="183">
        <v>15</v>
      </c>
      <c r="M20" s="184">
        <v>715.21</v>
      </c>
      <c r="N20" s="179" t="s">
        <v>573</v>
      </c>
      <c r="O20" s="171"/>
      <c r="P20" s="172"/>
      <c r="Q20" s="173"/>
      <c r="R20" s="171"/>
      <c r="S20" s="176" t="s">
        <v>70</v>
      </c>
      <c r="T20" s="176" t="s">
        <v>70</v>
      </c>
      <c r="U20" s="177" t="s">
        <v>567</v>
      </c>
    </row>
    <row r="21" spans="4:21" x14ac:dyDescent="0.2">
      <c r="D21" s="101"/>
      <c r="E21" s="170"/>
      <c r="F21" s="171"/>
      <c r="G21" s="172"/>
      <c r="H21" s="173"/>
      <c r="I21" s="185" t="s">
        <v>574</v>
      </c>
      <c r="K21" s="186" t="s">
        <v>531</v>
      </c>
      <c r="L21" s="183">
        <v>13</v>
      </c>
      <c r="M21" s="184">
        <v>218.98</v>
      </c>
      <c r="N21" s="179" t="s">
        <v>573</v>
      </c>
      <c r="O21" s="171"/>
      <c r="P21" s="172"/>
      <c r="Q21" s="173"/>
      <c r="R21" s="171"/>
      <c r="S21" s="176" t="s">
        <v>70</v>
      </c>
      <c r="T21" s="176" t="s">
        <v>70</v>
      </c>
      <c r="U21" s="177" t="s">
        <v>567</v>
      </c>
    </row>
    <row r="22" spans="4:21" x14ac:dyDescent="0.2">
      <c r="D22" s="101"/>
      <c r="E22" s="170"/>
      <c r="F22" s="171"/>
      <c r="G22" s="172"/>
      <c r="H22" s="173"/>
      <c r="I22" s="185"/>
      <c r="K22" s="186" t="s">
        <v>532</v>
      </c>
      <c r="L22" s="187">
        <v>15</v>
      </c>
      <c r="M22" s="184"/>
      <c r="N22" s="179"/>
      <c r="O22" s="171"/>
      <c r="P22" s="172"/>
      <c r="Q22" s="173"/>
      <c r="R22" s="171"/>
      <c r="S22" s="176" t="s">
        <v>70</v>
      </c>
      <c r="T22" s="176" t="s">
        <v>70</v>
      </c>
      <c r="U22" s="177" t="s">
        <v>567</v>
      </c>
    </row>
    <row r="23" spans="4:21" x14ac:dyDescent="0.2">
      <c r="D23" s="101"/>
      <c r="E23" s="170"/>
      <c r="F23" s="171"/>
      <c r="G23" s="172"/>
      <c r="H23" s="173"/>
      <c r="I23" s="185"/>
      <c r="K23" s="186" t="s">
        <v>533</v>
      </c>
      <c r="L23" s="173" t="s">
        <v>575</v>
      </c>
      <c r="M23" s="184"/>
      <c r="N23" s="179"/>
      <c r="O23" s="171"/>
      <c r="P23" s="172"/>
      <c r="Q23" s="173"/>
      <c r="R23" s="171"/>
      <c r="S23" s="176" t="s">
        <v>70</v>
      </c>
      <c r="T23" s="176" t="s">
        <v>70</v>
      </c>
      <c r="U23" s="177" t="s">
        <v>567</v>
      </c>
    </row>
    <row r="24" spans="4:21" x14ac:dyDescent="0.2">
      <c r="D24" s="101"/>
      <c r="E24" s="170"/>
      <c r="F24" s="171"/>
      <c r="G24" s="172"/>
      <c r="H24" s="173"/>
      <c r="I24" s="185"/>
      <c r="K24" s="186" t="s">
        <v>534</v>
      </c>
      <c r="L24" s="187">
        <v>18</v>
      </c>
      <c r="M24" s="184"/>
      <c r="N24" s="179"/>
      <c r="O24" s="171"/>
      <c r="P24" s="172"/>
      <c r="Q24" s="173"/>
      <c r="R24" s="171"/>
      <c r="S24" s="176" t="s">
        <v>70</v>
      </c>
      <c r="T24" s="176" t="s">
        <v>70</v>
      </c>
      <c r="U24" s="177" t="s">
        <v>567</v>
      </c>
    </row>
    <row r="25" spans="4:21" x14ac:dyDescent="0.2">
      <c r="D25" s="101"/>
      <c r="E25" s="170"/>
      <c r="F25" s="171"/>
      <c r="G25" s="172"/>
      <c r="H25" s="173"/>
      <c r="I25" s="185"/>
      <c r="K25" s="186" t="s">
        <v>535</v>
      </c>
      <c r="L25" s="188">
        <v>18</v>
      </c>
      <c r="M25" s="184"/>
      <c r="N25" s="179"/>
      <c r="O25" s="171"/>
      <c r="P25" s="172"/>
      <c r="Q25" s="173"/>
      <c r="R25" s="171"/>
      <c r="S25" s="176" t="s">
        <v>70</v>
      </c>
      <c r="T25" s="176" t="s">
        <v>70</v>
      </c>
      <c r="U25" s="177" t="s">
        <v>567</v>
      </c>
    </row>
    <row r="26" spans="4:21" x14ac:dyDescent="0.2">
      <c r="D26" s="101"/>
      <c r="E26" s="170"/>
      <c r="F26" s="171"/>
      <c r="G26" s="172"/>
      <c r="H26" s="173"/>
      <c r="I26" s="185" t="s">
        <v>576</v>
      </c>
      <c r="K26" s="173">
        <v>9</v>
      </c>
      <c r="L26" s="189">
        <v>10</v>
      </c>
      <c r="M26" s="184">
        <v>218.98</v>
      </c>
      <c r="N26" s="179" t="s">
        <v>573</v>
      </c>
      <c r="O26" s="171"/>
      <c r="P26" s="172"/>
      <c r="Q26" s="173"/>
      <c r="R26" s="171"/>
      <c r="S26" s="176" t="s">
        <v>70</v>
      </c>
      <c r="T26" s="176" t="s">
        <v>70</v>
      </c>
      <c r="U26" s="177" t="s">
        <v>567</v>
      </c>
    </row>
    <row r="27" spans="4:21" x14ac:dyDescent="0.2">
      <c r="D27" s="101"/>
      <c r="E27" s="170"/>
      <c r="F27" s="171"/>
      <c r="G27" s="172"/>
      <c r="H27" s="173"/>
      <c r="I27" s="173"/>
      <c r="J27" s="182"/>
      <c r="K27" s="173"/>
      <c r="L27" s="171"/>
      <c r="M27" s="175"/>
      <c r="N27" s="172"/>
      <c r="O27" s="171"/>
      <c r="P27" s="172"/>
      <c r="Q27" s="173"/>
      <c r="R27" s="171"/>
      <c r="S27" s="175"/>
      <c r="T27" s="175"/>
      <c r="U27" s="177"/>
    </row>
    <row r="28" spans="4:21" x14ac:dyDescent="0.2">
      <c r="D28" s="101"/>
      <c r="E28" s="178" t="s">
        <v>550</v>
      </c>
      <c r="F28" s="190" t="s">
        <v>577</v>
      </c>
      <c r="G28" s="179" t="s">
        <v>578</v>
      </c>
      <c r="H28" s="136"/>
      <c r="I28" s="185" t="s">
        <v>579</v>
      </c>
      <c r="K28" s="173"/>
      <c r="L28" s="171"/>
      <c r="M28" s="184">
        <v>32.409999999999997</v>
      </c>
      <c r="N28" s="179" t="s">
        <v>570</v>
      </c>
      <c r="O28" s="171"/>
      <c r="P28" s="172"/>
      <c r="Q28" s="173"/>
      <c r="R28" s="171"/>
      <c r="S28" s="176" t="s">
        <v>70</v>
      </c>
      <c r="T28" s="176" t="s">
        <v>70</v>
      </c>
      <c r="U28" s="177" t="s">
        <v>567</v>
      </c>
    </row>
    <row r="29" spans="4:21" x14ac:dyDescent="0.2">
      <c r="D29" s="101"/>
      <c r="E29" s="170"/>
      <c r="F29" s="171"/>
      <c r="G29" s="172"/>
      <c r="H29" s="173"/>
      <c r="I29" s="173"/>
      <c r="J29" s="174"/>
      <c r="K29" s="173"/>
      <c r="L29" s="171"/>
      <c r="M29" s="175"/>
      <c r="N29" s="172"/>
      <c r="O29" s="171"/>
      <c r="P29" s="172"/>
      <c r="Q29" s="173"/>
      <c r="R29" s="171"/>
      <c r="S29" s="175"/>
      <c r="T29" s="175"/>
      <c r="U29" s="177"/>
    </row>
    <row r="30" spans="4:21" x14ac:dyDescent="0.2">
      <c r="D30" s="101"/>
      <c r="E30" s="178" t="s">
        <v>551</v>
      </c>
      <c r="F30" s="181" t="s">
        <v>568</v>
      </c>
      <c r="G30" s="179" t="s">
        <v>580</v>
      </c>
      <c r="H30" s="136"/>
      <c r="I30" s="173"/>
      <c r="J30" s="185"/>
      <c r="K30" s="182" t="s">
        <v>536</v>
      </c>
      <c r="L30" s="183">
        <v>15</v>
      </c>
      <c r="M30" s="184">
        <v>61</v>
      </c>
      <c r="N30" s="179" t="s">
        <v>570</v>
      </c>
      <c r="O30" s="171"/>
      <c r="P30" s="172"/>
      <c r="Q30" s="173"/>
      <c r="R30" s="171"/>
      <c r="S30" s="176" t="s">
        <v>567</v>
      </c>
      <c r="T30" s="176" t="s">
        <v>567</v>
      </c>
      <c r="U30" s="177" t="s">
        <v>567</v>
      </c>
    </row>
    <row r="31" spans="4:21" x14ac:dyDescent="0.2">
      <c r="D31" s="101"/>
      <c r="E31" s="170"/>
      <c r="F31" s="171"/>
      <c r="G31" s="179"/>
      <c r="H31" s="136"/>
      <c r="I31" s="173"/>
      <c r="J31" s="185"/>
      <c r="K31" s="182" t="s">
        <v>537</v>
      </c>
      <c r="L31" s="183">
        <v>15</v>
      </c>
      <c r="M31" s="184">
        <v>61</v>
      </c>
      <c r="N31" s="179" t="s">
        <v>570</v>
      </c>
      <c r="O31" s="171"/>
      <c r="P31" s="172"/>
      <c r="Q31" s="173"/>
      <c r="R31" s="171"/>
      <c r="S31" s="176" t="s">
        <v>567</v>
      </c>
      <c r="T31" s="176" t="s">
        <v>567</v>
      </c>
      <c r="U31" s="177" t="s">
        <v>567</v>
      </c>
    </row>
    <row r="32" spans="4:21" x14ac:dyDescent="0.2">
      <c r="D32" s="101"/>
      <c r="E32" s="170"/>
      <c r="F32" s="171"/>
      <c r="G32" s="172"/>
      <c r="H32" s="173"/>
      <c r="I32" s="173"/>
      <c r="J32" s="174"/>
      <c r="K32" s="173"/>
      <c r="L32" s="171"/>
      <c r="M32" s="175"/>
      <c r="N32" s="172"/>
      <c r="O32" s="171"/>
      <c r="P32" s="172"/>
      <c r="Q32" s="173"/>
      <c r="R32" s="171"/>
      <c r="S32" s="175"/>
      <c r="T32" s="175"/>
      <c r="U32" s="177"/>
    </row>
    <row r="33" spans="4:21" x14ac:dyDescent="0.2">
      <c r="D33" s="101"/>
      <c r="E33" s="178" t="s">
        <v>552</v>
      </c>
      <c r="F33" s="190" t="s">
        <v>577</v>
      </c>
      <c r="G33" s="179" t="s">
        <v>581</v>
      </c>
      <c r="H33" s="136"/>
      <c r="I33" s="173"/>
      <c r="J33" s="182" t="s">
        <v>564</v>
      </c>
      <c r="K33" s="173"/>
      <c r="L33" s="191">
        <v>6.3E-2</v>
      </c>
      <c r="M33" s="175"/>
      <c r="N33" s="179" t="s">
        <v>573</v>
      </c>
      <c r="O33" s="171"/>
      <c r="P33" s="172"/>
      <c r="Q33" s="173"/>
      <c r="R33" s="171"/>
      <c r="S33" s="176" t="s">
        <v>70</v>
      </c>
      <c r="T33" s="176" t="s">
        <v>70</v>
      </c>
      <c r="U33" s="180" t="s">
        <v>567</v>
      </c>
    </row>
    <row r="34" spans="4:21" x14ac:dyDescent="0.2">
      <c r="D34" s="101"/>
      <c r="E34" s="170"/>
      <c r="F34" s="171"/>
      <c r="G34" s="172"/>
      <c r="H34" s="173"/>
      <c r="I34" s="173"/>
      <c r="J34" s="174"/>
      <c r="K34" s="173"/>
      <c r="L34" s="171"/>
      <c r="M34" s="175"/>
      <c r="N34" s="172"/>
      <c r="O34" s="171"/>
      <c r="P34" s="172"/>
      <c r="Q34" s="173"/>
      <c r="R34" s="171"/>
      <c r="S34" s="175"/>
      <c r="T34" s="175"/>
      <c r="U34" s="177"/>
    </row>
    <row r="35" spans="4:21" x14ac:dyDescent="0.2">
      <c r="D35" s="101"/>
      <c r="E35" s="178" t="s">
        <v>553</v>
      </c>
      <c r="F35" s="181" t="s">
        <v>568</v>
      </c>
      <c r="G35" s="179" t="s">
        <v>582</v>
      </c>
      <c r="H35" s="136"/>
      <c r="I35" s="173"/>
      <c r="J35" s="174"/>
      <c r="K35" s="192" t="s">
        <v>583</v>
      </c>
      <c r="L35" s="171"/>
      <c r="M35" s="184">
        <v>1070.28</v>
      </c>
      <c r="N35" s="179" t="s">
        <v>573</v>
      </c>
      <c r="O35" s="171"/>
      <c r="P35" s="179" t="s">
        <v>584</v>
      </c>
      <c r="Q35" s="173"/>
      <c r="R35" s="193">
        <v>820.08</v>
      </c>
      <c r="S35" s="176" t="s">
        <v>70</v>
      </c>
      <c r="T35" s="176" t="s">
        <v>70</v>
      </c>
      <c r="U35" s="180" t="s">
        <v>567</v>
      </c>
    </row>
    <row r="36" spans="4:21" x14ac:dyDescent="0.2">
      <c r="D36" s="101"/>
      <c r="E36" s="170"/>
      <c r="F36" s="171"/>
      <c r="G36" s="179"/>
      <c r="H36" s="136"/>
      <c r="I36" s="173"/>
      <c r="J36" s="174"/>
      <c r="K36" s="192" t="s">
        <v>585</v>
      </c>
      <c r="L36" s="171"/>
      <c r="M36" s="184">
        <v>1025.28</v>
      </c>
      <c r="N36" s="179" t="s">
        <v>573</v>
      </c>
      <c r="O36" s="171"/>
      <c r="P36" s="179" t="s">
        <v>584</v>
      </c>
      <c r="Q36" s="173"/>
      <c r="R36" s="183">
        <v>775.08</v>
      </c>
      <c r="S36" s="176" t="s">
        <v>70</v>
      </c>
      <c r="T36" s="176" t="s">
        <v>70</v>
      </c>
      <c r="U36" s="180" t="s">
        <v>567</v>
      </c>
    </row>
    <row r="37" spans="4:21" x14ac:dyDescent="0.2">
      <c r="D37" s="101"/>
      <c r="E37" s="170"/>
      <c r="F37" s="171"/>
      <c r="G37" s="172"/>
      <c r="H37" s="173"/>
      <c r="I37" s="173"/>
      <c r="J37" s="174"/>
      <c r="K37" s="174"/>
      <c r="L37" s="171"/>
      <c r="M37" s="175"/>
      <c r="N37" s="172"/>
      <c r="O37" s="171"/>
      <c r="P37" s="172"/>
      <c r="Q37" s="173"/>
      <c r="R37" s="171"/>
      <c r="S37" s="175"/>
      <c r="T37" s="175"/>
      <c r="U37" s="177"/>
    </row>
    <row r="38" spans="4:21" x14ac:dyDescent="0.2">
      <c r="D38" s="101"/>
      <c r="E38" s="178" t="s">
        <v>554</v>
      </c>
      <c r="F38" s="181" t="s">
        <v>586</v>
      </c>
      <c r="G38" s="179" t="s">
        <v>587</v>
      </c>
      <c r="H38" s="136"/>
      <c r="I38" s="173"/>
      <c r="J38" s="174"/>
      <c r="K38" s="192" t="s">
        <v>588</v>
      </c>
      <c r="L38" s="171"/>
      <c r="M38" s="194">
        <v>298</v>
      </c>
      <c r="N38" s="179" t="s">
        <v>570</v>
      </c>
      <c r="O38" s="171"/>
      <c r="P38" s="172"/>
      <c r="Q38" s="173"/>
      <c r="R38" s="171"/>
      <c r="S38" s="176" t="s">
        <v>70</v>
      </c>
      <c r="T38" s="176" t="s">
        <v>70</v>
      </c>
      <c r="U38" s="180" t="s">
        <v>70</v>
      </c>
    </row>
    <row r="39" spans="4:21" x14ac:dyDescent="0.2">
      <c r="D39" s="101"/>
      <c r="E39" s="170"/>
      <c r="F39" s="171"/>
      <c r="G39" s="172"/>
      <c r="H39" s="173"/>
      <c r="I39" s="173"/>
      <c r="J39" s="174"/>
      <c r="K39" s="173"/>
      <c r="L39" s="171"/>
      <c r="M39" s="175"/>
      <c r="N39" s="172"/>
      <c r="O39" s="171"/>
      <c r="P39" s="172"/>
      <c r="Q39" s="173"/>
      <c r="R39" s="171"/>
      <c r="S39" s="175"/>
      <c r="T39" s="175"/>
      <c r="U39" s="177"/>
    </row>
    <row r="40" spans="4:21" x14ac:dyDescent="0.2">
      <c r="D40" s="101"/>
      <c r="E40" s="170"/>
      <c r="F40" s="195" t="s">
        <v>589</v>
      </c>
      <c r="G40" s="179" t="s">
        <v>590</v>
      </c>
      <c r="H40" s="136"/>
      <c r="I40" s="173"/>
      <c r="J40" s="196" t="s">
        <v>591</v>
      </c>
      <c r="K40" s="173"/>
      <c r="L40" s="171"/>
      <c r="M40" s="175"/>
      <c r="N40" s="172"/>
      <c r="O40" s="171"/>
      <c r="P40" s="172"/>
      <c r="Q40" s="173"/>
      <c r="R40" s="171"/>
      <c r="S40" s="176" t="s">
        <v>70</v>
      </c>
      <c r="T40" s="176" t="s">
        <v>70</v>
      </c>
      <c r="U40" s="197" t="s">
        <v>592</v>
      </c>
    </row>
    <row r="41" spans="4:21" x14ac:dyDescent="0.2">
      <c r="D41" s="101"/>
      <c r="E41" s="170"/>
      <c r="F41" s="190"/>
      <c r="G41" s="179" t="s">
        <v>593</v>
      </c>
      <c r="H41" s="136"/>
      <c r="I41" s="173"/>
      <c r="J41" s="196" t="s">
        <v>594</v>
      </c>
      <c r="K41" s="173"/>
      <c r="L41" s="171"/>
      <c r="M41" s="175"/>
      <c r="N41" s="172"/>
      <c r="O41" s="171"/>
      <c r="P41" s="172"/>
      <c r="Q41" s="173"/>
      <c r="R41" s="171"/>
      <c r="S41" s="176"/>
      <c r="T41" s="176"/>
      <c r="U41" s="177"/>
    </row>
    <row r="42" spans="4:21" x14ac:dyDescent="0.2">
      <c r="D42" s="101"/>
      <c r="E42" s="170"/>
      <c r="F42" s="171"/>
      <c r="G42" s="172"/>
      <c r="H42" s="173"/>
      <c r="I42" s="173"/>
      <c r="J42" s="174"/>
      <c r="K42" s="173"/>
      <c r="L42" s="171"/>
      <c r="M42" s="175"/>
      <c r="N42" s="172"/>
      <c r="O42" s="171"/>
      <c r="P42" s="172"/>
      <c r="Q42" s="173"/>
      <c r="R42" s="171"/>
      <c r="S42" s="175"/>
      <c r="T42" s="175"/>
      <c r="U42" s="177"/>
    </row>
    <row r="43" spans="4:21" x14ac:dyDescent="0.2">
      <c r="D43" s="101"/>
      <c r="E43" s="178" t="s">
        <v>555</v>
      </c>
      <c r="F43" s="190" t="s">
        <v>577</v>
      </c>
      <c r="G43" s="179" t="s">
        <v>595</v>
      </c>
      <c r="H43" s="136"/>
      <c r="I43" s="173"/>
      <c r="J43" s="174"/>
      <c r="K43" s="173"/>
      <c r="L43" s="171"/>
      <c r="M43" s="184">
        <v>200</v>
      </c>
      <c r="N43" s="179" t="s">
        <v>573</v>
      </c>
      <c r="O43" s="171"/>
      <c r="P43" s="172"/>
      <c r="Q43" s="173"/>
      <c r="R43" s="171"/>
      <c r="S43" s="176" t="s">
        <v>70</v>
      </c>
      <c r="T43" s="176" t="s">
        <v>70</v>
      </c>
      <c r="U43" s="180" t="s">
        <v>567</v>
      </c>
    </row>
    <row r="44" spans="4:21" x14ac:dyDescent="0.2">
      <c r="D44" s="101"/>
      <c r="E44" s="170"/>
      <c r="F44" s="171"/>
      <c r="G44" s="179"/>
      <c r="H44" s="136"/>
      <c r="I44" s="173"/>
      <c r="J44" s="174"/>
      <c r="K44" s="173"/>
      <c r="L44" s="171"/>
      <c r="M44" s="175"/>
      <c r="N44" s="172"/>
      <c r="O44" s="171"/>
      <c r="P44" s="172"/>
      <c r="Q44" s="173"/>
      <c r="R44" s="171"/>
      <c r="S44" s="175"/>
      <c r="T44" s="175"/>
      <c r="U44" s="177"/>
    </row>
    <row r="45" spans="4:21" x14ac:dyDescent="0.2">
      <c r="D45" s="101"/>
      <c r="E45" s="170" t="s">
        <v>596</v>
      </c>
      <c r="F45" s="171" t="s">
        <v>577</v>
      </c>
      <c r="G45" s="179" t="s">
        <v>597</v>
      </c>
      <c r="H45" s="136"/>
      <c r="I45" s="173"/>
      <c r="J45" s="174"/>
      <c r="K45" s="173"/>
      <c r="L45" s="191">
        <v>8.0000000000000002E-3</v>
      </c>
      <c r="M45" s="175"/>
      <c r="N45" s="172" t="s">
        <v>570</v>
      </c>
      <c r="O45" s="171"/>
      <c r="P45" s="172"/>
      <c r="Q45" s="173"/>
      <c r="R45" s="171"/>
      <c r="S45" s="176" t="s">
        <v>70</v>
      </c>
      <c r="T45" s="176" t="s">
        <v>70</v>
      </c>
      <c r="U45" s="180" t="s">
        <v>567</v>
      </c>
    </row>
    <row r="46" spans="4:21" x14ac:dyDescent="0.2">
      <c r="D46" s="101"/>
      <c r="E46" s="170"/>
      <c r="F46" s="171"/>
      <c r="G46" s="179"/>
      <c r="H46" s="136"/>
      <c r="I46" s="173"/>
      <c r="J46" s="174"/>
      <c r="K46" s="173"/>
      <c r="L46" s="171"/>
      <c r="M46" s="175"/>
      <c r="N46" s="172"/>
      <c r="O46" s="171"/>
      <c r="P46" s="172"/>
      <c r="Q46" s="173"/>
      <c r="R46" s="171"/>
      <c r="S46" s="175"/>
      <c r="T46" s="175"/>
      <c r="U46" s="177"/>
    </row>
    <row r="47" spans="4:21" x14ac:dyDescent="0.2">
      <c r="D47" s="101"/>
      <c r="E47" s="170"/>
      <c r="F47" s="190" t="s">
        <v>577</v>
      </c>
      <c r="G47" s="179" t="s">
        <v>598</v>
      </c>
      <c r="H47" s="136"/>
      <c r="I47" s="173"/>
      <c r="J47" s="182" t="s">
        <v>563</v>
      </c>
      <c r="K47" s="173"/>
      <c r="L47" s="191">
        <v>0.08</v>
      </c>
      <c r="M47" s="175"/>
      <c r="N47" s="179" t="s">
        <v>573</v>
      </c>
      <c r="O47" s="171"/>
      <c r="P47" s="179" t="s">
        <v>599</v>
      </c>
      <c r="Q47" s="173"/>
      <c r="R47" s="171"/>
      <c r="S47" s="176" t="s">
        <v>70</v>
      </c>
      <c r="T47" s="176" t="s">
        <v>70</v>
      </c>
      <c r="U47" s="180" t="s">
        <v>567</v>
      </c>
    </row>
    <row r="48" spans="4:21" x14ac:dyDescent="0.2">
      <c r="D48" s="101"/>
      <c r="E48" s="170"/>
      <c r="F48" s="171"/>
      <c r="G48" s="179"/>
      <c r="H48" s="136"/>
      <c r="I48" s="173"/>
      <c r="J48" s="174"/>
      <c r="K48" s="173"/>
      <c r="L48" s="171"/>
      <c r="M48" s="175"/>
      <c r="N48" s="172"/>
      <c r="O48" s="171"/>
      <c r="P48" s="172"/>
      <c r="Q48" s="173"/>
      <c r="R48" s="171"/>
      <c r="S48" s="175"/>
      <c r="T48" s="175"/>
      <c r="U48" s="177"/>
    </row>
    <row r="49" spans="3:21" x14ac:dyDescent="0.2">
      <c r="D49" s="101"/>
      <c r="E49" s="170"/>
      <c r="F49" s="195" t="s">
        <v>589</v>
      </c>
      <c r="G49" s="179" t="s">
        <v>600</v>
      </c>
      <c r="H49" s="136"/>
      <c r="I49" s="173"/>
      <c r="J49" s="174"/>
      <c r="K49" s="192" t="s">
        <v>601</v>
      </c>
      <c r="L49" s="171"/>
      <c r="M49" s="175">
        <v>115.46</v>
      </c>
      <c r="N49" s="179" t="s">
        <v>570</v>
      </c>
      <c r="O49" s="171"/>
      <c r="P49" s="172"/>
      <c r="Q49" s="173"/>
      <c r="R49" s="171"/>
      <c r="S49" s="176" t="s">
        <v>70</v>
      </c>
      <c r="T49" s="176" t="s">
        <v>70</v>
      </c>
      <c r="U49" s="197" t="s">
        <v>592</v>
      </c>
    </row>
    <row r="50" spans="3:21" x14ac:dyDescent="0.2">
      <c r="D50" s="101"/>
      <c r="E50" s="170"/>
      <c r="F50" s="171"/>
      <c r="G50" s="172"/>
      <c r="H50" s="173"/>
      <c r="I50" s="173"/>
      <c r="J50" s="174"/>
      <c r="K50" s="192" t="s">
        <v>602</v>
      </c>
      <c r="L50" s="171"/>
      <c r="M50" s="175">
        <v>230.92</v>
      </c>
      <c r="N50" s="179" t="s">
        <v>570</v>
      </c>
      <c r="O50" s="171"/>
      <c r="P50" s="172"/>
      <c r="Q50" s="173"/>
      <c r="R50" s="171"/>
      <c r="S50" s="175"/>
      <c r="T50" s="175"/>
      <c r="U50" s="177"/>
    </row>
    <row r="51" spans="3:21" ht="13.5" thickBot="1" x14ac:dyDescent="0.25">
      <c r="D51" s="101"/>
      <c r="E51" s="161"/>
      <c r="F51" s="166"/>
      <c r="G51" s="163"/>
      <c r="H51" s="164"/>
      <c r="I51" s="168"/>
      <c r="J51" s="198"/>
      <c r="K51" s="168"/>
      <c r="L51" s="162"/>
      <c r="M51" s="199"/>
      <c r="N51" s="200"/>
      <c r="O51" s="162"/>
      <c r="P51" s="200"/>
      <c r="Q51" s="168"/>
      <c r="R51" s="162"/>
      <c r="S51" s="199"/>
      <c r="T51" s="199"/>
      <c r="U51" s="201"/>
    </row>
    <row r="52" spans="3:21" x14ac:dyDescent="0.2">
      <c r="D52" s="101"/>
      <c r="E52" s="101"/>
      <c r="F52" s="101"/>
      <c r="G52" s="101"/>
      <c r="H52" s="101"/>
    </row>
    <row r="53" spans="3:21" x14ac:dyDescent="0.2">
      <c r="K53" s="148"/>
    </row>
    <row r="54" spans="3:21" x14ac:dyDescent="0.2">
      <c r="E54" s="202" t="s">
        <v>603</v>
      </c>
      <c r="F54" s="203"/>
      <c r="G54" s="204"/>
      <c r="H54" s="204"/>
      <c r="I54" s="205"/>
      <c r="J54" s="206"/>
      <c r="K54" s="203"/>
      <c r="L54" s="205"/>
      <c r="M54" s="203"/>
      <c r="N54" s="205"/>
      <c r="O54" s="205"/>
      <c r="P54" s="205"/>
      <c r="Q54" s="205"/>
      <c r="R54" s="205"/>
      <c r="S54" s="207"/>
    </row>
    <row r="55" spans="3:21" ht="13.5" thickBot="1" x14ac:dyDescent="0.25">
      <c r="E55" s="200"/>
      <c r="F55" s="168"/>
      <c r="G55" s="168"/>
      <c r="H55" s="168"/>
      <c r="I55" s="168"/>
      <c r="J55" s="198"/>
      <c r="K55" s="168"/>
      <c r="L55" s="168"/>
      <c r="M55" s="168"/>
      <c r="N55" s="168"/>
      <c r="O55" s="168"/>
      <c r="P55" s="168"/>
      <c r="Q55" s="168"/>
      <c r="R55" s="168"/>
      <c r="S55" s="162"/>
    </row>
    <row r="56" spans="3:21" x14ac:dyDescent="0.2">
      <c r="E56" s="208" t="s">
        <v>15</v>
      </c>
      <c r="F56" s="209"/>
      <c r="G56" s="209"/>
      <c r="H56" s="209"/>
      <c r="I56" s="210"/>
      <c r="J56" s="273" t="str">
        <f>Data_PersonPanelSchaal</f>
        <v>AB</v>
      </c>
      <c r="K56" s="211"/>
      <c r="L56" s="159"/>
      <c r="M56" s="159"/>
      <c r="N56" s="153"/>
      <c r="O56" s="173"/>
      <c r="P56" s="173"/>
      <c r="Q56" s="173"/>
      <c r="R56" s="173"/>
      <c r="S56" s="171"/>
      <c r="U56" s="212"/>
    </row>
    <row r="57" spans="3:21" x14ac:dyDescent="0.2">
      <c r="E57" s="179" t="s">
        <v>16</v>
      </c>
      <c r="F57" s="136"/>
      <c r="G57" s="136"/>
      <c r="H57" s="136"/>
      <c r="I57" s="213"/>
      <c r="J57" s="274">
        <f>Data_PersonPanelTrede</f>
        <v>1</v>
      </c>
      <c r="K57" s="214"/>
      <c r="L57" s="173"/>
      <c r="M57" s="173"/>
      <c r="N57" s="171"/>
      <c r="O57" s="173"/>
      <c r="P57" s="173"/>
      <c r="Q57" s="173"/>
      <c r="R57" s="173"/>
      <c r="S57" s="171"/>
    </row>
    <row r="58" spans="3:21" x14ac:dyDescent="0.2">
      <c r="E58" s="179" t="s">
        <v>17</v>
      </c>
      <c r="F58" s="136"/>
      <c r="G58" s="136" t="s">
        <v>604</v>
      </c>
      <c r="H58" s="136"/>
      <c r="I58" s="213"/>
      <c r="J58" s="274">
        <f>Data_PersonPanelUitloopschaal</f>
        <v>0</v>
      </c>
      <c r="K58" s="214"/>
      <c r="L58" s="173"/>
      <c r="M58" s="173"/>
      <c r="N58" s="171"/>
      <c r="O58" s="173"/>
      <c r="P58" s="173"/>
      <c r="Q58" s="173"/>
      <c r="R58" s="173"/>
      <c r="S58" s="171"/>
    </row>
    <row r="59" spans="3:21" x14ac:dyDescent="0.2">
      <c r="C59" s="101"/>
      <c r="D59" s="101"/>
      <c r="E59" s="179" t="s">
        <v>18</v>
      </c>
      <c r="F59" s="136"/>
      <c r="G59" s="136"/>
      <c r="H59" s="136"/>
      <c r="I59" s="213"/>
      <c r="J59" s="274">
        <f>Data_PersonPanelWerktijdfactor</f>
        <v>1</v>
      </c>
      <c r="K59" s="215"/>
      <c r="L59" s="173"/>
      <c r="M59" s="173"/>
      <c r="N59" s="171"/>
      <c r="O59" s="173"/>
      <c r="P59" s="173"/>
      <c r="Q59" s="173"/>
      <c r="R59" s="173"/>
      <c r="S59" s="171"/>
    </row>
    <row r="60" spans="3:21" x14ac:dyDescent="0.2">
      <c r="C60" s="101"/>
      <c r="D60" s="101"/>
      <c r="E60" s="216" t="s">
        <v>587</v>
      </c>
      <c r="F60" s="217"/>
      <c r="G60" s="217" t="s">
        <v>605</v>
      </c>
      <c r="H60" s="217"/>
      <c r="I60" s="218" t="s">
        <v>606</v>
      </c>
      <c r="J60" s="275">
        <f>Data_PersonPanelToelageDirecteur</f>
        <v>0</v>
      </c>
      <c r="K60" s="219"/>
      <c r="L60" s="220"/>
      <c r="M60" s="220"/>
      <c r="N60" s="221"/>
      <c r="O60" s="220"/>
      <c r="P60" s="220"/>
      <c r="Q60" s="220"/>
      <c r="R60" s="220"/>
      <c r="S60" s="221"/>
    </row>
    <row r="61" spans="3:21" x14ac:dyDescent="0.2">
      <c r="E61" s="222" t="s">
        <v>607</v>
      </c>
      <c r="F61" s="173"/>
      <c r="G61" s="173"/>
      <c r="H61" s="173"/>
      <c r="I61" s="223"/>
      <c r="J61" s="224"/>
      <c r="K61" s="172"/>
      <c r="L61" s="173"/>
      <c r="M61" s="225"/>
      <c r="N61" s="171"/>
      <c r="O61" s="173"/>
      <c r="P61" s="173"/>
      <c r="Q61" s="173"/>
      <c r="R61" s="173"/>
      <c r="S61" s="171"/>
    </row>
    <row r="62" spans="3:21" x14ac:dyDescent="0.2">
      <c r="E62" s="179"/>
      <c r="F62" s="173"/>
      <c r="G62" s="173"/>
      <c r="H62" s="173"/>
      <c r="I62" s="226"/>
      <c r="J62" s="224"/>
      <c r="K62" s="172"/>
      <c r="L62" s="173"/>
      <c r="M62" s="225"/>
      <c r="N62" s="171"/>
      <c r="O62" s="173"/>
      <c r="P62" s="173"/>
      <c r="Q62" s="173"/>
      <c r="R62" s="173"/>
      <c r="S62" s="171"/>
    </row>
    <row r="63" spans="3:21" x14ac:dyDescent="0.2">
      <c r="E63" s="179" t="s">
        <v>608</v>
      </c>
      <c r="F63" s="173"/>
      <c r="G63" s="173"/>
      <c r="H63" s="173"/>
      <c r="I63" s="226"/>
      <c r="J63" s="227" t="s">
        <v>609</v>
      </c>
      <c r="K63" s="222" t="s">
        <v>610</v>
      </c>
      <c r="L63" s="173"/>
      <c r="M63" s="225">
        <f>HLOOKUP($J$56,Schalen_ineengeschoven!$C$11:$AM$33,VLOOKUP($J$57,Schalen_ineengeschoven!$C$11:$AM$33,2,FALSE)+1,FALSE)</f>
        <v>2768</v>
      </c>
      <c r="N63" s="228" t="s">
        <v>606</v>
      </c>
      <c r="S63" s="171"/>
    </row>
    <row r="64" spans="3:21" x14ac:dyDescent="0.2">
      <c r="E64" s="222" t="s">
        <v>611</v>
      </c>
      <c r="F64" s="173"/>
      <c r="G64" s="173"/>
      <c r="H64" s="173"/>
      <c r="I64" s="226"/>
      <c r="J64" s="224"/>
      <c r="K64" s="172"/>
      <c r="L64" s="173"/>
      <c r="M64" s="225"/>
      <c r="N64" s="228"/>
      <c r="O64" s="229" t="s">
        <v>612</v>
      </c>
      <c r="P64" s="230"/>
      <c r="Q64" s="230"/>
      <c r="R64" s="230"/>
      <c r="S64" s="231"/>
    </row>
    <row r="65" spans="5:19" x14ac:dyDescent="0.2">
      <c r="E65" s="179" t="s">
        <v>569</v>
      </c>
      <c r="F65" s="136"/>
      <c r="G65" s="136" t="s">
        <v>613</v>
      </c>
      <c r="H65" s="316">
        <v>46.71</v>
      </c>
      <c r="I65" s="233" t="s">
        <v>606</v>
      </c>
      <c r="J65" s="136" t="str">
        <f>$J$56&amp;$J$57</f>
        <v>AB1</v>
      </c>
      <c r="K65" s="179">
        <f>IF(ISNA(HLOOKUP(J65,O65:S65,1,FALSE)),0,1)</f>
        <v>0</v>
      </c>
      <c r="L65" s="232"/>
      <c r="M65" s="232">
        <f>IF($J$58="U",K65*H65,0)</f>
        <v>0</v>
      </c>
      <c r="N65" s="228" t="s">
        <v>606</v>
      </c>
      <c r="O65" s="230" t="s">
        <v>614</v>
      </c>
      <c r="P65" s="230" t="s">
        <v>615</v>
      </c>
      <c r="Q65" s="230"/>
      <c r="R65" s="230"/>
      <c r="S65" s="231"/>
    </row>
    <row r="66" spans="5:19" x14ac:dyDescent="0.2">
      <c r="E66" s="179"/>
      <c r="F66" s="136"/>
      <c r="G66" s="136" t="s">
        <v>616</v>
      </c>
      <c r="H66" s="316">
        <v>46.71</v>
      </c>
      <c r="I66" s="233" t="s">
        <v>606</v>
      </c>
      <c r="J66" s="136" t="str">
        <f>$J$56&amp;$J$57</f>
        <v>AB1</v>
      </c>
      <c r="K66" s="179">
        <f>IF(ISNA(HLOOKUP(J66,O66:S66,1,FALSE)),0,1)</f>
        <v>0</v>
      </c>
      <c r="L66" s="232"/>
      <c r="M66" s="232">
        <f>IF($J$58="U",K66*H66,0)</f>
        <v>0</v>
      </c>
      <c r="N66" s="228" t="s">
        <v>606</v>
      </c>
      <c r="O66" s="230" t="s">
        <v>617</v>
      </c>
      <c r="P66" s="230" t="s">
        <v>618</v>
      </c>
      <c r="Q66" s="230"/>
      <c r="R66" s="230"/>
      <c r="S66" s="231"/>
    </row>
    <row r="67" spans="5:19" x14ac:dyDescent="0.2">
      <c r="E67" s="222" t="s">
        <v>611</v>
      </c>
      <c r="F67" s="136"/>
      <c r="G67" s="136"/>
      <c r="H67" s="136"/>
      <c r="I67" s="213"/>
      <c r="J67" s="234"/>
      <c r="K67" s="179"/>
      <c r="L67" s="232"/>
      <c r="M67" s="232"/>
      <c r="N67" s="228"/>
      <c r="O67" s="173"/>
      <c r="P67" s="173"/>
      <c r="Q67" s="173"/>
      <c r="R67" s="173"/>
      <c r="S67" s="171"/>
    </row>
    <row r="68" spans="5:19" x14ac:dyDescent="0.2">
      <c r="E68" s="179" t="s">
        <v>580</v>
      </c>
      <c r="F68" s="136"/>
      <c r="G68" s="136" t="s">
        <v>613</v>
      </c>
      <c r="H68" s="316">
        <v>61</v>
      </c>
      <c r="I68" s="233" t="s">
        <v>606</v>
      </c>
      <c r="J68" s="136" t="str">
        <f>$J$56&amp;$J$57</f>
        <v>AB1</v>
      </c>
      <c r="K68" s="179">
        <f>IF(ISNA(HLOOKUP(J68,O68:S68,1,FALSE)),0,1)</f>
        <v>0</v>
      </c>
      <c r="L68" s="232"/>
      <c r="M68" s="232">
        <f>IF($J$58="U",K68*H68,0)</f>
        <v>0</v>
      </c>
      <c r="N68" s="228" t="s">
        <v>606</v>
      </c>
      <c r="O68" s="230" t="s">
        <v>614</v>
      </c>
      <c r="P68" s="230" t="s">
        <v>615</v>
      </c>
      <c r="Q68" s="230"/>
      <c r="R68" s="230"/>
      <c r="S68" s="231"/>
    </row>
    <row r="69" spans="5:19" x14ac:dyDescent="0.2">
      <c r="E69" s="179"/>
      <c r="F69" s="136"/>
      <c r="G69" s="136"/>
      <c r="H69" s="136"/>
      <c r="I69" s="213"/>
      <c r="J69" s="234"/>
      <c r="K69" s="235"/>
      <c r="L69" s="232"/>
      <c r="M69" s="232"/>
      <c r="N69" s="228"/>
      <c r="O69" s="173"/>
      <c r="P69" s="173"/>
      <c r="Q69" s="173"/>
      <c r="R69" s="173"/>
      <c r="S69" s="171"/>
    </row>
    <row r="70" spans="5:19" x14ac:dyDescent="0.2">
      <c r="E70" s="179" t="s">
        <v>619</v>
      </c>
      <c r="F70" s="173"/>
      <c r="G70" s="173"/>
      <c r="H70" s="173"/>
      <c r="I70" s="226"/>
      <c r="J70" s="224"/>
      <c r="K70" s="236"/>
      <c r="L70" s="173"/>
      <c r="M70" s="225">
        <f>SUM(M63:M69)</f>
        <v>2768</v>
      </c>
      <c r="N70" s="228" t="s">
        <v>606</v>
      </c>
      <c r="O70" s="173"/>
      <c r="P70" s="173"/>
      <c r="Q70" s="173"/>
      <c r="R70" s="173"/>
      <c r="S70" s="171"/>
    </row>
    <row r="71" spans="5:19" x14ac:dyDescent="0.2">
      <c r="E71" s="179" t="s">
        <v>18</v>
      </c>
      <c r="F71" s="173"/>
      <c r="G71" s="173"/>
      <c r="H71" s="173"/>
      <c r="I71" s="226"/>
      <c r="J71" s="224"/>
      <c r="K71" s="236"/>
      <c r="L71" s="173"/>
      <c r="M71" s="225">
        <f>J59</f>
        <v>1</v>
      </c>
      <c r="N71" s="228" t="s">
        <v>620</v>
      </c>
      <c r="O71" s="173"/>
      <c r="P71" s="173"/>
      <c r="Q71" s="173"/>
      <c r="R71" s="173"/>
      <c r="S71" s="171"/>
    </row>
    <row r="72" spans="5:19" x14ac:dyDescent="0.2">
      <c r="E72" s="179" t="s">
        <v>619</v>
      </c>
      <c r="F72" s="173"/>
      <c r="G72" s="173"/>
      <c r="H72" s="173"/>
      <c r="I72" s="226"/>
      <c r="J72" s="224"/>
      <c r="K72" s="236"/>
      <c r="L72" s="173"/>
      <c r="M72" s="225">
        <f>ROUND(M70*M71,2)</f>
        <v>2768</v>
      </c>
      <c r="N72" s="228" t="s">
        <v>606</v>
      </c>
      <c r="O72" s="173"/>
      <c r="P72" s="173"/>
      <c r="Q72" s="173"/>
      <c r="R72" s="173"/>
      <c r="S72" s="171"/>
    </row>
    <row r="73" spans="5:19" x14ac:dyDescent="0.2">
      <c r="E73" s="179" t="s">
        <v>621</v>
      </c>
      <c r="F73" s="173"/>
      <c r="G73" s="173"/>
      <c r="H73" s="173"/>
      <c r="I73" s="226"/>
      <c r="J73" s="224"/>
      <c r="K73" s="236"/>
      <c r="L73" s="173"/>
      <c r="M73" s="237">
        <v>12</v>
      </c>
      <c r="N73" s="171"/>
      <c r="O73" s="173"/>
      <c r="P73" s="173"/>
      <c r="Q73" s="173"/>
      <c r="R73" s="173"/>
      <c r="S73" s="171"/>
    </row>
    <row r="74" spans="5:19" x14ac:dyDescent="0.2">
      <c r="E74" s="179" t="s">
        <v>622</v>
      </c>
      <c r="F74" s="173"/>
      <c r="G74" s="173"/>
      <c r="H74" s="173"/>
      <c r="I74" s="226"/>
      <c r="J74" s="224"/>
      <c r="K74" s="236"/>
      <c r="L74" s="173"/>
      <c r="M74" s="225">
        <f>M72*M73</f>
        <v>33216</v>
      </c>
      <c r="N74" s="228" t="s">
        <v>623</v>
      </c>
      <c r="O74" s="173"/>
      <c r="P74" s="173"/>
      <c r="Q74" s="173"/>
      <c r="R74" s="173"/>
      <c r="S74" s="171"/>
    </row>
    <row r="75" spans="5:19" x14ac:dyDescent="0.2">
      <c r="E75" s="179"/>
      <c r="F75" s="173"/>
      <c r="G75" s="136"/>
      <c r="H75" s="136"/>
      <c r="I75" s="226"/>
      <c r="J75" s="224"/>
      <c r="K75" s="235"/>
      <c r="L75" s="225"/>
      <c r="M75" s="225"/>
      <c r="N75" s="228"/>
      <c r="O75" s="173"/>
      <c r="P75" s="173"/>
      <c r="Q75" s="173"/>
      <c r="R75" s="173"/>
      <c r="S75" s="171"/>
    </row>
    <row r="76" spans="5:19" x14ac:dyDescent="0.2">
      <c r="E76" s="179" t="s">
        <v>597</v>
      </c>
      <c r="F76" s="173"/>
      <c r="G76" s="173"/>
      <c r="H76" s="173"/>
      <c r="I76" s="226"/>
      <c r="J76" s="224"/>
      <c r="K76" s="236"/>
      <c r="L76" s="238">
        <v>8.0000000000000002E-3</v>
      </c>
      <c r="M76" s="225">
        <f>ROUND(M74*L76,2)</f>
        <v>265.73</v>
      </c>
      <c r="N76" s="228" t="s">
        <v>623</v>
      </c>
      <c r="O76" s="173"/>
      <c r="P76" s="173"/>
      <c r="Q76" s="173"/>
      <c r="R76" s="173"/>
      <c r="S76" s="171"/>
    </row>
    <row r="77" spans="5:19" x14ac:dyDescent="0.2">
      <c r="E77" s="179" t="s">
        <v>624</v>
      </c>
      <c r="F77" s="173"/>
      <c r="G77" s="136" t="s">
        <v>563</v>
      </c>
      <c r="H77" s="136"/>
      <c r="I77" s="226"/>
      <c r="J77" s="224"/>
      <c r="K77" s="236"/>
      <c r="L77" s="239">
        <v>0.08</v>
      </c>
      <c r="M77" s="225">
        <f>ROUND(M74*L77,2)</f>
        <v>2657.28</v>
      </c>
      <c r="N77" s="228" t="s">
        <v>623</v>
      </c>
      <c r="O77" s="173"/>
      <c r="P77" s="173"/>
      <c r="Q77" s="173"/>
      <c r="R77" s="173"/>
      <c r="S77" s="171"/>
    </row>
    <row r="78" spans="5:19" x14ac:dyDescent="0.2">
      <c r="E78" s="179" t="s">
        <v>581</v>
      </c>
      <c r="F78" s="173"/>
      <c r="G78" s="136" t="s">
        <v>564</v>
      </c>
      <c r="H78" s="136"/>
      <c r="I78" s="226"/>
      <c r="J78" s="224"/>
      <c r="K78" s="236"/>
      <c r="L78" s="238">
        <v>6.3E-2</v>
      </c>
      <c r="M78" s="225">
        <f>ROUND(M74*L78,2)</f>
        <v>2092.61</v>
      </c>
      <c r="N78" s="228" t="s">
        <v>623</v>
      </c>
      <c r="O78" s="173"/>
      <c r="P78" s="173"/>
      <c r="Q78" s="173"/>
      <c r="R78" s="173"/>
      <c r="S78" s="171"/>
    </row>
    <row r="79" spans="5:19" x14ac:dyDescent="0.2">
      <c r="E79" s="179"/>
      <c r="F79" s="173"/>
      <c r="G79" s="136"/>
      <c r="H79" s="136"/>
      <c r="I79" s="226"/>
      <c r="J79" s="224"/>
      <c r="K79" s="235"/>
      <c r="L79" s="225"/>
      <c r="M79" s="225"/>
      <c r="N79" s="228"/>
      <c r="O79" s="173"/>
      <c r="P79" s="173"/>
      <c r="Q79" s="173"/>
      <c r="R79" s="173"/>
      <c r="S79" s="171"/>
    </row>
    <row r="80" spans="5:19" x14ac:dyDescent="0.2">
      <c r="E80" s="179" t="s">
        <v>625</v>
      </c>
      <c r="F80" s="173"/>
      <c r="G80" s="173"/>
      <c r="H80" s="173"/>
      <c r="I80" s="226"/>
      <c r="J80" s="224"/>
      <c r="K80" s="236"/>
      <c r="L80" s="173"/>
      <c r="M80" s="225">
        <f>SUM(M74:M79)</f>
        <v>38231.620000000003</v>
      </c>
      <c r="N80" s="228" t="s">
        <v>623</v>
      </c>
      <c r="O80" s="136" t="str">
        <f>E80</f>
        <v>Jaarsalaris incl VU en SEJU</v>
      </c>
      <c r="P80" s="173"/>
      <c r="Q80" s="173"/>
      <c r="R80" s="225">
        <f>M80</f>
        <v>38231.620000000003</v>
      </c>
      <c r="S80" s="171" t="str">
        <f>N80</f>
        <v>/jaar</v>
      </c>
    </row>
    <row r="81" spans="5:19" x14ac:dyDescent="0.2">
      <c r="E81" s="216"/>
      <c r="F81" s="220"/>
      <c r="G81" s="217"/>
      <c r="H81" s="217"/>
      <c r="I81" s="240"/>
      <c r="J81" s="241"/>
      <c r="K81" s="242"/>
      <c r="L81" s="243"/>
      <c r="M81" s="243"/>
      <c r="N81" s="244"/>
      <c r="O81" s="136"/>
      <c r="P81" s="173"/>
      <c r="Q81" s="173"/>
      <c r="R81" s="173"/>
      <c r="S81" s="171"/>
    </row>
    <row r="82" spans="5:19" x14ac:dyDescent="0.2">
      <c r="E82" s="202" t="s">
        <v>626</v>
      </c>
      <c r="F82" s="205"/>
      <c r="G82" s="204"/>
      <c r="H82" s="204"/>
      <c r="I82" s="223"/>
      <c r="J82" s="245"/>
      <c r="K82" s="246"/>
      <c r="L82" s="247"/>
      <c r="M82" s="247"/>
      <c r="N82" s="248"/>
      <c r="O82" s="136"/>
      <c r="P82" s="173"/>
      <c r="Q82" s="173"/>
      <c r="R82" s="173"/>
      <c r="S82" s="171"/>
    </row>
    <row r="83" spans="5:19" x14ac:dyDescent="0.2">
      <c r="E83" s="179"/>
      <c r="F83" s="173"/>
      <c r="G83" s="136"/>
      <c r="H83" s="136"/>
      <c r="I83" s="226"/>
      <c r="J83" s="224"/>
      <c r="K83" s="235"/>
      <c r="L83" s="225"/>
      <c r="M83" s="225"/>
      <c r="N83" s="228"/>
      <c r="O83" s="136"/>
      <c r="P83" s="173"/>
      <c r="Q83" s="173"/>
      <c r="R83" s="173"/>
      <c r="S83" s="171"/>
    </row>
    <row r="84" spans="5:19" x14ac:dyDescent="0.2">
      <c r="E84" s="179" t="s">
        <v>578</v>
      </c>
      <c r="F84" s="173"/>
      <c r="G84" s="136" t="s">
        <v>627</v>
      </c>
      <c r="H84" s="173"/>
      <c r="I84" s="226"/>
      <c r="J84" s="224"/>
      <c r="K84" s="179">
        <v>12</v>
      </c>
      <c r="L84" s="225">
        <v>32.409999999999997</v>
      </c>
      <c r="M84" s="225">
        <f>K84*L84</f>
        <v>388.91999999999996</v>
      </c>
      <c r="N84" s="228" t="s">
        <v>623</v>
      </c>
      <c r="O84" s="173"/>
      <c r="P84" s="173"/>
      <c r="Q84" s="173"/>
      <c r="R84" s="173"/>
      <c r="S84" s="171"/>
    </row>
    <row r="85" spans="5:19" x14ac:dyDescent="0.2">
      <c r="E85" s="179"/>
      <c r="F85" s="173"/>
      <c r="G85" s="173"/>
      <c r="H85" s="173"/>
      <c r="I85" s="226"/>
      <c r="J85" s="224"/>
      <c r="K85" s="236"/>
      <c r="L85" s="173"/>
      <c r="M85" s="225"/>
      <c r="N85" s="190"/>
      <c r="O85" s="229" t="s">
        <v>612</v>
      </c>
      <c r="P85" s="230"/>
      <c r="Q85" s="230"/>
      <c r="R85" s="230"/>
      <c r="S85" s="231"/>
    </row>
    <row r="86" spans="5:19" x14ac:dyDescent="0.2">
      <c r="E86" s="179" t="s">
        <v>571</v>
      </c>
      <c r="F86" s="136" t="s">
        <v>520</v>
      </c>
      <c r="G86" s="136" t="s">
        <v>613</v>
      </c>
      <c r="H86" s="317">
        <v>715.21</v>
      </c>
      <c r="I86" s="233" t="s">
        <v>623</v>
      </c>
      <c r="J86" s="136" t="str">
        <f>$J$56&amp;$J$57</f>
        <v>AB1</v>
      </c>
      <c r="K86" s="179">
        <f>IF(ISNA(HLOOKUP(J86,O86:S86,1,FALSE)),0,1)</f>
        <v>0</v>
      </c>
      <c r="L86" s="232"/>
      <c r="M86" s="136">
        <f>K86*H86</f>
        <v>0</v>
      </c>
      <c r="N86" s="228" t="s">
        <v>623</v>
      </c>
      <c r="O86" s="249" t="s">
        <v>614</v>
      </c>
      <c r="P86" s="230" t="s">
        <v>615</v>
      </c>
      <c r="Q86" s="230"/>
      <c r="R86" s="230"/>
      <c r="S86" s="231"/>
    </row>
    <row r="87" spans="5:19" x14ac:dyDescent="0.2">
      <c r="E87" s="179"/>
      <c r="F87" s="136" t="s">
        <v>628</v>
      </c>
      <c r="G87" s="136" t="s">
        <v>629</v>
      </c>
      <c r="H87" s="317">
        <v>218.98</v>
      </c>
      <c r="I87" s="233" t="s">
        <v>623</v>
      </c>
      <c r="J87" s="136" t="str">
        <f>$J$56&amp;$J$57</f>
        <v>AB1</v>
      </c>
      <c r="K87" s="179">
        <f>IF(ISNA(HLOOKUP(J87,O87:S87,1,FALSE)),0,1)</f>
        <v>0</v>
      </c>
      <c r="L87" s="232"/>
      <c r="M87" s="136">
        <f>K87*H87</f>
        <v>0</v>
      </c>
      <c r="N87" s="228" t="s">
        <v>623</v>
      </c>
      <c r="O87" s="249" t="s">
        <v>630</v>
      </c>
      <c r="P87" s="230" t="s">
        <v>631</v>
      </c>
      <c r="Q87" s="230"/>
      <c r="R87" s="230"/>
      <c r="S87" s="231"/>
    </row>
    <row r="88" spans="5:19" x14ac:dyDescent="0.2">
      <c r="E88" s="179"/>
      <c r="F88" s="136" t="s">
        <v>628</v>
      </c>
      <c r="G88" s="250" t="s">
        <v>632</v>
      </c>
      <c r="H88" s="317">
        <v>218.98</v>
      </c>
      <c r="I88" s="233" t="s">
        <v>623</v>
      </c>
      <c r="J88" s="136" t="str">
        <f>$J$56&amp;$J$57</f>
        <v>AB1</v>
      </c>
      <c r="K88" s="179">
        <f>IF(ISNA(HLOOKUP(J88,O88:S88,1,FALSE)),0,1)</f>
        <v>0</v>
      </c>
      <c r="L88" s="232"/>
      <c r="M88" s="136">
        <f>K88*H88</f>
        <v>0</v>
      </c>
      <c r="N88" s="228" t="s">
        <v>623</v>
      </c>
      <c r="O88" s="249" t="s">
        <v>633</v>
      </c>
      <c r="P88" s="230" t="s">
        <v>634</v>
      </c>
      <c r="Q88" s="230" t="s">
        <v>635</v>
      </c>
      <c r="R88" s="230"/>
      <c r="S88" s="231"/>
    </row>
    <row r="89" spans="5:19" x14ac:dyDescent="0.2">
      <c r="E89" s="179"/>
      <c r="F89" s="136" t="s">
        <v>628</v>
      </c>
      <c r="G89" s="250" t="s">
        <v>636</v>
      </c>
      <c r="H89" s="317">
        <v>218.98</v>
      </c>
      <c r="I89" s="233" t="s">
        <v>623</v>
      </c>
      <c r="J89" s="136" t="str">
        <f>$J$56&amp;$J$57</f>
        <v>AB1</v>
      </c>
      <c r="K89" s="179">
        <f>IF(ISNA(HLOOKUP(J89,O89:S89,1,FALSE)),0,1)</f>
        <v>0</v>
      </c>
      <c r="L89" s="232"/>
      <c r="M89" s="136">
        <f>K89*H89</f>
        <v>0</v>
      </c>
      <c r="N89" s="228" t="s">
        <v>623</v>
      </c>
      <c r="O89" s="249" t="s">
        <v>637</v>
      </c>
      <c r="P89" s="230" t="s">
        <v>638</v>
      </c>
      <c r="Q89" s="230"/>
      <c r="R89" s="230"/>
      <c r="S89" s="231"/>
    </row>
    <row r="90" spans="5:19" x14ac:dyDescent="0.2">
      <c r="E90" s="179"/>
      <c r="F90" s="136" t="s">
        <v>639</v>
      </c>
      <c r="G90" s="251" t="s">
        <v>640</v>
      </c>
      <c r="H90" s="317">
        <v>218.98</v>
      </c>
      <c r="I90" s="233" t="s">
        <v>623</v>
      </c>
      <c r="J90" s="136" t="str">
        <f>$J$56&amp;$J$57</f>
        <v>AB1</v>
      </c>
      <c r="K90" s="179">
        <f>IF(ISNA(HLOOKUP(J90,O90:S90,1,FALSE)),0,1)</f>
        <v>0</v>
      </c>
      <c r="L90" s="232"/>
      <c r="M90" s="136">
        <f>K90*H90</f>
        <v>0</v>
      </c>
      <c r="N90" s="228" t="s">
        <v>623</v>
      </c>
      <c r="O90" s="252" t="s">
        <v>641</v>
      </c>
      <c r="P90" s="230"/>
      <c r="Q90" s="230"/>
      <c r="R90" s="230"/>
      <c r="S90" s="231"/>
    </row>
    <row r="91" spans="5:19" x14ac:dyDescent="0.2">
      <c r="E91" s="179"/>
      <c r="F91" s="136"/>
      <c r="G91" s="136"/>
      <c r="H91" s="136"/>
      <c r="I91" s="213"/>
      <c r="J91" s="234"/>
      <c r="K91" s="179"/>
      <c r="L91" s="232"/>
      <c r="M91" s="232"/>
      <c r="N91" s="228"/>
      <c r="O91" s="136"/>
      <c r="P91" s="173"/>
      <c r="Q91" s="173"/>
      <c r="R91" s="173"/>
      <c r="S91" s="171"/>
    </row>
    <row r="92" spans="5:19" x14ac:dyDescent="0.2">
      <c r="E92" s="179" t="s">
        <v>595</v>
      </c>
      <c r="F92" s="136"/>
      <c r="G92" s="136"/>
      <c r="H92" s="136"/>
      <c r="I92" s="213"/>
      <c r="J92" s="234"/>
      <c r="K92" s="179"/>
      <c r="L92" s="136"/>
      <c r="M92" s="232">
        <v>200</v>
      </c>
      <c r="N92" s="136" t="s">
        <v>623</v>
      </c>
      <c r="O92" s="179"/>
      <c r="P92" s="173"/>
      <c r="Q92" s="173"/>
      <c r="R92" s="173"/>
      <c r="S92" s="171"/>
    </row>
    <row r="93" spans="5:19" x14ac:dyDescent="0.2">
      <c r="E93" s="179"/>
      <c r="F93" s="136"/>
      <c r="G93" s="136"/>
      <c r="H93" s="136"/>
      <c r="I93" s="213"/>
      <c r="J93" s="234"/>
      <c r="K93" s="179"/>
      <c r="L93" s="232"/>
      <c r="M93" s="232"/>
      <c r="N93" s="228"/>
      <c r="O93" s="229" t="s">
        <v>642</v>
      </c>
      <c r="P93" s="229"/>
      <c r="Q93" s="229"/>
      <c r="R93" s="229"/>
      <c r="S93" s="253"/>
    </row>
    <row r="94" spans="5:19" x14ac:dyDescent="0.2">
      <c r="E94" s="179" t="s">
        <v>582</v>
      </c>
      <c r="F94" s="136"/>
      <c r="G94" s="136" t="s">
        <v>643</v>
      </c>
      <c r="H94" s="317">
        <v>829.08</v>
      </c>
      <c r="I94" s="233" t="s">
        <v>623</v>
      </c>
      <c r="J94" s="136" t="str">
        <f>$J$56 &amp; ""</f>
        <v>AB</v>
      </c>
      <c r="K94" s="179">
        <f>IF(ISNA(HLOOKUP(J94,O94:S94,1,FALSE)),0,1)</f>
        <v>0</v>
      </c>
      <c r="L94" s="182"/>
      <c r="M94" s="136">
        <f>K94*H94</f>
        <v>0</v>
      </c>
      <c r="N94" s="228" t="s">
        <v>623</v>
      </c>
      <c r="O94" s="252" t="s">
        <v>541</v>
      </c>
      <c r="P94" s="252" t="s">
        <v>542</v>
      </c>
      <c r="Q94" s="252" t="s">
        <v>543</v>
      </c>
      <c r="R94" s="252" t="s">
        <v>644</v>
      </c>
      <c r="S94" s="254" t="s">
        <v>645</v>
      </c>
    </row>
    <row r="95" spans="5:19" x14ac:dyDescent="0.2">
      <c r="E95" s="179"/>
      <c r="F95" s="136"/>
      <c r="G95" s="136" t="s">
        <v>646</v>
      </c>
      <c r="H95" s="317">
        <v>775.08</v>
      </c>
      <c r="I95" s="233" t="s">
        <v>623</v>
      </c>
      <c r="J95" s="136" t="str">
        <f>$J$56 &amp; ""</f>
        <v>AB</v>
      </c>
      <c r="K95" s="179">
        <f>IF(ISNA(HLOOKUP(J95,O95:S95,1,FALSE)),0,1)</f>
        <v>0</v>
      </c>
      <c r="L95" s="232"/>
      <c r="M95" s="136">
        <f>K95*H95</f>
        <v>0</v>
      </c>
      <c r="N95" s="228" t="s">
        <v>623</v>
      </c>
      <c r="O95" s="255" t="s">
        <v>647</v>
      </c>
      <c r="P95" s="255" t="s">
        <v>648</v>
      </c>
      <c r="Q95" s="255" t="s">
        <v>649</v>
      </c>
      <c r="R95" s="230"/>
      <c r="S95" s="231"/>
    </row>
    <row r="96" spans="5:19" x14ac:dyDescent="0.2">
      <c r="E96" s="179"/>
      <c r="F96" s="136"/>
      <c r="G96" s="136"/>
      <c r="H96" s="136"/>
      <c r="I96" s="213"/>
      <c r="J96" s="234"/>
      <c r="K96" s="179"/>
      <c r="L96" s="136"/>
      <c r="M96" s="232"/>
      <c r="N96" s="190"/>
      <c r="O96" s="173"/>
      <c r="P96" s="173"/>
      <c r="Q96" s="173"/>
      <c r="R96" s="173"/>
      <c r="S96" s="171"/>
    </row>
    <row r="97" spans="5:19" x14ac:dyDescent="0.2">
      <c r="E97" s="179"/>
      <c r="F97" s="136"/>
      <c r="G97" s="136"/>
      <c r="H97" s="136"/>
      <c r="I97" s="213"/>
      <c r="J97" s="234"/>
      <c r="K97" s="235"/>
      <c r="L97" s="136"/>
      <c r="M97" s="136"/>
      <c r="N97" s="190"/>
      <c r="O97" s="173"/>
      <c r="P97" s="173"/>
      <c r="Q97" s="173"/>
      <c r="R97" s="173"/>
      <c r="S97" s="171"/>
    </row>
    <row r="98" spans="5:19" x14ac:dyDescent="0.2">
      <c r="E98" s="179" t="s">
        <v>650</v>
      </c>
      <c r="F98" s="136"/>
      <c r="G98" s="136"/>
      <c r="H98" s="136"/>
      <c r="I98" s="213"/>
      <c r="J98" s="234"/>
      <c r="K98" s="179"/>
      <c r="L98" s="136"/>
      <c r="M98" s="232">
        <f>SUM(M84:M97)</f>
        <v>588.91999999999996</v>
      </c>
      <c r="N98" s="228" t="s">
        <v>623</v>
      </c>
      <c r="O98" s="173"/>
      <c r="P98" s="173"/>
      <c r="Q98" s="173"/>
      <c r="R98" s="173"/>
      <c r="S98" s="171"/>
    </row>
    <row r="99" spans="5:19" x14ac:dyDescent="0.2">
      <c r="E99" s="179" t="s">
        <v>18</v>
      </c>
      <c r="F99" s="136"/>
      <c r="G99" s="136"/>
      <c r="H99" s="136"/>
      <c r="I99" s="213"/>
      <c r="J99" s="234"/>
      <c r="K99" s="235"/>
      <c r="L99" s="136"/>
      <c r="M99" s="232">
        <f>J59</f>
        <v>1</v>
      </c>
      <c r="N99" s="228"/>
      <c r="O99" s="173"/>
      <c r="P99" s="173"/>
      <c r="Q99" s="173"/>
      <c r="R99" s="173"/>
      <c r="S99" s="171"/>
    </row>
    <row r="100" spans="5:19" x14ac:dyDescent="0.2">
      <c r="E100" s="179" t="s">
        <v>651</v>
      </c>
      <c r="F100" s="136"/>
      <c r="G100" s="136"/>
      <c r="H100" s="136"/>
      <c r="I100" s="213"/>
      <c r="J100" s="234"/>
      <c r="K100" s="179"/>
      <c r="L100" s="136"/>
      <c r="M100" s="136">
        <f>ROUND(M98*M99,2)</f>
        <v>588.91999999999996</v>
      </c>
      <c r="N100" s="228" t="s">
        <v>623</v>
      </c>
      <c r="O100" s="173" t="str">
        <f>E100</f>
        <v>Totaal toelagen (excl dir)</v>
      </c>
      <c r="P100" s="173"/>
      <c r="Q100" s="173"/>
      <c r="R100" s="173">
        <f>M100</f>
        <v>588.91999999999996</v>
      </c>
      <c r="S100" s="171" t="str">
        <f>N100</f>
        <v>/jaar</v>
      </c>
    </row>
    <row r="101" spans="5:19" x14ac:dyDescent="0.2">
      <c r="E101" s="216"/>
      <c r="F101" s="217"/>
      <c r="G101" s="217"/>
      <c r="H101" s="217"/>
      <c r="I101" s="256"/>
      <c r="J101" s="257"/>
      <c r="K101" s="216"/>
      <c r="L101" s="217"/>
      <c r="M101" s="217"/>
      <c r="N101" s="258"/>
      <c r="O101" s="173"/>
      <c r="P101" s="173"/>
      <c r="Q101" s="173"/>
      <c r="R101" s="173"/>
      <c r="S101" s="171"/>
    </row>
    <row r="102" spans="5:19" x14ac:dyDescent="0.2">
      <c r="E102" s="259"/>
      <c r="F102" s="204"/>
      <c r="G102" s="204"/>
      <c r="H102" s="204"/>
      <c r="I102" s="260"/>
      <c r="J102" s="261"/>
      <c r="K102" s="259"/>
      <c r="L102" s="204"/>
      <c r="M102" s="204"/>
      <c r="N102" s="262"/>
      <c r="O102" s="173"/>
      <c r="P102" s="173"/>
      <c r="Q102" s="173"/>
      <c r="R102" s="173"/>
      <c r="S102" s="171"/>
    </row>
    <row r="103" spans="5:19" x14ac:dyDescent="0.2">
      <c r="E103" s="179" t="s">
        <v>587</v>
      </c>
      <c r="F103" s="136"/>
      <c r="G103" s="136"/>
      <c r="H103" s="136"/>
      <c r="I103" s="213"/>
      <c r="J103" s="263"/>
      <c r="K103" s="179">
        <v>12</v>
      </c>
      <c r="L103" s="264">
        <f>J60</f>
        <v>0</v>
      </c>
      <c r="M103" s="232">
        <f>K103*L103</f>
        <v>0</v>
      </c>
      <c r="N103" s="228" t="s">
        <v>623</v>
      </c>
      <c r="O103" s="173" t="str">
        <f>E103</f>
        <v>Toelage directeuren</v>
      </c>
      <c r="P103" s="173"/>
      <c r="Q103" s="173"/>
      <c r="R103" s="225">
        <f>M103</f>
        <v>0</v>
      </c>
      <c r="S103" s="171" t="str">
        <f>N103</f>
        <v>/jaar</v>
      </c>
    </row>
    <row r="104" spans="5:19" x14ac:dyDescent="0.2">
      <c r="E104" s="216"/>
      <c r="F104" s="217"/>
      <c r="G104" s="217"/>
      <c r="H104" s="217"/>
      <c r="I104" s="256"/>
      <c r="J104" s="257"/>
      <c r="K104" s="216"/>
      <c r="L104" s="217"/>
      <c r="M104" s="217"/>
      <c r="N104" s="258"/>
      <c r="O104" s="173"/>
      <c r="P104" s="173"/>
      <c r="Q104" s="173"/>
      <c r="R104" s="173"/>
      <c r="S104" s="171"/>
    </row>
    <row r="105" spans="5:19" ht="13.5" thickBot="1" x14ac:dyDescent="0.25">
      <c r="E105" s="265" t="s">
        <v>723</v>
      </c>
      <c r="F105" s="266"/>
      <c r="G105" s="266"/>
      <c r="H105" s="266"/>
      <c r="I105" s="267"/>
      <c r="J105" s="268"/>
      <c r="K105" s="265"/>
      <c r="L105" s="266"/>
      <c r="M105" s="281">
        <v>0.35</v>
      </c>
      <c r="N105" s="266"/>
      <c r="O105" s="282" t="s">
        <v>724</v>
      </c>
      <c r="P105" s="283">
        <f>SUM(R64:R104)</f>
        <v>38820.54</v>
      </c>
      <c r="Q105" s="282" t="s">
        <v>725</v>
      </c>
      <c r="R105" s="269">
        <f>SUM(R64:R104)* (1+M105)</f>
        <v>52407.729000000007</v>
      </c>
      <c r="S105" s="228" t="s">
        <v>623</v>
      </c>
    </row>
    <row r="106" spans="5:19" ht="13.5" thickTop="1" x14ac:dyDescent="0.2">
      <c r="E106" s="216"/>
      <c r="F106" s="220"/>
      <c r="G106" s="220"/>
      <c r="H106" s="220"/>
      <c r="I106" s="240"/>
      <c r="J106" s="270"/>
      <c r="K106" s="271"/>
      <c r="L106" s="220"/>
      <c r="M106" s="243"/>
      <c r="N106" s="272"/>
      <c r="O106" s="220"/>
      <c r="P106" s="220"/>
      <c r="Q106" s="220"/>
      <c r="R106" s="220"/>
      <c r="S106" s="221"/>
    </row>
    <row r="108" spans="5:19" x14ac:dyDescent="0.2">
      <c r="E108" s="98"/>
      <c r="K108" s="144"/>
      <c r="L108" s="98"/>
      <c r="P108" s="284"/>
    </row>
    <row r="109" spans="5:19" x14ac:dyDescent="0.2">
      <c r="P109" s="284"/>
    </row>
  </sheetData>
  <phoneticPr fontId="37" type="noConversion"/>
  <pageMargins left="0.74803149606299213" right="0.74803149606299213" top="0.98425196850393704" bottom="0.98425196850393704" header="0.51181102362204722" footer="0.51181102362204722"/>
  <pageSetup paperSize="8" scale="65" orientation="portrait" r:id="rId1"/>
  <headerFooter alignWithMargins="0">
    <oddFooter>&amp;L..\&amp;F - &amp;A&amp;C26-mrt-2013&amp;RVUIST: Henk Verbeek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1:E50"/>
  <sheetViews>
    <sheetView workbookViewId="0">
      <selection activeCell="C9" sqref="C9"/>
    </sheetView>
  </sheetViews>
  <sheetFormatPr defaultColWidth="9.140625" defaultRowHeight="12.75" x14ac:dyDescent="0.2"/>
  <cols>
    <col min="1" max="1" width="70.140625" style="7" customWidth="1"/>
    <col min="2" max="2" width="12.85546875" style="7" bestFit="1" customWidth="1"/>
    <col min="3" max="3" width="14.7109375" style="7" bestFit="1" customWidth="1"/>
    <col min="4" max="5" width="9.140625" style="7"/>
    <col min="6" max="6" width="10.85546875" style="7" bestFit="1" customWidth="1"/>
    <col min="7" max="16384" width="9.140625" style="7"/>
  </cols>
  <sheetData>
    <row r="1" spans="1:5" ht="15.75" x14ac:dyDescent="0.25">
      <c r="A1" s="286" t="s">
        <v>764</v>
      </c>
    </row>
    <row r="3" spans="1:5" x14ac:dyDescent="0.2">
      <c r="A3" s="287" t="s">
        <v>727</v>
      </c>
    </row>
    <row r="5" spans="1:5" x14ac:dyDescent="0.2">
      <c r="A5" s="288" t="s">
        <v>728</v>
      </c>
    </row>
    <row r="6" spans="1:5" x14ac:dyDescent="0.2">
      <c r="A6" s="7" t="s">
        <v>729</v>
      </c>
      <c r="C6" s="289">
        <v>47.33</v>
      </c>
      <c r="E6" s="7" t="s">
        <v>730</v>
      </c>
    </row>
    <row r="7" spans="1:5" x14ac:dyDescent="0.2">
      <c r="A7" s="7" t="s">
        <v>731</v>
      </c>
      <c r="C7" s="289">
        <v>24.71</v>
      </c>
    </row>
    <row r="8" spans="1:5" x14ac:dyDescent="0.2">
      <c r="A8" s="7" t="s">
        <v>732</v>
      </c>
      <c r="C8" s="289">
        <v>10.95</v>
      </c>
    </row>
    <row r="9" spans="1:5" x14ac:dyDescent="0.2">
      <c r="A9" s="290" t="s">
        <v>733</v>
      </c>
      <c r="C9" s="289">
        <v>82.99</v>
      </c>
    </row>
    <row r="10" spans="1:5" x14ac:dyDescent="0.2">
      <c r="A10" s="7" t="s">
        <v>734</v>
      </c>
      <c r="C10" s="289">
        <v>1954</v>
      </c>
    </row>
    <row r="11" spans="1:5" x14ac:dyDescent="0.2">
      <c r="A11" s="290"/>
    </row>
    <row r="12" spans="1:5" x14ac:dyDescent="0.2">
      <c r="A12" s="290" t="s">
        <v>765</v>
      </c>
    </row>
    <row r="13" spans="1:5" x14ac:dyDescent="0.2">
      <c r="A13" s="7" t="s">
        <v>735</v>
      </c>
    </row>
    <row r="14" spans="1:5" x14ac:dyDescent="0.2">
      <c r="A14" s="7" t="s">
        <v>753</v>
      </c>
      <c r="B14" s="291">
        <f>Data_PerformanceBoxPanelLearnerNumber2011</f>
        <v>0</v>
      </c>
      <c r="C14" s="7" t="s">
        <v>736</v>
      </c>
    </row>
    <row r="15" spans="1:5" x14ac:dyDescent="0.2">
      <c r="A15" s="7" t="s">
        <v>754</v>
      </c>
      <c r="B15" s="291">
        <f>Data_PerformanceBoxPanelBRINNumber2011</f>
        <v>0</v>
      </c>
      <c r="C15" s="7" t="s">
        <v>736</v>
      </c>
    </row>
    <row r="17" spans="1:4" ht="15" x14ac:dyDescent="0.25">
      <c r="A17" s="7" t="s">
        <v>737</v>
      </c>
      <c r="B17" s="292">
        <v>82.99</v>
      </c>
      <c r="D17" s="7" t="s">
        <v>738</v>
      </c>
    </row>
    <row r="18" spans="1:4" ht="15" x14ac:dyDescent="0.25">
      <c r="A18" s="7" t="s">
        <v>739</v>
      </c>
      <c r="B18" s="292">
        <v>1954</v>
      </c>
      <c r="D18" s="7" t="s">
        <v>738</v>
      </c>
    </row>
    <row r="20" spans="1:4" x14ac:dyDescent="0.2">
      <c r="A20" s="7" t="s">
        <v>740</v>
      </c>
      <c r="C20" s="294">
        <f>(B14*B17)+(B15*B18)</f>
        <v>0</v>
      </c>
      <c r="D20" s="7" t="s">
        <v>741</v>
      </c>
    </row>
    <row r="21" spans="1:4" x14ac:dyDescent="0.2">
      <c r="A21" s="7" t="s">
        <v>742</v>
      </c>
      <c r="B21" s="293">
        <v>0.65</v>
      </c>
      <c r="C21" s="296">
        <f>C20*B21</f>
        <v>0</v>
      </c>
    </row>
    <row r="24" spans="1:4" x14ac:dyDescent="0.2">
      <c r="A24" s="287" t="s">
        <v>766</v>
      </c>
    </row>
    <row r="26" spans="1:4" x14ac:dyDescent="0.2">
      <c r="A26" s="7" t="s">
        <v>767</v>
      </c>
    </row>
    <row r="27" spans="1:4" x14ac:dyDescent="0.2">
      <c r="A27" s="7" t="s">
        <v>743</v>
      </c>
    </row>
    <row r="28" spans="1:4" x14ac:dyDescent="0.2">
      <c r="A28" s="290" t="s">
        <v>744</v>
      </c>
    </row>
    <row r="30" spans="1:4" x14ac:dyDescent="0.2">
      <c r="B30" s="290" t="s">
        <v>733</v>
      </c>
    </row>
    <row r="31" spans="1:4" ht="15" x14ac:dyDescent="0.25">
      <c r="A31" s="7" t="s">
        <v>745</v>
      </c>
      <c r="B31" s="292">
        <f>+B32+B35</f>
        <v>43.23</v>
      </c>
      <c r="D31" s="7" t="s">
        <v>746</v>
      </c>
    </row>
    <row r="32" spans="1:4" ht="15" x14ac:dyDescent="0.25">
      <c r="A32" s="7" t="s">
        <v>747</v>
      </c>
      <c r="B32" s="292">
        <v>31.99</v>
      </c>
      <c r="D32" s="7" t="s">
        <v>748</v>
      </c>
    </row>
    <row r="33" spans="1:4" ht="15" x14ac:dyDescent="0.25">
      <c r="A33" s="7" t="s">
        <v>749</v>
      </c>
      <c r="B33" s="292">
        <v>30.68</v>
      </c>
    </row>
    <row r="34" spans="1:4" ht="15" x14ac:dyDescent="0.25">
      <c r="A34" s="7" t="s">
        <v>750</v>
      </c>
      <c r="B34" s="292">
        <v>86.6</v>
      </c>
    </row>
    <row r="35" spans="1:4" ht="15" x14ac:dyDescent="0.25">
      <c r="A35" s="7" t="s">
        <v>751</v>
      </c>
      <c r="B35" s="292">
        <v>11.24</v>
      </c>
    </row>
    <row r="37" spans="1:4" ht="15" x14ac:dyDescent="0.25">
      <c r="A37" s="7" t="s">
        <v>733</v>
      </c>
      <c r="B37" s="292">
        <v>86.46</v>
      </c>
    </row>
    <row r="39" spans="1:4" ht="15" x14ac:dyDescent="0.25">
      <c r="A39" s="7" t="s">
        <v>752</v>
      </c>
      <c r="B39" s="292">
        <v>1983</v>
      </c>
    </row>
    <row r="41" spans="1:4" x14ac:dyDescent="0.2">
      <c r="A41" s="290" t="s">
        <v>768</v>
      </c>
    </row>
    <row r="42" spans="1:4" x14ac:dyDescent="0.2">
      <c r="A42" s="7" t="s">
        <v>735</v>
      </c>
    </row>
    <row r="43" spans="1:4" x14ac:dyDescent="0.2">
      <c r="A43" s="7" t="s">
        <v>769</v>
      </c>
      <c r="B43" s="291">
        <f>Data_PerformanceBoxPanelLearnerNumber2012</f>
        <v>0</v>
      </c>
      <c r="C43" s="7" t="s">
        <v>736</v>
      </c>
    </row>
    <row r="44" spans="1:4" x14ac:dyDescent="0.2">
      <c r="A44" s="7" t="s">
        <v>770</v>
      </c>
      <c r="B44" s="291">
        <f>Data_PerformanceBoxPanelBRINNumber2012</f>
        <v>0</v>
      </c>
      <c r="C44" s="7" t="s">
        <v>736</v>
      </c>
    </row>
    <row r="46" spans="1:4" ht="15" x14ac:dyDescent="0.25">
      <c r="A46" s="7" t="s">
        <v>737</v>
      </c>
      <c r="B46" s="292">
        <v>86.46</v>
      </c>
      <c r="D46" s="7" t="s">
        <v>738</v>
      </c>
    </row>
    <row r="47" spans="1:4" ht="15" x14ac:dyDescent="0.25">
      <c r="A47" s="7" t="s">
        <v>739</v>
      </c>
      <c r="B47" s="292">
        <v>1983</v>
      </c>
      <c r="D47" s="7" t="s">
        <v>738</v>
      </c>
    </row>
    <row r="49" spans="1:4" x14ac:dyDescent="0.2">
      <c r="A49" s="7" t="s">
        <v>740</v>
      </c>
      <c r="C49" s="294">
        <f>B43*B46+B44*B47</f>
        <v>0</v>
      </c>
      <c r="D49" s="7" t="s">
        <v>755</v>
      </c>
    </row>
    <row r="50" spans="1:4" x14ac:dyDescent="0.2">
      <c r="A50" s="7" t="s">
        <v>756</v>
      </c>
      <c r="B50" s="293">
        <v>0.65</v>
      </c>
      <c r="C50" s="296">
        <f>C49*B50</f>
        <v>0</v>
      </c>
    </row>
  </sheetData>
  <phoneticPr fontId="37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BK502"/>
  <sheetViews>
    <sheetView zoomScaleNormal="100" workbookViewId="0">
      <pane ySplit="2" topLeftCell="A3" activePane="bottomLeft" state="frozen"/>
      <selection pane="bottomLeft" activeCell="B13" sqref="B13"/>
    </sheetView>
  </sheetViews>
  <sheetFormatPr defaultRowHeight="15" x14ac:dyDescent="0.25"/>
  <cols>
    <col min="1" max="1" width="8.85546875" customWidth="1"/>
    <col min="2" max="2" width="36.42578125" customWidth="1"/>
    <col min="3" max="3" width="1.7109375" customWidth="1"/>
    <col min="4" max="5" width="27.7109375" customWidth="1"/>
    <col min="6" max="6" width="17" customWidth="1"/>
    <col min="7" max="7" width="1.7109375" customWidth="1"/>
    <col min="8" max="8" width="36.7109375" customWidth="1"/>
    <col min="9" max="10" width="12.7109375" customWidth="1"/>
    <col min="11" max="11" width="1.7109375" customWidth="1"/>
    <col min="12" max="12" width="56.28515625" bestFit="1" customWidth="1"/>
    <col min="13" max="14" width="12.7109375" customWidth="1"/>
    <col min="15" max="15" width="1.7109375" customWidth="1"/>
    <col min="16" max="16" width="12.7109375" customWidth="1"/>
    <col min="17" max="17" width="13.5703125" style="89" customWidth="1"/>
    <col min="18" max="22" width="12.7109375" style="89" customWidth="1"/>
    <col min="23" max="23" width="14.5703125" style="89" customWidth="1"/>
    <col min="24" max="24" width="12" customWidth="1"/>
    <col min="25" max="25" width="1.7109375" customWidth="1"/>
    <col min="26" max="26" width="12.7109375" customWidth="1"/>
    <col min="27" max="27" width="13" customWidth="1"/>
    <col min="28" max="34" width="12.7109375" customWidth="1"/>
    <col min="35" max="35" width="1.7109375" customWidth="1"/>
    <col min="36" max="36" width="12.7109375" customWidth="1"/>
    <col min="37" max="37" width="13.7109375" customWidth="1"/>
    <col min="38" max="44" width="12.7109375" customWidth="1"/>
    <col min="45" max="45" width="1.7109375" customWidth="1"/>
    <col min="46" max="46" width="12.7109375" customWidth="1"/>
    <col min="47" max="47" width="13.7109375" customWidth="1"/>
    <col min="48" max="54" width="12.7109375" customWidth="1"/>
    <col min="55" max="55" width="1.7109375" customWidth="1"/>
    <col min="56" max="56" width="31.140625" bestFit="1" customWidth="1"/>
    <col min="57" max="57" width="12.42578125" bestFit="1" customWidth="1"/>
    <col min="58" max="58" width="1.7109375" customWidth="1"/>
    <col min="59" max="59" width="12.5703125" customWidth="1"/>
    <col min="60" max="60" width="14.85546875" style="280" customWidth="1"/>
    <col min="61" max="61" width="11.42578125" bestFit="1" customWidth="1"/>
  </cols>
  <sheetData>
    <row r="1" spans="1:63" s="1" customFormat="1" ht="14.45" x14ac:dyDescent="0.35">
      <c r="A1" s="1" t="s">
        <v>7</v>
      </c>
      <c r="B1" s="1" t="s">
        <v>2</v>
      </c>
      <c r="D1" s="1" t="s">
        <v>1</v>
      </c>
      <c r="F1" s="2" t="s">
        <v>760</v>
      </c>
      <c r="H1" s="1" t="s">
        <v>3</v>
      </c>
      <c r="L1" s="1" t="s">
        <v>9</v>
      </c>
      <c r="P1" s="1" t="s">
        <v>10</v>
      </c>
      <c r="Q1" s="85">
        <v>0</v>
      </c>
      <c r="R1" s="86"/>
      <c r="S1" s="86"/>
      <c r="T1" s="86"/>
      <c r="U1" s="86"/>
      <c r="V1" s="86"/>
      <c r="W1" s="86"/>
      <c r="Z1" s="1" t="s">
        <v>652</v>
      </c>
      <c r="AA1" s="85">
        <v>0</v>
      </c>
      <c r="AB1" s="86"/>
      <c r="AC1" s="86"/>
      <c r="AD1" s="86"/>
      <c r="AE1" s="86"/>
      <c r="AF1" s="86"/>
      <c r="AG1" s="86"/>
      <c r="AJ1" s="1" t="s">
        <v>655</v>
      </c>
      <c r="AK1" s="85">
        <v>0</v>
      </c>
      <c r="AL1" s="86"/>
      <c r="AM1" s="86"/>
      <c r="AN1" s="86"/>
      <c r="AO1" s="86"/>
      <c r="AP1" s="86"/>
      <c r="AQ1" s="86"/>
      <c r="AT1" s="1" t="s">
        <v>720</v>
      </c>
      <c r="AU1" s="85">
        <v>0</v>
      </c>
      <c r="AV1" s="86"/>
      <c r="AW1" s="86"/>
      <c r="AX1" s="86"/>
      <c r="AY1" s="86"/>
      <c r="AZ1" s="86"/>
      <c r="BA1" s="86"/>
      <c r="BH1" s="277"/>
    </row>
    <row r="2" spans="1:63" s="2" customFormat="1" ht="12" customHeight="1" x14ac:dyDescent="0.25">
      <c r="A2" s="2" t="s">
        <v>8</v>
      </c>
      <c r="D2" s="2" t="str">
        <f>(YEAR(Peildatum)-1)&amp;"/"&amp;YEAR(Peildatum)</f>
        <v>2019/2020</v>
      </c>
      <c r="E2" s="2" t="str">
        <f>YEAR(Peildatum)&amp;"/"&amp;(YEAR(Peildatum)+1)</f>
        <v>2020/2021</v>
      </c>
      <c r="F2" s="2" t="s">
        <v>771</v>
      </c>
      <c r="H2" s="2" t="s">
        <v>780</v>
      </c>
      <c r="I2" s="2" t="str">
        <f>D2</f>
        <v>2019/2020</v>
      </c>
      <c r="J2" s="2" t="str">
        <f>E2</f>
        <v>2020/2021</v>
      </c>
      <c r="L2" s="2" t="s">
        <v>780</v>
      </c>
      <c r="M2" s="2" t="str">
        <f>D2</f>
        <v>2019/2020</v>
      </c>
      <c r="N2" s="2" t="str">
        <f>E2</f>
        <v>2020/2021</v>
      </c>
      <c r="P2" s="2" t="s">
        <v>14</v>
      </c>
      <c r="Q2" s="87" t="s">
        <v>11</v>
      </c>
      <c r="R2" s="87" t="s">
        <v>12</v>
      </c>
      <c r="S2" s="87" t="s">
        <v>15</v>
      </c>
      <c r="T2" s="87" t="s">
        <v>16</v>
      </c>
      <c r="U2" s="87" t="s">
        <v>17</v>
      </c>
      <c r="V2" s="87" t="s">
        <v>18</v>
      </c>
      <c r="W2" s="87" t="s">
        <v>19</v>
      </c>
      <c r="X2" s="2" t="s">
        <v>13</v>
      </c>
      <c r="Z2" s="2" t="s">
        <v>14</v>
      </c>
      <c r="AA2" s="87" t="s">
        <v>11</v>
      </c>
      <c r="AB2" s="87" t="s">
        <v>12</v>
      </c>
      <c r="AC2" s="87" t="s">
        <v>15</v>
      </c>
      <c r="AD2" s="87" t="s">
        <v>16</v>
      </c>
      <c r="AE2" s="87" t="s">
        <v>17</v>
      </c>
      <c r="AF2" s="87" t="s">
        <v>18</v>
      </c>
      <c r="AG2" s="87" t="s">
        <v>19</v>
      </c>
      <c r="AH2" s="2" t="s">
        <v>13</v>
      </c>
      <c r="AJ2" s="2" t="s">
        <v>14</v>
      </c>
      <c r="AK2" s="87" t="s">
        <v>11</v>
      </c>
      <c r="AL2" s="87" t="s">
        <v>12</v>
      </c>
      <c r="AM2" s="87" t="s">
        <v>15</v>
      </c>
      <c r="AN2" s="87" t="s">
        <v>16</v>
      </c>
      <c r="AO2" s="87" t="s">
        <v>17</v>
      </c>
      <c r="AP2" s="87" t="s">
        <v>18</v>
      </c>
      <c r="AQ2" s="87" t="s">
        <v>19</v>
      </c>
      <c r="AR2" s="2" t="s">
        <v>13</v>
      </c>
      <c r="AT2" s="2" t="s">
        <v>14</v>
      </c>
      <c r="AU2" s="87" t="s">
        <v>11</v>
      </c>
      <c r="AV2" s="87" t="s">
        <v>12</v>
      </c>
      <c r="AW2" s="87" t="s">
        <v>15</v>
      </c>
      <c r="AX2" s="87" t="s">
        <v>16</v>
      </c>
      <c r="AY2" s="87" t="s">
        <v>17</v>
      </c>
      <c r="AZ2" s="87" t="s">
        <v>18</v>
      </c>
      <c r="BA2" s="87" t="s">
        <v>19</v>
      </c>
      <c r="BB2" s="2" t="s">
        <v>13</v>
      </c>
      <c r="BH2" s="278" t="s">
        <v>718</v>
      </c>
      <c r="BI2" s="2" t="s">
        <v>714</v>
      </c>
      <c r="BK2" s="2" t="s">
        <v>799</v>
      </c>
    </row>
    <row r="3" spans="1:63" x14ac:dyDescent="0.25">
      <c r="F3" s="40"/>
      <c r="H3" s="3" t="s">
        <v>4</v>
      </c>
      <c r="L3" s="307" t="s">
        <v>781</v>
      </c>
      <c r="O3" s="40"/>
      <c r="Q3"/>
      <c r="R3"/>
      <c r="S3"/>
      <c r="T3"/>
      <c r="U3"/>
      <c r="V3"/>
      <c r="W3"/>
      <c r="BD3" t="s">
        <v>654</v>
      </c>
      <c r="BE3" s="40">
        <f>Personeel!N15</f>
        <v>0</v>
      </c>
      <c r="BG3" t="s">
        <v>7</v>
      </c>
      <c r="BH3" s="279" t="s">
        <v>713</v>
      </c>
      <c r="BI3" t="b">
        <v>1</v>
      </c>
      <c r="BK3" t="s">
        <v>7518</v>
      </c>
    </row>
    <row r="4" spans="1:63" x14ac:dyDescent="0.25">
      <c r="F4" s="40"/>
      <c r="H4" s="3" t="s">
        <v>5</v>
      </c>
      <c r="K4" s="40"/>
      <c r="L4" s="309"/>
      <c r="O4" s="40"/>
      <c r="Q4"/>
      <c r="R4"/>
      <c r="S4"/>
      <c r="T4"/>
      <c r="U4"/>
      <c r="V4"/>
      <c r="W4"/>
      <c r="BD4" t="s">
        <v>653</v>
      </c>
      <c r="BE4" s="40">
        <f>Personeel!N16</f>
        <v>0</v>
      </c>
      <c r="BG4" t="s">
        <v>2</v>
      </c>
      <c r="BH4" s="279" t="s">
        <v>713</v>
      </c>
      <c r="BK4" t="s">
        <v>798</v>
      </c>
    </row>
    <row r="5" spans="1:63" x14ac:dyDescent="0.25">
      <c r="F5" s="40"/>
      <c r="H5" s="3" t="s">
        <v>6</v>
      </c>
      <c r="L5" s="309"/>
      <c r="O5" s="40"/>
      <c r="Q5"/>
      <c r="R5"/>
      <c r="S5"/>
      <c r="T5"/>
      <c r="U5"/>
      <c r="V5"/>
      <c r="W5"/>
      <c r="BG5" t="s">
        <v>715</v>
      </c>
      <c r="BH5" s="279" t="s">
        <v>713</v>
      </c>
      <c r="BI5" t="b">
        <v>0</v>
      </c>
      <c r="BK5" t="s">
        <v>792</v>
      </c>
    </row>
    <row r="6" spans="1:63" x14ac:dyDescent="0.25">
      <c r="B6" t="s">
        <v>8501</v>
      </c>
      <c r="F6" s="40"/>
      <c r="H6" s="307" t="s">
        <v>778</v>
      </c>
      <c r="O6" s="40"/>
      <c r="Q6"/>
      <c r="R6"/>
      <c r="S6"/>
      <c r="T6"/>
      <c r="U6"/>
      <c r="V6"/>
      <c r="W6"/>
      <c r="BD6" t="s">
        <v>15</v>
      </c>
      <c r="BE6" s="89" t="s">
        <v>141</v>
      </c>
      <c r="BG6" t="s">
        <v>1</v>
      </c>
      <c r="BH6" s="279" t="s">
        <v>713</v>
      </c>
      <c r="BK6" t="s">
        <v>793</v>
      </c>
    </row>
    <row r="7" spans="1:63" x14ac:dyDescent="0.25">
      <c r="F7" s="40"/>
      <c r="O7" s="40"/>
      <c r="Q7"/>
      <c r="R7"/>
      <c r="S7"/>
      <c r="T7"/>
      <c r="U7"/>
      <c r="V7"/>
      <c r="W7"/>
      <c r="BD7" t="s">
        <v>16</v>
      </c>
      <c r="BE7" s="89">
        <v>1</v>
      </c>
      <c r="BG7" t="s">
        <v>3</v>
      </c>
      <c r="BH7" s="279" t="s">
        <v>713</v>
      </c>
      <c r="BK7" t="s">
        <v>794</v>
      </c>
    </row>
    <row r="8" spans="1:63" x14ac:dyDescent="0.25">
      <c r="B8" s="307">
        <v>0</v>
      </c>
      <c r="F8" s="40"/>
      <c r="O8" s="40"/>
      <c r="Q8"/>
      <c r="R8"/>
      <c r="S8"/>
      <c r="T8"/>
      <c r="U8"/>
      <c r="V8"/>
      <c r="W8"/>
      <c r="BD8" t="s">
        <v>17</v>
      </c>
      <c r="BE8" s="89"/>
      <c r="BG8" t="s">
        <v>9</v>
      </c>
      <c r="BH8" s="279" t="s">
        <v>713</v>
      </c>
      <c r="BI8" t="b">
        <v>0</v>
      </c>
      <c r="BK8" t="s">
        <v>795</v>
      </c>
    </row>
    <row r="9" spans="1:63" x14ac:dyDescent="0.25">
      <c r="B9">
        <f>LeerlingAantalCalc</f>
        <v>0</v>
      </c>
      <c r="F9" s="40"/>
      <c r="O9" s="40"/>
      <c r="Q9"/>
      <c r="R9"/>
      <c r="S9"/>
      <c r="T9"/>
      <c r="U9"/>
      <c r="V9"/>
      <c r="W9"/>
      <c r="BD9" t="s">
        <v>18</v>
      </c>
      <c r="BE9" s="89">
        <v>1</v>
      </c>
      <c r="BG9" t="s">
        <v>716</v>
      </c>
      <c r="BH9" s="279" t="s">
        <v>713</v>
      </c>
      <c r="BI9" t="b">
        <v>0</v>
      </c>
      <c r="BK9" t="s">
        <v>796</v>
      </c>
    </row>
    <row r="10" spans="1:63" x14ac:dyDescent="0.25">
      <c r="F10" s="40"/>
      <c r="O10" s="40"/>
      <c r="Q10"/>
      <c r="R10"/>
      <c r="S10"/>
      <c r="T10"/>
      <c r="U10"/>
      <c r="V10"/>
      <c r="W10"/>
      <c r="BD10" t="s">
        <v>587</v>
      </c>
      <c r="BE10" s="89"/>
      <c r="BG10" t="s">
        <v>10</v>
      </c>
      <c r="BH10" s="279" t="s">
        <v>713</v>
      </c>
      <c r="BK10" t="s">
        <v>797</v>
      </c>
    </row>
    <row r="11" spans="1:63" x14ac:dyDescent="0.25">
      <c r="F11" s="40"/>
      <c r="O11" s="40"/>
      <c r="Q11"/>
      <c r="R11"/>
      <c r="S11"/>
      <c r="T11"/>
      <c r="U11"/>
      <c r="V11"/>
      <c r="W11"/>
      <c r="BD11" t="s">
        <v>12</v>
      </c>
      <c r="BE11" s="88">
        <f>IF(ISERROR(Salaris_berekening!R105),"",Salaris_berekening!R105)</f>
        <v>52407.729000000007</v>
      </c>
      <c r="BG11" t="s">
        <v>652</v>
      </c>
      <c r="BH11" s="279" t="s">
        <v>713</v>
      </c>
    </row>
    <row r="12" spans="1:63" x14ac:dyDescent="0.25">
      <c r="F12" s="40"/>
      <c r="O12" s="40"/>
      <c r="Q12"/>
      <c r="R12"/>
      <c r="S12"/>
      <c r="T12"/>
      <c r="U12"/>
      <c r="V12"/>
      <c r="W12"/>
      <c r="BG12" t="s">
        <v>655</v>
      </c>
      <c r="BH12" s="279" t="s">
        <v>713</v>
      </c>
    </row>
    <row r="13" spans="1:63" x14ac:dyDescent="0.25">
      <c r="E13">
        <v>0</v>
      </c>
      <c r="F13" s="40"/>
      <c r="Q13"/>
      <c r="R13"/>
      <c r="S13"/>
      <c r="T13"/>
      <c r="U13"/>
      <c r="V13"/>
      <c r="W13"/>
      <c r="BG13" t="s">
        <v>720</v>
      </c>
      <c r="BH13" s="279" t="s">
        <v>713</v>
      </c>
    </row>
    <row r="14" spans="1:63" x14ac:dyDescent="0.25">
      <c r="F14" s="40"/>
      <c r="Q14"/>
      <c r="R14"/>
      <c r="S14"/>
      <c r="T14"/>
      <c r="U14"/>
      <c r="V14"/>
      <c r="W14"/>
      <c r="BG14" t="s">
        <v>717</v>
      </c>
      <c r="BH14" s="279" t="s">
        <v>713</v>
      </c>
    </row>
    <row r="15" spans="1:63" x14ac:dyDescent="0.25">
      <c r="F15" s="40"/>
      <c r="Q15"/>
      <c r="R15"/>
      <c r="S15"/>
      <c r="T15"/>
      <c r="U15"/>
      <c r="V15"/>
      <c r="W15"/>
      <c r="BH15" s="279"/>
    </row>
    <row r="16" spans="1:63" x14ac:dyDescent="0.25">
      <c r="F16" s="40"/>
      <c r="Q16"/>
      <c r="R16"/>
      <c r="S16"/>
      <c r="T16"/>
      <c r="U16"/>
      <c r="V16"/>
      <c r="W16"/>
      <c r="BH16" s="279"/>
    </row>
    <row r="17" spans="4:23" x14ac:dyDescent="0.25">
      <c r="F17" s="40"/>
      <c r="Q17"/>
      <c r="R17"/>
      <c r="S17"/>
      <c r="T17"/>
      <c r="U17"/>
      <c r="V17"/>
      <c r="W17"/>
    </row>
    <row r="18" spans="4:23" x14ac:dyDescent="0.25">
      <c r="D18" s="327">
        <v>0</v>
      </c>
      <c r="E18" s="327">
        <v>0</v>
      </c>
      <c r="F18" s="40"/>
      <c r="Q18"/>
      <c r="R18"/>
      <c r="S18"/>
      <c r="T18"/>
      <c r="U18"/>
      <c r="V18"/>
      <c r="W18"/>
    </row>
    <row r="19" spans="4:23" x14ac:dyDescent="0.25">
      <c r="F19" s="40"/>
      <c r="Q19"/>
      <c r="R19"/>
      <c r="S19"/>
      <c r="T19"/>
      <c r="U19"/>
      <c r="V19"/>
      <c r="W19"/>
    </row>
    <row r="20" spans="4:23" x14ac:dyDescent="0.25">
      <c r="F20" s="40"/>
      <c r="Q20"/>
      <c r="R20"/>
      <c r="S20"/>
      <c r="T20"/>
      <c r="U20"/>
      <c r="V20"/>
      <c r="W20"/>
    </row>
    <row r="21" spans="4:23" x14ac:dyDescent="0.25">
      <c r="F21" s="40"/>
      <c r="Q21"/>
      <c r="R21"/>
      <c r="S21"/>
      <c r="T21"/>
      <c r="U21"/>
      <c r="V21"/>
      <c r="W21"/>
    </row>
    <row r="22" spans="4:23" x14ac:dyDescent="0.25">
      <c r="F22" s="40"/>
      <c r="Q22"/>
      <c r="R22"/>
      <c r="S22"/>
      <c r="T22"/>
      <c r="U22"/>
      <c r="V22"/>
      <c r="W22"/>
    </row>
    <row r="23" spans="4:23" x14ac:dyDescent="0.25">
      <c r="F23" s="40"/>
      <c r="Q23"/>
      <c r="R23"/>
      <c r="S23"/>
      <c r="T23"/>
      <c r="U23"/>
      <c r="V23"/>
      <c r="W23"/>
    </row>
    <row r="24" spans="4:23" x14ac:dyDescent="0.25">
      <c r="F24" s="40"/>
      <c r="Q24"/>
      <c r="R24"/>
      <c r="S24"/>
      <c r="T24"/>
      <c r="U24"/>
      <c r="V24"/>
      <c r="W24"/>
    </row>
    <row r="25" spans="4:23" x14ac:dyDescent="0.25">
      <c r="F25" s="40"/>
      <c r="Q25"/>
      <c r="R25"/>
      <c r="S25"/>
      <c r="T25"/>
      <c r="U25"/>
      <c r="V25"/>
      <c r="W25"/>
    </row>
    <row r="26" spans="4:23" x14ac:dyDescent="0.25">
      <c r="Q26"/>
      <c r="R26"/>
      <c r="S26"/>
      <c r="T26"/>
      <c r="U26"/>
      <c r="V26"/>
      <c r="W26"/>
    </row>
    <row r="27" spans="4:23" x14ac:dyDescent="0.25">
      <c r="Q27"/>
      <c r="R27"/>
      <c r="S27"/>
      <c r="T27"/>
      <c r="U27"/>
      <c r="V27"/>
      <c r="W27"/>
    </row>
    <row r="28" spans="4:23" x14ac:dyDescent="0.25">
      <c r="D28" s="1" t="s">
        <v>761</v>
      </c>
      <c r="H28" s="1" t="s">
        <v>719</v>
      </c>
      <c r="I28" s="1" t="str">
        <f>I2</f>
        <v>2019/2020</v>
      </c>
      <c r="J28" s="1" t="str">
        <f>J2</f>
        <v>2020/2021</v>
      </c>
      <c r="Q28"/>
      <c r="R28"/>
      <c r="S28"/>
      <c r="T28"/>
      <c r="U28"/>
      <c r="V28"/>
      <c r="W28"/>
    </row>
    <row r="29" spans="4:23" x14ac:dyDescent="0.25">
      <c r="D29" s="297" t="s">
        <v>757</v>
      </c>
      <c r="Q29"/>
      <c r="R29"/>
      <c r="S29"/>
      <c r="T29"/>
      <c r="U29"/>
      <c r="V29"/>
      <c r="W29"/>
    </row>
    <row r="30" spans="4:23" x14ac:dyDescent="0.25">
      <c r="D30" s="297" t="s">
        <v>758</v>
      </c>
      <c r="Q30"/>
      <c r="R30"/>
      <c r="S30"/>
      <c r="T30"/>
      <c r="U30"/>
      <c r="V30"/>
      <c r="W30"/>
    </row>
    <row r="31" spans="4:23" x14ac:dyDescent="0.25">
      <c r="D31" s="298" t="s">
        <v>759</v>
      </c>
      <c r="E31" s="295">
        <f>PrestatieBox1213</f>
        <v>0</v>
      </c>
      <c r="Q31"/>
      <c r="R31"/>
      <c r="S31"/>
      <c r="T31"/>
      <c r="U31"/>
      <c r="V31"/>
      <c r="W31"/>
    </row>
    <row r="32" spans="4:23" x14ac:dyDescent="0.25">
      <c r="D32" s="297" t="s">
        <v>772</v>
      </c>
      <c r="Q32"/>
      <c r="R32"/>
      <c r="S32"/>
      <c r="T32"/>
      <c r="U32"/>
      <c r="V32"/>
      <c r="W32"/>
    </row>
    <row r="33" spans="4:23" x14ac:dyDescent="0.25">
      <c r="D33" s="297" t="s">
        <v>773</v>
      </c>
      <c r="Q33"/>
      <c r="R33"/>
      <c r="S33"/>
      <c r="T33"/>
      <c r="U33"/>
      <c r="V33"/>
      <c r="W33"/>
    </row>
    <row r="34" spans="4:23" x14ac:dyDescent="0.25">
      <c r="D34" s="298" t="s">
        <v>774</v>
      </c>
      <c r="E34" s="295">
        <f>PrestatieBox1314</f>
        <v>0</v>
      </c>
      <c r="Q34"/>
      <c r="R34"/>
      <c r="S34"/>
      <c r="T34"/>
      <c r="U34"/>
      <c r="V34"/>
      <c r="W34"/>
    </row>
    <row r="35" spans="4:23" x14ac:dyDescent="0.25">
      <c r="D35" s="40"/>
      <c r="E35" s="40"/>
      <c r="Q35"/>
      <c r="R35"/>
      <c r="S35"/>
      <c r="T35"/>
      <c r="U35"/>
      <c r="V35"/>
      <c r="W35"/>
    </row>
    <row r="36" spans="4:23" x14ac:dyDescent="0.25">
      <c r="D36" s="40"/>
      <c r="E36" s="40"/>
      <c r="Q36"/>
      <c r="R36"/>
      <c r="S36"/>
      <c r="T36"/>
      <c r="U36"/>
      <c r="V36"/>
      <c r="W36"/>
    </row>
    <row r="37" spans="4:23" x14ac:dyDescent="0.25">
      <c r="D37" s="40"/>
      <c r="E37" s="40"/>
      <c r="Q37"/>
      <c r="R37"/>
      <c r="S37"/>
      <c r="T37"/>
      <c r="U37"/>
      <c r="V37"/>
      <c r="W37"/>
    </row>
    <row r="38" spans="4:23" x14ac:dyDescent="0.25">
      <c r="E38" s="40"/>
      <c r="Q38"/>
      <c r="R38"/>
      <c r="S38"/>
      <c r="T38"/>
      <c r="U38"/>
      <c r="V38"/>
      <c r="W38"/>
    </row>
    <row r="39" spans="4:23" x14ac:dyDescent="0.25">
      <c r="E39" s="40"/>
      <c r="Q39"/>
      <c r="R39"/>
      <c r="S39"/>
      <c r="T39"/>
      <c r="U39"/>
      <c r="V39"/>
      <c r="W39"/>
    </row>
    <row r="40" spans="4:23" x14ac:dyDescent="0.25">
      <c r="D40" s="40"/>
      <c r="E40" s="40"/>
      <c r="Q40"/>
      <c r="R40"/>
      <c r="S40"/>
      <c r="T40"/>
      <c r="U40"/>
      <c r="V40"/>
      <c r="W40"/>
    </row>
    <row r="41" spans="4:23" x14ac:dyDescent="0.25">
      <c r="D41" s="40"/>
      <c r="E41" s="40"/>
      <c r="Q41"/>
      <c r="R41"/>
      <c r="S41"/>
      <c r="T41"/>
      <c r="U41"/>
      <c r="V41"/>
      <c r="W41"/>
    </row>
    <row r="42" spans="4:23" x14ac:dyDescent="0.25">
      <c r="D42" s="40"/>
      <c r="E42" s="40"/>
      <c r="Q42"/>
      <c r="R42"/>
      <c r="S42"/>
      <c r="T42"/>
      <c r="U42"/>
      <c r="V42"/>
      <c r="W42"/>
    </row>
    <row r="43" spans="4:23" x14ac:dyDescent="0.25">
      <c r="Q43"/>
      <c r="R43"/>
      <c r="S43"/>
      <c r="T43"/>
      <c r="U43"/>
      <c r="V43"/>
      <c r="W43"/>
    </row>
    <row r="44" spans="4:23" x14ac:dyDescent="0.25">
      <c r="Q44"/>
      <c r="R44"/>
      <c r="S44"/>
      <c r="T44"/>
      <c r="U44"/>
      <c r="V44"/>
      <c r="W44"/>
    </row>
    <row r="45" spans="4:23" x14ac:dyDescent="0.25">
      <c r="Q45"/>
      <c r="R45"/>
      <c r="S45"/>
      <c r="T45"/>
      <c r="U45"/>
      <c r="V45"/>
      <c r="W45"/>
    </row>
    <row r="46" spans="4:23" x14ac:dyDescent="0.25">
      <c r="Q46"/>
      <c r="R46"/>
      <c r="S46"/>
      <c r="T46"/>
      <c r="U46"/>
      <c r="V46"/>
      <c r="W46"/>
    </row>
    <row r="47" spans="4:23" x14ac:dyDescent="0.25">
      <c r="Q47"/>
      <c r="R47"/>
      <c r="S47"/>
      <c r="T47"/>
      <c r="U47"/>
      <c r="V47"/>
      <c r="W47"/>
    </row>
    <row r="48" spans="4:23" x14ac:dyDescent="0.25">
      <c r="Q48"/>
      <c r="R48"/>
      <c r="S48"/>
      <c r="T48"/>
      <c r="U48"/>
      <c r="V48"/>
      <c r="W48"/>
    </row>
    <row r="49" spans="17:23" x14ac:dyDescent="0.25">
      <c r="Q49"/>
      <c r="R49"/>
      <c r="S49"/>
      <c r="T49"/>
      <c r="U49"/>
      <c r="V49"/>
      <c r="W49"/>
    </row>
    <row r="50" spans="17:23" x14ac:dyDescent="0.25">
      <c r="Q50"/>
      <c r="R50"/>
      <c r="S50"/>
      <c r="T50"/>
      <c r="U50"/>
      <c r="V50"/>
      <c r="W50"/>
    </row>
    <row r="51" spans="17:23" x14ac:dyDescent="0.25">
      <c r="Q51"/>
      <c r="R51"/>
      <c r="S51"/>
      <c r="T51"/>
      <c r="U51"/>
      <c r="V51"/>
      <c r="W51"/>
    </row>
    <row r="52" spans="17:23" x14ac:dyDescent="0.25">
      <c r="Q52"/>
      <c r="R52"/>
      <c r="S52"/>
      <c r="T52"/>
      <c r="U52"/>
      <c r="V52"/>
      <c r="W52"/>
    </row>
    <row r="53" spans="17:23" x14ac:dyDescent="0.25">
      <c r="Q53"/>
      <c r="R53"/>
      <c r="S53"/>
      <c r="T53"/>
      <c r="U53"/>
      <c r="V53"/>
      <c r="W53"/>
    </row>
    <row r="54" spans="17:23" x14ac:dyDescent="0.25">
      <c r="Q54"/>
      <c r="R54"/>
      <c r="S54"/>
      <c r="T54"/>
      <c r="U54"/>
      <c r="V54"/>
      <c r="W54"/>
    </row>
    <row r="55" spans="17:23" x14ac:dyDescent="0.25">
      <c r="Q55"/>
      <c r="R55"/>
      <c r="S55"/>
      <c r="T55"/>
      <c r="U55"/>
      <c r="V55"/>
      <c r="W55"/>
    </row>
    <row r="56" spans="17:23" x14ac:dyDescent="0.25">
      <c r="Q56"/>
      <c r="R56"/>
      <c r="S56"/>
      <c r="T56"/>
      <c r="U56"/>
      <c r="V56"/>
      <c r="W56"/>
    </row>
    <row r="57" spans="17:23" x14ac:dyDescent="0.25">
      <c r="Q57"/>
      <c r="R57"/>
      <c r="S57"/>
      <c r="T57"/>
      <c r="U57"/>
      <c r="V57"/>
      <c r="W57"/>
    </row>
    <row r="58" spans="17:23" x14ac:dyDescent="0.25">
      <c r="Q58"/>
      <c r="R58"/>
      <c r="S58"/>
      <c r="T58"/>
      <c r="U58"/>
      <c r="V58"/>
      <c r="W58"/>
    </row>
    <row r="59" spans="17:23" x14ac:dyDescent="0.25">
      <c r="Q59"/>
      <c r="R59"/>
      <c r="S59"/>
      <c r="T59"/>
      <c r="U59"/>
      <c r="V59"/>
      <c r="W59"/>
    </row>
    <row r="60" spans="17:23" x14ac:dyDescent="0.25">
      <c r="Q60"/>
      <c r="R60"/>
      <c r="S60"/>
      <c r="T60"/>
      <c r="U60"/>
      <c r="V60"/>
      <c r="W60"/>
    </row>
    <row r="61" spans="17:23" x14ac:dyDescent="0.25">
      <c r="Q61"/>
      <c r="R61"/>
      <c r="S61"/>
      <c r="T61"/>
      <c r="U61"/>
      <c r="V61"/>
      <c r="W61"/>
    </row>
    <row r="62" spans="17:23" x14ac:dyDescent="0.25">
      <c r="Q62"/>
      <c r="R62"/>
      <c r="S62"/>
      <c r="T62"/>
      <c r="U62"/>
      <c r="V62"/>
      <c r="W62"/>
    </row>
    <row r="63" spans="17:23" x14ac:dyDescent="0.25">
      <c r="Q63"/>
      <c r="R63"/>
      <c r="S63"/>
      <c r="T63"/>
      <c r="U63"/>
      <c r="V63"/>
      <c r="W63"/>
    </row>
    <row r="64" spans="17:23" x14ac:dyDescent="0.25">
      <c r="Q64"/>
      <c r="R64"/>
      <c r="S64"/>
      <c r="T64"/>
      <c r="U64"/>
      <c r="V64"/>
      <c r="W64"/>
    </row>
    <row r="65" spans="17:23" x14ac:dyDescent="0.25">
      <c r="Q65"/>
      <c r="R65"/>
      <c r="S65"/>
      <c r="T65"/>
      <c r="U65"/>
      <c r="V65"/>
      <c r="W65"/>
    </row>
    <row r="66" spans="17:23" x14ac:dyDescent="0.25">
      <c r="Q66"/>
      <c r="R66"/>
      <c r="S66"/>
      <c r="T66"/>
      <c r="U66"/>
      <c r="V66"/>
      <c r="W66"/>
    </row>
    <row r="67" spans="17:23" x14ac:dyDescent="0.25">
      <c r="Q67"/>
      <c r="R67"/>
      <c r="S67"/>
      <c r="T67"/>
      <c r="U67"/>
      <c r="V67"/>
      <c r="W67"/>
    </row>
    <row r="68" spans="17:23" x14ac:dyDescent="0.25">
      <c r="Q68"/>
      <c r="R68"/>
      <c r="S68"/>
      <c r="T68"/>
      <c r="U68"/>
      <c r="V68"/>
      <c r="W68"/>
    </row>
    <row r="69" spans="17:23" x14ac:dyDescent="0.25">
      <c r="Q69"/>
      <c r="R69"/>
      <c r="S69"/>
      <c r="T69"/>
      <c r="U69"/>
      <c r="V69"/>
      <c r="W69"/>
    </row>
    <row r="70" spans="17:23" x14ac:dyDescent="0.25">
      <c r="Q70"/>
      <c r="R70"/>
      <c r="S70"/>
      <c r="T70"/>
      <c r="U70"/>
      <c r="V70"/>
      <c r="W70"/>
    </row>
    <row r="71" spans="17:23" x14ac:dyDescent="0.25">
      <c r="Q71"/>
      <c r="R71"/>
      <c r="S71"/>
      <c r="T71"/>
      <c r="U71"/>
      <c r="V71"/>
      <c r="W71"/>
    </row>
    <row r="72" spans="17:23" x14ac:dyDescent="0.25">
      <c r="Q72"/>
      <c r="R72"/>
      <c r="S72"/>
      <c r="T72"/>
      <c r="U72"/>
      <c r="V72"/>
      <c r="W72"/>
    </row>
    <row r="73" spans="17:23" x14ac:dyDescent="0.25">
      <c r="Q73"/>
      <c r="R73"/>
      <c r="S73"/>
      <c r="T73"/>
      <c r="U73"/>
      <c r="V73"/>
      <c r="W73"/>
    </row>
    <row r="74" spans="17:23" x14ac:dyDescent="0.25">
      <c r="Q74"/>
      <c r="R74"/>
      <c r="S74"/>
      <c r="T74"/>
      <c r="U74"/>
      <c r="V74"/>
      <c r="W74"/>
    </row>
    <row r="75" spans="17:23" x14ac:dyDescent="0.25">
      <c r="Q75"/>
      <c r="R75"/>
      <c r="S75"/>
      <c r="T75"/>
      <c r="U75"/>
      <c r="V75"/>
      <c r="W75"/>
    </row>
    <row r="76" spans="17:23" x14ac:dyDescent="0.25">
      <c r="Q76"/>
      <c r="R76"/>
      <c r="S76"/>
      <c r="T76"/>
      <c r="U76"/>
      <c r="V76"/>
      <c r="W76"/>
    </row>
    <row r="77" spans="17:23" x14ac:dyDescent="0.25">
      <c r="Q77"/>
      <c r="R77"/>
      <c r="S77"/>
      <c r="T77"/>
      <c r="U77"/>
      <c r="V77"/>
      <c r="W77"/>
    </row>
    <row r="78" spans="17:23" x14ac:dyDescent="0.25">
      <c r="Q78"/>
      <c r="R78"/>
      <c r="S78"/>
      <c r="T78"/>
      <c r="U78"/>
      <c r="V78"/>
      <c r="W78"/>
    </row>
    <row r="79" spans="17:23" x14ac:dyDescent="0.25">
      <c r="Q79"/>
      <c r="R79"/>
      <c r="S79"/>
      <c r="T79"/>
      <c r="U79"/>
      <c r="V79"/>
      <c r="W79"/>
    </row>
    <row r="80" spans="17:23" x14ac:dyDescent="0.25">
      <c r="Q80"/>
      <c r="R80"/>
      <c r="S80"/>
      <c r="T80"/>
      <c r="U80"/>
      <c r="V80"/>
      <c r="W80"/>
    </row>
    <row r="81" spans="17:23" x14ac:dyDescent="0.25">
      <c r="Q81"/>
      <c r="R81"/>
      <c r="S81"/>
      <c r="T81"/>
      <c r="U81"/>
      <c r="V81"/>
      <c r="W81"/>
    </row>
    <row r="82" spans="17:23" x14ac:dyDescent="0.25">
      <c r="Q82"/>
      <c r="R82"/>
      <c r="S82"/>
      <c r="T82"/>
      <c r="U82"/>
      <c r="V82"/>
      <c r="W82"/>
    </row>
    <row r="83" spans="17:23" x14ac:dyDescent="0.25">
      <c r="Q83"/>
      <c r="R83"/>
      <c r="S83"/>
      <c r="T83"/>
      <c r="U83"/>
      <c r="V83"/>
      <c r="W83"/>
    </row>
    <row r="84" spans="17:23" x14ac:dyDescent="0.25">
      <c r="Q84"/>
      <c r="R84"/>
      <c r="S84"/>
      <c r="T84"/>
      <c r="U84"/>
      <c r="V84"/>
      <c r="W84"/>
    </row>
    <row r="85" spans="17:23" x14ac:dyDescent="0.25">
      <c r="Q85"/>
      <c r="R85"/>
      <c r="S85"/>
      <c r="T85"/>
      <c r="U85"/>
      <c r="V85"/>
      <c r="W85"/>
    </row>
    <row r="86" spans="17:23" x14ac:dyDescent="0.25">
      <c r="Q86"/>
      <c r="R86"/>
      <c r="S86"/>
      <c r="T86"/>
      <c r="U86"/>
      <c r="V86"/>
      <c r="W86"/>
    </row>
    <row r="87" spans="17:23" x14ac:dyDescent="0.25">
      <c r="Q87"/>
      <c r="R87"/>
      <c r="S87"/>
      <c r="T87"/>
      <c r="U87"/>
      <c r="V87"/>
      <c r="W87"/>
    </row>
    <row r="88" spans="17:23" x14ac:dyDescent="0.25">
      <c r="Q88"/>
      <c r="R88"/>
      <c r="S88"/>
      <c r="T88"/>
      <c r="U88"/>
      <c r="V88"/>
      <c r="W88"/>
    </row>
    <row r="89" spans="17:23" x14ac:dyDescent="0.25">
      <c r="Q89"/>
      <c r="R89"/>
      <c r="S89"/>
      <c r="T89"/>
      <c r="U89"/>
      <c r="V89"/>
      <c r="W89"/>
    </row>
    <row r="90" spans="17:23" x14ac:dyDescent="0.25">
      <c r="Q90"/>
      <c r="R90"/>
      <c r="S90"/>
      <c r="T90"/>
      <c r="U90"/>
      <c r="V90"/>
      <c r="W90"/>
    </row>
    <row r="91" spans="17:23" x14ac:dyDescent="0.25">
      <c r="Q91"/>
      <c r="R91"/>
      <c r="S91"/>
      <c r="T91"/>
      <c r="U91"/>
      <c r="V91"/>
      <c r="W91"/>
    </row>
    <row r="92" spans="17:23" x14ac:dyDescent="0.25">
      <c r="Q92"/>
      <c r="R92"/>
      <c r="S92"/>
      <c r="T92"/>
      <c r="U92"/>
      <c r="V92"/>
      <c r="W92"/>
    </row>
    <row r="93" spans="17:23" x14ac:dyDescent="0.25">
      <c r="Q93"/>
      <c r="R93"/>
      <c r="S93"/>
      <c r="T93"/>
      <c r="U93"/>
      <c r="V93"/>
      <c r="W93"/>
    </row>
    <row r="94" spans="17:23" x14ac:dyDescent="0.25">
      <c r="Q94"/>
      <c r="R94"/>
      <c r="S94"/>
      <c r="T94"/>
      <c r="U94"/>
      <c r="V94"/>
      <c r="W94"/>
    </row>
    <row r="95" spans="17:23" x14ac:dyDescent="0.25">
      <c r="Q95"/>
      <c r="R95"/>
      <c r="S95"/>
      <c r="T95"/>
      <c r="U95"/>
      <c r="V95"/>
      <c r="W95"/>
    </row>
    <row r="96" spans="17:23" x14ac:dyDescent="0.25">
      <c r="Q96"/>
      <c r="R96"/>
      <c r="S96"/>
      <c r="T96"/>
      <c r="U96"/>
      <c r="V96"/>
      <c r="W96"/>
    </row>
    <row r="97" spans="17:23" x14ac:dyDescent="0.25">
      <c r="Q97"/>
      <c r="R97"/>
      <c r="S97"/>
      <c r="T97"/>
      <c r="U97"/>
      <c r="V97"/>
      <c r="W97"/>
    </row>
    <row r="98" spans="17:23" x14ac:dyDescent="0.25">
      <c r="Q98"/>
      <c r="R98"/>
      <c r="S98"/>
      <c r="T98"/>
      <c r="U98"/>
      <c r="V98"/>
      <c r="W98"/>
    </row>
    <row r="99" spans="17:23" x14ac:dyDescent="0.25">
      <c r="Q99"/>
      <c r="R99"/>
      <c r="S99"/>
      <c r="T99"/>
      <c r="U99"/>
      <c r="V99"/>
      <c r="W99"/>
    </row>
    <row r="100" spans="17:23" x14ac:dyDescent="0.25">
      <c r="Q100"/>
      <c r="R100"/>
      <c r="S100"/>
      <c r="T100"/>
      <c r="U100"/>
      <c r="V100"/>
      <c r="W100"/>
    </row>
    <row r="101" spans="17:23" x14ac:dyDescent="0.25">
      <c r="Q101"/>
      <c r="R101"/>
      <c r="S101"/>
      <c r="T101"/>
      <c r="U101"/>
      <c r="V101"/>
      <c r="W101"/>
    </row>
    <row r="102" spans="17:23" x14ac:dyDescent="0.25">
      <c r="Q102"/>
      <c r="R102"/>
      <c r="S102"/>
      <c r="T102"/>
      <c r="U102"/>
      <c r="V102"/>
      <c r="W102"/>
    </row>
    <row r="103" spans="17:23" x14ac:dyDescent="0.25">
      <c r="Q103"/>
      <c r="R103"/>
      <c r="S103"/>
      <c r="T103"/>
      <c r="U103"/>
      <c r="V103"/>
      <c r="W103"/>
    </row>
    <row r="104" spans="17:23" x14ac:dyDescent="0.25">
      <c r="Q104"/>
      <c r="R104"/>
      <c r="S104"/>
      <c r="T104"/>
      <c r="U104"/>
      <c r="V104"/>
      <c r="W104"/>
    </row>
    <row r="105" spans="17:23" x14ac:dyDescent="0.25">
      <c r="Q105"/>
      <c r="R105"/>
      <c r="S105"/>
      <c r="T105"/>
      <c r="U105"/>
      <c r="V105"/>
      <c r="W105"/>
    </row>
    <row r="106" spans="17:23" x14ac:dyDescent="0.25">
      <c r="Q106"/>
      <c r="R106"/>
      <c r="S106"/>
      <c r="T106"/>
      <c r="U106"/>
      <c r="V106"/>
      <c r="W106"/>
    </row>
    <row r="107" spans="17:23" x14ac:dyDescent="0.25">
      <c r="Q107"/>
      <c r="R107"/>
      <c r="S107"/>
      <c r="T107"/>
      <c r="U107"/>
      <c r="V107"/>
      <c r="W107"/>
    </row>
    <row r="108" spans="17:23" x14ac:dyDescent="0.25">
      <c r="Q108"/>
      <c r="R108"/>
      <c r="S108"/>
      <c r="T108"/>
      <c r="U108"/>
      <c r="V108"/>
      <c r="W108"/>
    </row>
    <row r="109" spans="17:23" x14ac:dyDescent="0.25">
      <c r="Q109"/>
      <c r="R109"/>
      <c r="S109"/>
      <c r="T109"/>
      <c r="U109"/>
      <c r="V109"/>
      <c r="W109"/>
    </row>
    <row r="110" spans="17:23" x14ac:dyDescent="0.25">
      <c r="Q110"/>
      <c r="R110"/>
      <c r="S110"/>
      <c r="T110"/>
      <c r="U110"/>
      <c r="V110"/>
      <c r="W110"/>
    </row>
    <row r="111" spans="17:23" x14ac:dyDescent="0.25">
      <c r="Q111"/>
      <c r="R111"/>
      <c r="S111"/>
      <c r="T111"/>
      <c r="U111"/>
      <c r="V111"/>
      <c r="W111"/>
    </row>
    <row r="112" spans="17:23" x14ac:dyDescent="0.25">
      <c r="Q112"/>
      <c r="R112"/>
      <c r="S112"/>
      <c r="T112"/>
      <c r="U112"/>
      <c r="V112"/>
      <c r="W112"/>
    </row>
    <row r="113" spans="17:23" x14ac:dyDescent="0.25">
      <c r="Q113"/>
      <c r="R113"/>
      <c r="S113"/>
      <c r="T113"/>
      <c r="U113"/>
      <c r="V113"/>
      <c r="W113"/>
    </row>
    <row r="114" spans="17:23" x14ac:dyDescent="0.25">
      <c r="Q114"/>
      <c r="R114"/>
      <c r="S114"/>
      <c r="T114"/>
      <c r="U114"/>
      <c r="V114"/>
      <c r="W114"/>
    </row>
    <row r="115" spans="17:23" x14ac:dyDescent="0.25">
      <c r="Q115"/>
      <c r="R115"/>
      <c r="S115"/>
      <c r="T115"/>
      <c r="U115"/>
      <c r="V115"/>
      <c r="W115"/>
    </row>
    <row r="116" spans="17:23" x14ac:dyDescent="0.25">
      <c r="Q116"/>
      <c r="R116"/>
      <c r="S116"/>
      <c r="T116"/>
      <c r="U116"/>
      <c r="V116"/>
      <c r="W116"/>
    </row>
    <row r="117" spans="17:23" x14ac:dyDescent="0.25">
      <c r="Q117"/>
      <c r="R117"/>
      <c r="S117"/>
      <c r="T117"/>
      <c r="U117"/>
      <c r="V117"/>
      <c r="W117"/>
    </row>
    <row r="118" spans="17:23" x14ac:dyDescent="0.25">
      <c r="Q118"/>
      <c r="R118"/>
      <c r="S118"/>
      <c r="T118"/>
      <c r="U118"/>
      <c r="V118"/>
      <c r="W118"/>
    </row>
    <row r="119" spans="17:23" x14ac:dyDescent="0.25">
      <c r="Q119"/>
      <c r="R119"/>
      <c r="S119"/>
      <c r="T119"/>
      <c r="U119"/>
      <c r="V119"/>
      <c r="W119"/>
    </row>
    <row r="120" spans="17:23" x14ac:dyDescent="0.25">
      <c r="Q120"/>
      <c r="R120"/>
      <c r="S120"/>
      <c r="T120"/>
      <c r="U120"/>
      <c r="V120"/>
      <c r="W120"/>
    </row>
    <row r="121" spans="17:23" x14ac:dyDescent="0.25">
      <c r="Q121"/>
      <c r="R121"/>
      <c r="S121"/>
      <c r="T121"/>
      <c r="U121"/>
      <c r="V121"/>
      <c r="W121"/>
    </row>
    <row r="122" spans="17:23" x14ac:dyDescent="0.25">
      <c r="Q122"/>
      <c r="R122"/>
      <c r="S122"/>
      <c r="T122"/>
      <c r="U122"/>
      <c r="V122"/>
      <c r="W122"/>
    </row>
    <row r="123" spans="17:23" x14ac:dyDescent="0.25">
      <c r="Q123"/>
      <c r="R123"/>
      <c r="S123"/>
      <c r="T123"/>
      <c r="U123"/>
      <c r="V123"/>
      <c r="W123"/>
    </row>
    <row r="124" spans="17:23" x14ac:dyDescent="0.25">
      <c r="Q124"/>
      <c r="R124"/>
      <c r="S124"/>
      <c r="T124"/>
      <c r="U124"/>
      <c r="V124"/>
      <c r="W124"/>
    </row>
    <row r="125" spans="17:23" x14ac:dyDescent="0.25">
      <c r="Q125"/>
      <c r="R125"/>
      <c r="S125"/>
      <c r="T125"/>
      <c r="U125"/>
      <c r="V125"/>
      <c r="W125"/>
    </row>
    <row r="126" spans="17:23" x14ac:dyDescent="0.25">
      <c r="Q126"/>
      <c r="R126"/>
      <c r="S126"/>
      <c r="T126"/>
      <c r="U126"/>
      <c r="V126"/>
      <c r="W126"/>
    </row>
    <row r="127" spans="17:23" x14ac:dyDescent="0.25">
      <c r="Q127"/>
      <c r="R127"/>
      <c r="S127"/>
      <c r="T127"/>
      <c r="U127"/>
      <c r="V127"/>
      <c r="W127"/>
    </row>
    <row r="128" spans="17:23" x14ac:dyDescent="0.25">
      <c r="Q128"/>
      <c r="R128"/>
      <c r="S128"/>
      <c r="T128"/>
      <c r="U128"/>
      <c r="V128"/>
      <c r="W128"/>
    </row>
    <row r="129" spans="17:23" x14ac:dyDescent="0.25">
      <c r="Q129"/>
      <c r="R129"/>
      <c r="S129"/>
      <c r="T129"/>
      <c r="U129"/>
      <c r="V129"/>
      <c r="W129"/>
    </row>
    <row r="130" spans="17:23" x14ac:dyDescent="0.25">
      <c r="Q130"/>
      <c r="R130"/>
      <c r="S130"/>
      <c r="T130"/>
      <c r="U130"/>
      <c r="V130"/>
      <c r="W130"/>
    </row>
    <row r="131" spans="17:23" x14ac:dyDescent="0.25">
      <c r="Q131"/>
      <c r="R131"/>
      <c r="S131"/>
      <c r="T131"/>
      <c r="U131"/>
      <c r="V131"/>
      <c r="W131"/>
    </row>
    <row r="132" spans="17:23" x14ac:dyDescent="0.25">
      <c r="Q132"/>
      <c r="R132"/>
      <c r="S132"/>
      <c r="T132"/>
      <c r="U132"/>
      <c r="V132"/>
      <c r="W132"/>
    </row>
    <row r="133" spans="17:23" x14ac:dyDescent="0.25">
      <c r="Q133"/>
      <c r="R133"/>
      <c r="S133"/>
      <c r="T133"/>
      <c r="U133"/>
      <c r="V133"/>
      <c r="W133"/>
    </row>
    <row r="134" spans="17:23" x14ac:dyDescent="0.25">
      <c r="Q134"/>
      <c r="R134"/>
      <c r="S134"/>
      <c r="T134"/>
      <c r="U134"/>
      <c r="V134"/>
      <c r="W134"/>
    </row>
    <row r="135" spans="17:23" x14ac:dyDescent="0.25">
      <c r="Q135"/>
      <c r="R135"/>
      <c r="S135"/>
      <c r="T135"/>
      <c r="U135"/>
      <c r="V135"/>
      <c r="W135"/>
    </row>
    <row r="136" spans="17:23" x14ac:dyDescent="0.25">
      <c r="Q136"/>
      <c r="R136"/>
      <c r="S136"/>
      <c r="T136"/>
      <c r="U136"/>
      <c r="V136"/>
      <c r="W136"/>
    </row>
    <row r="137" spans="17:23" x14ac:dyDescent="0.25">
      <c r="Q137"/>
      <c r="R137"/>
      <c r="S137"/>
      <c r="T137"/>
      <c r="U137"/>
      <c r="V137"/>
      <c r="W137"/>
    </row>
    <row r="138" spans="17:23" x14ac:dyDescent="0.25">
      <c r="Q138"/>
      <c r="R138"/>
      <c r="S138"/>
      <c r="T138"/>
      <c r="U138"/>
      <c r="V138"/>
      <c r="W138"/>
    </row>
    <row r="139" spans="17:23" x14ac:dyDescent="0.25">
      <c r="Q139"/>
      <c r="R139"/>
      <c r="S139"/>
      <c r="T139"/>
      <c r="U139"/>
      <c r="V139"/>
      <c r="W139"/>
    </row>
    <row r="140" spans="17:23" x14ac:dyDescent="0.25">
      <c r="Q140"/>
      <c r="R140"/>
      <c r="S140"/>
      <c r="T140"/>
      <c r="U140"/>
      <c r="V140"/>
      <c r="W140"/>
    </row>
    <row r="141" spans="17:23" x14ac:dyDescent="0.25">
      <c r="Q141"/>
      <c r="R141"/>
      <c r="S141"/>
      <c r="T141"/>
      <c r="U141"/>
      <c r="V141"/>
      <c r="W141"/>
    </row>
    <row r="142" spans="17:23" x14ac:dyDescent="0.25">
      <c r="Q142"/>
      <c r="R142"/>
      <c r="S142"/>
      <c r="T142"/>
      <c r="U142"/>
      <c r="V142"/>
      <c r="W142"/>
    </row>
    <row r="143" spans="17:23" x14ac:dyDescent="0.25">
      <c r="Q143"/>
      <c r="R143"/>
      <c r="S143"/>
      <c r="T143"/>
      <c r="U143"/>
      <c r="V143"/>
      <c r="W143"/>
    </row>
    <row r="144" spans="17:23" x14ac:dyDescent="0.25">
      <c r="Q144"/>
      <c r="R144"/>
      <c r="S144"/>
      <c r="T144"/>
      <c r="U144"/>
      <c r="V144"/>
      <c r="W144"/>
    </row>
    <row r="145" spans="17:23" x14ac:dyDescent="0.25">
      <c r="Q145"/>
      <c r="R145"/>
      <c r="S145"/>
      <c r="T145"/>
      <c r="U145"/>
      <c r="V145"/>
      <c r="W145"/>
    </row>
    <row r="146" spans="17:23" x14ac:dyDescent="0.25">
      <c r="Q146"/>
      <c r="R146"/>
      <c r="S146"/>
      <c r="T146"/>
      <c r="U146"/>
      <c r="V146"/>
      <c r="W146"/>
    </row>
    <row r="147" spans="17:23" x14ac:dyDescent="0.25">
      <c r="Q147"/>
      <c r="R147"/>
      <c r="S147"/>
      <c r="T147"/>
      <c r="U147"/>
      <c r="V147"/>
      <c r="W147"/>
    </row>
    <row r="148" spans="17:23" x14ac:dyDescent="0.25">
      <c r="Q148"/>
      <c r="R148"/>
      <c r="S148"/>
      <c r="T148"/>
      <c r="U148"/>
      <c r="V148"/>
      <c r="W148"/>
    </row>
    <row r="149" spans="17:23" x14ac:dyDescent="0.25">
      <c r="Q149"/>
      <c r="R149"/>
      <c r="S149"/>
      <c r="T149"/>
      <c r="U149"/>
      <c r="V149"/>
      <c r="W149"/>
    </row>
    <row r="150" spans="17:23" x14ac:dyDescent="0.25">
      <c r="Q150"/>
      <c r="R150"/>
      <c r="S150"/>
      <c r="T150"/>
      <c r="U150"/>
      <c r="V150"/>
      <c r="W150"/>
    </row>
    <row r="151" spans="17:23" x14ac:dyDescent="0.25">
      <c r="Q151"/>
      <c r="R151"/>
      <c r="S151"/>
      <c r="T151"/>
      <c r="U151"/>
      <c r="V151"/>
      <c r="W151"/>
    </row>
    <row r="152" spans="17:23" x14ac:dyDescent="0.25">
      <c r="Q152"/>
      <c r="R152"/>
      <c r="S152"/>
      <c r="T152"/>
      <c r="U152"/>
      <c r="V152"/>
      <c r="W152"/>
    </row>
    <row r="153" spans="17:23" x14ac:dyDescent="0.25">
      <c r="Q153"/>
      <c r="R153"/>
      <c r="S153"/>
      <c r="T153"/>
      <c r="U153"/>
      <c r="V153"/>
      <c r="W153"/>
    </row>
    <row r="154" spans="17:23" x14ac:dyDescent="0.25">
      <c r="Q154"/>
      <c r="R154"/>
      <c r="S154"/>
      <c r="T154"/>
      <c r="U154"/>
      <c r="V154"/>
      <c r="W154"/>
    </row>
    <row r="155" spans="17:23" x14ac:dyDescent="0.25">
      <c r="Q155"/>
      <c r="R155"/>
      <c r="S155"/>
      <c r="T155"/>
      <c r="U155"/>
      <c r="V155"/>
      <c r="W155"/>
    </row>
    <row r="156" spans="17:23" x14ac:dyDescent="0.25">
      <c r="Q156"/>
      <c r="R156"/>
      <c r="S156"/>
      <c r="T156"/>
      <c r="U156"/>
      <c r="V156"/>
      <c r="W156"/>
    </row>
    <row r="157" spans="17:23" x14ac:dyDescent="0.25">
      <c r="Q157"/>
      <c r="R157"/>
      <c r="S157"/>
      <c r="T157"/>
      <c r="U157"/>
      <c r="V157"/>
      <c r="W157"/>
    </row>
    <row r="158" spans="17:23" x14ac:dyDescent="0.25">
      <c r="Q158"/>
      <c r="R158"/>
      <c r="S158"/>
      <c r="T158"/>
      <c r="U158"/>
      <c r="V158"/>
      <c r="W158"/>
    </row>
    <row r="159" spans="17:23" x14ac:dyDescent="0.25">
      <c r="Q159"/>
      <c r="R159"/>
      <c r="S159"/>
      <c r="T159"/>
      <c r="U159"/>
      <c r="V159"/>
      <c r="W159"/>
    </row>
    <row r="160" spans="17:23" x14ac:dyDescent="0.25">
      <c r="Q160"/>
      <c r="R160"/>
      <c r="S160"/>
      <c r="T160"/>
      <c r="U160"/>
      <c r="V160"/>
      <c r="W160"/>
    </row>
    <row r="161" spans="17:23" x14ac:dyDescent="0.25">
      <c r="Q161"/>
      <c r="R161"/>
      <c r="S161"/>
      <c r="T161"/>
      <c r="U161"/>
      <c r="V161"/>
      <c r="W161"/>
    </row>
    <row r="162" spans="17:23" x14ac:dyDescent="0.25">
      <c r="Q162"/>
      <c r="R162"/>
      <c r="S162"/>
      <c r="T162"/>
      <c r="U162"/>
      <c r="V162"/>
      <c r="W162"/>
    </row>
    <row r="163" spans="17:23" x14ac:dyDescent="0.25">
      <c r="Q163"/>
      <c r="R163"/>
      <c r="S163"/>
      <c r="T163"/>
      <c r="U163"/>
      <c r="V163"/>
      <c r="W163"/>
    </row>
    <row r="164" spans="17:23" x14ac:dyDescent="0.25">
      <c r="Q164"/>
      <c r="R164"/>
      <c r="S164"/>
      <c r="T164"/>
      <c r="U164"/>
      <c r="V164"/>
      <c r="W164"/>
    </row>
    <row r="165" spans="17:23" x14ac:dyDescent="0.25">
      <c r="Q165"/>
      <c r="R165"/>
      <c r="S165"/>
      <c r="T165"/>
      <c r="U165"/>
      <c r="V165"/>
      <c r="W165"/>
    </row>
    <row r="166" spans="17:23" x14ac:dyDescent="0.25">
      <c r="Q166"/>
      <c r="R166"/>
      <c r="S166"/>
      <c r="T166"/>
      <c r="U166"/>
      <c r="V166"/>
      <c r="W166"/>
    </row>
    <row r="167" spans="17:23" x14ac:dyDescent="0.25">
      <c r="Q167"/>
      <c r="R167"/>
      <c r="S167"/>
      <c r="T167"/>
      <c r="U167"/>
      <c r="V167"/>
      <c r="W167"/>
    </row>
    <row r="168" spans="17:23" x14ac:dyDescent="0.25">
      <c r="Q168"/>
      <c r="R168"/>
      <c r="S168"/>
      <c r="T168"/>
      <c r="U168"/>
      <c r="V168"/>
      <c r="W168"/>
    </row>
    <row r="169" spans="17:23" x14ac:dyDescent="0.25">
      <c r="Q169"/>
      <c r="R169"/>
      <c r="S169"/>
      <c r="T169"/>
      <c r="U169"/>
      <c r="V169"/>
      <c r="W169"/>
    </row>
    <row r="170" spans="17:23" x14ac:dyDescent="0.25">
      <c r="Q170"/>
      <c r="R170"/>
      <c r="S170"/>
      <c r="T170"/>
      <c r="U170"/>
      <c r="V170"/>
      <c r="W170"/>
    </row>
    <row r="171" spans="17:23" x14ac:dyDescent="0.25">
      <c r="Q171"/>
      <c r="R171"/>
      <c r="S171"/>
      <c r="T171"/>
      <c r="U171"/>
      <c r="V171"/>
      <c r="W171"/>
    </row>
    <row r="172" spans="17:23" x14ac:dyDescent="0.25">
      <c r="Q172"/>
      <c r="R172"/>
      <c r="S172"/>
      <c r="T172"/>
      <c r="U172"/>
      <c r="V172"/>
      <c r="W172"/>
    </row>
    <row r="173" spans="17:23" x14ac:dyDescent="0.25">
      <c r="Q173"/>
      <c r="R173"/>
      <c r="S173"/>
      <c r="T173"/>
      <c r="U173"/>
      <c r="V173"/>
      <c r="W173"/>
    </row>
    <row r="174" spans="17:23" x14ac:dyDescent="0.25">
      <c r="Q174"/>
      <c r="R174"/>
      <c r="S174"/>
      <c r="T174"/>
      <c r="U174"/>
      <c r="V174"/>
      <c r="W174"/>
    </row>
    <row r="175" spans="17:23" x14ac:dyDescent="0.25">
      <c r="Q175"/>
      <c r="R175"/>
      <c r="S175"/>
      <c r="T175"/>
      <c r="U175"/>
      <c r="V175"/>
      <c r="W175"/>
    </row>
    <row r="176" spans="17:23" x14ac:dyDescent="0.25">
      <c r="Q176"/>
      <c r="R176"/>
      <c r="S176"/>
      <c r="T176"/>
      <c r="U176"/>
      <c r="V176"/>
      <c r="W176"/>
    </row>
    <row r="177" spans="17:23" x14ac:dyDescent="0.25">
      <c r="Q177"/>
      <c r="R177"/>
      <c r="S177"/>
      <c r="T177"/>
      <c r="U177"/>
      <c r="V177"/>
      <c r="W177"/>
    </row>
    <row r="178" spans="17:23" x14ac:dyDescent="0.25">
      <c r="Q178"/>
      <c r="R178"/>
      <c r="S178"/>
      <c r="T178"/>
      <c r="U178"/>
      <c r="V178"/>
      <c r="W178"/>
    </row>
    <row r="179" spans="17:23" x14ac:dyDescent="0.25">
      <c r="Q179"/>
      <c r="R179"/>
      <c r="S179"/>
      <c r="T179"/>
      <c r="U179"/>
      <c r="V179"/>
      <c r="W179"/>
    </row>
    <row r="180" spans="17:23" x14ac:dyDescent="0.25">
      <c r="Q180"/>
      <c r="R180"/>
      <c r="S180"/>
      <c r="T180"/>
      <c r="U180"/>
      <c r="V180"/>
      <c r="W180"/>
    </row>
    <row r="181" spans="17:23" x14ac:dyDescent="0.25">
      <c r="Q181"/>
      <c r="R181"/>
      <c r="S181"/>
      <c r="T181"/>
      <c r="U181"/>
      <c r="V181"/>
      <c r="W181"/>
    </row>
    <row r="182" spans="17:23" x14ac:dyDescent="0.25">
      <c r="Q182"/>
      <c r="R182"/>
      <c r="S182"/>
      <c r="T182"/>
      <c r="U182"/>
      <c r="V182"/>
      <c r="W182"/>
    </row>
    <row r="183" spans="17:23" x14ac:dyDescent="0.25">
      <c r="Q183"/>
      <c r="R183"/>
      <c r="S183"/>
      <c r="T183"/>
      <c r="U183"/>
      <c r="V183"/>
      <c r="W183"/>
    </row>
    <row r="184" spans="17:23" x14ac:dyDescent="0.25">
      <c r="Q184"/>
      <c r="R184"/>
      <c r="S184"/>
      <c r="T184"/>
      <c r="U184"/>
      <c r="V184"/>
      <c r="W184"/>
    </row>
    <row r="185" spans="17:23" x14ac:dyDescent="0.25">
      <c r="Q185"/>
      <c r="R185"/>
      <c r="S185"/>
      <c r="T185"/>
      <c r="U185"/>
      <c r="V185"/>
      <c r="W185"/>
    </row>
    <row r="186" spans="17:23" x14ac:dyDescent="0.25">
      <c r="Q186"/>
      <c r="R186"/>
      <c r="S186"/>
      <c r="T186"/>
      <c r="U186"/>
      <c r="V186"/>
      <c r="W186"/>
    </row>
    <row r="187" spans="17:23" x14ac:dyDescent="0.25">
      <c r="Q187"/>
      <c r="R187"/>
      <c r="S187"/>
      <c r="T187"/>
      <c r="U187"/>
      <c r="V187"/>
      <c r="W187"/>
    </row>
    <row r="188" spans="17:23" x14ac:dyDescent="0.25">
      <c r="Q188"/>
      <c r="R188"/>
      <c r="S188"/>
      <c r="T188"/>
      <c r="U188"/>
      <c r="V188"/>
      <c r="W188"/>
    </row>
    <row r="189" spans="17:23" x14ac:dyDescent="0.25">
      <c r="Q189"/>
      <c r="R189"/>
      <c r="S189"/>
      <c r="T189"/>
      <c r="U189"/>
      <c r="V189"/>
      <c r="W189"/>
    </row>
    <row r="190" spans="17:23" x14ac:dyDescent="0.25">
      <c r="Q190"/>
      <c r="R190"/>
      <c r="S190"/>
      <c r="T190"/>
      <c r="U190"/>
      <c r="V190"/>
      <c r="W190"/>
    </row>
    <row r="191" spans="17:23" x14ac:dyDescent="0.25">
      <c r="Q191"/>
      <c r="R191"/>
      <c r="S191"/>
      <c r="T191"/>
      <c r="U191"/>
      <c r="V191"/>
      <c r="W191"/>
    </row>
    <row r="192" spans="17:23" x14ac:dyDescent="0.25">
      <c r="Q192"/>
      <c r="R192"/>
      <c r="S192"/>
      <c r="T192"/>
      <c r="U192"/>
      <c r="V192"/>
      <c r="W192"/>
    </row>
    <row r="193" spans="17:23" x14ac:dyDescent="0.25">
      <c r="Q193"/>
      <c r="R193"/>
      <c r="S193"/>
      <c r="T193"/>
      <c r="U193"/>
      <c r="V193"/>
      <c r="W193"/>
    </row>
    <row r="194" spans="17:23" x14ac:dyDescent="0.25">
      <c r="Q194"/>
      <c r="R194"/>
      <c r="S194"/>
      <c r="T194"/>
      <c r="U194"/>
      <c r="V194"/>
      <c r="W194"/>
    </row>
    <row r="195" spans="17:23" x14ac:dyDescent="0.25">
      <c r="Q195"/>
      <c r="R195"/>
      <c r="S195"/>
      <c r="T195"/>
      <c r="U195"/>
      <c r="V195"/>
      <c r="W195"/>
    </row>
    <row r="196" spans="17:23" x14ac:dyDescent="0.25">
      <c r="Q196"/>
      <c r="R196"/>
      <c r="S196"/>
      <c r="T196"/>
      <c r="U196"/>
      <c r="V196"/>
      <c r="W196"/>
    </row>
    <row r="197" spans="17:23" x14ac:dyDescent="0.25">
      <c r="Q197"/>
      <c r="R197"/>
      <c r="S197"/>
      <c r="T197"/>
      <c r="U197"/>
      <c r="V197"/>
      <c r="W197"/>
    </row>
    <row r="198" spans="17:23" x14ac:dyDescent="0.25">
      <c r="Q198"/>
      <c r="R198"/>
      <c r="S198"/>
      <c r="T198"/>
      <c r="U198"/>
      <c r="V198"/>
      <c r="W198"/>
    </row>
    <row r="199" spans="17:23" x14ac:dyDescent="0.25">
      <c r="Q199"/>
      <c r="R199"/>
      <c r="S199"/>
      <c r="T199"/>
      <c r="U199"/>
      <c r="V199"/>
      <c r="W199"/>
    </row>
    <row r="200" spans="17:23" x14ac:dyDescent="0.25">
      <c r="Q200"/>
      <c r="R200"/>
      <c r="S200"/>
      <c r="T200"/>
      <c r="U200"/>
      <c r="V200"/>
      <c r="W200"/>
    </row>
    <row r="201" spans="17:23" x14ac:dyDescent="0.25">
      <c r="Q201"/>
      <c r="R201"/>
      <c r="S201"/>
      <c r="T201"/>
      <c r="U201"/>
      <c r="V201"/>
      <c r="W201"/>
    </row>
    <row r="202" spans="17:23" x14ac:dyDescent="0.25">
      <c r="Q202"/>
      <c r="R202"/>
      <c r="S202"/>
      <c r="T202"/>
      <c r="U202"/>
      <c r="V202"/>
      <c r="W202"/>
    </row>
    <row r="203" spans="17:23" x14ac:dyDescent="0.25">
      <c r="Q203"/>
      <c r="R203"/>
      <c r="S203"/>
      <c r="T203"/>
      <c r="U203"/>
      <c r="V203"/>
      <c r="W203"/>
    </row>
    <row r="204" spans="17:23" x14ac:dyDescent="0.25">
      <c r="Q204"/>
      <c r="R204"/>
      <c r="S204"/>
      <c r="T204"/>
      <c r="U204"/>
      <c r="V204"/>
      <c r="W204"/>
    </row>
    <row r="205" spans="17:23" x14ac:dyDescent="0.25">
      <c r="Q205"/>
      <c r="R205"/>
      <c r="S205"/>
      <c r="T205"/>
      <c r="U205"/>
      <c r="V205"/>
      <c r="W205"/>
    </row>
    <row r="206" spans="17:23" x14ac:dyDescent="0.25">
      <c r="Q206"/>
      <c r="R206"/>
      <c r="S206"/>
      <c r="T206"/>
      <c r="U206"/>
      <c r="V206"/>
      <c r="W206"/>
    </row>
    <row r="207" spans="17:23" x14ac:dyDescent="0.25">
      <c r="Q207"/>
      <c r="R207"/>
      <c r="S207"/>
      <c r="T207"/>
      <c r="U207"/>
      <c r="V207"/>
      <c r="W207"/>
    </row>
    <row r="208" spans="17:23" x14ac:dyDescent="0.25">
      <c r="Q208"/>
      <c r="R208"/>
      <c r="S208"/>
      <c r="T208"/>
      <c r="U208"/>
      <c r="V208"/>
      <c r="W208"/>
    </row>
    <row r="209" spans="17:23" x14ac:dyDescent="0.25">
      <c r="Q209"/>
      <c r="R209"/>
      <c r="S209"/>
      <c r="T209"/>
      <c r="U209"/>
      <c r="V209"/>
      <c r="W209"/>
    </row>
    <row r="210" spans="17:23" x14ac:dyDescent="0.25">
      <c r="Q210"/>
      <c r="R210"/>
      <c r="S210"/>
      <c r="T210"/>
      <c r="U210"/>
      <c r="V210"/>
      <c r="W210"/>
    </row>
    <row r="211" spans="17:23" x14ac:dyDescent="0.25">
      <c r="Q211"/>
      <c r="R211"/>
      <c r="S211"/>
      <c r="T211"/>
      <c r="U211"/>
      <c r="V211"/>
      <c r="W211"/>
    </row>
    <row r="212" spans="17:23" x14ac:dyDescent="0.25">
      <c r="Q212"/>
      <c r="R212"/>
      <c r="S212"/>
      <c r="T212"/>
      <c r="U212"/>
      <c r="V212"/>
      <c r="W212"/>
    </row>
    <row r="213" spans="17:23" x14ac:dyDescent="0.25">
      <c r="Q213"/>
      <c r="R213"/>
      <c r="S213"/>
      <c r="T213"/>
      <c r="U213"/>
      <c r="V213"/>
      <c r="W213"/>
    </row>
    <row r="214" spans="17:23" x14ac:dyDescent="0.25">
      <c r="Q214"/>
      <c r="R214"/>
      <c r="S214"/>
      <c r="T214"/>
      <c r="U214"/>
      <c r="V214"/>
      <c r="W214"/>
    </row>
    <row r="215" spans="17:23" x14ac:dyDescent="0.25">
      <c r="Q215"/>
      <c r="R215"/>
      <c r="S215"/>
      <c r="T215"/>
      <c r="U215"/>
      <c r="V215"/>
      <c r="W215"/>
    </row>
    <row r="216" spans="17:23" x14ac:dyDescent="0.25">
      <c r="Q216"/>
      <c r="R216"/>
      <c r="S216"/>
      <c r="T216"/>
      <c r="U216"/>
      <c r="V216"/>
      <c r="W216"/>
    </row>
    <row r="217" spans="17:23" x14ac:dyDescent="0.25">
      <c r="Q217"/>
      <c r="R217"/>
      <c r="S217"/>
      <c r="T217"/>
      <c r="U217"/>
      <c r="V217"/>
      <c r="W217"/>
    </row>
    <row r="218" spans="17:23" x14ac:dyDescent="0.25">
      <c r="Q218"/>
      <c r="R218"/>
      <c r="S218"/>
      <c r="T218"/>
      <c r="U218"/>
      <c r="V218"/>
      <c r="W218"/>
    </row>
    <row r="219" spans="17:23" x14ac:dyDescent="0.25">
      <c r="Q219"/>
      <c r="R219"/>
      <c r="S219"/>
      <c r="T219"/>
      <c r="U219"/>
      <c r="V219"/>
      <c r="W219"/>
    </row>
    <row r="220" spans="17:23" x14ac:dyDescent="0.25">
      <c r="Q220"/>
      <c r="R220"/>
      <c r="S220"/>
      <c r="T220"/>
      <c r="U220"/>
      <c r="V220"/>
      <c r="W220"/>
    </row>
    <row r="221" spans="17:23" x14ac:dyDescent="0.25">
      <c r="Q221"/>
      <c r="R221"/>
      <c r="S221"/>
      <c r="T221"/>
      <c r="U221"/>
      <c r="V221"/>
      <c r="W221"/>
    </row>
    <row r="222" spans="17:23" x14ac:dyDescent="0.25">
      <c r="Q222"/>
      <c r="R222"/>
      <c r="S222"/>
      <c r="T222"/>
      <c r="U222"/>
      <c r="V222"/>
      <c r="W222"/>
    </row>
    <row r="223" spans="17:23" x14ac:dyDescent="0.25">
      <c r="Q223"/>
      <c r="R223"/>
      <c r="S223"/>
      <c r="T223"/>
      <c r="U223"/>
      <c r="V223"/>
      <c r="W223"/>
    </row>
    <row r="224" spans="17:23" x14ac:dyDescent="0.25">
      <c r="Q224"/>
      <c r="R224"/>
      <c r="S224"/>
      <c r="T224"/>
      <c r="U224"/>
      <c r="V224"/>
      <c r="W224"/>
    </row>
    <row r="225" spans="17:23" x14ac:dyDescent="0.25">
      <c r="Q225"/>
      <c r="R225"/>
      <c r="S225"/>
      <c r="T225"/>
      <c r="U225"/>
      <c r="V225"/>
      <c r="W225"/>
    </row>
    <row r="226" spans="17:23" x14ac:dyDescent="0.25">
      <c r="Q226"/>
      <c r="R226"/>
      <c r="S226"/>
      <c r="T226"/>
      <c r="U226"/>
      <c r="V226"/>
      <c r="W226"/>
    </row>
    <row r="227" spans="17:23" x14ac:dyDescent="0.25">
      <c r="Q227"/>
      <c r="R227"/>
      <c r="S227"/>
      <c r="T227"/>
      <c r="U227"/>
      <c r="V227"/>
      <c r="W227"/>
    </row>
    <row r="228" spans="17:23" x14ac:dyDescent="0.25">
      <c r="Q228"/>
      <c r="R228"/>
      <c r="S228"/>
      <c r="T228"/>
      <c r="U228"/>
      <c r="V228"/>
      <c r="W228"/>
    </row>
    <row r="229" spans="17:23" x14ac:dyDescent="0.25">
      <c r="Q229"/>
      <c r="R229"/>
      <c r="S229"/>
      <c r="T229"/>
      <c r="U229"/>
      <c r="V229"/>
      <c r="W229"/>
    </row>
    <row r="230" spans="17:23" x14ac:dyDescent="0.25">
      <c r="Q230"/>
      <c r="R230"/>
      <c r="S230"/>
      <c r="T230"/>
      <c r="U230"/>
      <c r="V230"/>
      <c r="W230"/>
    </row>
    <row r="231" spans="17:23" x14ac:dyDescent="0.25">
      <c r="Q231"/>
      <c r="R231"/>
      <c r="S231"/>
      <c r="T231"/>
      <c r="U231"/>
      <c r="V231"/>
      <c r="W231"/>
    </row>
    <row r="232" spans="17:23" x14ac:dyDescent="0.25">
      <c r="Q232"/>
      <c r="R232"/>
      <c r="S232"/>
      <c r="T232"/>
      <c r="U232"/>
      <c r="V232"/>
      <c r="W232"/>
    </row>
    <row r="233" spans="17:23" x14ac:dyDescent="0.25">
      <c r="Q233"/>
      <c r="R233"/>
      <c r="S233"/>
      <c r="T233"/>
      <c r="U233"/>
      <c r="V233"/>
      <c r="W233"/>
    </row>
    <row r="234" spans="17:23" x14ac:dyDescent="0.25">
      <c r="Q234"/>
      <c r="R234"/>
      <c r="S234"/>
      <c r="T234"/>
      <c r="U234"/>
      <c r="V234"/>
      <c r="W234"/>
    </row>
    <row r="235" spans="17:23" x14ac:dyDescent="0.25">
      <c r="Q235"/>
      <c r="R235"/>
      <c r="S235"/>
      <c r="T235"/>
      <c r="U235"/>
      <c r="V235"/>
      <c r="W235"/>
    </row>
    <row r="236" spans="17:23" x14ac:dyDescent="0.25">
      <c r="Q236"/>
      <c r="R236"/>
      <c r="S236"/>
      <c r="T236"/>
      <c r="U236"/>
      <c r="V236"/>
      <c r="W236"/>
    </row>
    <row r="237" spans="17:23" x14ac:dyDescent="0.25">
      <c r="Q237"/>
      <c r="R237"/>
      <c r="S237"/>
      <c r="T237"/>
      <c r="U237"/>
      <c r="V237"/>
      <c r="W237"/>
    </row>
    <row r="238" spans="17:23" x14ac:dyDescent="0.25">
      <c r="Q238"/>
      <c r="R238"/>
      <c r="S238"/>
      <c r="T238"/>
      <c r="U238"/>
      <c r="V238"/>
      <c r="W238"/>
    </row>
    <row r="239" spans="17:23" x14ac:dyDescent="0.25">
      <c r="Q239"/>
      <c r="R239"/>
      <c r="S239"/>
      <c r="T239"/>
      <c r="U239"/>
      <c r="V239"/>
      <c r="W239"/>
    </row>
    <row r="240" spans="17:23" x14ac:dyDescent="0.25">
      <c r="Q240"/>
      <c r="R240"/>
      <c r="S240"/>
      <c r="T240"/>
      <c r="U240"/>
      <c r="V240"/>
      <c r="W240"/>
    </row>
    <row r="241" spans="17:23" x14ac:dyDescent="0.25">
      <c r="Q241"/>
      <c r="R241"/>
      <c r="S241"/>
      <c r="T241"/>
      <c r="U241"/>
      <c r="V241"/>
      <c r="W241"/>
    </row>
    <row r="242" spans="17:23" x14ac:dyDescent="0.25">
      <c r="Q242"/>
      <c r="R242"/>
      <c r="S242"/>
      <c r="T242"/>
      <c r="U242"/>
      <c r="V242"/>
      <c r="W242"/>
    </row>
    <row r="243" spans="17:23" x14ac:dyDescent="0.25">
      <c r="Q243"/>
      <c r="R243"/>
      <c r="S243"/>
      <c r="T243"/>
      <c r="U243"/>
      <c r="V243"/>
      <c r="W243"/>
    </row>
    <row r="244" spans="17:23" x14ac:dyDescent="0.25">
      <c r="Q244"/>
      <c r="R244"/>
      <c r="S244"/>
      <c r="T244"/>
      <c r="U244"/>
      <c r="V244"/>
      <c r="W244"/>
    </row>
    <row r="245" spans="17:23" x14ac:dyDescent="0.25">
      <c r="Q245"/>
      <c r="R245"/>
      <c r="S245"/>
      <c r="T245"/>
      <c r="U245"/>
      <c r="V245"/>
      <c r="W245"/>
    </row>
    <row r="246" spans="17:23" x14ac:dyDescent="0.25">
      <c r="Q246"/>
      <c r="R246"/>
      <c r="S246"/>
      <c r="T246"/>
      <c r="U246"/>
      <c r="V246"/>
      <c r="W246"/>
    </row>
    <row r="247" spans="17:23" x14ac:dyDescent="0.25">
      <c r="Q247"/>
      <c r="R247"/>
      <c r="S247"/>
      <c r="T247"/>
      <c r="U247"/>
      <c r="V247"/>
      <c r="W247"/>
    </row>
    <row r="248" spans="17:23" x14ac:dyDescent="0.25">
      <c r="Q248"/>
      <c r="R248"/>
      <c r="S248"/>
      <c r="T248"/>
      <c r="U248"/>
      <c r="V248"/>
      <c r="W248"/>
    </row>
    <row r="249" spans="17:23" x14ac:dyDescent="0.25">
      <c r="Q249"/>
      <c r="R249"/>
      <c r="S249"/>
      <c r="T249"/>
      <c r="U249"/>
      <c r="V249"/>
      <c r="W249"/>
    </row>
    <row r="250" spans="17:23" x14ac:dyDescent="0.25">
      <c r="Q250"/>
      <c r="R250"/>
      <c r="S250"/>
      <c r="T250"/>
      <c r="U250"/>
      <c r="V250"/>
      <c r="W250"/>
    </row>
    <row r="251" spans="17:23" x14ac:dyDescent="0.25">
      <c r="Q251"/>
      <c r="R251"/>
      <c r="S251"/>
      <c r="T251"/>
      <c r="U251"/>
      <c r="V251"/>
      <c r="W251"/>
    </row>
    <row r="252" spans="17:23" x14ac:dyDescent="0.25">
      <c r="Q252"/>
      <c r="R252"/>
      <c r="S252"/>
      <c r="T252"/>
      <c r="U252"/>
      <c r="V252"/>
      <c r="W252"/>
    </row>
    <row r="253" spans="17:23" x14ac:dyDescent="0.25">
      <c r="Q253"/>
      <c r="R253"/>
      <c r="S253"/>
      <c r="T253"/>
      <c r="U253"/>
      <c r="V253"/>
      <c r="W253"/>
    </row>
    <row r="254" spans="17:23" x14ac:dyDescent="0.25">
      <c r="Q254"/>
      <c r="R254"/>
      <c r="S254"/>
      <c r="T254"/>
      <c r="U254"/>
      <c r="V254"/>
      <c r="W254"/>
    </row>
    <row r="255" spans="17:23" x14ac:dyDescent="0.25">
      <c r="Q255"/>
      <c r="R255"/>
      <c r="S255"/>
      <c r="T255"/>
      <c r="U255"/>
      <c r="V255"/>
      <c r="W255"/>
    </row>
    <row r="256" spans="17:23" x14ac:dyDescent="0.25">
      <c r="Q256"/>
      <c r="R256"/>
      <c r="S256"/>
      <c r="T256"/>
      <c r="U256"/>
      <c r="V256"/>
      <c r="W256"/>
    </row>
    <row r="257" spans="17:23" x14ac:dyDescent="0.25">
      <c r="Q257"/>
      <c r="R257"/>
      <c r="S257"/>
      <c r="T257"/>
      <c r="U257"/>
      <c r="V257"/>
      <c r="W257"/>
    </row>
    <row r="258" spans="17:23" x14ac:dyDescent="0.25">
      <c r="Q258"/>
      <c r="R258"/>
      <c r="S258"/>
      <c r="T258"/>
      <c r="U258"/>
      <c r="V258"/>
      <c r="W258"/>
    </row>
    <row r="259" spans="17:23" x14ac:dyDescent="0.25">
      <c r="Q259"/>
      <c r="R259"/>
      <c r="S259"/>
      <c r="T259"/>
      <c r="U259"/>
      <c r="V259"/>
      <c r="W259"/>
    </row>
    <row r="260" spans="17:23" x14ac:dyDescent="0.25">
      <c r="Q260"/>
      <c r="R260"/>
      <c r="S260"/>
      <c r="T260"/>
      <c r="U260"/>
      <c r="V260"/>
      <c r="W260"/>
    </row>
    <row r="261" spans="17:23" x14ac:dyDescent="0.25">
      <c r="Q261"/>
      <c r="R261"/>
      <c r="S261"/>
      <c r="T261"/>
      <c r="U261"/>
      <c r="V261"/>
      <c r="W261"/>
    </row>
    <row r="262" spans="17:23" x14ac:dyDescent="0.25">
      <c r="Q262"/>
      <c r="R262"/>
      <c r="S262"/>
      <c r="T262"/>
      <c r="U262"/>
      <c r="V262"/>
      <c r="W262"/>
    </row>
    <row r="263" spans="17:23" x14ac:dyDescent="0.25">
      <c r="Q263"/>
      <c r="R263"/>
      <c r="S263"/>
      <c r="T263"/>
      <c r="U263"/>
      <c r="V263"/>
      <c r="W263"/>
    </row>
    <row r="264" spans="17:23" x14ac:dyDescent="0.25">
      <c r="Q264"/>
      <c r="R264"/>
      <c r="S264"/>
      <c r="T264"/>
      <c r="U264"/>
      <c r="V264"/>
      <c r="W264"/>
    </row>
    <row r="265" spans="17:23" x14ac:dyDescent="0.25">
      <c r="Q265"/>
      <c r="R265"/>
      <c r="S265"/>
      <c r="T265"/>
      <c r="U265"/>
      <c r="V265"/>
      <c r="W265"/>
    </row>
    <row r="266" spans="17:23" x14ac:dyDescent="0.25">
      <c r="Q266"/>
      <c r="R266"/>
      <c r="S266"/>
      <c r="T266"/>
      <c r="U266"/>
      <c r="V266"/>
      <c r="W266"/>
    </row>
    <row r="267" spans="17:23" x14ac:dyDescent="0.25">
      <c r="Q267"/>
      <c r="R267"/>
      <c r="S267"/>
      <c r="T267"/>
      <c r="U267"/>
      <c r="V267"/>
      <c r="W267"/>
    </row>
    <row r="268" spans="17:23" x14ac:dyDescent="0.25">
      <c r="Q268"/>
      <c r="R268"/>
      <c r="S268"/>
      <c r="T268"/>
      <c r="U268"/>
      <c r="V268"/>
      <c r="W268"/>
    </row>
    <row r="269" spans="17:23" x14ac:dyDescent="0.25">
      <c r="Q269"/>
      <c r="R269"/>
      <c r="S269"/>
      <c r="T269"/>
      <c r="U269"/>
      <c r="V269"/>
      <c r="W269"/>
    </row>
    <row r="270" spans="17:23" x14ac:dyDescent="0.25">
      <c r="Q270"/>
      <c r="R270"/>
      <c r="S270"/>
      <c r="T270"/>
      <c r="U270"/>
      <c r="V270"/>
      <c r="W270"/>
    </row>
    <row r="271" spans="17:23" x14ac:dyDescent="0.25">
      <c r="Q271"/>
      <c r="R271"/>
      <c r="S271"/>
      <c r="T271"/>
      <c r="U271"/>
      <c r="V271"/>
      <c r="W271"/>
    </row>
    <row r="272" spans="17:23" x14ac:dyDescent="0.25">
      <c r="Q272"/>
      <c r="R272"/>
      <c r="S272"/>
      <c r="T272"/>
      <c r="U272"/>
      <c r="V272"/>
      <c r="W272"/>
    </row>
    <row r="273" spans="17:23" x14ac:dyDescent="0.25">
      <c r="Q273"/>
      <c r="R273"/>
      <c r="S273"/>
      <c r="T273"/>
      <c r="U273"/>
      <c r="V273"/>
      <c r="W273"/>
    </row>
    <row r="274" spans="17:23" x14ac:dyDescent="0.25">
      <c r="Q274"/>
      <c r="R274"/>
      <c r="S274"/>
      <c r="T274"/>
      <c r="U274"/>
      <c r="V274"/>
      <c r="W274"/>
    </row>
    <row r="275" spans="17:23" x14ac:dyDescent="0.25">
      <c r="Q275"/>
      <c r="R275"/>
      <c r="S275"/>
      <c r="T275"/>
      <c r="U275"/>
      <c r="V275"/>
      <c r="W275"/>
    </row>
    <row r="276" spans="17:23" x14ac:dyDescent="0.25">
      <c r="Q276"/>
      <c r="R276"/>
      <c r="S276"/>
      <c r="T276"/>
      <c r="U276"/>
      <c r="V276"/>
      <c r="W276"/>
    </row>
    <row r="277" spans="17:23" x14ac:dyDescent="0.25">
      <c r="Q277"/>
      <c r="R277"/>
      <c r="S277"/>
      <c r="T277"/>
      <c r="U277"/>
      <c r="V277"/>
      <c r="W277"/>
    </row>
    <row r="278" spans="17:23" x14ac:dyDescent="0.25">
      <c r="Q278"/>
      <c r="R278"/>
      <c r="S278"/>
      <c r="T278"/>
      <c r="U278"/>
      <c r="V278"/>
      <c r="W278"/>
    </row>
    <row r="279" spans="17:23" x14ac:dyDescent="0.25">
      <c r="Q279"/>
      <c r="R279"/>
      <c r="S279"/>
      <c r="T279"/>
      <c r="U279"/>
      <c r="V279"/>
      <c r="W279"/>
    </row>
    <row r="280" spans="17:23" x14ac:dyDescent="0.25">
      <c r="Q280"/>
      <c r="R280"/>
      <c r="S280"/>
      <c r="T280"/>
      <c r="U280"/>
      <c r="V280"/>
      <c r="W280"/>
    </row>
    <row r="281" spans="17:23" x14ac:dyDescent="0.25">
      <c r="Q281"/>
      <c r="R281"/>
      <c r="S281"/>
      <c r="T281"/>
      <c r="U281"/>
      <c r="V281"/>
      <c r="W281"/>
    </row>
    <row r="282" spans="17:23" x14ac:dyDescent="0.25">
      <c r="Q282"/>
      <c r="R282"/>
      <c r="S282"/>
      <c r="T282"/>
      <c r="U282"/>
      <c r="V282"/>
      <c r="W282"/>
    </row>
    <row r="283" spans="17:23" x14ac:dyDescent="0.25">
      <c r="Q283"/>
      <c r="R283"/>
      <c r="S283"/>
      <c r="T283"/>
      <c r="U283"/>
      <c r="V283"/>
      <c r="W283"/>
    </row>
    <row r="284" spans="17:23" x14ac:dyDescent="0.25">
      <c r="Q284"/>
      <c r="R284"/>
      <c r="S284"/>
      <c r="T284"/>
      <c r="U284"/>
      <c r="V284"/>
      <c r="W284"/>
    </row>
    <row r="285" spans="17:23" x14ac:dyDescent="0.25">
      <c r="Q285"/>
      <c r="R285"/>
      <c r="S285"/>
      <c r="T285"/>
      <c r="U285"/>
      <c r="V285"/>
      <c r="W285"/>
    </row>
    <row r="286" spans="17:23" x14ac:dyDescent="0.25">
      <c r="Q286"/>
      <c r="R286"/>
      <c r="S286"/>
      <c r="T286"/>
      <c r="U286"/>
      <c r="V286"/>
      <c r="W286"/>
    </row>
    <row r="287" spans="17:23" x14ac:dyDescent="0.25">
      <c r="Q287"/>
      <c r="R287"/>
      <c r="S287"/>
      <c r="T287"/>
      <c r="U287"/>
      <c r="V287"/>
      <c r="W287"/>
    </row>
    <row r="288" spans="17:23" x14ac:dyDescent="0.25">
      <c r="Q288"/>
      <c r="R288"/>
      <c r="S288"/>
      <c r="T288"/>
      <c r="U288"/>
      <c r="V288"/>
      <c r="W288"/>
    </row>
    <row r="289" spans="17:23" x14ac:dyDescent="0.25">
      <c r="Q289"/>
      <c r="R289"/>
      <c r="S289"/>
      <c r="T289"/>
      <c r="U289"/>
      <c r="V289"/>
      <c r="W289"/>
    </row>
    <row r="290" spans="17:23" x14ac:dyDescent="0.25">
      <c r="Q290"/>
      <c r="R290"/>
      <c r="S290"/>
      <c r="T290"/>
      <c r="U290"/>
      <c r="V290"/>
      <c r="W290"/>
    </row>
    <row r="291" spans="17:23" x14ac:dyDescent="0.25">
      <c r="Q291"/>
      <c r="R291"/>
      <c r="S291"/>
      <c r="T291"/>
      <c r="U291"/>
      <c r="V291"/>
      <c r="W291"/>
    </row>
    <row r="292" spans="17:23" x14ac:dyDescent="0.25">
      <c r="Q292"/>
      <c r="R292"/>
      <c r="S292"/>
      <c r="T292"/>
      <c r="U292"/>
      <c r="V292"/>
      <c r="W292"/>
    </row>
    <row r="293" spans="17:23" x14ac:dyDescent="0.25">
      <c r="Q293"/>
      <c r="R293"/>
      <c r="S293"/>
      <c r="T293"/>
      <c r="U293"/>
      <c r="V293"/>
      <c r="W293"/>
    </row>
    <row r="294" spans="17:23" x14ac:dyDescent="0.25">
      <c r="Q294"/>
      <c r="R294"/>
      <c r="S294"/>
      <c r="T294"/>
      <c r="U294"/>
      <c r="V294"/>
      <c r="W294"/>
    </row>
    <row r="295" spans="17:23" x14ac:dyDescent="0.25">
      <c r="Q295"/>
      <c r="R295"/>
      <c r="S295"/>
      <c r="T295"/>
      <c r="U295"/>
      <c r="V295"/>
      <c r="W295"/>
    </row>
    <row r="296" spans="17:23" x14ac:dyDescent="0.25">
      <c r="Q296"/>
      <c r="R296"/>
      <c r="S296"/>
      <c r="T296"/>
      <c r="U296"/>
      <c r="V296"/>
      <c r="W296"/>
    </row>
    <row r="297" spans="17:23" x14ac:dyDescent="0.25">
      <c r="Q297"/>
      <c r="R297"/>
      <c r="S297"/>
      <c r="T297"/>
      <c r="U297"/>
      <c r="V297"/>
      <c r="W297"/>
    </row>
    <row r="298" spans="17:23" x14ac:dyDescent="0.25">
      <c r="Q298"/>
      <c r="R298"/>
      <c r="S298"/>
      <c r="T298"/>
      <c r="U298"/>
      <c r="V298"/>
      <c r="W298"/>
    </row>
    <row r="299" spans="17:23" x14ac:dyDescent="0.25">
      <c r="Q299"/>
      <c r="R299"/>
      <c r="S299"/>
      <c r="T299"/>
      <c r="U299"/>
      <c r="V299"/>
      <c r="W299"/>
    </row>
    <row r="300" spans="17:23" x14ac:dyDescent="0.25">
      <c r="Q300"/>
      <c r="R300"/>
      <c r="S300"/>
      <c r="T300"/>
      <c r="U300"/>
      <c r="V300"/>
      <c r="W300"/>
    </row>
    <row r="301" spans="17:23" x14ac:dyDescent="0.25">
      <c r="Q301"/>
      <c r="R301"/>
      <c r="S301"/>
      <c r="T301"/>
      <c r="U301"/>
      <c r="V301"/>
      <c r="W301"/>
    </row>
    <row r="302" spans="17:23" x14ac:dyDescent="0.25">
      <c r="Q302"/>
      <c r="R302"/>
      <c r="S302"/>
      <c r="T302"/>
      <c r="U302"/>
      <c r="V302"/>
      <c r="W302"/>
    </row>
    <row r="303" spans="17:23" x14ac:dyDescent="0.25">
      <c r="Q303"/>
      <c r="R303"/>
      <c r="S303"/>
      <c r="T303"/>
      <c r="U303"/>
      <c r="V303"/>
      <c r="W303"/>
    </row>
    <row r="304" spans="17:23" x14ac:dyDescent="0.25">
      <c r="Q304"/>
      <c r="R304"/>
      <c r="S304"/>
      <c r="T304"/>
      <c r="U304"/>
      <c r="V304"/>
      <c r="W304"/>
    </row>
    <row r="305" spans="17:23" x14ac:dyDescent="0.25">
      <c r="Q305"/>
      <c r="R305"/>
      <c r="S305"/>
      <c r="T305"/>
      <c r="U305"/>
      <c r="V305"/>
      <c r="W305"/>
    </row>
    <row r="306" spans="17:23" x14ac:dyDescent="0.25">
      <c r="Q306"/>
      <c r="R306"/>
      <c r="S306"/>
      <c r="T306"/>
      <c r="U306"/>
      <c r="V306"/>
      <c r="W306"/>
    </row>
    <row r="307" spans="17:23" x14ac:dyDescent="0.25">
      <c r="Q307"/>
      <c r="R307"/>
      <c r="S307"/>
      <c r="T307"/>
      <c r="U307"/>
      <c r="V307"/>
      <c r="W307"/>
    </row>
    <row r="308" spans="17:23" x14ac:dyDescent="0.25">
      <c r="Q308"/>
      <c r="R308"/>
      <c r="S308"/>
      <c r="T308"/>
      <c r="U308"/>
      <c r="V308"/>
      <c r="W308"/>
    </row>
    <row r="309" spans="17:23" x14ac:dyDescent="0.25">
      <c r="Q309"/>
      <c r="R309"/>
      <c r="S309"/>
      <c r="T309"/>
      <c r="U309"/>
      <c r="V309"/>
      <c r="W309"/>
    </row>
    <row r="310" spans="17:23" x14ac:dyDescent="0.25">
      <c r="Q310"/>
      <c r="R310"/>
      <c r="S310"/>
      <c r="T310"/>
      <c r="U310"/>
      <c r="V310"/>
      <c r="W310"/>
    </row>
    <row r="311" spans="17:23" x14ac:dyDescent="0.25">
      <c r="Q311"/>
      <c r="R311"/>
      <c r="S311"/>
      <c r="T311"/>
      <c r="U311"/>
      <c r="V311"/>
      <c r="W311"/>
    </row>
    <row r="312" spans="17:23" x14ac:dyDescent="0.25">
      <c r="Q312"/>
      <c r="R312"/>
      <c r="S312"/>
      <c r="T312"/>
      <c r="U312"/>
      <c r="V312"/>
      <c r="W312"/>
    </row>
    <row r="313" spans="17:23" x14ac:dyDescent="0.25">
      <c r="Q313"/>
      <c r="R313"/>
      <c r="S313"/>
      <c r="T313"/>
      <c r="U313"/>
      <c r="V313"/>
      <c r="W313"/>
    </row>
    <row r="314" spans="17:23" x14ac:dyDescent="0.25">
      <c r="Q314"/>
      <c r="R314"/>
      <c r="S314"/>
      <c r="T314"/>
      <c r="U314"/>
      <c r="V314"/>
      <c r="W314"/>
    </row>
    <row r="315" spans="17:23" x14ac:dyDescent="0.25">
      <c r="Q315"/>
      <c r="R315"/>
      <c r="S315"/>
      <c r="T315"/>
      <c r="U315"/>
      <c r="V315"/>
      <c r="W315"/>
    </row>
    <row r="316" spans="17:23" x14ac:dyDescent="0.25">
      <c r="Q316"/>
      <c r="R316"/>
      <c r="S316"/>
      <c r="T316"/>
      <c r="U316"/>
      <c r="V316"/>
      <c r="W316"/>
    </row>
    <row r="317" spans="17:23" x14ac:dyDescent="0.25">
      <c r="Q317"/>
      <c r="R317"/>
      <c r="S317"/>
      <c r="T317"/>
      <c r="U317"/>
      <c r="V317"/>
      <c r="W317"/>
    </row>
    <row r="318" spans="17:23" x14ac:dyDescent="0.25">
      <c r="Q318"/>
      <c r="R318"/>
      <c r="S318"/>
      <c r="T318"/>
      <c r="U318"/>
      <c r="V318"/>
      <c r="W318"/>
    </row>
    <row r="319" spans="17:23" x14ac:dyDescent="0.25">
      <c r="Q319"/>
      <c r="R319"/>
      <c r="S319"/>
      <c r="T319"/>
      <c r="U319"/>
      <c r="V319"/>
      <c r="W319"/>
    </row>
    <row r="320" spans="17:23" x14ac:dyDescent="0.25">
      <c r="Q320"/>
      <c r="R320"/>
      <c r="S320"/>
      <c r="T320"/>
      <c r="U320"/>
      <c r="V320"/>
      <c r="W320"/>
    </row>
    <row r="321" spans="17:23" x14ac:dyDescent="0.25">
      <c r="Q321"/>
      <c r="R321"/>
      <c r="S321"/>
      <c r="T321"/>
      <c r="U321"/>
      <c r="V321"/>
      <c r="W321"/>
    </row>
    <row r="322" spans="17:23" x14ac:dyDescent="0.25">
      <c r="Q322"/>
      <c r="R322"/>
      <c r="S322"/>
      <c r="T322"/>
      <c r="U322"/>
      <c r="V322"/>
      <c r="W322"/>
    </row>
    <row r="323" spans="17:23" x14ac:dyDescent="0.25">
      <c r="Q323"/>
      <c r="R323"/>
      <c r="S323"/>
      <c r="T323"/>
      <c r="U323"/>
      <c r="V323"/>
      <c r="W323"/>
    </row>
    <row r="324" spans="17:23" x14ac:dyDescent="0.25">
      <c r="Q324"/>
      <c r="R324"/>
      <c r="S324"/>
      <c r="T324"/>
      <c r="U324"/>
      <c r="V324"/>
      <c r="W324"/>
    </row>
    <row r="325" spans="17:23" x14ac:dyDescent="0.25">
      <c r="Q325"/>
      <c r="R325"/>
      <c r="S325"/>
      <c r="T325"/>
      <c r="U325"/>
      <c r="V325"/>
      <c r="W325"/>
    </row>
    <row r="326" spans="17:23" x14ac:dyDescent="0.25">
      <c r="Q326"/>
      <c r="R326"/>
      <c r="S326"/>
      <c r="T326"/>
      <c r="U326"/>
      <c r="V326"/>
      <c r="W326"/>
    </row>
    <row r="327" spans="17:23" x14ac:dyDescent="0.25">
      <c r="Q327"/>
      <c r="R327"/>
      <c r="S327"/>
      <c r="T327"/>
      <c r="U327"/>
      <c r="V327"/>
      <c r="W327"/>
    </row>
    <row r="328" spans="17:23" x14ac:dyDescent="0.25">
      <c r="Q328"/>
      <c r="R328"/>
      <c r="S328"/>
      <c r="T328"/>
      <c r="U328"/>
      <c r="V328"/>
      <c r="W328"/>
    </row>
    <row r="329" spans="17:23" x14ac:dyDescent="0.25">
      <c r="Q329"/>
      <c r="R329"/>
      <c r="S329"/>
      <c r="T329"/>
      <c r="U329"/>
      <c r="V329"/>
      <c r="W329"/>
    </row>
    <row r="330" spans="17:23" x14ac:dyDescent="0.25">
      <c r="Q330"/>
      <c r="R330"/>
      <c r="S330"/>
      <c r="T330"/>
      <c r="U330"/>
      <c r="V330"/>
      <c r="W330"/>
    </row>
    <row r="331" spans="17:23" x14ac:dyDescent="0.25">
      <c r="Q331"/>
      <c r="R331"/>
      <c r="S331"/>
      <c r="T331"/>
      <c r="U331"/>
      <c r="V331"/>
      <c r="W331"/>
    </row>
    <row r="332" spans="17:23" x14ac:dyDescent="0.25">
      <c r="Q332"/>
      <c r="R332"/>
      <c r="S332"/>
      <c r="T332"/>
      <c r="U332"/>
      <c r="V332"/>
      <c r="W332"/>
    </row>
    <row r="333" spans="17:23" x14ac:dyDescent="0.25">
      <c r="Q333"/>
      <c r="R333"/>
      <c r="S333"/>
      <c r="T333"/>
      <c r="U333"/>
      <c r="V333"/>
      <c r="W333"/>
    </row>
    <row r="334" spans="17:23" x14ac:dyDescent="0.25">
      <c r="Q334"/>
      <c r="R334"/>
      <c r="S334"/>
      <c r="T334"/>
      <c r="U334"/>
      <c r="V334"/>
      <c r="W334"/>
    </row>
    <row r="335" spans="17:23" x14ac:dyDescent="0.25">
      <c r="Q335"/>
      <c r="R335"/>
      <c r="S335"/>
      <c r="T335"/>
      <c r="U335"/>
      <c r="V335"/>
      <c r="W335"/>
    </row>
    <row r="336" spans="17:23" x14ac:dyDescent="0.25">
      <c r="Q336"/>
      <c r="R336"/>
      <c r="S336"/>
      <c r="T336"/>
      <c r="U336"/>
      <c r="V336"/>
      <c r="W336"/>
    </row>
    <row r="337" spans="17:23" x14ac:dyDescent="0.25">
      <c r="Q337"/>
      <c r="R337"/>
      <c r="S337"/>
      <c r="T337"/>
      <c r="U337"/>
      <c r="V337"/>
      <c r="W337"/>
    </row>
    <row r="338" spans="17:23" x14ac:dyDescent="0.25">
      <c r="Q338"/>
      <c r="R338"/>
      <c r="S338"/>
      <c r="T338"/>
      <c r="U338"/>
      <c r="V338"/>
      <c r="W338"/>
    </row>
    <row r="339" spans="17:23" x14ac:dyDescent="0.25">
      <c r="Q339"/>
      <c r="R339"/>
      <c r="S339"/>
      <c r="T339"/>
      <c r="U339"/>
      <c r="V339"/>
      <c r="W339"/>
    </row>
    <row r="340" spans="17:23" x14ac:dyDescent="0.25">
      <c r="Q340"/>
      <c r="R340"/>
      <c r="S340"/>
      <c r="T340"/>
      <c r="U340"/>
      <c r="V340"/>
      <c r="W340"/>
    </row>
    <row r="341" spans="17:23" x14ac:dyDescent="0.25">
      <c r="Q341"/>
      <c r="R341"/>
      <c r="S341"/>
      <c r="T341"/>
      <c r="U341"/>
      <c r="V341"/>
      <c r="W341"/>
    </row>
    <row r="342" spans="17:23" x14ac:dyDescent="0.25">
      <c r="Q342"/>
      <c r="R342"/>
      <c r="S342"/>
      <c r="T342"/>
      <c r="U342"/>
      <c r="V342"/>
      <c r="W342"/>
    </row>
    <row r="343" spans="17:23" x14ac:dyDescent="0.25">
      <c r="Q343"/>
      <c r="R343"/>
      <c r="S343"/>
      <c r="T343"/>
      <c r="U343"/>
      <c r="V343"/>
      <c r="W343"/>
    </row>
    <row r="344" spans="17:23" x14ac:dyDescent="0.25">
      <c r="Q344"/>
      <c r="R344"/>
      <c r="S344"/>
      <c r="T344"/>
      <c r="U344"/>
      <c r="V344"/>
      <c r="W344"/>
    </row>
    <row r="345" spans="17:23" x14ac:dyDescent="0.25">
      <c r="Q345"/>
      <c r="R345"/>
      <c r="S345"/>
      <c r="T345"/>
      <c r="U345"/>
      <c r="V345"/>
      <c r="W345"/>
    </row>
    <row r="346" spans="17:23" x14ac:dyDescent="0.25">
      <c r="Q346"/>
      <c r="R346"/>
      <c r="S346"/>
      <c r="T346"/>
      <c r="U346"/>
      <c r="V346"/>
      <c r="W346"/>
    </row>
    <row r="347" spans="17:23" x14ac:dyDescent="0.25">
      <c r="Q347"/>
      <c r="R347"/>
      <c r="S347"/>
      <c r="T347"/>
      <c r="U347"/>
      <c r="V347"/>
      <c r="W347"/>
    </row>
    <row r="348" spans="17:23" x14ac:dyDescent="0.25">
      <c r="Q348"/>
      <c r="R348"/>
      <c r="S348"/>
      <c r="T348"/>
      <c r="U348"/>
      <c r="V348"/>
      <c r="W348"/>
    </row>
    <row r="349" spans="17:23" x14ac:dyDescent="0.25">
      <c r="Q349"/>
      <c r="R349"/>
      <c r="S349"/>
      <c r="T349"/>
      <c r="U349"/>
      <c r="V349"/>
      <c r="W349"/>
    </row>
    <row r="350" spans="17:23" x14ac:dyDescent="0.25">
      <c r="Q350"/>
      <c r="R350"/>
      <c r="S350"/>
      <c r="T350"/>
      <c r="U350"/>
      <c r="V350"/>
      <c r="W350"/>
    </row>
    <row r="351" spans="17:23" x14ac:dyDescent="0.25">
      <c r="Q351"/>
      <c r="R351"/>
      <c r="S351"/>
      <c r="T351"/>
      <c r="U351"/>
      <c r="V351"/>
      <c r="W351"/>
    </row>
    <row r="352" spans="17:23" x14ac:dyDescent="0.25">
      <c r="Q352"/>
      <c r="R352"/>
      <c r="S352"/>
      <c r="T352"/>
      <c r="U352"/>
      <c r="V352"/>
      <c r="W352"/>
    </row>
    <row r="353" spans="17:23" x14ac:dyDescent="0.25">
      <c r="Q353"/>
      <c r="R353"/>
      <c r="S353"/>
      <c r="T353"/>
      <c r="U353"/>
      <c r="V353"/>
      <c r="W353"/>
    </row>
    <row r="354" spans="17:23" x14ac:dyDescent="0.25">
      <c r="Q354"/>
      <c r="R354"/>
      <c r="S354"/>
      <c r="T354"/>
      <c r="U354"/>
      <c r="V354"/>
      <c r="W354"/>
    </row>
    <row r="355" spans="17:23" x14ac:dyDescent="0.25">
      <c r="Q355"/>
      <c r="R355"/>
      <c r="S355"/>
      <c r="T355"/>
      <c r="U355"/>
      <c r="V355"/>
      <c r="W355"/>
    </row>
    <row r="356" spans="17:23" x14ac:dyDescent="0.25">
      <c r="Q356"/>
      <c r="R356"/>
      <c r="S356"/>
      <c r="T356"/>
      <c r="U356"/>
      <c r="V356"/>
      <c r="W356"/>
    </row>
    <row r="357" spans="17:23" x14ac:dyDescent="0.25">
      <c r="Q357"/>
      <c r="R357"/>
      <c r="S357"/>
      <c r="T357"/>
      <c r="U357"/>
      <c r="V357"/>
      <c r="W357"/>
    </row>
    <row r="358" spans="17:23" x14ac:dyDescent="0.25">
      <c r="Q358"/>
      <c r="R358"/>
      <c r="S358"/>
      <c r="T358"/>
      <c r="U358"/>
      <c r="V358"/>
      <c r="W358"/>
    </row>
    <row r="359" spans="17:23" x14ac:dyDescent="0.25">
      <c r="Q359"/>
      <c r="R359"/>
      <c r="S359"/>
      <c r="T359"/>
      <c r="U359"/>
      <c r="V359"/>
      <c r="W359"/>
    </row>
    <row r="360" spans="17:23" x14ac:dyDescent="0.25">
      <c r="Q360"/>
      <c r="R360"/>
      <c r="S360"/>
      <c r="T360"/>
      <c r="U360"/>
      <c r="V360"/>
      <c r="W360"/>
    </row>
    <row r="361" spans="17:23" x14ac:dyDescent="0.25">
      <c r="Q361"/>
      <c r="R361"/>
      <c r="S361"/>
      <c r="T361"/>
      <c r="U361"/>
      <c r="V361"/>
      <c r="W361"/>
    </row>
    <row r="362" spans="17:23" x14ac:dyDescent="0.25">
      <c r="Q362"/>
      <c r="R362"/>
      <c r="S362"/>
      <c r="T362"/>
      <c r="U362"/>
      <c r="V362"/>
      <c r="W362"/>
    </row>
    <row r="363" spans="17:23" x14ac:dyDescent="0.25">
      <c r="Q363"/>
      <c r="R363"/>
      <c r="S363"/>
      <c r="T363"/>
      <c r="U363"/>
      <c r="V363"/>
      <c r="W363"/>
    </row>
    <row r="364" spans="17:23" x14ac:dyDescent="0.25">
      <c r="Q364"/>
      <c r="R364"/>
      <c r="S364"/>
      <c r="T364"/>
      <c r="U364"/>
      <c r="V364"/>
      <c r="W364"/>
    </row>
    <row r="365" spans="17:23" x14ac:dyDescent="0.25">
      <c r="Q365"/>
      <c r="R365"/>
      <c r="S365"/>
      <c r="T365"/>
      <c r="U365"/>
      <c r="V365"/>
      <c r="W365"/>
    </row>
    <row r="366" spans="17:23" x14ac:dyDescent="0.25">
      <c r="Q366"/>
      <c r="R366"/>
      <c r="S366"/>
      <c r="T366"/>
      <c r="U366"/>
      <c r="V366"/>
      <c r="W366"/>
    </row>
    <row r="367" spans="17:23" x14ac:dyDescent="0.25">
      <c r="Q367"/>
      <c r="R367"/>
      <c r="S367"/>
      <c r="T367"/>
      <c r="U367"/>
      <c r="V367"/>
      <c r="W367"/>
    </row>
    <row r="368" spans="17:23" x14ac:dyDescent="0.25">
      <c r="Q368"/>
      <c r="R368"/>
      <c r="S368"/>
      <c r="T368"/>
      <c r="U368"/>
      <c r="V368"/>
      <c r="W368"/>
    </row>
    <row r="369" spans="17:23" x14ac:dyDescent="0.25">
      <c r="Q369"/>
      <c r="R369"/>
      <c r="S369"/>
      <c r="T369"/>
      <c r="U369"/>
      <c r="V369"/>
      <c r="W369"/>
    </row>
    <row r="370" spans="17:23" x14ac:dyDescent="0.25">
      <c r="Q370"/>
      <c r="R370"/>
      <c r="S370"/>
      <c r="T370"/>
      <c r="U370"/>
      <c r="V370"/>
      <c r="W370"/>
    </row>
    <row r="371" spans="17:23" x14ac:dyDescent="0.25">
      <c r="Q371"/>
      <c r="R371"/>
      <c r="S371"/>
      <c r="T371"/>
      <c r="U371"/>
      <c r="V371"/>
      <c r="W371"/>
    </row>
    <row r="372" spans="17:23" x14ac:dyDescent="0.25">
      <c r="Q372"/>
      <c r="R372"/>
      <c r="S372"/>
      <c r="T372"/>
      <c r="U372"/>
      <c r="V372"/>
      <c r="W372"/>
    </row>
    <row r="373" spans="17:23" x14ac:dyDescent="0.25">
      <c r="Q373"/>
      <c r="R373"/>
      <c r="S373"/>
      <c r="T373"/>
      <c r="U373"/>
      <c r="V373"/>
      <c r="W373"/>
    </row>
    <row r="374" spans="17:23" x14ac:dyDescent="0.25">
      <c r="Q374"/>
      <c r="R374"/>
      <c r="S374"/>
      <c r="T374"/>
      <c r="U374"/>
      <c r="V374"/>
      <c r="W374"/>
    </row>
    <row r="375" spans="17:23" x14ac:dyDescent="0.25">
      <c r="Q375"/>
      <c r="R375"/>
      <c r="S375"/>
      <c r="T375"/>
      <c r="U375"/>
      <c r="V375"/>
      <c r="W375"/>
    </row>
    <row r="376" spans="17:23" x14ac:dyDescent="0.25">
      <c r="Q376"/>
      <c r="R376"/>
      <c r="S376"/>
      <c r="T376"/>
      <c r="U376"/>
      <c r="V376"/>
      <c r="W376"/>
    </row>
    <row r="377" spans="17:23" x14ac:dyDescent="0.25">
      <c r="Q377"/>
      <c r="R377"/>
      <c r="S377"/>
      <c r="T377"/>
      <c r="U377"/>
      <c r="V377"/>
      <c r="W377"/>
    </row>
    <row r="378" spans="17:23" x14ac:dyDescent="0.25">
      <c r="Q378"/>
      <c r="R378"/>
      <c r="S378"/>
      <c r="T378"/>
      <c r="U378"/>
      <c r="V378"/>
      <c r="W378"/>
    </row>
    <row r="379" spans="17:23" x14ac:dyDescent="0.25">
      <c r="Q379"/>
      <c r="R379"/>
      <c r="S379"/>
      <c r="T379"/>
      <c r="U379"/>
      <c r="V379"/>
      <c r="W379"/>
    </row>
    <row r="380" spans="17:23" x14ac:dyDescent="0.25">
      <c r="Q380"/>
      <c r="R380"/>
      <c r="S380"/>
      <c r="T380"/>
      <c r="U380"/>
      <c r="V380"/>
      <c r="W380"/>
    </row>
    <row r="381" spans="17:23" x14ac:dyDescent="0.25">
      <c r="Q381"/>
      <c r="R381"/>
      <c r="S381"/>
      <c r="T381"/>
      <c r="U381"/>
      <c r="V381"/>
      <c r="W381"/>
    </row>
    <row r="382" spans="17:23" x14ac:dyDescent="0.25">
      <c r="Q382"/>
      <c r="R382"/>
      <c r="S382"/>
      <c r="T382"/>
      <c r="U382"/>
      <c r="V382"/>
      <c r="W382"/>
    </row>
    <row r="383" spans="17:23" x14ac:dyDescent="0.25">
      <c r="Q383"/>
      <c r="R383"/>
      <c r="S383"/>
      <c r="T383"/>
      <c r="U383"/>
      <c r="V383"/>
      <c r="W383"/>
    </row>
    <row r="384" spans="17:23" x14ac:dyDescent="0.25">
      <c r="Q384"/>
      <c r="R384"/>
      <c r="S384"/>
      <c r="T384"/>
      <c r="U384"/>
      <c r="V384"/>
      <c r="W384"/>
    </row>
    <row r="385" spans="17:23" x14ac:dyDescent="0.25">
      <c r="Q385"/>
      <c r="R385"/>
      <c r="S385"/>
      <c r="T385"/>
      <c r="U385"/>
      <c r="V385"/>
      <c r="W385"/>
    </row>
    <row r="386" spans="17:23" x14ac:dyDescent="0.25">
      <c r="Q386"/>
      <c r="R386"/>
      <c r="S386"/>
      <c r="T386"/>
      <c r="U386"/>
      <c r="V386"/>
      <c r="W386"/>
    </row>
    <row r="387" spans="17:23" x14ac:dyDescent="0.25">
      <c r="Q387"/>
      <c r="R387"/>
      <c r="S387"/>
      <c r="T387"/>
      <c r="U387"/>
      <c r="V387"/>
      <c r="W387"/>
    </row>
    <row r="388" spans="17:23" x14ac:dyDescent="0.25">
      <c r="Q388"/>
      <c r="R388"/>
      <c r="S388"/>
      <c r="T388"/>
      <c r="U388"/>
      <c r="V388"/>
      <c r="W388"/>
    </row>
    <row r="389" spans="17:23" x14ac:dyDescent="0.25">
      <c r="Q389"/>
      <c r="R389"/>
      <c r="S389"/>
      <c r="T389"/>
      <c r="U389"/>
      <c r="V389"/>
      <c r="W389"/>
    </row>
    <row r="390" spans="17:23" x14ac:dyDescent="0.25">
      <c r="Q390"/>
      <c r="R390"/>
      <c r="S390"/>
      <c r="T390"/>
      <c r="U390"/>
      <c r="V390"/>
      <c r="W390"/>
    </row>
    <row r="391" spans="17:23" x14ac:dyDescent="0.25">
      <c r="Q391"/>
      <c r="R391"/>
      <c r="S391"/>
      <c r="T391"/>
      <c r="U391"/>
      <c r="V391"/>
      <c r="W391"/>
    </row>
    <row r="392" spans="17:23" x14ac:dyDescent="0.25">
      <c r="Q392"/>
      <c r="R392"/>
      <c r="S392"/>
      <c r="T392"/>
      <c r="U392"/>
      <c r="V392"/>
      <c r="W392"/>
    </row>
    <row r="393" spans="17:23" x14ac:dyDescent="0.25">
      <c r="Q393"/>
      <c r="R393"/>
      <c r="S393"/>
      <c r="T393"/>
      <c r="U393"/>
      <c r="V393"/>
      <c r="W393"/>
    </row>
    <row r="394" spans="17:23" x14ac:dyDescent="0.25">
      <c r="Q394"/>
      <c r="R394"/>
      <c r="S394"/>
      <c r="T394"/>
      <c r="U394"/>
      <c r="V394"/>
      <c r="W394"/>
    </row>
    <row r="395" spans="17:23" x14ac:dyDescent="0.25">
      <c r="Q395"/>
      <c r="R395"/>
      <c r="S395"/>
      <c r="T395"/>
      <c r="U395"/>
      <c r="V395"/>
      <c r="W395"/>
    </row>
    <row r="396" spans="17:23" x14ac:dyDescent="0.25">
      <c r="Q396"/>
      <c r="R396"/>
      <c r="S396"/>
      <c r="T396"/>
      <c r="U396"/>
      <c r="V396"/>
      <c r="W396"/>
    </row>
    <row r="397" spans="17:23" x14ac:dyDescent="0.25">
      <c r="Q397"/>
      <c r="R397"/>
      <c r="S397"/>
      <c r="T397"/>
      <c r="U397"/>
      <c r="V397"/>
      <c r="W397"/>
    </row>
    <row r="398" spans="17:23" x14ac:dyDescent="0.25">
      <c r="Q398"/>
      <c r="R398"/>
      <c r="S398"/>
      <c r="T398"/>
      <c r="U398"/>
      <c r="V398"/>
      <c r="W398"/>
    </row>
    <row r="399" spans="17:23" x14ac:dyDescent="0.25">
      <c r="Q399"/>
      <c r="R399"/>
      <c r="S399"/>
      <c r="T399"/>
      <c r="U399"/>
      <c r="V399"/>
      <c r="W399"/>
    </row>
    <row r="400" spans="17:23" x14ac:dyDescent="0.25">
      <c r="Q400"/>
      <c r="R400"/>
      <c r="S400"/>
      <c r="T400"/>
      <c r="U400"/>
      <c r="V400"/>
      <c r="W400"/>
    </row>
    <row r="401" spans="17:23" x14ac:dyDescent="0.25">
      <c r="Q401"/>
      <c r="R401"/>
      <c r="S401"/>
      <c r="T401"/>
      <c r="U401"/>
      <c r="V401"/>
      <c r="W401"/>
    </row>
    <row r="402" spans="17:23" x14ac:dyDescent="0.25">
      <c r="Q402"/>
      <c r="R402"/>
      <c r="S402"/>
      <c r="T402"/>
      <c r="U402"/>
      <c r="V402"/>
      <c r="W402"/>
    </row>
    <row r="403" spans="17:23" x14ac:dyDescent="0.25">
      <c r="Q403"/>
      <c r="R403"/>
      <c r="S403"/>
      <c r="T403"/>
      <c r="U403"/>
      <c r="V403"/>
      <c r="W403"/>
    </row>
    <row r="404" spans="17:23" x14ac:dyDescent="0.25">
      <c r="Q404"/>
      <c r="R404"/>
      <c r="S404"/>
      <c r="T404"/>
      <c r="U404"/>
      <c r="V404"/>
      <c r="W404"/>
    </row>
    <row r="405" spans="17:23" x14ac:dyDescent="0.25">
      <c r="Q405"/>
      <c r="R405"/>
      <c r="S405"/>
      <c r="T405"/>
      <c r="U405"/>
      <c r="V405"/>
      <c r="W405"/>
    </row>
    <row r="406" spans="17:23" x14ac:dyDescent="0.25">
      <c r="Q406"/>
      <c r="R406"/>
      <c r="S406"/>
      <c r="T406"/>
      <c r="U406"/>
      <c r="V406"/>
      <c r="W406"/>
    </row>
    <row r="407" spans="17:23" x14ac:dyDescent="0.25">
      <c r="Q407"/>
      <c r="R407"/>
      <c r="S407"/>
      <c r="T407"/>
      <c r="U407"/>
      <c r="V407"/>
      <c r="W407"/>
    </row>
    <row r="408" spans="17:23" x14ac:dyDescent="0.25">
      <c r="Q408"/>
      <c r="R408"/>
      <c r="S408"/>
      <c r="T408"/>
      <c r="U408"/>
      <c r="V408"/>
      <c r="W408"/>
    </row>
    <row r="409" spans="17:23" x14ac:dyDescent="0.25">
      <c r="Q409"/>
      <c r="R409"/>
      <c r="S409"/>
      <c r="T409"/>
      <c r="U409"/>
      <c r="V409"/>
      <c r="W409"/>
    </row>
    <row r="410" spans="17:23" x14ac:dyDescent="0.25">
      <c r="Q410"/>
      <c r="R410"/>
      <c r="S410"/>
      <c r="T410"/>
      <c r="U410"/>
      <c r="V410"/>
      <c r="W410"/>
    </row>
    <row r="411" spans="17:23" x14ac:dyDescent="0.25">
      <c r="Q411"/>
      <c r="R411"/>
      <c r="S411"/>
      <c r="T411"/>
      <c r="U411"/>
      <c r="V411"/>
      <c r="W411"/>
    </row>
    <row r="412" spans="17:23" x14ac:dyDescent="0.25">
      <c r="Q412"/>
      <c r="R412"/>
      <c r="S412"/>
      <c r="T412"/>
      <c r="U412"/>
      <c r="V412"/>
      <c r="W412"/>
    </row>
    <row r="413" spans="17:23" x14ac:dyDescent="0.25">
      <c r="Q413"/>
      <c r="R413"/>
      <c r="S413"/>
      <c r="T413"/>
      <c r="U413"/>
      <c r="V413"/>
      <c r="W413"/>
    </row>
    <row r="414" spans="17:23" x14ac:dyDescent="0.25">
      <c r="Q414"/>
      <c r="R414"/>
      <c r="S414"/>
      <c r="T414"/>
      <c r="U414"/>
      <c r="V414"/>
      <c r="W414"/>
    </row>
    <row r="415" spans="17:23" x14ac:dyDescent="0.25">
      <c r="Q415"/>
      <c r="R415"/>
      <c r="S415"/>
      <c r="T415"/>
      <c r="U415"/>
      <c r="V415"/>
      <c r="W415"/>
    </row>
    <row r="416" spans="17:23" x14ac:dyDescent="0.25">
      <c r="Q416"/>
      <c r="R416"/>
      <c r="S416"/>
      <c r="T416"/>
      <c r="U416"/>
      <c r="V416"/>
      <c r="W416"/>
    </row>
    <row r="417" spans="17:23" x14ac:dyDescent="0.25">
      <c r="Q417"/>
      <c r="R417"/>
      <c r="S417"/>
      <c r="T417"/>
      <c r="U417"/>
      <c r="V417"/>
      <c r="W417"/>
    </row>
    <row r="418" spans="17:23" x14ac:dyDescent="0.25">
      <c r="Q418"/>
      <c r="R418"/>
      <c r="S418"/>
      <c r="T418"/>
      <c r="U418"/>
      <c r="V418"/>
      <c r="W418"/>
    </row>
    <row r="419" spans="17:23" x14ac:dyDescent="0.25">
      <c r="Q419"/>
      <c r="R419"/>
      <c r="S419"/>
      <c r="T419"/>
      <c r="U419"/>
      <c r="V419"/>
      <c r="W419"/>
    </row>
    <row r="420" spans="17:23" x14ac:dyDescent="0.25">
      <c r="Q420"/>
      <c r="R420"/>
      <c r="S420"/>
      <c r="T420"/>
      <c r="U420"/>
      <c r="V420"/>
      <c r="W420"/>
    </row>
    <row r="421" spans="17:23" x14ac:dyDescent="0.25">
      <c r="Q421"/>
      <c r="R421"/>
      <c r="S421"/>
      <c r="T421"/>
      <c r="U421"/>
      <c r="V421"/>
      <c r="W421"/>
    </row>
    <row r="422" spans="17:23" x14ac:dyDescent="0.25">
      <c r="Q422"/>
      <c r="R422"/>
      <c r="S422"/>
      <c r="T422"/>
      <c r="U422"/>
      <c r="V422"/>
      <c r="W422"/>
    </row>
    <row r="423" spans="17:23" x14ac:dyDescent="0.25">
      <c r="Q423"/>
      <c r="R423"/>
      <c r="S423"/>
      <c r="T423"/>
      <c r="U423"/>
      <c r="V423"/>
      <c r="W423"/>
    </row>
    <row r="424" spans="17:23" x14ac:dyDescent="0.25">
      <c r="Q424"/>
      <c r="R424"/>
      <c r="S424"/>
      <c r="T424"/>
      <c r="U424"/>
      <c r="V424"/>
      <c r="W424"/>
    </row>
    <row r="425" spans="17:23" x14ac:dyDescent="0.25">
      <c r="Q425"/>
      <c r="R425"/>
      <c r="S425"/>
      <c r="T425"/>
      <c r="U425"/>
      <c r="V425"/>
      <c r="W425"/>
    </row>
    <row r="426" spans="17:23" x14ac:dyDescent="0.25">
      <c r="Q426"/>
      <c r="R426"/>
      <c r="S426"/>
      <c r="T426"/>
      <c r="U426"/>
      <c r="V426"/>
      <c r="W426"/>
    </row>
    <row r="427" spans="17:23" x14ac:dyDescent="0.25">
      <c r="Q427"/>
      <c r="R427"/>
      <c r="S427"/>
      <c r="T427"/>
      <c r="U427"/>
      <c r="V427"/>
      <c r="W427"/>
    </row>
    <row r="428" spans="17:23" x14ac:dyDescent="0.25">
      <c r="Q428"/>
      <c r="R428"/>
      <c r="S428"/>
      <c r="T428"/>
      <c r="U428"/>
      <c r="V428"/>
      <c r="W428"/>
    </row>
    <row r="429" spans="17:23" x14ac:dyDescent="0.25">
      <c r="Q429"/>
      <c r="R429"/>
      <c r="S429"/>
      <c r="T429"/>
      <c r="U429"/>
      <c r="V429"/>
      <c r="W429"/>
    </row>
    <row r="430" spans="17:23" x14ac:dyDescent="0.25">
      <c r="Q430"/>
      <c r="R430"/>
      <c r="S430"/>
      <c r="T430"/>
      <c r="U430"/>
      <c r="V430"/>
      <c r="W430"/>
    </row>
    <row r="431" spans="17:23" x14ac:dyDescent="0.25">
      <c r="Q431"/>
      <c r="R431"/>
      <c r="S431"/>
      <c r="T431"/>
      <c r="U431"/>
      <c r="V431"/>
      <c r="W431"/>
    </row>
    <row r="432" spans="17:23" x14ac:dyDescent="0.25">
      <c r="Q432"/>
      <c r="R432"/>
      <c r="S432"/>
      <c r="T432"/>
      <c r="U432"/>
      <c r="V432"/>
      <c r="W432"/>
    </row>
    <row r="433" spans="17:23" x14ac:dyDescent="0.25">
      <c r="Q433"/>
      <c r="R433"/>
      <c r="S433"/>
      <c r="T433"/>
      <c r="U433"/>
      <c r="V433"/>
      <c r="W433"/>
    </row>
    <row r="434" spans="17:23" x14ac:dyDescent="0.25">
      <c r="Q434"/>
      <c r="R434"/>
      <c r="S434"/>
      <c r="T434"/>
      <c r="U434"/>
      <c r="V434"/>
      <c r="W434"/>
    </row>
    <row r="435" spans="17:23" x14ac:dyDescent="0.25">
      <c r="Q435"/>
      <c r="R435"/>
      <c r="S435"/>
      <c r="T435"/>
      <c r="U435"/>
      <c r="V435"/>
      <c r="W435"/>
    </row>
    <row r="436" spans="17:23" x14ac:dyDescent="0.25">
      <c r="Q436"/>
      <c r="R436"/>
      <c r="S436"/>
      <c r="T436"/>
      <c r="U436"/>
      <c r="V436"/>
      <c r="W436"/>
    </row>
    <row r="437" spans="17:23" x14ac:dyDescent="0.25">
      <c r="Q437"/>
      <c r="R437"/>
      <c r="S437"/>
      <c r="T437"/>
      <c r="U437"/>
      <c r="V437"/>
      <c r="W437"/>
    </row>
    <row r="438" spans="17:23" x14ac:dyDescent="0.25">
      <c r="Q438"/>
      <c r="R438"/>
      <c r="S438"/>
      <c r="T438"/>
      <c r="U438"/>
      <c r="V438"/>
      <c r="W438"/>
    </row>
    <row r="439" spans="17:23" x14ac:dyDescent="0.25">
      <c r="Q439"/>
      <c r="R439"/>
      <c r="S439"/>
      <c r="T439"/>
      <c r="U439"/>
      <c r="V439"/>
      <c r="W439"/>
    </row>
    <row r="440" spans="17:23" x14ac:dyDescent="0.25">
      <c r="Q440"/>
      <c r="R440"/>
      <c r="S440"/>
      <c r="T440"/>
      <c r="U440"/>
      <c r="V440"/>
      <c r="W440"/>
    </row>
    <row r="441" spans="17:23" x14ac:dyDescent="0.25">
      <c r="Q441"/>
      <c r="R441"/>
      <c r="S441"/>
      <c r="T441"/>
      <c r="U441"/>
      <c r="V441"/>
      <c r="W441"/>
    </row>
    <row r="442" spans="17:23" x14ac:dyDescent="0.25">
      <c r="Q442"/>
      <c r="R442"/>
      <c r="S442"/>
      <c r="T442"/>
      <c r="U442"/>
      <c r="V442"/>
      <c r="W442"/>
    </row>
    <row r="443" spans="17:23" x14ac:dyDescent="0.25">
      <c r="Q443"/>
      <c r="R443"/>
      <c r="S443"/>
      <c r="T443"/>
      <c r="U443"/>
      <c r="V443"/>
      <c r="W443"/>
    </row>
    <row r="444" spans="17:23" x14ac:dyDescent="0.25">
      <c r="Q444"/>
      <c r="R444"/>
      <c r="S444"/>
      <c r="T444"/>
      <c r="U444"/>
      <c r="V444"/>
      <c r="W444"/>
    </row>
    <row r="445" spans="17:23" x14ac:dyDescent="0.25">
      <c r="Q445"/>
      <c r="R445"/>
      <c r="S445"/>
      <c r="T445"/>
      <c r="U445"/>
      <c r="V445"/>
      <c r="W445"/>
    </row>
    <row r="446" spans="17:23" x14ac:dyDescent="0.25">
      <c r="Q446"/>
      <c r="R446"/>
      <c r="S446"/>
      <c r="T446"/>
      <c r="U446"/>
      <c r="V446"/>
      <c r="W446"/>
    </row>
    <row r="447" spans="17:23" x14ac:dyDescent="0.25">
      <c r="Q447"/>
      <c r="R447"/>
      <c r="S447"/>
      <c r="T447"/>
      <c r="U447"/>
      <c r="V447"/>
      <c r="W447"/>
    </row>
    <row r="448" spans="17:23" x14ac:dyDescent="0.25">
      <c r="Q448"/>
      <c r="R448"/>
      <c r="S448"/>
      <c r="T448"/>
      <c r="U448"/>
      <c r="V448"/>
      <c r="W448"/>
    </row>
    <row r="449" spans="17:23" x14ac:dyDescent="0.25">
      <c r="Q449"/>
      <c r="R449"/>
      <c r="S449"/>
      <c r="T449"/>
      <c r="U449"/>
      <c r="V449"/>
      <c r="W449"/>
    </row>
    <row r="450" spans="17:23" x14ac:dyDescent="0.25">
      <c r="Q450"/>
      <c r="R450"/>
      <c r="S450"/>
      <c r="T450"/>
      <c r="U450"/>
      <c r="V450"/>
      <c r="W450"/>
    </row>
    <row r="451" spans="17:23" x14ac:dyDescent="0.25">
      <c r="Q451"/>
      <c r="R451"/>
      <c r="S451"/>
      <c r="T451"/>
      <c r="U451"/>
      <c r="V451"/>
      <c r="W451"/>
    </row>
    <row r="452" spans="17:23" x14ac:dyDescent="0.25">
      <c r="Q452"/>
      <c r="R452"/>
      <c r="S452"/>
      <c r="T452"/>
      <c r="U452"/>
      <c r="V452"/>
      <c r="W452"/>
    </row>
    <row r="453" spans="17:23" x14ac:dyDescent="0.25">
      <c r="Q453"/>
      <c r="R453"/>
      <c r="S453"/>
      <c r="T453"/>
      <c r="U453"/>
      <c r="V453"/>
      <c r="W453"/>
    </row>
    <row r="454" spans="17:23" x14ac:dyDescent="0.25">
      <c r="Q454"/>
      <c r="R454"/>
      <c r="S454"/>
      <c r="T454"/>
      <c r="U454"/>
      <c r="V454"/>
      <c r="W454"/>
    </row>
    <row r="455" spans="17:23" x14ac:dyDescent="0.25">
      <c r="Q455"/>
      <c r="R455"/>
      <c r="S455"/>
      <c r="T455"/>
      <c r="U455"/>
      <c r="V455"/>
      <c r="W455"/>
    </row>
    <row r="456" spans="17:23" x14ac:dyDescent="0.25">
      <c r="Q456"/>
      <c r="R456"/>
      <c r="S456"/>
      <c r="T456"/>
      <c r="U456"/>
      <c r="V456"/>
      <c r="W456"/>
    </row>
    <row r="457" spans="17:23" x14ac:dyDescent="0.25">
      <c r="Q457"/>
      <c r="R457"/>
      <c r="S457"/>
      <c r="T457"/>
      <c r="U457"/>
      <c r="V457"/>
      <c r="W457"/>
    </row>
    <row r="458" spans="17:23" x14ac:dyDescent="0.25">
      <c r="Q458"/>
      <c r="R458"/>
      <c r="S458"/>
      <c r="T458"/>
      <c r="U458"/>
      <c r="V458"/>
      <c r="W458"/>
    </row>
    <row r="459" spans="17:23" x14ac:dyDescent="0.25">
      <c r="Q459"/>
      <c r="R459"/>
      <c r="S459"/>
      <c r="T459"/>
      <c r="U459"/>
      <c r="V459"/>
      <c r="W459"/>
    </row>
    <row r="460" spans="17:23" x14ac:dyDescent="0.25">
      <c r="Q460"/>
      <c r="R460"/>
      <c r="S460"/>
      <c r="T460"/>
      <c r="U460"/>
      <c r="V460"/>
      <c r="W460"/>
    </row>
    <row r="461" spans="17:23" x14ac:dyDescent="0.25">
      <c r="Q461"/>
      <c r="R461"/>
      <c r="S461"/>
      <c r="T461"/>
      <c r="U461"/>
      <c r="V461"/>
      <c r="W461"/>
    </row>
    <row r="462" spans="17:23" x14ac:dyDescent="0.25">
      <c r="Q462"/>
      <c r="R462"/>
      <c r="S462"/>
      <c r="T462"/>
      <c r="U462"/>
      <c r="V462"/>
      <c r="W462"/>
    </row>
    <row r="463" spans="17:23" x14ac:dyDescent="0.25">
      <c r="Q463"/>
      <c r="R463"/>
      <c r="S463"/>
      <c r="T463"/>
      <c r="U463"/>
      <c r="V463"/>
      <c r="W463"/>
    </row>
    <row r="464" spans="17:23" x14ac:dyDescent="0.25">
      <c r="Q464"/>
      <c r="R464"/>
      <c r="S464"/>
      <c r="T464"/>
      <c r="U464"/>
      <c r="V464"/>
      <c r="W464"/>
    </row>
    <row r="465" spans="17:23" x14ac:dyDescent="0.25">
      <c r="Q465"/>
      <c r="R465"/>
      <c r="S465"/>
      <c r="T465"/>
      <c r="U465"/>
      <c r="V465"/>
      <c r="W465"/>
    </row>
    <row r="466" spans="17:23" x14ac:dyDescent="0.25">
      <c r="Q466"/>
      <c r="R466"/>
      <c r="S466"/>
      <c r="T466"/>
      <c r="U466"/>
      <c r="V466"/>
      <c r="W466"/>
    </row>
    <row r="467" spans="17:23" x14ac:dyDescent="0.25">
      <c r="Q467"/>
      <c r="R467"/>
      <c r="S467"/>
      <c r="T467"/>
      <c r="U467"/>
      <c r="V467"/>
      <c r="W467"/>
    </row>
    <row r="468" spans="17:23" x14ac:dyDescent="0.25">
      <c r="Q468"/>
      <c r="R468"/>
      <c r="S468"/>
      <c r="T468"/>
      <c r="U468"/>
      <c r="V468"/>
      <c r="W468"/>
    </row>
    <row r="469" spans="17:23" x14ac:dyDescent="0.25">
      <c r="Q469"/>
      <c r="R469"/>
      <c r="S469"/>
      <c r="T469"/>
      <c r="U469"/>
      <c r="V469"/>
      <c r="W469"/>
    </row>
    <row r="470" spans="17:23" x14ac:dyDescent="0.25">
      <c r="Q470"/>
      <c r="R470"/>
      <c r="S470"/>
      <c r="T470"/>
      <c r="U470"/>
      <c r="V470"/>
      <c r="W470"/>
    </row>
    <row r="471" spans="17:23" x14ac:dyDescent="0.25">
      <c r="Q471"/>
      <c r="R471"/>
      <c r="S471"/>
      <c r="T471"/>
      <c r="U471"/>
      <c r="V471"/>
      <c r="W471"/>
    </row>
    <row r="472" spans="17:23" x14ac:dyDescent="0.25">
      <c r="Q472"/>
      <c r="R472"/>
      <c r="S472"/>
      <c r="T472"/>
      <c r="U472"/>
      <c r="V472"/>
      <c r="W472"/>
    </row>
    <row r="473" spans="17:23" x14ac:dyDescent="0.25">
      <c r="Q473"/>
      <c r="R473"/>
      <c r="S473"/>
      <c r="T473"/>
      <c r="U473"/>
      <c r="V473"/>
      <c r="W473"/>
    </row>
    <row r="474" spans="17:23" x14ac:dyDescent="0.25">
      <c r="Q474"/>
      <c r="R474"/>
      <c r="S474"/>
      <c r="T474"/>
      <c r="U474"/>
      <c r="V474"/>
      <c r="W474"/>
    </row>
    <row r="475" spans="17:23" x14ac:dyDescent="0.25">
      <c r="Q475"/>
      <c r="R475"/>
      <c r="S475"/>
      <c r="T475"/>
      <c r="U475"/>
      <c r="V475"/>
      <c r="W475"/>
    </row>
    <row r="476" spans="17:23" x14ac:dyDescent="0.25">
      <c r="Q476"/>
      <c r="R476"/>
      <c r="S476"/>
      <c r="T476"/>
      <c r="U476"/>
      <c r="V476"/>
      <c r="W476"/>
    </row>
    <row r="477" spans="17:23" x14ac:dyDescent="0.25">
      <c r="Q477"/>
      <c r="R477"/>
      <c r="S477"/>
      <c r="T477"/>
      <c r="U477"/>
      <c r="V477"/>
      <c r="W477"/>
    </row>
    <row r="478" spans="17:23" x14ac:dyDescent="0.25">
      <c r="Q478"/>
      <c r="R478"/>
      <c r="S478"/>
      <c r="T478"/>
      <c r="U478"/>
      <c r="V478"/>
      <c r="W478"/>
    </row>
    <row r="479" spans="17:23" x14ac:dyDescent="0.25">
      <c r="Q479"/>
      <c r="R479"/>
      <c r="S479"/>
      <c r="T479"/>
      <c r="U479"/>
      <c r="V479"/>
      <c r="W479"/>
    </row>
    <row r="480" spans="17:23" x14ac:dyDescent="0.25">
      <c r="Q480"/>
      <c r="R480"/>
      <c r="S480"/>
      <c r="T480"/>
      <c r="U480"/>
      <c r="V480"/>
      <c r="W480"/>
    </row>
    <row r="481" spans="17:23" x14ac:dyDescent="0.25">
      <c r="Q481"/>
      <c r="R481"/>
      <c r="S481"/>
      <c r="T481"/>
      <c r="U481"/>
      <c r="V481"/>
      <c r="W481"/>
    </row>
    <row r="482" spans="17:23" x14ac:dyDescent="0.25">
      <c r="Q482"/>
      <c r="R482"/>
      <c r="S482"/>
      <c r="T482"/>
      <c r="U482"/>
      <c r="V482"/>
      <c r="W482"/>
    </row>
    <row r="483" spans="17:23" x14ac:dyDescent="0.25">
      <c r="Q483"/>
      <c r="R483"/>
      <c r="S483"/>
      <c r="T483"/>
      <c r="U483"/>
      <c r="V483"/>
      <c r="W483"/>
    </row>
    <row r="484" spans="17:23" x14ac:dyDescent="0.25">
      <c r="Q484"/>
      <c r="R484"/>
      <c r="S484"/>
      <c r="T484"/>
      <c r="U484"/>
      <c r="V484"/>
      <c r="W484"/>
    </row>
    <row r="485" spans="17:23" x14ac:dyDescent="0.25">
      <c r="Q485"/>
      <c r="R485"/>
      <c r="S485"/>
      <c r="T485"/>
      <c r="U485"/>
      <c r="V485"/>
      <c r="W485"/>
    </row>
    <row r="486" spans="17:23" x14ac:dyDescent="0.25">
      <c r="Q486"/>
      <c r="R486"/>
      <c r="S486"/>
      <c r="T486"/>
      <c r="U486"/>
      <c r="V486"/>
      <c r="W486"/>
    </row>
    <row r="487" spans="17:23" x14ac:dyDescent="0.25">
      <c r="Q487"/>
      <c r="R487"/>
      <c r="S487"/>
      <c r="T487"/>
      <c r="U487"/>
      <c r="V487"/>
      <c r="W487"/>
    </row>
    <row r="488" spans="17:23" x14ac:dyDescent="0.25">
      <c r="Q488"/>
      <c r="R488"/>
      <c r="S488"/>
      <c r="T488"/>
      <c r="U488"/>
      <c r="V488"/>
      <c r="W488"/>
    </row>
    <row r="489" spans="17:23" x14ac:dyDescent="0.25">
      <c r="Q489"/>
      <c r="R489"/>
      <c r="S489"/>
      <c r="T489"/>
      <c r="U489"/>
      <c r="V489"/>
      <c r="W489"/>
    </row>
    <row r="490" spans="17:23" x14ac:dyDescent="0.25">
      <c r="Q490"/>
      <c r="R490"/>
      <c r="S490"/>
      <c r="T490"/>
      <c r="U490"/>
      <c r="V490"/>
      <c r="W490"/>
    </row>
    <row r="491" spans="17:23" x14ac:dyDescent="0.25">
      <c r="Q491"/>
      <c r="R491"/>
      <c r="S491"/>
      <c r="T491"/>
      <c r="U491"/>
      <c r="V491"/>
      <c r="W491"/>
    </row>
    <row r="492" spans="17:23" x14ac:dyDescent="0.25">
      <c r="Q492"/>
      <c r="R492"/>
      <c r="S492"/>
      <c r="T492"/>
      <c r="U492"/>
      <c r="V492"/>
      <c r="W492"/>
    </row>
    <row r="493" spans="17:23" x14ac:dyDescent="0.25">
      <c r="Q493"/>
      <c r="R493"/>
      <c r="S493"/>
      <c r="T493"/>
      <c r="U493"/>
      <c r="V493"/>
      <c r="W493"/>
    </row>
    <row r="494" spans="17:23" x14ac:dyDescent="0.25">
      <c r="Q494"/>
      <c r="R494"/>
      <c r="S494"/>
      <c r="T494"/>
      <c r="U494"/>
      <c r="V494"/>
      <c r="W494"/>
    </row>
    <row r="495" spans="17:23" x14ac:dyDescent="0.25">
      <c r="Q495"/>
      <c r="R495"/>
      <c r="S495"/>
      <c r="T495"/>
      <c r="U495"/>
      <c r="V495"/>
      <c r="W495"/>
    </row>
    <row r="496" spans="17:23" x14ac:dyDescent="0.25">
      <c r="Q496"/>
      <c r="R496"/>
      <c r="S496"/>
      <c r="T496"/>
      <c r="U496"/>
      <c r="V496"/>
      <c r="W496"/>
    </row>
    <row r="497" spans="17:23" x14ac:dyDescent="0.25">
      <c r="Q497"/>
      <c r="R497"/>
      <c r="S497"/>
      <c r="T497"/>
      <c r="U497"/>
      <c r="V497"/>
      <c r="W497"/>
    </row>
    <row r="498" spans="17:23" x14ac:dyDescent="0.25">
      <c r="Q498"/>
      <c r="R498"/>
      <c r="S498"/>
      <c r="T498"/>
      <c r="U498"/>
      <c r="V498"/>
      <c r="W498"/>
    </row>
    <row r="499" spans="17:23" x14ac:dyDescent="0.25">
      <c r="Q499"/>
      <c r="R499"/>
      <c r="S499"/>
      <c r="T499"/>
      <c r="U499"/>
      <c r="V499"/>
      <c r="W499"/>
    </row>
    <row r="500" spans="17:23" x14ac:dyDescent="0.25">
      <c r="Q500"/>
      <c r="R500"/>
      <c r="S500"/>
      <c r="T500"/>
      <c r="U500"/>
      <c r="V500"/>
      <c r="W500"/>
    </row>
    <row r="501" spans="17:23" x14ac:dyDescent="0.25">
      <c r="Q501"/>
      <c r="R501"/>
      <c r="S501"/>
      <c r="T501"/>
      <c r="U501"/>
      <c r="V501"/>
      <c r="W501"/>
    </row>
    <row r="502" spans="17:23" x14ac:dyDescent="0.25">
      <c r="Q502"/>
      <c r="R502"/>
      <c r="S502"/>
      <c r="T502"/>
      <c r="U502"/>
      <c r="V502"/>
      <c r="W502"/>
    </row>
  </sheetData>
  <phoneticPr fontId="37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H7302"/>
  <sheetViews>
    <sheetView workbookViewId="0">
      <selection activeCell="H3" sqref="H3"/>
    </sheetView>
  </sheetViews>
  <sheetFormatPr defaultRowHeight="15" x14ac:dyDescent="0.25"/>
  <cols>
    <col min="1" max="1" width="14.7109375" style="323" bestFit="1" customWidth="1"/>
    <col min="2" max="2" width="17.140625" style="323" customWidth="1"/>
    <col min="3" max="3" width="20.42578125" style="323" customWidth="1"/>
    <col min="4" max="4" width="18.42578125" style="323" customWidth="1"/>
    <col min="5" max="5" width="15.5703125" style="324" customWidth="1"/>
    <col min="6" max="6" width="7" customWidth="1"/>
    <col min="7" max="7" width="27.140625" bestFit="1" customWidth="1"/>
    <col min="8" max="8" width="14.140625" bestFit="1" customWidth="1"/>
    <col min="10" max="10" width="80.7109375" bestFit="1" customWidth="1"/>
  </cols>
  <sheetData>
    <row r="1" spans="1:8" x14ac:dyDescent="0.25">
      <c r="A1" s="325" t="s">
        <v>7512</v>
      </c>
      <c r="B1" s="325" t="s">
        <v>7513</v>
      </c>
      <c r="C1" s="325" t="s">
        <v>7515</v>
      </c>
      <c r="D1" s="325" t="s">
        <v>7514</v>
      </c>
      <c r="E1" s="326" t="s">
        <v>559</v>
      </c>
    </row>
    <row r="2" spans="1:8" x14ac:dyDescent="0.25">
      <c r="A2" s="323" t="s">
        <v>886</v>
      </c>
      <c r="B2" s="323" t="s">
        <v>809</v>
      </c>
      <c r="C2" s="323">
        <v>10249</v>
      </c>
      <c r="D2" s="323">
        <v>60</v>
      </c>
      <c r="E2" s="324">
        <f t="shared" ref="E2:E65" si="0">D2*IF(B2=$G$9,WerkdrukbedragPerLeerlingBo,IF(B2=$G$10,WerkdrukbedragPerLeerlingSbo,IF(B2=$G$11,WerkdrukbedragPerLeerlingSo,IF(B2=$G$12,WerkdrukbedragPerLeerlingVso,0))))</f>
        <v>29263.200000000001</v>
      </c>
    </row>
    <row r="3" spans="1:8" x14ac:dyDescent="0.25">
      <c r="A3" s="323" t="s">
        <v>886</v>
      </c>
      <c r="B3" s="323" t="s">
        <v>803</v>
      </c>
      <c r="C3" s="323">
        <v>10249</v>
      </c>
      <c r="D3" s="323">
        <v>90</v>
      </c>
      <c r="E3" s="324">
        <f t="shared" si="0"/>
        <v>43894.8</v>
      </c>
      <c r="G3" t="s">
        <v>8401</v>
      </c>
      <c r="H3">
        <f>Data_WerkgeverNummer</f>
        <v>0</v>
      </c>
    </row>
    <row r="4" spans="1:8" x14ac:dyDescent="0.25">
      <c r="A4" s="323" t="s">
        <v>5502</v>
      </c>
      <c r="B4" s="323" t="s">
        <v>805</v>
      </c>
      <c r="C4" s="323">
        <v>10249</v>
      </c>
      <c r="D4" s="323">
        <v>222</v>
      </c>
      <c r="E4" s="324">
        <f t="shared" si="0"/>
        <v>54136.920000000006</v>
      </c>
      <c r="G4" t="s">
        <v>8402</v>
      </c>
      <c r="H4" t="str">
        <f>_xlfn.IFNA(VLOOKUP(Data_WerkgeverNummer,BevoegdGezag[],2,FALSE),"")</f>
        <v/>
      </c>
    </row>
    <row r="5" spans="1:8" x14ac:dyDescent="0.25">
      <c r="A5" s="323" t="s">
        <v>5519</v>
      </c>
      <c r="B5" s="323" t="s">
        <v>805</v>
      </c>
      <c r="C5" s="323">
        <v>10249</v>
      </c>
      <c r="D5" s="323">
        <v>81</v>
      </c>
      <c r="E5" s="324">
        <f t="shared" si="0"/>
        <v>19752.66</v>
      </c>
      <c r="G5" t="s">
        <v>800</v>
      </c>
      <c r="H5">
        <f>SUMIF(C2:C7302,Data_WerkgeverNummer,D2:D7302)</f>
        <v>0</v>
      </c>
    </row>
    <row r="6" spans="1:8" x14ac:dyDescent="0.25">
      <c r="A6" s="323" t="s">
        <v>5539</v>
      </c>
      <c r="B6" s="323" t="s">
        <v>805</v>
      </c>
      <c r="C6" s="323">
        <v>10249</v>
      </c>
      <c r="D6" s="323">
        <v>101</v>
      </c>
      <c r="E6" s="324">
        <f t="shared" si="0"/>
        <v>24629.86</v>
      </c>
      <c r="G6" t="s">
        <v>801</v>
      </c>
      <c r="H6" s="324">
        <f>_xlfn.IFNA(VLOOKUP($H$3,BevoegdGezag[],4,FALSE),0)</f>
        <v>0</v>
      </c>
    </row>
    <row r="7" spans="1:8" x14ac:dyDescent="0.25">
      <c r="A7" s="323" t="s">
        <v>5581</v>
      </c>
      <c r="B7" s="323" t="s">
        <v>805</v>
      </c>
      <c r="C7" s="323">
        <v>10249</v>
      </c>
      <c r="D7" s="323">
        <v>72</v>
      </c>
      <c r="E7" s="324">
        <f t="shared" si="0"/>
        <v>17557.920000000002</v>
      </c>
    </row>
    <row r="8" spans="1:8" x14ac:dyDescent="0.25">
      <c r="A8" s="323" t="s">
        <v>5633</v>
      </c>
      <c r="B8" s="323" t="s">
        <v>805</v>
      </c>
      <c r="C8" s="323">
        <v>10249</v>
      </c>
      <c r="D8" s="323">
        <v>298</v>
      </c>
      <c r="E8" s="324">
        <f t="shared" si="0"/>
        <v>72670.28</v>
      </c>
      <c r="G8" t="s">
        <v>7516</v>
      </c>
    </row>
    <row r="9" spans="1:8" x14ac:dyDescent="0.25">
      <c r="A9" s="323" t="s">
        <v>5648</v>
      </c>
      <c r="B9" s="323" t="s">
        <v>805</v>
      </c>
      <c r="C9" s="323">
        <v>10249</v>
      </c>
      <c r="D9" s="323">
        <v>387</v>
      </c>
      <c r="E9" s="324">
        <f t="shared" si="0"/>
        <v>94373.82</v>
      </c>
      <c r="G9" s="323" t="s">
        <v>805</v>
      </c>
      <c r="H9" s="322">
        <v>243.86</v>
      </c>
    </row>
    <row r="10" spans="1:8" x14ac:dyDescent="0.25">
      <c r="A10" s="323" t="s">
        <v>5698</v>
      </c>
      <c r="B10" s="323" t="s">
        <v>805</v>
      </c>
      <c r="C10" s="323">
        <v>10249</v>
      </c>
      <c r="D10" s="323">
        <v>67</v>
      </c>
      <c r="E10" s="324">
        <f t="shared" si="0"/>
        <v>16338.62</v>
      </c>
      <c r="G10" s="323" t="s">
        <v>816</v>
      </c>
      <c r="H10" s="322">
        <v>365.79</v>
      </c>
    </row>
    <row r="11" spans="1:8" x14ac:dyDescent="0.25">
      <c r="A11" s="323" t="s">
        <v>5709</v>
      </c>
      <c r="B11" s="323" t="s">
        <v>805</v>
      </c>
      <c r="C11" s="323">
        <v>10249</v>
      </c>
      <c r="D11" s="323">
        <v>260</v>
      </c>
      <c r="E11" s="324">
        <f t="shared" si="0"/>
        <v>63403.600000000006</v>
      </c>
      <c r="G11" s="323" t="s">
        <v>809</v>
      </c>
      <c r="H11" s="322">
        <v>487.72</v>
      </c>
    </row>
    <row r="12" spans="1:8" x14ac:dyDescent="0.25">
      <c r="A12" s="323" t="s">
        <v>5718</v>
      </c>
      <c r="B12" s="323" t="s">
        <v>805</v>
      </c>
      <c r="C12" s="323">
        <v>10249</v>
      </c>
      <c r="D12" s="323">
        <v>84</v>
      </c>
      <c r="E12" s="324">
        <f t="shared" si="0"/>
        <v>20484.240000000002</v>
      </c>
      <c r="G12" s="323" t="s">
        <v>803</v>
      </c>
      <c r="H12" s="322">
        <v>487.72</v>
      </c>
    </row>
    <row r="13" spans="1:8" x14ac:dyDescent="0.25">
      <c r="A13" s="323" t="s">
        <v>5736</v>
      </c>
      <c r="B13" s="323" t="s">
        <v>805</v>
      </c>
      <c r="C13" s="323">
        <v>10249</v>
      </c>
      <c r="D13" s="323">
        <v>99</v>
      </c>
      <c r="E13" s="324">
        <f t="shared" si="0"/>
        <v>24142.140000000003</v>
      </c>
    </row>
    <row r="14" spans="1:8" x14ac:dyDescent="0.25">
      <c r="A14" s="323" t="s">
        <v>5744</v>
      </c>
      <c r="B14" s="323" t="s">
        <v>805</v>
      </c>
      <c r="C14" s="323">
        <v>10249</v>
      </c>
      <c r="D14" s="323">
        <v>126</v>
      </c>
      <c r="E14" s="324">
        <f t="shared" si="0"/>
        <v>30726.36</v>
      </c>
    </row>
    <row r="15" spans="1:8" x14ac:dyDescent="0.25">
      <c r="A15" s="323" t="s">
        <v>5750</v>
      </c>
      <c r="B15" s="323" t="s">
        <v>805</v>
      </c>
      <c r="C15" s="323">
        <v>10249</v>
      </c>
      <c r="D15" s="323">
        <v>114</v>
      </c>
      <c r="E15" s="324">
        <f t="shared" si="0"/>
        <v>27800.04</v>
      </c>
    </row>
    <row r="16" spans="1:8" x14ac:dyDescent="0.25">
      <c r="A16" s="323" t="s">
        <v>5752</v>
      </c>
      <c r="B16" s="323" t="s">
        <v>805</v>
      </c>
      <c r="C16" s="323">
        <v>10249</v>
      </c>
      <c r="D16" s="323">
        <v>73</v>
      </c>
      <c r="E16" s="324">
        <f t="shared" si="0"/>
        <v>17801.780000000002</v>
      </c>
    </row>
    <row r="17" spans="1:5" x14ac:dyDescent="0.25">
      <c r="A17" s="323" t="s">
        <v>5755</v>
      </c>
      <c r="B17" s="323" t="s">
        <v>805</v>
      </c>
      <c r="C17" s="323">
        <v>10249</v>
      </c>
      <c r="D17" s="323">
        <v>119</v>
      </c>
      <c r="E17" s="324">
        <f t="shared" si="0"/>
        <v>29019.34</v>
      </c>
    </row>
    <row r="18" spans="1:5" x14ac:dyDescent="0.25">
      <c r="A18" s="323" t="s">
        <v>5764</v>
      </c>
      <c r="B18" s="323" t="s">
        <v>805</v>
      </c>
      <c r="C18" s="323">
        <v>10249</v>
      </c>
      <c r="D18" s="323">
        <v>39</v>
      </c>
      <c r="E18" s="324">
        <f t="shared" si="0"/>
        <v>9510.5400000000009</v>
      </c>
    </row>
    <row r="19" spans="1:5" x14ac:dyDescent="0.25">
      <c r="A19" s="323" t="s">
        <v>5768</v>
      </c>
      <c r="B19" s="323" t="s">
        <v>805</v>
      </c>
      <c r="C19" s="323">
        <v>10249</v>
      </c>
      <c r="D19" s="323">
        <v>51</v>
      </c>
      <c r="E19" s="324">
        <f t="shared" si="0"/>
        <v>12436.86</v>
      </c>
    </row>
    <row r="20" spans="1:5" x14ac:dyDescent="0.25">
      <c r="A20" s="323" t="s">
        <v>5773</v>
      </c>
      <c r="B20" s="323" t="s">
        <v>805</v>
      </c>
      <c r="C20" s="323">
        <v>10249</v>
      </c>
      <c r="D20" s="323">
        <v>204</v>
      </c>
      <c r="E20" s="324">
        <f t="shared" si="0"/>
        <v>49747.44</v>
      </c>
    </row>
    <row r="21" spans="1:5" x14ac:dyDescent="0.25">
      <c r="A21" s="323" t="s">
        <v>5777</v>
      </c>
      <c r="B21" s="323" t="s">
        <v>805</v>
      </c>
      <c r="C21" s="323">
        <v>10249</v>
      </c>
      <c r="D21" s="323">
        <v>338</v>
      </c>
      <c r="E21" s="324">
        <f t="shared" si="0"/>
        <v>82424.680000000008</v>
      </c>
    </row>
    <row r="22" spans="1:5" x14ac:dyDescent="0.25">
      <c r="A22" s="323" t="s">
        <v>5789</v>
      </c>
      <c r="B22" s="323" t="s">
        <v>805</v>
      </c>
      <c r="C22" s="323">
        <v>10249</v>
      </c>
      <c r="D22" s="323">
        <v>98</v>
      </c>
      <c r="E22" s="324">
        <f t="shared" si="0"/>
        <v>23898.280000000002</v>
      </c>
    </row>
    <row r="23" spans="1:5" x14ac:dyDescent="0.25">
      <c r="A23" s="323" t="s">
        <v>5813</v>
      </c>
      <c r="B23" s="323" t="s">
        <v>805</v>
      </c>
      <c r="C23" s="323">
        <v>10249</v>
      </c>
      <c r="D23" s="323">
        <v>96</v>
      </c>
      <c r="E23" s="324">
        <f t="shared" si="0"/>
        <v>23410.560000000001</v>
      </c>
    </row>
    <row r="24" spans="1:5" x14ac:dyDescent="0.25">
      <c r="A24" s="323" t="s">
        <v>5823</v>
      </c>
      <c r="B24" s="323" t="s">
        <v>805</v>
      </c>
      <c r="C24" s="323">
        <v>10249</v>
      </c>
      <c r="D24" s="323">
        <v>57</v>
      </c>
      <c r="E24" s="324">
        <f t="shared" si="0"/>
        <v>13900.02</v>
      </c>
    </row>
    <row r="25" spans="1:5" x14ac:dyDescent="0.25">
      <c r="A25" s="323" t="s">
        <v>5840</v>
      </c>
      <c r="B25" s="323" t="s">
        <v>805</v>
      </c>
      <c r="C25" s="323">
        <v>10249</v>
      </c>
      <c r="D25" s="323">
        <v>76</v>
      </c>
      <c r="E25" s="324">
        <f t="shared" si="0"/>
        <v>18533.36</v>
      </c>
    </row>
    <row r="26" spans="1:5" x14ac:dyDescent="0.25">
      <c r="A26" s="323" t="s">
        <v>6104</v>
      </c>
      <c r="B26" s="323" t="s">
        <v>805</v>
      </c>
      <c r="C26" s="323">
        <v>10249</v>
      </c>
      <c r="D26" s="323">
        <v>169</v>
      </c>
      <c r="E26" s="324">
        <f t="shared" si="0"/>
        <v>41212.340000000004</v>
      </c>
    </row>
    <row r="27" spans="1:5" x14ac:dyDescent="0.25">
      <c r="A27" s="323" t="s">
        <v>6392</v>
      </c>
      <c r="B27" s="323" t="s">
        <v>816</v>
      </c>
      <c r="C27" s="323">
        <v>10249</v>
      </c>
      <c r="D27" s="323">
        <v>182</v>
      </c>
      <c r="E27" s="324">
        <f t="shared" si="0"/>
        <v>66573.78</v>
      </c>
    </row>
    <row r="28" spans="1:5" x14ac:dyDescent="0.25">
      <c r="A28" s="323" t="s">
        <v>6785</v>
      </c>
      <c r="B28" s="323" t="s">
        <v>805</v>
      </c>
      <c r="C28" s="323">
        <v>10249</v>
      </c>
      <c r="D28" s="323">
        <v>208</v>
      </c>
      <c r="E28" s="324">
        <f t="shared" si="0"/>
        <v>50722.880000000005</v>
      </c>
    </row>
    <row r="29" spans="1:5" x14ac:dyDescent="0.25">
      <c r="A29" s="323" t="s">
        <v>6970</v>
      </c>
      <c r="B29" s="323" t="s">
        <v>805</v>
      </c>
      <c r="C29" s="323">
        <v>10249</v>
      </c>
      <c r="D29" s="323">
        <v>439</v>
      </c>
      <c r="E29" s="324">
        <f t="shared" si="0"/>
        <v>107054.54000000001</v>
      </c>
    </row>
    <row r="30" spans="1:5" x14ac:dyDescent="0.25">
      <c r="A30" s="323" t="s">
        <v>7059</v>
      </c>
      <c r="B30" s="323" t="s">
        <v>805</v>
      </c>
      <c r="C30" s="323">
        <v>10249</v>
      </c>
      <c r="D30" s="323">
        <v>213</v>
      </c>
      <c r="E30" s="324">
        <f t="shared" si="0"/>
        <v>51942.18</v>
      </c>
    </row>
    <row r="31" spans="1:5" x14ac:dyDescent="0.25">
      <c r="A31" s="323" t="s">
        <v>7388</v>
      </c>
      <c r="B31" s="323" t="s">
        <v>805</v>
      </c>
      <c r="C31" s="323">
        <v>10249</v>
      </c>
      <c r="D31" s="323">
        <v>78</v>
      </c>
      <c r="E31" s="324">
        <f t="shared" si="0"/>
        <v>19021.080000000002</v>
      </c>
    </row>
    <row r="32" spans="1:5" x14ac:dyDescent="0.25">
      <c r="A32" s="323" t="s">
        <v>6127</v>
      </c>
      <c r="B32" s="323" t="s">
        <v>805</v>
      </c>
      <c r="C32" s="323">
        <v>10867</v>
      </c>
      <c r="D32" s="323">
        <v>82</v>
      </c>
      <c r="E32" s="324">
        <f t="shared" si="0"/>
        <v>19996.52</v>
      </c>
    </row>
    <row r="33" spans="1:5" x14ac:dyDescent="0.25">
      <c r="A33" s="323" t="s">
        <v>6152</v>
      </c>
      <c r="B33" s="323" t="s">
        <v>805</v>
      </c>
      <c r="C33" s="323">
        <v>10867</v>
      </c>
      <c r="D33" s="323">
        <v>47</v>
      </c>
      <c r="E33" s="324">
        <f t="shared" si="0"/>
        <v>11461.42</v>
      </c>
    </row>
    <row r="34" spans="1:5" x14ac:dyDescent="0.25">
      <c r="A34" s="323" t="s">
        <v>6174</v>
      </c>
      <c r="B34" s="323" t="s">
        <v>805</v>
      </c>
      <c r="C34" s="323">
        <v>10867</v>
      </c>
      <c r="D34" s="323">
        <v>44</v>
      </c>
      <c r="E34" s="324">
        <f t="shared" si="0"/>
        <v>10729.84</v>
      </c>
    </row>
    <row r="35" spans="1:5" x14ac:dyDescent="0.25">
      <c r="A35" s="323" t="s">
        <v>4317</v>
      </c>
      <c r="B35" s="323" t="s">
        <v>805</v>
      </c>
      <c r="C35" s="323">
        <v>10925</v>
      </c>
      <c r="D35" s="323">
        <v>68</v>
      </c>
      <c r="E35" s="324">
        <f t="shared" si="0"/>
        <v>16582.48</v>
      </c>
    </row>
    <row r="36" spans="1:5" x14ac:dyDescent="0.25">
      <c r="A36" s="323" t="s">
        <v>4427</v>
      </c>
      <c r="B36" s="323" t="s">
        <v>805</v>
      </c>
      <c r="C36" s="323">
        <v>10925</v>
      </c>
      <c r="D36" s="323">
        <v>52</v>
      </c>
      <c r="E36" s="324">
        <f t="shared" si="0"/>
        <v>12680.720000000001</v>
      </c>
    </row>
    <row r="37" spans="1:5" x14ac:dyDescent="0.25">
      <c r="A37" s="323" t="s">
        <v>4531</v>
      </c>
      <c r="B37" s="323" t="s">
        <v>805</v>
      </c>
      <c r="C37" s="323">
        <v>10925</v>
      </c>
      <c r="D37" s="323">
        <v>376</v>
      </c>
      <c r="E37" s="324">
        <f t="shared" si="0"/>
        <v>91691.36</v>
      </c>
    </row>
    <row r="38" spans="1:5" x14ac:dyDescent="0.25">
      <c r="A38" s="323" t="s">
        <v>4698</v>
      </c>
      <c r="B38" s="323" t="s">
        <v>805</v>
      </c>
      <c r="C38" s="323">
        <v>10925</v>
      </c>
      <c r="D38" s="323">
        <v>52</v>
      </c>
      <c r="E38" s="324">
        <f t="shared" si="0"/>
        <v>12680.720000000001</v>
      </c>
    </row>
    <row r="39" spans="1:5" x14ac:dyDescent="0.25">
      <c r="A39" s="323" t="s">
        <v>4766</v>
      </c>
      <c r="B39" s="323" t="s">
        <v>805</v>
      </c>
      <c r="C39" s="323">
        <v>10925</v>
      </c>
      <c r="D39" s="323">
        <v>56</v>
      </c>
      <c r="E39" s="324">
        <f t="shared" si="0"/>
        <v>13656.16</v>
      </c>
    </row>
    <row r="40" spans="1:5" x14ac:dyDescent="0.25">
      <c r="A40" s="323" t="s">
        <v>4873</v>
      </c>
      <c r="B40" s="323" t="s">
        <v>805</v>
      </c>
      <c r="C40" s="323">
        <v>10925</v>
      </c>
      <c r="D40" s="323">
        <v>48</v>
      </c>
      <c r="E40" s="324">
        <f t="shared" si="0"/>
        <v>11705.28</v>
      </c>
    </row>
    <row r="41" spans="1:5" x14ac:dyDescent="0.25">
      <c r="A41" s="323" t="s">
        <v>2114</v>
      </c>
      <c r="B41" s="323" t="s">
        <v>805</v>
      </c>
      <c r="C41" s="323">
        <v>11711</v>
      </c>
      <c r="D41" s="323">
        <v>70</v>
      </c>
      <c r="E41" s="324">
        <f t="shared" si="0"/>
        <v>17070.2</v>
      </c>
    </row>
    <row r="42" spans="1:5" x14ac:dyDescent="0.25">
      <c r="A42" s="323" t="s">
        <v>3394</v>
      </c>
      <c r="B42" s="323" t="s">
        <v>805</v>
      </c>
      <c r="C42" s="323">
        <v>11711</v>
      </c>
      <c r="D42" s="323">
        <v>204</v>
      </c>
      <c r="E42" s="324">
        <f t="shared" si="0"/>
        <v>49747.44</v>
      </c>
    </row>
    <row r="43" spans="1:5" x14ac:dyDescent="0.25">
      <c r="A43" s="323" t="s">
        <v>3408</v>
      </c>
      <c r="B43" s="323" t="s">
        <v>805</v>
      </c>
      <c r="C43" s="323">
        <v>11711</v>
      </c>
      <c r="D43" s="323">
        <v>162</v>
      </c>
      <c r="E43" s="324">
        <f t="shared" si="0"/>
        <v>39505.32</v>
      </c>
    </row>
    <row r="44" spans="1:5" x14ac:dyDescent="0.25">
      <c r="A44" s="323" t="s">
        <v>3900</v>
      </c>
      <c r="B44" s="323" t="s">
        <v>805</v>
      </c>
      <c r="C44" s="323">
        <v>11711</v>
      </c>
      <c r="D44" s="323">
        <v>49</v>
      </c>
      <c r="E44" s="324">
        <f t="shared" si="0"/>
        <v>11949.140000000001</v>
      </c>
    </row>
    <row r="45" spans="1:5" x14ac:dyDescent="0.25">
      <c r="A45" s="323" t="s">
        <v>4082</v>
      </c>
      <c r="B45" s="323" t="s">
        <v>805</v>
      </c>
      <c r="C45" s="323">
        <v>11711</v>
      </c>
      <c r="D45" s="323">
        <v>288</v>
      </c>
      <c r="E45" s="324">
        <f t="shared" si="0"/>
        <v>70231.680000000008</v>
      </c>
    </row>
    <row r="46" spans="1:5" x14ac:dyDescent="0.25">
      <c r="A46" s="323" t="s">
        <v>4541</v>
      </c>
      <c r="B46" s="323" t="s">
        <v>805</v>
      </c>
      <c r="C46" s="323">
        <v>11711</v>
      </c>
      <c r="D46" s="323">
        <v>217</v>
      </c>
      <c r="E46" s="324">
        <f t="shared" si="0"/>
        <v>52917.62</v>
      </c>
    </row>
    <row r="47" spans="1:5" x14ac:dyDescent="0.25">
      <c r="A47" s="323" t="s">
        <v>4701</v>
      </c>
      <c r="B47" s="323" t="s">
        <v>805</v>
      </c>
      <c r="C47" s="323">
        <v>11711</v>
      </c>
      <c r="D47" s="323">
        <v>136</v>
      </c>
      <c r="E47" s="324">
        <f t="shared" si="0"/>
        <v>33164.959999999999</v>
      </c>
    </row>
    <row r="48" spans="1:5" x14ac:dyDescent="0.25">
      <c r="A48" s="323" t="s">
        <v>4771</v>
      </c>
      <c r="B48" s="323" t="s">
        <v>805</v>
      </c>
      <c r="C48" s="323">
        <v>11711</v>
      </c>
      <c r="D48" s="323">
        <v>228</v>
      </c>
      <c r="E48" s="324">
        <f t="shared" si="0"/>
        <v>55600.08</v>
      </c>
    </row>
    <row r="49" spans="1:5" x14ac:dyDescent="0.25">
      <c r="A49" s="323" t="s">
        <v>4829</v>
      </c>
      <c r="B49" s="323" t="s">
        <v>805</v>
      </c>
      <c r="C49" s="323">
        <v>11711</v>
      </c>
      <c r="D49" s="323">
        <v>303</v>
      </c>
      <c r="E49" s="324">
        <f t="shared" si="0"/>
        <v>73889.58</v>
      </c>
    </row>
    <row r="50" spans="1:5" x14ac:dyDescent="0.25">
      <c r="A50" s="323" t="s">
        <v>4877</v>
      </c>
      <c r="B50" s="323" t="s">
        <v>805</v>
      </c>
      <c r="C50" s="323">
        <v>11711</v>
      </c>
      <c r="D50" s="323">
        <v>64</v>
      </c>
      <c r="E50" s="324">
        <f t="shared" si="0"/>
        <v>15607.04</v>
      </c>
    </row>
    <row r="51" spans="1:5" x14ac:dyDescent="0.25">
      <c r="A51" s="323" t="s">
        <v>4919</v>
      </c>
      <c r="B51" s="323" t="s">
        <v>805</v>
      </c>
      <c r="C51" s="323">
        <v>11711</v>
      </c>
      <c r="D51" s="323">
        <v>43</v>
      </c>
      <c r="E51" s="324">
        <f t="shared" si="0"/>
        <v>10485.980000000001</v>
      </c>
    </row>
    <row r="52" spans="1:5" x14ac:dyDescent="0.25">
      <c r="A52" s="323" t="s">
        <v>6478</v>
      </c>
      <c r="B52" s="323" t="s">
        <v>816</v>
      </c>
      <c r="C52" s="323">
        <v>11711</v>
      </c>
      <c r="D52" s="323">
        <v>170</v>
      </c>
      <c r="E52" s="324">
        <f t="shared" si="0"/>
        <v>62184.3</v>
      </c>
    </row>
    <row r="53" spans="1:5" x14ac:dyDescent="0.25">
      <c r="A53" s="323" t="s">
        <v>6069</v>
      </c>
      <c r="B53" s="323" t="s">
        <v>805</v>
      </c>
      <c r="C53" s="323">
        <v>11764</v>
      </c>
      <c r="D53" s="323">
        <v>69</v>
      </c>
      <c r="E53" s="324">
        <f t="shared" si="0"/>
        <v>16826.34</v>
      </c>
    </row>
    <row r="54" spans="1:5" x14ac:dyDescent="0.25">
      <c r="A54" s="323" t="s">
        <v>5267</v>
      </c>
      <c r="B54" s="323" t="s">
        <v>805</v>
      </c>
      <c r="C54" s="323">
        <v>13622</v>
      </c>
      <c r="D54" s="323">
        <v>108</v>
      </c>
      <c r="E54" s="324">
        <f t="shared" si="0"/>
        <v>26336.880000000001</v>
      </c>
    </row>
    <row r="55" spans="1:5" x14ac:dyDescent="0.25">
      <c r="A55" s="323" t="s">
        <v>5305</v>
      </c>
      <c r="B55" s="323" t="s">
        <v>805</v>
      </c>
      <c r="C55" s="323">
        <v>13622</v>
      </c>
      <c r="D55" s="323">
        <v>568</v>
      </c>
      <c r="E55" s="324">
        <f t="shared" si="0"/>
        <v>138512.48000000001</v>
      </c>
    </row>
    <row r="56" spans="1:5" x14ac:dyDescent="0.25">
      <c r="A56" s="323" t="s">
        <v>5365</v>
      </c>
      <c r="B56" s="323" t="s">
        <v>805</v>
      </c>
      <c r="C56" s="323">
        <v>13622</v>
      </c>
      <c r="D56" s="323">
        <v>172</v>
      </c>
      <c r="E56" s="324">
        <f t="shared" si="0"/>
        <v>41943.920000000006</v>
      </c>
    </row>
    <row r="57" spans="1:5" x14ac:dyDescent="0.25">
      <c r="A57" s="323" t="s">
        <v>5470</v>
      </c>
      <c r="B57" s="323" t="s">
        <v>805</v>
      </c>
      <c r="C57" s="323">
        <v>13622</v>
      </c>
      <c r="D57" s="323">
        <v>146</v>
      </c>
      <c r="E57" s="324">
        <f t="shared" si="0"/>
        <v>35603.560000000005</v>
      </c>
    </row>
    <row r="58" spans="1:5" x14ac:dyDescent="0.25">
      <c r="A58" s="323" t="s">
        <v>5495</v>
      </c>
      <c r="B58" s="323" t="s">
        <v>805</v>
      </c>
      <c r="C58" s="323">
        <v>13622</v>
      </c>
      <c r="D58" s="323">
        <v>106</v>
      </c>
      <c r="E58" s="324">
        <f t="shared" si="0"/>
        <v>25849.16</v>
      </c>
    </row>
    <row r="59" spans="1:5" x14ac:dyDescent="0.25">
      <c r="A59" s="323" t="s">
        <v>5561</v>
      </c>
      <c r="B59" s="323" t="s">
        <v>805</v>
      </c>
      <c r="C59" s="323">
        <v>13622</v>
      </c>
      <c r="D59" s="323">
        <v>106</v>
      </c>
      <c r="E59" s="324">
        <f t="shared" si="0"/>
        <v>25849.16</v>
      </c>
    </row>
    <row r="60" spans="1:5" x14ac:dyDescent="0.25">
      <c r="A60" s="323" t="s">
        <v>5577</v>
      </c>
      <c r="B60" s="323" t="s">
        <v>805</v>
      </c>
      <c r="C60" s="323">
        <v>13622</v>
      </c>
      <c r="D60" s="323">
        <v>253</v>
      </c>
      <c r="E60" s="324">
        <f t="shared" si="0"/>
        <v>61696.58</v>
      </c>
    </row>
    <row r="61" spans="1:5" x14ac:dyDescent="0.25">
      <c r="A61" s="323" t="s">
        <v>5596</v>
      </c>
      <c r="B61" s="323" t="s">
        <v>805</v>
      </c>
      <c r="C61" s="323">
        <v>13622</v>
      </c>
      <c r="D61" s="323">
        <v>156</v>
      </c>
      <c r="E61" s="324">
        <f t="shared" si="0"/>
        <v>38042.160000000003</v>
      </c>
    </row>
    <row r="62" spans="1:5" x14ac:dyDescent="0.25">
      <c r="A62" s="323" t="s">
        <v>5607</v>
      </c>
      <c r="B62" s="323" t="s">
        <v>805</v>
      </c>
      <c r="C62" s="323">
        <v>13622</v>
      </c>
      <c r="D62" s="323">
        <v>105</v>
      </c>
      <c r="E62" s="324">
        <f t="shared" si="0"/>
        <v>25605.300000000003</v>
      </c>
    </row>
    <row r="63" spans="1:5" x14ac:dyDescent="0.25">
      <c r="A63" s="323" t="s">
        <v>5620</v>
      </c>
      <c r="B63" s="323" t="s">
        <v>805</v>
      </c>
      <c r="C63" s="323">
        <v>13622</v>
      </c>
      <c r="D63" s="323">
        <v>190</v>
      </c>
      <c r="E63" s="324">
        <f t="shared" si="0"/>
        <v>46333.4</v>
      </c>
    </row>
    <row r="64" spans="1:5" x14ac:dyDescent="0.25">
      <c r="A64" s="323" t="s">
        <v>5631</v>
      </c>
      <c r="B64" s="323" t="s">
        <v>805</v>
      </c>
      <c r="C64" s="323">
        <v>13622</v>
      </c>
      <c r="D64" s="323">
        <v>351</v>
      </c>
      <c r="E64" s="324">
        <f t="shared" si="0"/>
        <v>85594.86</v>
      </c>
    </row>
    <row r="65" spans="1:5" x14ac:dyDescent="0.25">
      <c r="A65" s="323" t="s">
        <v>5647</v>
      </c>
      <c r="B65" s="323" t="s">
        <v>805</v>
      </c>
      <c r="C65" s="323">
        <v>13622</v>
      </c>
      <c r="D65" s="323">
        <v>98</v>
      </c>
      <c r="E65" s="324">
        <f t="shared" si="0"/>
        <v>23898.280000000002</v>
      </c>
    </row>
    <row r="66" spans="1:5" x14ac:dyDescent="0.25">
      <c r="A66" s="323" t="s">
        <v>6497</v>
      </c>
      <c r="B66" s="323" t="s">
        <v>816</v>
      </c>
      <c r="C66" s="323">
        <v>13622</v>
      </c>
      <c r="D66" s="323">
        <v>112</v>
      </c>
      <c r="E66" s="324">
        <f t="shared" ref="E66:E129" si="1">D66*IF(B66=$G$9,WerkdrukbedragPerLeerlingBo,IF(B66=$G$10,WerkdrukbedragPerLeerlingSbo,IF(B66=$G$11,WerkdrukbedragPerLeerlingSo,IF(B66=$G$12,WerkdrukbedragPerLeerlingVso,0))))</f>
        <v>40968.480000000003</v>
      </c>
    </row>
    <row r="67" spans="1:5" x14ac:dyDescent="0.25">
      <c r="A67" s="323" t="s">
        <v>6800</v>
      </c>
      <c r="B67" s="323" t="s">
        <v>805</v>
      </c>
      <c r="C67" s="323">
        <v>13622</v>
      </c>
      <c r="D67" s="323">
        <v>216</v>
      </c>
      <c r="E67" s="324">
        <f t="shared" si="1"/>
        <v>52673.760000000002</v>
      </c>
    </row>
    <row r="68" spans="1:5" x14ac:dyDescent="0.25">
      <c r="A68" s="323" t="s">
        <v>6871</v>
      </c>
      <c r="B68" s="323" t="s">
        <v>805</v>
      </c>
      <c r="C68" s="323">
        <v>13622</v>
      </c>
      <c r="D68" s="323">
        <v>251</v>
      </c>
      <c r="E68" s="324">
        <f t="shared" si="1"/>
        <v>61208.86</v>
      </c>
    </row>
    <row r="69" spans="1:5" x14ac:dyDescent="0.25">
      <c r="A69" s="323" t="s">
        <v>6961</v>
      </c>
      <c r="B69" s="323" t="s">
        <v>805</v>
      </c>
      <c r="C69" s="323">
        <v>13622</v>
      </c>
      <c r="D69" s="323">
        <v>249</v>
      </c>
      <c r="E69" s="324">
        <f t="shared" si="1"/>
        <v>60721.140000000007</v>
      </c>
    </row>
    <row r="70" spans="1:5" x14ac:dyDescent="0.25">
      <c r="A70" s="323" t="s">
        <v>7191</v>
      </c>
      <c r="B70" s="323" t="s">
        <v>805</v>
      </c>
      <c r="C70" s="323">
        <v>13622</v>
      </c>
      <c r="D70" s="323">
        <v>744</v>
      </c>
      <c r="E70" s="324">
        <f t="shared" si="1"/>
        <v>181431.84</v>
      </c>
    </row>
    <row r="71" spans="1:5" x14ac:dyDescent="0.25">
      <c r="A71" s="323" t="s">
        <v>7269</v>
      </c>
      <c r="B71" s="323" t="s">
        <v>805</v>
      </c>
      <c r="C71" s="323">
        <v>13622</v>
      </c>
      <c r="D71" s="323">
        <v>131</v>
      </c>
      <c r="E71" s="324">
        <f t="shared" si="1"/>
        <v>31945.660000000003</v>
      </c>
    </row>
    <row r="72" spans="1:5" x14ac:dyDescent="0.25">
      <c r="A72" s="323" t="s">
        <v>7270</v>
      </c>
      <c r="B72" s="323" t="s">
        <v>805</v>
      </c>
      <c r="C72" s="323">
        <v>13622</v>
      </c>
      <c r="D72" s="323">
        <v>503</v>
      </c>
      <c r="E72" s="324">
        <f t="shared" si="1"/>
        <v>122661.58</v>
      </c>
    </row>
    <row r="73" spans="1:5" x14ac:dyDescent="0.25">
      <c r="A73" s="323" t="s">
        <v>2123</v>
      </c>
      <c r="B73" s="323" t="s">
        <v>805</v>
      </c>
      <c r="C73" s="323">
        <v>13662</v>
      </c>
      <c r="D73" s="323">
        <v>67</v>
      </c>
      <c r="E73" s="324">
        <f t="shared" si="1"/>
        <v>16338.62</v>
      </c>
    </row>
    <row r="74" spans="1:5" x14ac:dyDescent="0.25">
      <c r="A74" s="323" t="s">
        <v>2124</v>
      </c>
      <c r="B74" s="323" t="s">
        <v>805</v>
      </c>
      <c r="C74" s="323">
        <v>13662</v>
      </c>
      <c r="D74" s="323">
        <v>118</v>
      </c>
      <c r="E74" s="324">
        <f t="shared" si="1"/>
        <v>28775.480000000003</v>
      </c>
    </row>
    <row r="75" spans="1:5" x14ac:dyDescent="0.25">
      <c r="A75" s="323" t="s">
        <v>3802</v>
      </c>
      <c r="B75" s="323" t="s">
        <v>805</v>
      </c>
      <c r="C75" s="323">
        <v>13662</v>
      </c>
      <c r="D75" s="323">
        <v>141</v>
      </c>
      <c r="E75" s="324">
        <f t="shared" si="1"/>
        <v>34384.26</v>
      </c>
    </row>
    <row r="76" spans="1:5" x14ac:dyDescent="0.25">
      <c r="A76" s="323" t="s">
        <v>3918</v>
      </c>
      <c r="B76" s="323" t="s">
        <v>805</v>
      </c>
      <c r="C76" s="323">
        <v>13662</v>
      </c>
      <c r="D76" s="323">
        <v>158</v>
      </c>
      <c r="E76" s="324">
        <f t="shared" si="1"/>
        <v>38529.880000000005</v>
      </c>
    </row>
    <row r="77" spans="1:5" x14ac:dyDescent="0.25">
      <c r="A77" s="323" t="s">
        <v>4074</v>
      </c>
      <c r="B77" s="323" t="s">
        <v>805</v>
      </c>
      <c r="C77" s="323">
        <v>13662</v>
      </c>
      <c r="D77" s="323">
        <v>125</v>
      </c>
      <c r="E77" s="324">
        <f t="shared" si="1"/>
        <v>30482.5</v>
      </c>
    </row>
    <row r="78" spans="1:5" x14ac:dyDescent="0.25">
      <c r="A78" s="323" t="s">
        <v>4227</v>
      </c>
      <c r="B78" s="323" t="s">
        <v>805</v>
      </c>
      <c r="C78" s="323">
        <v>13662</v>
      </c>
      <c r="D78" s="323">
        <v>104</v>
      </c>
      <c r="E78" s="324">
        <f t="shared" si="1"/>
        <v>25361.440000000002</v>
      </c>
    </row>
    <row r="79" spans="1:5" x14ac:dyDescent="0.25">
      <c r="A79" s="323" t="s">
        <v>4227</v>
      </c>
      <c r="B79" s="323" t="s">
        <v>805</v>
      </c>
      <c r="C79" s="323">
        <v>13662</v>
      </c>
      <c r="D79" s="323">
        <v>53</v>
      </c>
      <c r="E79" s="324">
        <f t="shared" si="1"/>
        <v>12924.58</v>
      </c>
    </row>
    <row r="80" spans="1:5" x14ac:dyDescent="0.25">
      <c r="A80" s="323" t="s">
        <v>4438</v>
      </c>
      <c r="B80" s="323" t="s">
        <v>805</v>
      </c>
      <c r="C80" s="323">
        <v>13662</v>
      </c>
      <c r="D80" s="323">
        <v>386</v>
      </c>
      <c r="E80" s="324">
        <f t="shared" si="1"/>
        <v>94129.96</v>
      </c>
    </row>
    <row r="81" spans="1:5" x14ac:dyDescent="0.25">
      <c r="A81" s="323" t="s">
        <v>4917</v>
      </c>
      <c r="B81" s="323" t="s">
        <v>805</v>
      </c>
      <c r="C81" s="323">
        <v>13662</v>
      </c>
      <c r="D81" s="323">
        <v>325</v>
      </c>
      <c r="E81" s="324">
        <f t="shared" si="1"/>
        <v>79254.5</v>
      </c>
    </row>
    <row r="82" spans="1:5" x14ac:dyDescent="0.25">
      <c r="A82" s="323" t="s">
        <v>3048</v>
      </c>
      <c r="B82" s="323" t="s">
        <v>805</v>
      </c>
      <c r="C82" s="323">
        <v>13682</v>
      </c>
      <c r="D82" s="323">
        <v>381</v>
      </c>
      <c r="E82" s="324">
        <f t="shared" si="1"/>
        <v>92910.66</v>
      </c>
    </row>
    <row r="83" spans="1:5" x14ac:dyDescent="0.25">
      <c r="A83" s="323" t="s">
        <v>3419</v>
      </c>
      <c r="B83" s="323" t="s">
        <v>805</v>
      </c>
      <c r="C83" s="323">
        <v>13682</v>
      </c>
      <c r="D83" s="323">
        <v>490</v>
      </c>
      <c r="E83" s="324">
        <f t="shared" si="1"/>
        <v>119491.40000000001</v>
      </c>
    </row>
    <row r="84" spans="1:5" x14ac:dyDescent="0.25">
      <c r="A84" s="323" t="s">
        <v>3702</v>
      </c>
      <c r="B84" s="323" t="s">
        <v>805</v>
      </c>
      <c r="C84" s="323">
        <v>13682</v>
      </c>
      <c r="D84" s="323">
        <v>296</v>
      </c>
      <c r="E84" s="324">
        <f t="shared" si="1"/>
        <v>72182.559999999998</v>
      </c>
    </row>
    <row r="85" spans="1:5" x14ac:dyDescent="0.25">
      <c r="A85" s="323" t="s">
        <v>3922</v>
      </c>
      <c r="B85" s="323" t="s">
        <v>805</v>
      </c>
      <c r="C85" s="323">
        <v>13682</v>
      </c>
      <c r="D85" s="323">
        <v>185</v>
      </c>
      <c r="E85" s="324">
        <f t="shared" si="1"/>
        <v>45114.100000000006</v>
      </c>
    </row>
    <row r="86" spans="1:5" x14ac:dyDescent="0.25">
      <c r="A86" s="323" t="s">
        <v>1051</v>
      </c>
      <c r="B86" s="323" t="s">
        <v>805</v>
      </c>
      <c r="C86" s="323">
        <v>13683</v>
      </c>
      <c r="D86" s="323">
        <v>61</v>
      </c>
      <c r="E86" s="324">
        <f t="shared" si="1"/>
        <v>14875.460000000001</v>
      </c>
    </row>
    <row r="87" spans="1:5" x14ac:dyDescent="0.25">
      <c r="A87" s="323" t="s">
        <v>1052</v>
      </c>
      <c r="B87" s="323" t="s">
        <v>805</v>
      </c>
      <c r="C87" s="323">
        <v>13683</v>
      </c>
      <c r="D87" s="323">
        <v>46</v>
      </c>
      <c r="E87" s="324">
        <f t="shared" si="1"/>
        <v>11217.560000000001</v>
      </c>
    </row>
    <row r="88" spans="1:5" x14ac:dyDescent="0.25">
      <c r="A88" s="323" t="s">
        <v>1061</v>
      </c>
      <c r="B88" s="323" t="s">
        <v>805</v>
      </c>
      <c r="C88" s="323">
        <v>13683</v>
      </c>
      <c r="D88" s="323">
        <v>62</v>
      </c>
      <c r="E88" s="324">
        <f t="shared" si="1"/>
        <v>15119.320000000002</v>
      </c>
    </row>
    <row r="89" spans="1:5" x14ac:dyDescent="0.25">
      <c r="A89" s="323" t="s">
        <v>2109</v>
      </c>
      <c r="B89" s="323" t="s">
        <v>805</v>
      </c>
      <c r="C89" s="323">
        <v>13683</v>
      </c>
      <c r="D89" s="323">
        <v>61</v>
      </c>
      <c r="E89" s="324">
        <f t="shared" si="1"/>
        <v>14875.460000000001</v>
      </c>
    </row>
    <row r="90" spans="1:5" x14ac:dyDescent="0.25">
      <c r="A90" s="323" t="s">
        <v>2112</v>
      </c>
      <c r="B90" s="323" t="s">
        <v>805</v>
      </c>
      <c r="C90" s="323">
        <v>13683</v>
      </c>
      <c r="D90" s="323">
        <v>54</v>
      </c>
      <c r="E90" s="324">
        <f t="shared" si="1"/>
        <v>13168.44</v>
      </c>
    </row>
    <row r="91" spans="1:5" x14ac:dyDescent="0.25">
      <c r="A91" s="323" t="s">
        <v>2145</v>
      </c>
      <c r="B91" s="323" t="s">
        <v>805</v>
      </c>
      <c r="C91" s="323">
        <v>13683</v>
      </c>
      <c r="D91" s="323">
        <v>92</v>
      </c>
      <c r="E91" s="324">
        <f t="shared" si="1"/>
        <v>22435.120000000003</v>
      </c>
    </row>
    <row r="92" spans="1:5" x14ac:dyDescent="0.25">
      <c r="A92" s="323" t="s">
        <v>2635</v>
      </c>
      <c r="B92" s="323" t="s">
        <v>805</v>
      </c>
      <c r="C92" s="323">
        <v>13683</v>
      </c>
      <c r="D92" s="323">
        <v>45</v>
      </c>
      <c r="E92" s="324">
        <f t="shared" si="1"/>
        <v>10973.7</v>
      </c>
    </row>
    <row r="93" spans="1:5" x14ac:dyDescent="0.25">
      <c r="A93" s="323" t="s">
        <v>3026</v>
      </c>
      <c r="B93" s="323" t="s">
        <v>805</v>
      </c>
      <c r="C93" s="323">
        <v>13683</v>
      </c>
      <c r="D93" s="323">
        <v>116</v>
      </c>
      <c r="E93" s="324">
        <f t="shared" si="1"/>
        <v>28287.760000000002</v>
      </c>
    </row>
    <row r="94" spans="1:5" x14ac:dyDescent="0.25">
      <c r="A94" s="323" t="s">
        <v>3399</v>
      </c>
      <c r="B94" s="323" t="s">
        <v>805</v>
      </c>
      <c r="C94" s="323">
        <v>13683</v>
      </c>
      <c r="D94" s="323">
        <v>217</v>
      </c>
      <c r="E94" s="324">
        <f t="shared" si="1"/>
        <v>52917.62</v>
      </c>
    </row>
    <row r="95" spans="1:5" x14ac:dyDescent="0.25">
      <c r="A95" s="323" t="s">
        <v>4223</v>
      </c>
      <c r="B95" s="323" t="s">
        <v>805</v>
      </c>
      <c r="C95" s="323">
        <v>13683</v>
      </c>
      <c r="D95" s="323">
        <v>78</v>
      </c>
      <c r="E95" s="324">
        <f t="shared" si="1"/>
        <v>19021.080000000002</v>
      </c>
    </row>
    <row r="96" spans="1:5" x14ac:dyDescent="0.25">
      <c r="A96" s="323" t="s">
        <v>4334</v>
      </c>
      <c r="B96" s="323" t="s">
        <v>805</v>
      </c>
      <c r="C96" s="323">
        <v>13683</v>
      </c>
      <c r="D96" s="323">
        <v>138</v>
      </c>
      <c r="E96" s="324">
        <f t="shared" si="1"/>
        <v>33652.68</v>
      </c>
    </row>
    <row r="97" spans="1:5" x14ac:dyDescent="0.25">
      <c r="A97" s="323" t="s">
        <v>6065</v>
      </c>
      <c r="B97" s="323" t="s">
        <v>805</v>
      </c>
      <c r="C97" s="323">
        <v>13683</v>
      </c>
      <c r="D97" s="323">
        <v>57</v>
      </c>
      <c r="E97" s="324">
        <f t="shared" si="1"/>
        <v>13900.02</v>
      </c>
    </row>
    <row r="98" spans="1:5" x14ac:dyDescent="0.25">
      <c r="A98" s="323" t="s">
        <v>6090</v>
      </c>
      <c r="B98" s="323" t="s">
        <v>805</v>
      </c>
      <c r="C98" s="323">
        <v>13683</v>
      </c>
      <c r="D98" s="323">
        <v>67</v>
      </c>
      <c r="E98" s="324">
        <f t="shared" si="1"/>
        <v>16338.62</v>
      </c>
    </row>
    <row r="99" spans="1:5" x14ac:dyDescent="0.25">
      <c r="A99" s="323" t="s">
        <v>6106</v>
      </c>
      <c r="B99" s="323" t="s">
        <v>805</v>
      </c>
      <c r="C99" s="323">
        <v>13683</v>
      </c>
      <c r="D99" s="323">
        <v>105</v>
      </c>
      <c r="E99" s="324">
        <f t="shared" si="1"/>
        <v>25605.300000000003</v>
      </c>
    </row>
    <row r="100" spans="1:5" x14ac:dyDescent="0.25">
      <c r="A100" s="323" t="s">
        <v>6414</v>
      </c>
      <c r="B100" s="323" t="s">
        <v>805</v>
      </c>
      <c r="C100" s="323">
        <v>13683</v>
      </c>
      <c r="D100" s="323">
        <v>132</v>
      </c>
      <c r="E100" s="324">
        <f t="shared" si="1"/>
        <v>32189.52</v>
      </c>
    </row>
    <row r="101" spans="1:5" x14ac:dyDescent="0.25">
      <c r="A101" s="323" t="s">
        <v>6425</v>
      </c>
      <c r="B101" s="323" t="s">
        <v>805</v>
      </c>
      <c r="C101" s="323">
        <v>13683</v>
      </c>
      <c r="D101" s="323">
        <v>70</v>
      </c>
      <c r="E101" s="324">
        <f t="shared" si="1"/>
        <v>17070.2</v>
      </c>
    </row>
    <row r="102" spans="1:5" x14ac:dyDescent="0.25">
      <c r="A102" s="323" t="s">
        <v>4930</v>
      </c>
      <c r="B102" s="323" t="s">
        <v>805</v>
      </c>
      <c r="C102" s="323">
        <v>13839</v>
      </c>
      <c r="D102" s="323">
        <v>62</v>
      </c>
      <c r="E102" s="324">
        <f t="shared" si="1"/>
        <v>15119.320000000002</v>
      </c>
    </row>
    <row r="103" spans="1:5" x14ac:dyDescent="0.25">
      <c r="A103" s="323" t="s">
        <v>2990</v>
      </c>
      <c r="B103" s="323" t="s">
        <v>805</v>
      </c>
      <c r="C103" s="323">
        <v>13878</v>
      </c>
      <c r="D103" s="323">
        <v>47</v>
      </c>
      <c r="E103" s="324">
        <f t="shared" si="1"/>
        <v>11461.42</v>
      </c>
    </row>
    <row r="104" spans="1:5" x14ac:dyDescent="0.25">
      <c r="A104" s="323" t="s">
        <v>3367</v>
      </c>
      <c r="B104" s="323" t="s">
        <v>805</v>
      </c>
      <c r="C104" s="323">
        <v>13878</v>
      </c>
      <c r="D104" s="323">
        <v>44</v>
      </c>
      <c r="E104" s="324">
        <f t="shared" si="1"/>
        <v>10729.84</v>
      </c>
    </row>
    <row r="105" spans="1:5" x14ac:dyDescent="0.25">
      <c r="A105" s="323" t="s">
        <v>802</v>
      </c>
      <c r="B105" s="323" t="s">
        <v>803</v>
      </c>
      <c r="C105" s="323">
        <v>20137</v>
      </c>
      <c r="D105" s="323">
        <v>139</v>
      </c>
      <c r="E105" s="324">
        <f t="shared" si="1"/>
        <v>67793.08</v>
      </c>
    </row>
    <row r="106" spans="1:5" x14ac:dyDescent="0.25">
      <c r="A106" s="323" t="s">
        <v>802</v>
      </c>
      <c r="B106" s="323" t="s">
        <v>803</v>
      </c>
      <c r="C106" s="323">
        <v>20137</v>
      </c>
      <c r="D106" s="323">
        <v>35</v>
      </c>
      <c r="E106" s="324">
        <f t="shared" si="1"/>
        <v>17070.2</v>
      </c>
    </row>
    <row r="107" spans="1:5" x14ac:dyDescent="0.25">
      <c r="A107" s="323" t="s">
        <v>1014</v>
      </c>
      <c r="B107" s="323" t="s">
        <v>803</v>
      </c>
      <c r="C107" s="323">
        <v>20151</v>
      </c>
      <c r="D107" s="323">
        <v>169</v>
      </c>
      <c r="E107" s="324">
        <f t="shared" si="1"/>
        <v>82424.680000000008</v>
      </c>
    </row>
    <row r="108" spans="1:5" x14ac:dyDescent="0.25">
      <c r="A108" s="323" t="s">
        <v>839</v>
      </c>
      <c r="B108" s="323" t="s">
        <v>805</v>
      </c>
      <c r="C108" s="323">
        <v>20183</v>
      </c>
      <c r="D108" s="323">
        <v>123</v>
      </c>
      <c r="E108" s="324">
        <f t="shared" si="1"/>
        <v>29994.780000000002</v>
      </c>
    </row>
    <row r="109" spans="1:5" x14ac:dyDescent="0.25">
      <c r="A109" s="323" t="s">
        <v>2325</v>
      </c>
      <c r="B109" s="323" t="s">
        <v>805</v>
      </c>
      <c r="C109" s="323">
        <v>20183</v>
      </c>
      <c r="D109" s="323">
        <v>55</v>
      </c>
      <c r="E109" s="324">
        <f t="shared" si="1"/>
        <v>13412.300000000001</v>
      </c>
    </row>
    <row r="110" spans="1:5" x14ac:dyDescent="0.25">
      <c r="A110" s="323" t="s">
        <v>821</v>
      </c>
      <c r="B110" s="323" t="s">
        <v>805</v>
      </c>
      <c r="C110" s="323">
        <v>20210</v>
      </c>
      <c r="D110" s="323">
        <v>60</v>
      </c>
      <c r="E110" s="324">
        <f t="shared" si="1"/>
        <v>14631.6</v>
      </c>
    </row>
    <row r="111" spans="1:5" x14ac:dyDescent="0.25">
      <c r="A111" s="323" t="s">
        <v>1026</v>
      </c>
      <c r="B111" s="323" t="s">
        <v>809</v>
      </c>
      <c r="C111" s="323">
        <v>20233</v>
      </c>
      <c r="D111" s="323">
        <v>218</v>
      </c>
      <c r="E111" s="324">
        <f t="shared" si="1"/>
        <v>106322.96</v>
      </c>
    </row>
    <row r="112" spans="1:5" x14ac:dyDescent="0.25">
      <c r="A112" s="323" t="s">
        <v>1026</v>
      </c>
      <c r="B112" s="323" t="s">
        <v>803</v>
      </c>
      <c r="C112" s="323">
        <v>20233</v>
      </c>
      <c r="D112" s="323">
        <v>207</v>
      </c>
      <c r="E112" s="324">
        <f t="shared" si="1"/>
        <v>100958.04000000001</v>
      </c>
    </row>
    <row r="113" spans="1:5" x14ac:dyDescent="0.25">
      <c r="A113" s="323" t="s">
        <v>2150</v>
      </c>
      <c r="B113" s="323" t="s">
        <v>805</v>
      </c>
      <c r="C113" s="323">
        <v>20243</v>
      </c>
      <c r="D113" s="323">
        <v>263</v>
      </c>
      <c r="E113" s="324">
        <f t="shared" si="1"/>
        <v>64135.18</v>
      </c>
    </row>
    <row r="114" spans="1:5" x14ac:dyDescent="0.25">
      <c r="A114" s="323" t="s">
        <v>3055</v>
      </c>
      <c r="B114" s="323" t="s">
        <v>805</v>
      </c>
      <c r="C114" s="323">
        <v>20243</v>
      </c>
      <c r="D114" s="323">
        <v>239</v>
      </c>
      <c r="E114" s="324">
        <f t="shared" si="1"/>
        <v>58282.54</v>
      </c>
    </row>
    <row r="115" spans="1:5" x14ac:dyDescent="0.25">
      <c r="A115" s="323" t="s">
        <v>846</v>
      </c>
      <c r="B115" s="323" t="s">
        <v>805</v>
      </c>
      <c r="C115" s="323">
        <v>20252</v>
      </c>
      <c r="D115" s="323">
        <v>191</v>
      </c>
      <c r="E115" s="324">
        <f t="shared" si="1"/>
        <v>46577.26</v>
      </c>
    </row>
    <row r="116" spans="1:5" x14ac:dyDescent="0.25">
      <c r="A116" s="323" t="s">
        <v>934</v>
      </c>
      <c r="B116" s="323" t="s">
        <v>809</v>
      </c>
      <c r="C116" s="323">
        <v>20281</v>
      </c>
      <c r="D116" s="323">
        <v>66</v>
      </c>
      <c r="E116" s="324">
        <f t="shared" si="1"/>
        <v>32189.52</v>
      </c>
    </row>
    <row r="117" spans="1:5" x14ac:dyDescent="0.25">
      <c r="A117" s="323" t="s">
        <v>934</v>
      </c>
      <c r="B117" s="323" t="s">
        <v>803</v>
      </c>
      <c r="C117" s="323">
        <v>20281</v>
      </c>
      <c r="D117" s="323">
        <v>58</v>
      </c>
      <c r="E117" s="324">
        <f t="shared" si="1"/>
        <v>28287.760000000002</v>
      </c>
    </row>
    <row r="118" spans="1:5" x14ac:dyDescent="0.25">
      <c r="A118" s="323" t="s">
        <v>971</v>
      </c>
      <c r="B118" s="323" t="s">
        <v>809</v>
      </c>
      <c r="C118" s="323">
        <v>20281</v>
      </c>
      <c r="D118" s="323">
        <v>69</v>
      </c>
      <c r="E118" s="324">
        <f t="shared" si="1"/>
        <v>33652.68</v>
      </c>
    </row>
    <row r="119" spans="1:5" x14ac:dyDescent="0.25">
      <c r="A119" s="323" t="s">
        <v>971</v>
      </c>
      <c r="B119" s="323" t="s">
        <v>803</v>
      </c>
      <c r="C119" s="323">
        <v>20281</v>
      </c>
      <c r="D119" s="323">
        <v>55</v>
      </c>
      <c r="E119" s="324">
        <f t="shared" si="1"/>
        <v>26824.600000000002</v>
      </c>
    </row>
    <row r="120" spans="1:5" x14ac:dyDescent="0.25">
      <c r="A120" s="323" t="s">
        <v>1208</v>
      </c>
      <c r="B120" s="323" t="s">
        <v>805</v>
      </c>
      <c r="C120" s="323">
        <v>20281</v>
      </c>
      <c r="D120" s="323">
        <v>500</v>
      </c>
      <c r="E120" s="324">
        <f t="shared" si="1"/>
        <v>121930</v>
      </c>
    </row>
    <row r="121" spans="1:5" x14ac:dyDescent="0.25">
      <c r="A121" s="323" t="s">
        <v>1704</v>
      </c>
      <c r="B121" s="323" t="s">
        <v>805</v>
      </c>
      <c r="C121" s="323">
        <v>20281</v>
      </c>
      <c r="D121" s="323">
        <v>190</v>
      </c>
      <c r="E121" s="324">
        <f t="shared" si="1"/>
        <v>46333.4</v>
      </c>
    </row>
    <row r="122" spans="1:5" x14ac:dyDescent="0.25">
      <c r="A122" s="323" t="s">
        <v>1805</v>
      </c>
      <c r="B122" s="323" t="s">
        <v>805</v>
      </c>
      <c r="C122" s="323">
        <v>20281</v>
      </c>
      <c r="D122" s="323">
        <v>233</v>
      </c>
      <c r="E122" s="324">
        <f t="shared" si="1"/>
        <v>56819.380000000005</v>
      </c>
    </row>
    <row r="123" spans="1:5" x14ac:dyDescent="0.25">
      <c r="A123" s="323" t="s">
        <v>2252</v>
      </c>
      <c r="B123" s="323" t="s">
        <v>805</v>
      </c>
      <c r="C123" s="323">
        <v>20281</v>
      </c>
      <c r="D123" s="323">
        <v>282</v>
      </c>
      <c r="E123" s="324">
        <f t="shared" si="1"/>
        <v>68768.52</v>
      </c>
    </row>
    <row r="124" spans="1:5" x14ac:dyDescent="0.25">
      <c r="A124" s="323" t="s">
        <v>2581</v>
      </c>
      <c r="B124" s="323" t="s">
        <v>805</v>
      </c>
      <c r="C124" s="323">
        <v>20281</v>
      </c>
      <c r="D124" s="323">
        <v>398</v>
      </c>
      <c r="E124" s="324">
        <f t="shared" si="1"/>
        <v>97056.28</v>
      </c>
    </row>
    <row r="125" spans="1:5" x14ac:dyDescent="0.25">
      <c r="A125" s="323" t="s">
        <v>2599</v>
      </c>
      <c r="B125" s="323" t="s">
        <v>805</v>
      </c>
      <c r="C125" s="323">
        <v>20281</v>
      </c>
      <c r="D125" s="323">
        <v>551</v>
      </c>
      <c r="E125" s="324">
        <f t="shared" si="1"/>
        <v>134366.86000000002</v>
      </c>
    </row>
    <row r="126" spans="1:5" x14ac:dyDescent="0.25">
      <c r="A126" s="323" t="s">
        <v>2712</v>
      </c>
      <c r="B126" s="323" t="s">
        <v>805</v>
      </c>
      <c r="C126" s="323">
        <v>20281</v>
      </c>
      <c r="D126" s="323">
        <v>248</v>
      </c>
      <c r="E126" s="324">
        <f t="shared" si="1"/>
        <v>60477.280000000006</v>
      </c>
    </row>
    <row r="127" spans="1:5" x14ac:dyDescent="0.25">
      <c r="A127" s="323" t="s">
        <v>2818</v>
      </c>
      <c r="B127" s="323" t="s">
        <v>805</v>
      </c>
      <c r="C127" s="323">
        <v>20281</v>
      </c>
      <c r="D127" s="323">
        <v>572</v>
      </c>
      <c r="E127" s="324">
        <f t="shared" si="1"/>
        <v>139487.92000000001</v>
      </c>
    </row>
    <row r="128" spans="1:5" x14ac:dyDescent="0.25">
      <c r="A128" s="323" t="s">
        <v>3122</v>
      </c>
      <c r="B128" s="323" t="s">
        <v>805</v>
      </c>
      <c r="C128" s="323">
        <v>20281</v>
      </c>
      <c r="D128" s="323">
        <v>305</v>
      </c>
      <c r="E128" s="324">
        <f t="shared" si="1"/>
        <v>74377.3</v>
      </c>
    </row>
    <row r="129" spans="1:5" x14ac:dyDescent="0.25">
      <c r="A129" s="323" t="s">
        <v>3163</v>
      </c>
      <c r="B129" s="323" t="s">
        <v>805</v>
      </c>
      <c r="C129" s="323">
        <v>20281</v>
      </c>
      <c r="D129" s="323">
        <v>401</v>
      </c>
      <c r="E129" s="324">
        <f t="shared" si="1"/>
        <v>97787.86</v>
      </c>
    </row>
    <row r="130" spans="1:5" x14ac:dyDescent="0.25">
      <c r="A130" s="323" t="s">
        <v>3232</v>
      </c>
      <c r="B130" s="323" t="s">
        <v>805</v>
      </c>
      <c r="C130" s="323">
        <v>20281</v>
      </c>
      <c r="D130" s="323">
        <v>224</v>
      </c>
      <c r="E130" s="324">
        <f t="shared" ref="E130:E193" si="2">D130*IF(B130=$G$9,WerkdrukbedragPerLeerlingBo,IF(B130=$G$10,WerkdrukbedragPerLeerlingSbo,IF(B130=$G$11,WerkdrukbedragPerLeerlingSo,IF(B130=$G$12,WerkdrukbedragPerLeerlingVso,0))))</f>
        <v>54624.639999999999</v>
      </c>
    </row>
    <row r="131" spans="1:5" x14ac:dyDescent="0.25">
      <c r="A131" s="323" t="s">
        <v>3299</v>
      </c>
      <c r="B131" s="323" t="s">
        <v>805</v>
      </c>
      <c r="C131" s="323">
        <v>20281</v>
      </c>
      <c r="D131" s="323">
        <v>322</v>
      </c>
      <c r="E131" s="324">
        <f t="shared" si="2"/>
        <v>78522.92</v>
      </c>
    </row>
    <row r="132" spans="1:5" x14ac:dyDescent="0.25">
      <c r="A132" s="323" t="s">
        <v>3603</v>
      </c>
      <c r="B132" s="323" t="s">
        <v>805</v>
      </c>
      <c r="C132" s="323">
        <v>20281</v>
      </c>
      <c r="D132" s="323">
        <v>158</v>
      </c>
      <c r="E132" s="324">
        <f t="shared" si="2"/>
        <v>38529.880000000005</v>
      </c>
    </row>
    <row r="133" spans="1:5" x14ac:dyDescent="0.25">
      <c r="A133" s="323" t="s">
        <v>3818</v>
      </c>
      <c r="B133" s="323" t="s">
        <v>805</v>
      </c>
      <c r="C133" s="323">
        <v>20281</v>
      </c>
      <c r="D133" s="323">
        <v>258</v>
      </c>
      <c r="E133" s="324">
        <f t="shared" si="2"/>
        <v>62915.880000000005</v>
      </c>
    </row>
    <row r="134" spans="1:5" x14ac:dyDescent="0.25">
      <c r="A134" s="323" t="s">
        <v>4398</v>
      </c>
      <c r="B134" s="323" t="s">
        <v>805</v>
      </c>
      <c r="C134" s="323">
        <v>20281</v>
      </c>
      <c r="D134" s="323">
        <v>337</v>
      </c>
      <c r="E134" s="324">
        <f t="shared" si="2"/>
        <v>82180.820000000007</v>
      </c>
    </row>
    <row r="135" spans="1:5" x14ac:dyDescent="0.25">
      <c r="A135" s="323" t="s">
        <v>4686</v>
      </c>
      <c r="B135" s="323" t="s">
        <v>805</v>
      </c>
      <c r="C135" s="323">
        <v>20281</v>
      </c>
      <c r="D135" s="323">
        <v>792</v>
      </c>
      <c r="E135" s="324">
        <f t="shared" si="2"/>
        <v>193137.12000000002</v>
      </c>
    </row>
    <row r="136" spans="1:5" x14ac:dyDescent="0.25">
      <c r="A136" s="323" t="s">
        <v>4730</v>
      </c>
      <c r="B136" s="323" t="s">
        <v>805</v>
      </c>
      <c r="C136" s="323">
        <v>20281</v>
      </c>
      <c r="D136" s="323">
        <v>232</v>
      </c>
      <c r="E136" s="324">
        <f t="shared" si="2"/>
        <v>56575.520000000004</v>
      </c>
    </row>
    <row r="137" spans="1:5" x14ac:dyDescent="0.25">
      <c r="A137" s="323" t="s">
        <v>4748</v>
      </c>
      <c r="B137" s="323" t="s">
        <v>805</v>
      </c>
      <c r="C137" s="323">
        <v>20281</v>
      </c>
      <c r="D137" s="323">
        <v>432</v>
      </c>
      <c r="E137" s="324">
        <f t="shared" si="2"/>
        <v>105347.52</v>
      </c>
    </row>
    <row r="138" spans="1:5" x14ac:dyDescent="0.25">
      <c r="A138" s="323" t="s">
        <v>4815</v>
      </c>
      <c r="B138" s="323" t="s">
        <v>805</v>
      </c>
      <c r="C138" s="323">
        <v>20281</v>
      </c>
      <c r="D138" s="323">
        <v>404</v>
      </c>
      <c r="E138" s="324">
        <f t="shared" si="2"/>
        <v>98519.44</v>
      </c>
    </row>
    <row r="139" spans="1:5" x14ac:dyDescent="0.25">
      <c r="A139" s="323" t="s">
        <v>4852</v>
      </c>
      <c r="B139" s="323" t="s">
        <v>805</v>
      </c>
      <c r="C139" s="323">
        <v>20281</v>
      </c>
      <c r="D139" s="323">
        <v>434</v>
      </c>
      <c r="E139" s="324">
        <f t="shared" si="2"/>
        <v>105835.24</v>
      </c>
    </row>
    <row r="140" spans="1:5" x14ac:dyDescent="0.25">
      <c r="A140" s="323" t="s">
        <v>4862</v>
      </c>
      <c r="B140" s="323" t="s">
        <v>805</v>
      </c>
      <c r="C140" s="323">
        <v>20281</v>
      </c>
      <c r="D140" s="323">
        <v>413</v>
      </c>
      <c r="E140" s="324">
        <f t="shared" si="2"/>
        <v>100714.18000000001</v>
      </c>
    </row>
    <row r="141" spans="1:5" x14ac:dyDescent="0.25">
      <c r="A141" s="323" t="s">
        <v>4893</v>
      </c>
      <c r="B141" s="323" t="s">
        <v>805</v>
      </c>
      <c r="C141" s="323">
        <v>20281</v>
      </c>
      <c r="D141" s="323">
        <v>218</v>
      </c>
      <c r="E141" s="324">
        <f t="shared" si="2"/>
        <v>53161.48</v>
      </c>
    </row>
    <row r="142" spans="1:5" x14ac:dyDescent="0.25">
      <c r="A142" s="323" t="s">
        <v>4901</v>
      </c>
      <c r="B142" s="323" t="s">
        <v>805</v>
      </c>
      <c r="C142" s="323">
        <v>20281</v>
      </c>
      <c r="D142" s="323">
        <v>370</v>
      </c>
      <c r="E142" s="324">
        <f t="shared" si="2"/>
        <v>90228.200000000012</v>
      </c>
    </row>
    <row r="143" spans="1:5" x14ac:dyDescent="0.25">
      <c r="A143" s="323" t="s">
        <v>4943</v>
      </c>
      <c r="B143" s="323" t="s">
        <v>805</v>
      </c>
      <c r="C143" s="323">
        <v>20281</v>
      </c>
      <c r="D143" s="323">
        <v>228</v>
      </c>
      <c r="E143" s="324">
        <f t="shared" si="2"/>
        <v>55600.08</v>
      </c>
    </row>
    <row r="144" spans="1:5" x14ac:dyDescent="0.25">
      <c r="A144" s="323" t="s">
        <v>4954</v>
      </c>
      <c r="B144" s="323" t="s">
        <v>805</v>
      </c>
      <c r="C144" s="323">
        <v>20281</v>
      </c>
      <c r="D144" s="323">
        <v>656</v>
      </c>
      <c r="E144" s="324">
        <f t="shared" si="2"/>
        <v>159972.16</v>
      </c>
    </row>
    <row r="145" spans="1:5" x14ac:dyDescent="0.25">
      <c r="A145" s="323" t="s">
        <v>5415</v>
      </c>
      <c r="B145" s="323" t="s">
        <v>805</v>
      </c>
      <c r="C145" s="323">
        <v>20281</v>
      </c>
      <c r="D145" s="323">
        <v>225</v>
      </c>
      <c r="E145" s="324">
        <f t="shared" si="2"/>
        <v>54868.5</v>
      </c>
    </row>
    <row r="146" spans="1:5" x14ac:dyDescent="0.25">
      <c r="A146" s="323" t="s">
        <v>5442</v>
      </c>
      <c r="B146" s="323" t="s">
        <v>805</v>
      </c>
      <c r="C146" s="323">
        <v>20281</v>
      </c>
      <c r="D146" s="323">
        <v>646</v>
      </c>
      <c r="E146" s="324">
        <f t="shared" si="2"/>
        <v>157533.56</v>
      </c>
    </row>
    <row r="147" spans="1:5" x14ac:dyDescent="0.25">
      <c r="A147" s="323" t="s">
        <v>5472</v>
      </c>
      <c r="B147" s="323" t="s">
        <v>805</v>
      </c>
      <c r="C147" s="323">
        <v>20281</v>
      </c>
      <c r="D147" s="323">
        <v>130</v>
      </c>
      <c r="E147" s="324">
        <f t="shared" si="2"/>
        <v>31701.800000000003</v>
      </c>
    </row>
    <row r="148" spans="1:5" x14ac:dyDescent="0.25">
      <c r="A148" s="323" t="s">
        <v>5497</v>
      </c>
      <c r="B148" s="323" t="s">
        <v>805</v>
      </c>
      <c r="C148" s="323">
        <v>20281</v>
      </c>
      <c r="D148" s="323">
        <v>284</v>
      </c>
      <c r="E148" s="324">
        <f t="shared" si="2"/>
        <v>69256.240000000005</v>
      </c>
    </row>
    <row r="149" spans="1:5" x14ac:dyDescent="0.25">
      <c r="A149" s="323" t="s">
        <v>5531</v>
      </c>
      <c r="B149" s="323" t="s">
        <v>805</v>
      </c>
      <c r="C149" s="323">
        <v>20281</v>
      </c>
      <c r="D149" s="323">
        <v>389</v>
      </c>
      <c r="E149" s="324">
        <f t="shared" si="2"/>
        <v>94861.540000000008</v>
      </c>
    </row>
    <row r="150" spans="1:5" x14ac:dyDescent="0.25">
      <c r="A150" s="323" t="s">
        <v>5562</v>
      </c>
      <c r="B150" s="323" t="s">
        <v>805</v>
      </c>
      <c r="C150" s="323">
        <v>20281</v>
      </c>
      <c r="D150" s="323">
        <v>293</v>
      </c>
      <c r="E150" s="324">
        <f t="shared" si="2"/>
        <v>71450.98000000001</v>
      </c>
    </row>
    <row r="151" spans="1:5" x14ac:dyDescent="0.25">
      <c r="A151" s="323" t="s">
        <v>5686</v>
      </c>
      <c r="B151" s="323" t="s">
        <v>809</v>
      </c>
      <c r="C151" s="323">
        <v>20281</v>
      </c>
      <c r="D151" s="323">
        <v>63</v>
      </c>
      <c r="E151" s="324">
        <f t="shared" si="2"/>
        <v>30726.36</v>
      </c>
    </row>
    <row r="152" spans="1:5" x14ac:dyDescent="0.25">
      <c r="A152" s="323" t="s">
        <v>6051</v>
      </c>
      <c r="B152" s="323" t="s">
        <v>816</v>
      </c>
      <c r="C152" s="323">
        <v>20281</v>
      </c>
      <c r="D152" s="323">
        <v>122</v>
      </c>
      <c r="E152" s="324">
        <f t="shared" si="2"/>
        <v>44626.380000000005</v>
      </c>
    </row>
    <row r="153" spans="1:5" x14ac:dyDescent="0.25">
      <c r="A153" s="323" t="s">
        <v>6405</v>
      </c>
      <c r="B153" s="323" t="s">
        <v>816</v>
      </c>
      <c r="C153" s="323">
        <v>20281</v>
      </c>
      <c r="D153" s="323">
        <v>160</v>
      </c>
      <c r="E153" s="324">
        <f t="shared" si="2"/>
        <v>58526.400000000001</v>
      </c>
    </row>
    <row r="154" spans="1:5" x14ac:dyDescent="0.25">
      <c r="A154" s="323" t="s">
        <v>6502</v>
      </c>
      <c r="B154" s="323" t="s">
        <v>805</v>
      </c>
      <c r="C154" s="323">
        <v>20281</v>
      </c>
      <c r="D154" s="323">
        <v>183</v>
      </c>
      <c r="E154" s="324">
        <f t="shared" si="2"/>
        <v>44626.380000000005</v>
      </c>
    </row>
    <row r="155" spans="1:5" x14ac:dyDescent="0.25">
      <c r="A155" s="323" t="s">
        <v>6520</v>
      </c>
      <c r="B155" s="323" t="s">
        <v>805</v>
      </c>
      <c r="C155" s="323">
        <v>20281</v>
      </c>
      <c r="D155" s="323">
        <v>278</v>
      </c>
      <c r="E155" s="324">
        <f t="shared" si="2"/>
        <v>67793.08</v>
      </c>
    </row>
    <row r="156" spans="1:5" x14ac:dyDescent="0.25">
      <c r="A156" s="323" t="s">
        <v>6534</v>
      </c>
      <c r="B156" s="323" t="s">
        <v>805</v>
      </c>
      <c r="C156" s="323">
        <v>20281</v>
      </c>
      <c r="D156" s="323">
        <v>234</v>
      </c>
      <c r="E156" s="324">
        <f t="shared" si="2"/>
        <v>57063.240000000005</v>
      </c>
    </row>
    <row r="157" spans="1:5" x14ac:dyDescent="0.25">
      <c r="A157" s="323" t="s">
        <v>6541</v>
      </c>
      <c r="B157" s="323" t="s">
        <v>805</v>
      </c>
      <c r="C157" s="323">
        <v>20281</v>
      </c>
      <c r="D157" s="323">
        <v>402</v>
      </c>
      <c r="E157" s="324">
        <f t="shared" si="2"/>
        <v>98031.72</v>
      </c>
    </row>
    <row r="158" spans="1:5" x14ac:dyDescent="0.25">
      <c r="A158" s="323" t="s">
        <v>6549</v>
      </c>
      <c r="B158" s="323" t="s">
        <v>805</v>
      </c>
      <c r="C158" s="323">
        <v>20281</v>
      </c>
      <c r="D158" s="323">
        <v>243</v>
      </c>
      <c r="E158" s="324">
        <f t="shared" si="2"/>
        <v>59257.98</v>
      </c>
    </row>
    <row r="159" spans="1:5" x14ac:dyDescent="0.25">
      <c r="A159" s="323" t="s">
        <v>6553</v>
      </c>
      <c r="B159" s="323" t="s">
        <v>805</v>
      </c>
      <c r="C159" s="323">
        <v>20281</v>
      </c>
      <c r="D159" s="323">
        <v>214</v>
      </c>
      <c r="E159" s="324">
        <f t="shared" si="2"/>
        <v>52186.04</v>
      </c>
    </row>
    <row r="160" spans="1:5" x14ac:dyDescent="0.25">
      <c r="A160" s="323" t="s">
        <v>6632</v>
      </c>
      <c r="B160" s="323" t="s">
        <v>816</v>
      </c>
      <c r="C160" s="323">
        <v>20281</v>
      </c>
      <c r="D160" s="323">
        <v>135</v>
      </c>
      <c r="E160" s="324">
        <f t="shared" si="2"/>
        <v>49381.65</v>
      </c>
    </row>
    <row r="161" spans="1:5" x14ac:dyDescent="0.25">
      <c r="A161" s="323" t="s">
        <v>7164</v>
      </c>
      <c r="B161" s="323" t="s">
        <v>805</v>
      </c>
      <c r="C161" s="323">
        <v>20281</v>
      </c>
      <c r="D161" s="323">
        <v>423</v>
      </c>
      <c r="E161" s="324">
        <f t="shared" si="2"/>
        <v>103152.78</v>
      </c>
    </row>
    <row r="162" spans="1:5" x14ac:dyDescent="0.25">
      <c r="A162" s="323" t="s">
        <v>7166</v>
      </c>
      <c r="B162" s="323" t="s">
        <v>805</v>
      </c>
      <c r="C162" s="323">
        <v>20281</v>
      </c>
      <c r="D162" s="323">
        <v>922</v>
      </c>
      <c r="E162" s="324">
        <f t="shared" si="2"/>
        <v>224838.92</v>
      </c>
    </row>
    <row r="163" spans="1:5" x14ac:dyDescent="0.25">
      <c r="A163" s="323" t="s">
        <v>7197</v>
      </c>
      <c r="B163" s="323" t="s">
        <v>805</v>
      </c>
      <c r="C163" s="323">
        <v>20281</v>
      </c>
      <c r="D163" s="323">
        <v>690</v>
      </c>
      <c r="E163" s="324">
        <f t="shared" si="2"/>
        <v>168263.40000000002</v>
      </c>
    </row>
    <row r="164" spans="1:5" x14ac:dyDescent="0.25">
      <c r="A164" s="323" t="s">
        <v>7217</v>
      </c>
      <c r="B164" s="323" t="s">
        <v>805</v>
      </c>
      <c r="C164" s="323">
        <v>20281</v>
      </c>
      <c r="D164" s="323">
        <v>644</v>
      </c>
      <c r="E164" s="324">
        <f t="shared" si="2"/>
        <v>157045.84</v>
      </c>
    </row>
    <row r="165" spans="1:5" x14ac:dyDescent="0.25">
      <c r="A165" s="323" t="s">
        <v>7218</v>
      </c>
      <c r="B165" s="323" t="s">
        <v>805</v>
      </c>
      <c r="C165" s="323">
        <v>20281</v>
      </c>
      <c r="D165" s="323">
        <v>647</v>
      </c>
      <c r="E165" s="324">
        <f t="shared" si="2"/>
        <v>157777.42000000001</v>
      </c>
    </row>
    <row r="166" spans="1:5" x14ac:dyDescent="0.25">
      <c r="A166" s="323" t="s">
        <v>7283</v>
      </c>
      <c r="B166" s="323" t="s">
        <v>805</v>
      </c>
      <c r="C166" s="323">
        <v>20281</v>
      </c>
      <c r="D166" s="323">
        <v>315</v>
      </c>
      <c r="E166" s="324">
        <f t="shared" si="2"/>
        <v>76815.900000000009</v>
      </c>
    </row>
    <row r="167" spans="1:5" x14ac:dyDescent="0.25">
      <c r="A167" s="323" t="s">
        <v>7324</v>
      </c>
      <c r="B167" s="323" t="s">
        <v>816</v>
      </c>
      <c r="C167" s="323">
        <v>20281</v>
      </c>
      <c r="D167" s="323">
        <v>194</v>
      </c>
      <c r="E167" s="324">
        <f t="shared" si="2"/>
        <v>70963.260000000009</v>
      </c>
    </row>
    <row r="168" spans="1:5" x14ac:dyDescent="0.25">
      <c r="A168" s="323" t="s">
        <v>7386</v>
      </c>
      <c r="B168" s="323" t="s">
        <v>805</v>
      </c>
      <c r="C168" s="323">
        <v>20281</v>
      </c>
      <c r="D168" s="323">
        <v>87</v>
      </c>
      <c r="E168" s="324">
        <f t="shared" si="2"/>
        <v>21215.82</v>
      </c>
    </row>
    <row r="169" spans="1:5" x14ac:dyDescent="0.25">
      <c r="A169" s="323" t="s">
        <v>7442</v>
      </c>
      <c r="B169" s="323" t="s">
        <v>805</v>
      </c>
      <c r="C169" s="323">
        <v>20281</v>
      </c>
      <c r="D169" s="323">
        <v>279</v>
      </c>
      <c r="E169" s="324">
        <f t="shared" si="2"/>
        <v>68036.94</v>
      </c>
    </row>
    <row r="170" spans="1:5" x14ac:dyDescent="0.25">
      <c r="A170" s="323" t="s">
        <v>2638</v>
      </c>
      <c r="B170" s="323" t="s">
        <v>805</v>
      </c>
      <c r="C170" s="323">
        <v>20450</v>
      </c>
      <c r="D170" s="323">
        <v>178</v>
      </c>
      <c r="E170" s="324">
        <f t="shared" si="2"/>
        <v>43407.08</v>
      </c>
    </row>
    <row r="171" spans="1:5" x14ac:dyDescent="0.25">
      <c r="A171" s="323" t="s">
        <v>1484</v>
      </c>
      <c r="B171" s="323" t="s">
        <v>805</v>
      </c>
      <c r="C171" s="323">
        <v>20671</v>
      </c>
      <c r="D171" s="323">
        <v>218</v>
      </c>
      <c r="E171" s="324">
        <f t="shared" si="2"/>
        <v>53161.48</v>
      </c>
    </row>
    <row r="172" spans="1:5" x14ac:dyDescent="0.25">
      <c r="A172" s="323" t="s">
        <v>2806</v>
      </c>
      <c r="B172" s="323" t="s">
        <v>805</v>
      </c>
      <c r="C172" s="323">
        <v>20671</v>
      </c>
      <c r="D172" s="323">
        <v>361</v>
      </c>
      <c r="E172" s="324">
        <f t="shared" si="2"/>
        <v>88033.46</v>
      </c>
    </row>
    <row r="173" spans="1:5" x14ac:dyDescent="0.25">
      <c r="A173" s="323" t="s">
        <v>3235</v>
      </c>
      <c r="B173" s="323" t="s">
        <v>805</v>
      </c>
      <c r="C173" s="323">
        <v>20671</v>
      </c>
      <c r="D173" s="323">
        <v>56</v>
      </c>
      <c r="E173" s="324">
        <f t="shared" si="2"/>
        <v>13656.16</v>
      </c>
    </row>
    <row r="174" spans="1:5" x14ac:dyDescent="0.25">
      <c r="A174" s="323" t="s">
        <v>3557</v>
      </c>
      <c r="B174" s="323" t="s">
        <v>805</v>
      </c>
      <c r="C174" s="323">
        <v>20671</v>
      </c>
      <c r="D174" s="323">
        <v>119</v>
      </c>
      <c r="E174" s="324">
        <f t="shared" si="2"/>
        <v>29019.34</v>
      </c>
    </row>
    <row r="175" spans="1:5" x14ac:dyDescent="0.25">
      <c r="A175" s="323" t="s">
        <v>3591</v>
      </c>
      <c r="B175" s="323" t="s">
        <v>805</v>
      </c>
      <c r="C175" s="323">
        <v>20671</v>
      </c>
      <c r="D175" s="323">
        <v>277</v>
      </c>
      <c r="E175" s="324">
        <f t="shared" si="2"/>
        <v>67549.22</v>
      </c>
    </row>
    <row r="176" spans="1:5" x14ac:dyDescent="0.25">
      <c r="A176" s="323" t="s">
        <v>3773</v>
      </c>
      <c r="B176" s="323" t="s">
        <v>805</v>
      </c>
      <c r="C176" s="323">
        <v>20671</v>
      </c>
      <c r="D176" s="323">
        <v>205</v>
      </c>
      <c r="E176" s="324">
        <f t="shared" si="2"/>
        <v>49991.3</v>
      </c>
    </row>
    <row r="177" spans="1:5" x14ac:dyDescent="0.25">
      <c r="A177" s="323" t="s">
        <v>3967</v>
      </c>
      <c r="B177" s="323" t="s">
        <v>805</v>
      </c>
      <c r="C177" s="323">
        <v>20671</v>
      </c>
      <c r="D177" s="323">
        <v>353</v>
      </c>
      <c r="E177" s="324">
        <f t="shared" si="2"/>
        <v>86082.58</v>
      </c>
    </row>
    <row r="178" spans="1:5" x14ac:dyDescent="0.25">
      <c r="A178" s="323" t="s">
        <v>6343</v>
      </c>
      <c r="B178" s="323" t="s">
        <v>805</v>
      </c>
      <c r="C178" s="323">
        <v>20671</v>
      </c>
      <c r="D178" s="323">
        <v>270</v>
      </c>
      <c r="E178" s="324">
        <f t="shared" si="2"/>
        <v>65842.2</v>
      </c>
    </row>
    <row r="179" spans="1:5" x14ac:dyDescent="0.25">
      <c r="A179" s="323" t="s">
        <v>6350</v>
      </c>
      <c r="B179" s="323" t="s">
        <v>805</v>
      </c>
      <c r="C179" s="323">
        <v>20671</v>
      </c>
      <c r="D179" s="323">
        <v>429</v>
      </c>
      <c r="E179" s="324">
        <f t="shared" si="2"/>
        <v>104615.94</v>
      </c>
    </row>
    <row r="180" spans="1:5" x14ac:dyDescent="0.25">
      <c r="A180" s="323" t="s">
        <v>6356</v>
      </c>
      <c r="B180" s="323" t="s">
        <v>805</v>
      </c>
      <c r="C180" s="323">
        <v>20671</v>
      </c>
      <c r="D180" s="323">
        <v>246</v>
      </c>
      <c r="E180" s="324">
        <f t="shared" si="2"/>
        <v>59989.560000000005</v>
      </c>
    </row>
    <row r="181" spans="1:5" x14ac:dyDescent="0.25">
      <c r="A181" s="323" t="s">
        <v>6364</v>
      </c>
      <c r="B181" s="323" t="s">
        <v>805</v>
      </c>
      <c r="C181" s="323">
        <v>20671</v>
      </c>
      <c r="D181" s="323">
        <v>322</v>
      </c>
      <c r="E181" s="324">
        <f t="shared" si="2"/>
        <v>78522.92</v>
      </c>
    </row>
    <row r="182" spans="1:5" x14ac:dyDescent="0.25">
      <c r="A182" s="323" t="s">
        <v>6583</v>
      </c>
      <c r="B182" s="323" t="s">
        <v>805</v>
      </c>
      <c r="C182" s="323">
        <v>20671</v>
      </c>
      <c r="D182" s="323">
        <v>514</v>
      </c>
      <c r="E182" s="324">
        <f t="shared" si="2"/>
        <v>125344.04000000001</v>
      </c>
    </row>
    <row r="183" spans="1:5" x14ac:dyDescent="0.25">
      <c r="A183" s="323" t="s">
        <v>6584</v>
      </c>
      <c r="B183" s="323" t="s">
        <v>805</v>
      </c>
      <c r="C183" s="323">
        <v>20671</v>
      </c>
      <c r="D183" s="323">
        <v>422</v>
      </c>
      <c r="E183" s="324">
        <f t="shared" si="2"/>
        <v>102908.92000000001</v>
      </c>
    </row>
    <row r="184" spans="1:5" x14ac:dyDescent="0.25">
      <c r="A184" s="323" t="s">
        <v>6586</v>
      </c>
      <c r="B184" s="323" t="s">
        <v>805</v>
      </c>
      <c r="C184" s="323">
        <v>20671</v>
      </c>
      <c r="D184" s="323">
        <v>309</v>
      </c>
      <c r="E184" s="324">
        <f t="shared" si="2"/>
        <v>75352.740000000005</v>
      </c>
    </row>
    <row r="185" spans="1:5" x14ac:dyDescent="0.25">
      <c r="A185" s="323" t="s">
        <v>6588</v>
      </c>
      <c r="B185" s="323" t="s">
        <v>805</v>
      </c>
      <c r="C185" s="323">
        <v>20671</v>
      </c>
      <c r="D185" s="323">
        <v>297</v>
      </c>
      <c r="E185" s="324">
        <f t="shared" si="2"/>
        <v>72426.42</v>
      </c>
    </row>
    <row r="186" spans="1:5" x14ac:dyDescent="0.25">
      <c r="A186" s="323" t="s">
        <v>6857</v>
      </c>
      <c r="B186" s="323" t="s">
        <v>805</v>
      </c>
      <c r="C186" s="323">
        <v>20671</v>
      </c>
      <c r="D186" s="323">
        <v>268</v>
      </c>
      <c r="E186" s="324">
        <f t="shared" si="2"/>
        <v>65354.48</v>
      </c>
    </row>
    <row r="187" spans="1:5" x14ac:dyDescent="0.25">
      <c r="A187" s="323" t="s">
        <v>1452</v>
      </c>
      <c r="B187" s="323" t="s">
        <v>805</v>
      </c>
      <c r="C187" s="323">
        <v>20970</v>
      </c>
      <c r="D187" s="323">
        <v>327</v>
      </c>
      <c r="E187" s="324">
        <f t="shared" si="2"/>
        <v>79742.22</v>
      </c>
    </row>
    <row r="188" spans="1:5" x14ac:dyDescent="0.25">
      <c r="A188" s="323" t="s">
        <v>1455</v>
      </c>
      <c r="B188" s="323" t="s">
        <v>805</v>
      </c>
      <c r="C188" s="323">
        <v>21464</v>
      </c>
      <c r="D188" s="323">
        <v>254</v>
      </c>
      <c r="E188" s="324">
        <f t="shared" si="2"/>
        <v>61940.44</v>
      </c>
    </row>
    <row r="189" spans="1:5" x14ac:dyDescent="0.25">
      <c r="A189" s="323" t="s">
        <v>6107</v>
      </c>
      <c r="B189" s="323" t="s">
        <v>805</v>
      </c>
      <c r="C189" s="323">
        <v>21478</v>
      </c>
      <c r="D189" s="323">
        <v>285</v>
      </c>
      <c r="E189" s="324">
        <f t="shared" si="2"/>
        <v>69500.100000000006</v>
      </c>
    </row>
    <row r="190" spans="1:5" x14ac:dyDescent="0.25">
      <c r="A190" s="323" t="s">
        <v>6135</v>
      </c>
      <c r="B190" s="323" t="s">
        <v>805</v>
      </c>
      <c r="C190" s="323">
        <v>21478</v>
      </c>
      <c r="D190" s="323">
        <v>193</v>
      </c>
      <c r="E190" s="324">
        <f t="shared" si="2"/>
        <v>47064.98</v>
      </c>
    </row>
    <row r="191" spans="1:5" x14ac:dyDescent="0.25">
      <c r="A191" s="323" t="s">
        <v>3296</v>
      </c>
      <c r="B191" s="323" t="s">
        <v>809</v>
      </c>
      <c r="C191" s="323">
        <v>21657</v>
      </c>
      <c r="D191" s="323">
        <v>176</v>
      </c>
      <c r="E191" s="324">
        <f t="shared" si="2"/>
        <v>85838.720000000001</v>
      </c>
    </row>
    <row r="192" spans="1:5" x14ac:dyDescent="0.25">
      <c r="A192" s="323" t="s">
        <v>3296</v>
      </c>
      <c r="B192" s="323" t="s">
        <v>809</v>
      </c>
      <c r="C192" s="323">
        <v>21657</v>
      </c>
      <c r="D192" s="323">
        <v>136</v>
      </c>
      <c r="E192" s="324">
        <f t="shared" si="2"/>
        <v>66329.919999999998</v>
      </c>
    </row>
    <row r="193" spans="1:5" x14ac:dyDescent="0.25">
      <c r="A193" s="323" t="s">
        <v>3296</v>
      </c>
      <c r="B193" s="323" t="s">
        <v>803</v>
      </c>
      <c r="C193" s="323">
        <v>21657</v>
      </c>
      <c r="D193" s="323">
        <v>273</v>
      </c>
      <c r="E193" s="324">
        <f t="shared" si="2"/>
        <v>133147.56</v>
      </c>
    </row>
    <row r="194" spans="1:5" x14ac:dyDescent="0.25">
      <c r="A194" s="323" t="s">
        <v>3296</v>
      </c>
      <c r="B194" s="323" t="s">
        <v>809</v>
      </c>
      <c r="C194" s="323">
        <v>21657</v>
      </c>
      <c r="D194" s="323">
        <v>299</v>
      </c>
      <c r="E194" s="324">
        <f t="shared" ref="E194:E257" si="3">D194*IF(B194=$G$9,WerkdrukbedragPerLeerlingBo,IF(B194=$G$10,WerkdrukbedragPerLeerlingSbo,IF(B194=$G$11,WerkdrukbedragPerLeerlingSo,IF(B194=$G$12,WerkdrukbedragPerLeerlingVso,0))))</f>
        <v>145828.28</v>
      </c>
    </row>
    <row r="195" spans="1:5" x14ac:dyDescent="0.25">
      <c r="A195" s="323" t="s">
        <v>3296</v>
      </c>
      <c r="B195" s="323" t="s">
        <v>809</v>
      </c>
      <c r="C195" s="323">
        <v>21657</v>
      </c>
      <c r="D195" s="323">
        <v>92</v>
      </c>
      <c r="E195" s="324">
        <f t="shared" si="3"/>
        <v>44870.240000000005</v>
      </c>
    </row>
    <row r="196" spans="1:5" x14ac:dyDescent="0.25">
      <c r="A196" s="323" t="s">
        <v>3296</v>
      </c>
      <c r="B196" s="323" t="s">
        <v>809</v>
      </c>
      <c r="C196" s="323">
        <v>21657</v>
      </c>
      <c r="D196" s="323">
        <v>85</v>
      </c>
      <c r="E196" s="324">
        <f t="shared" si="3"/>
        <v>41456.200000000004</v>
      </c>
    </row>
    <row r="197" spans="1:5" x14ac:dyDescent="0.25">
      <c r="A197" s="323" t="s">
        <v>6686</v>
      </c>
      <c r="B197" s="323" t="s">
        <v>809</v>
      </c>
      <c r="C197" s="323">
        <v>21679</v>
      </c>
      <c r="D197" s="323">
        <v>303</v>
      </c>
      <c r="E197" s="324">
        <f t="shared" si="3"/>
        <v>147779.16</v>
      </c>
    </row>
    <row r="198" spans="1:5" x14ac:dyDescent="0.25">
      <c r="A198" s="323" t="s">
        <v>6686</v>
      </c>
      <c r="B198" s="323" t="s">
        <v>809</v>
      </c>
      <c r="C198" s="323">
        <v>21679</v>
      </c>
      <c r="D198" s="323">
        <v>53</v>
      </c>
      <c r="E198" s="324">
        <f t="shared" si="3"/>
        <v>25849.16</v>
      </c>
    </row>
    <row r="199" spans="1:5" x14ac:dyDescent="0.25">
      <c r="A199" s="323" t="s">
        <v>6686</v>
      </c>
      <c r="B199" s="323" t="s">
        <v>809</v>
      </c>
      <c r="C199" s="323">
        <v>21679</v>
      </c>
      <c r="D199" s="323">
        <v>73</v>
      </c>
      <c r="E199" s="324">
        <f t="shared" si="3"/>
        <v>35603.560000000005</v>
      </c>
    </row>
    <row r="200" spans="1:5" x14ac:dyDescent="0.25">
      <c r="A200" s="323" t="s">
        <v>6686</v>
      </c>
      <c r="B200" s="323" t="s">
        <v>809</v>
      </c>
      <c r="C200" s="323">
        <v>21679</v>
      </c>
      <c r="D200" s="323">
        <v>34</v>
      </c>
      <c r="E200" s="324">
        <f t="shared" si="3"/>
        <v>16582.48</v>
      </c>
    </row>
    <row r="201" spans="1:5" x14ac:dyDescent="0.25">
      <c r="A201" s="323" t="s">
        <v>6686</v>
      </c>
      <c r="B201" s="323" t="s">
        <v>809</v>
      </c>
      <c r="C201" s="323">
        <v>21679</v>
      </c>
      <c r="D201" s="323">
        <v>30</v>
      </c>
      <c r="E201" s="324">
        <f t="shared" si="3"/>
        <v>14631.6</v>
      </c>
    </row>
    <row r="202" spans="1:5" x14ac:dyDescent="0.25">
      <c r="A202" s="323" t="s">
        <v>6686</v>
      </c>
      <c r="B202" s="323" t="s">
        <v>809</v>
      </c>
      <c r="C202" s="323">
        <v>21679</v>
      </c>
      <c r="D202" s="323">
        <v>108</v>
      </c>
      <c r="E202" s="324">
        <f t="shared" si="3"/>
        <v>52673.760000000002</v>
      </c>
    </row>
    <row r="203" spans="1:5" x14ac:dyDescent="0.25">
      <c r="A203" s="323" t="s">
        <v>6686</v>
      </c>
      <c r="B203" s="323" t="s">
        <v>803</v>
      </c>
      <c r="C203" s="323">
        <v>21679</v>
      </c>
      <c r="D203" s="323">
        <v>34</v>
      </c>
      <c r="E203" s="324">
        <f t="shared" si="3"/>
        <v>16582.48</v>
      </c>
    </row>
    <row r="204" spans="1:5" x14ac:dyDescent="0.25">
      <c r="A204" s="323" t="s">
        <v>6686</v>
      </c>
      <c r="B204" s="323" t="s">
        <v>809</v>
      </c>
      <c r="C204" s="323">
        <v>21679</v>
      </c>
      <c r="D204" s="323">
        <v>204</v>
      </c>
      <c r="E204" s="324">
        <f t="shared" si="3"/>
        <v>99494.88</v>
      </c>
    </row>
    <row r="205" spans="1:5" x14ac:dyDescent="0.25">
      <c r="A205" s="323" t="s">
        <v>6686</v>
      </c>
      <c r="B205" s="323" t="s">
        <v>809</v>
      </c>
      <c r="C205" s="323">
        <v>21679</v>
      </c>
      <c r="D205" s="323">
        <v>66</v>
      </c>
      <c r="E205" s="324">
        <f t="shared" si="3"/>
        <v>32189.52</v>
      </c>
    </row>
    <row r="206" spans="1:5" x14ac:dyDescent="0.25">
      <c r="A206" s="323" t="s">
        <v>6686</v>
      </c>
      <c r="B206" s="323" t="s">
        <v>803</v>
      </c>
      <c r="C206" s="323">
        <v>21679</v>
      </c>
      <c r="D206" s="323">
        <v>277</v>
      </c>
      <c r="E206" s="324">
        <f t="shared" si="3"/>
        <v>135098.44</v>
      </c>
    </row>
    <row r="207" spans="1:5" x14ac:dyDescent="0.25">
      <c r="A207" s="323" t="s">
        <v>6686</v>
      </c>
      <c r="B207" s="323" t="s">
        <v>803</v>
      </c>
      <c r="C207" s="323">
        <v>21679</v>
      </c>
      <c r="D207" s="323">
        <v>49</v>
      </c>
      <c r="E207" s="324">
        <f t="shared" si="3"/>
        <v>23898.280000000002</v>
      </c>
    </row>
    <row r="208" spans="1:5" x14ac:dyDescent="0.25">
      <c r="A208" s="323" t="s">
        <v>963</v>
      </c>
      <c r="B208" s="323" t="s">
        <v>803</v>
      </c>
      <c r="C208" s="323">
        <v>21712</v>
      </c>
      <c r="D208" s="323">
        <v>150</v>
      </c>
      <c r="E208" s="324">
        <f t="shared" si="3"/>
        <v>73158</v>
      </c>
    </row>
    <row r="209" spans="1:5" x14ac:dyDescent="0.25">
      <c r="A209" s="323" t="s">
        <v>5827</v>
      </c>
      <c r="B209" s="323" t="s">
        <v>803</v>
      </c>
      <c r="C209" s="323">
        <v>21712</v>
      </c>
      <c r="D209" s="323">
        <v>176</v>
      </c>
      <c r="E209" s="324">
        <f t="shared" si="3"/>
        <v>85838.720000000001</v>
      </c>
    </row>
    <row r="210" spans="1:5" x14ac:dyDescent="0.25">
      <c r="A210" s="323" t="s">
        <v>5827</v>
      </c>
      <c r="B210" s="323" t="s">
        <v>803</v>
      </c>
      <c r="C210" s="323">
        <v>21712</v>
      </c>
      <c r="D210" s="323">
        <v>128</v>
      </c>
      <c r="E210" s="324">
        <f t="shared" si="3"/>
        <v>62428.160000000003</v>
      </c>
    </row>
    <row r="211" spans="1:5" x14ac:dyDescent="0.25">
      <c r="A211" s="323" t="s">
        <v>6929</v>
      </c>
      <c r="B211" s="323" t="s">
        <v>803</v>
      </c>
      <c r="C211" s="323">
        <v>21712</v>
      </c>
      <c r="D211" s="323">
        <v>147</v>
      </c>
      <c r="E211" s="324">
        <f t="shared" si="3"/>
        <v>71694.840000000011</v>
      </c>
    </row>
    <row r="212" spans="1:5" x14ac:dyDescent="0.25">
      <c r="A212" s="323" t="s">
        <v>852</v>
      </c>
      <c r="B212" s="323" t="s">
        <v>816</v>
      </c>
      <c r="C212" s="323">
        <v>21881</v>
      </c>
      <c r="D212" s="323">
        <v>109</v>
      </c>
      <c r="E212" s="324">
        <f t="shared" si="3"/>
        <v>39871.11</v>
      </c>
    </row>
    <row r="213" spans="1:5" x14ac:dyDescent="0.25">
      <c r="A213" s="323" t="s">
        <v>5108</v>
      </c>
      <c r="B213" s="323" t="s">
        <v>816</v>
      </c>
      <c r="C213" s="323">
        <v>21881</v>
      </c>
      <c r="D213" s="323">
        <v>224</v>
      </c>
      <c r="E213" s="324">
        <f t="shared" si="3"/>
        <v>81936.960000000006</v>
      </c>
    </row>
    <row r="214" spans="1:5" x14ac:dyDescent="0.25">
      <c r="A214" s="323" t="s">
        <v>3057</v>
      </c>
      <c r="B214" s="323" t="s">
        <v>805</v>
      </c>
      <c r="C214" s="323">
        <v>22622</v>
      </c>
      <c r="D214" s="323">
        <v>395</v>
      </c>
      <c r="E214" s="324">
        <f t="shared" si="3"/>
        <v>96324.700000000012</v>
      </c>
    </row>
    <row r="215" spans="1:5" x14ac:dyDescent="0.25">
      <c r="A215" s="323" t="s">
        <v>3188</v>
      </c>
      <c r="B215" s="323" t="s">
        <v>805</v>
      </c>
      <c r="C215" s="323">
        <v>22725</v>
      </c>
      <c r="D215" s="323">
        <v>328</v>
      </c>
      <c r="E215" s="324">
        <f t="shared" si="3"/>
        <v>79986.080000000002</v>
      </c>
    </row>
    <row r="216" spans="1:5" x14ac:dyDescent="0.25">
      <c r="A216" s="323" t="s">
        <v>3210</v>
      </c>
      <c r="B216" s="323" t="s">
        <v>805</v>
      </c>
      <c r="C216" s="323">
        <v>22725</v>
      </c>
      <c r="D216" s="323">
        <v>338</v>
      </c>
      <c r="E216" s="324">
        <f t="shared" si="3"/>
        <v>82424.680000000008</v>
      </c>
    </row>
    <row r="217" spans="1:5" x14ac:dyDescent="0.25">
      <c r="A217" s="323" t="s">
        <v>3428</v>
      </c>
      <c r="B217" s="323" t="s">
        <v>805</v>
      </c>
      <c r="C217" s="323">
        <v>22725</v>
      </c>
      <c r="D217" s="323">
        <v>154</v>
      </c>
      <c r="E217" s="324">
        <f t="shared" si="3"/>
        <v>37554.44</v>
      </c>
    </row>
    <row r="218" spans="1:5" x14ac:dyDescent="0.25">
      <c r="A218" s="323" t="s">
        <v>3542</v>
      </c>
      <c r="B218" s="323" t="s">
        <v>805</v>
      </c>
      <c r="C218" s="323">
        <v>22725</v>
      </c>
      <c r="D218" s="323">
        <v>146</v>
      </c>
      <c r="E218" s="324">
        <f t="shared" si="3"/>
        <v>35603.560000000005</v>
      </c>
    </row>
    <row r="219" spans="1:5" x14ac:dyDescent="0.25">
      <c r="A219" s="323" t="s">
        <v>3584</v>
      </c>
      <c r="B219" s="323" t="s">
        <v>805</v>
      </c>
      <c r="C219" s="323">
        <v>22725</v>
      </c>
      <c r="D219" s="323">
        <v>635</v>
      </c>
      <c r="E219" s="324">
        <f t="shared" si="3"/>
        <v>154851.1</v>
      </c>
    </row>
    <row r="220" spans="1:5" x14ac:dyDescent="0.25">
      <c r="A220" s="323" t="s">
        <v>3992</v>
      </c>
      <c r="B220" s="323" t="s">
        <v>805</v>
      </c>
      <c r="C220" s="323">
        <v>22725</v>
      </c>
      <c r="D220" s="323">
        <v>254</v>
      </c>
      <c r="E220" s="324">
        <f t="shared" si="3"/>
        <v>61940.44</v>
      </c>
    </row>
    <row r="221" spans="1:5" x14ac:dyDescent="0.25">
      <c r="A221" s="323" t="s">
        <v>4148</v>
      </c>
      <c r="B221" s="323" t="s">
        <v>805</v>
      </c>
      <c r="C221" s="323">
        <v>22725</v>
      </c>
      <c r="D221" s="323">
        <v>237</v>
      </c>
      <c r="E221" s="324">
        <f t="shared" si="3"/>
        <v>57794.82</v>
      </c>
    </row>
    <row r="222" spans="1:5" x14ac:dyDescent="0.25">
      <c r="A222" s="323" t="s">
        <v>4170</v>
      </c>
      <c r="B222" s="323" t="s">
        <v>805</v>
      </c>
      <c r="C222" s="323">
        <v>22725</v>
      </c>
      <c r="D222" s="323">
        <v>342</v>
      </c>
      <c r="E222" s="324">
        <f t="shared" si="3"/>
        <v>83400.12000000001</v>
      </c>
    </row>
    <row r="223" spans="1:5" x14ac:dyDescent="0.25">
      <c r="A223" s="323" t="s">
        <v>4283</v>
      </c>
      <c r="B223" s="323" t="s">
        <v>805</v>
      </c>
      <c r="C223" s="323">
        <v>22725</v>
      </c>
      <c r="D223" s="323">
        <v>602</v>
      </c>
      <c r="E223" s="324">
        <f t="shared" si="3"/>
        <v>146803.72</v>
      </c>
    </row>
    <row r="224" spans="1:5" x14ac:dyDescent="0.25">
      <c r="A224" s="323" t="s">
        <v>4504</v>
      </c>
      <c r="B224" s="323" t="s">
        <v>805</v>
      </c>
      <c r="C224" s="323">
        <v>22725</v>
      </c>
      <c r="D224" s="323">
        <v>262</v>
      </c>
      <c r="E224" s="324">
        <f t="shared" si="3"/>
        <v>63891.320000000007</v>
      </c>
    </row>
    <row r="225" spans="1:5" x14ac:dyDescent="0.25">
      <c r="A225" s="323" t="s">
        <v>5942</v>
      </c>
      <c r="B225" s="323" t="s">
        <v>805</v>
      </c>
      <c r="C225" s="323">
        <v>22725</v>
      </c>
      <c r="D225" s="323">
        <v>227</v>
      </c>
      <c r="E225" s="324">
        <f t="shared" si="3"/>
        <v>55356.22</v>
      </c>
    </row>
    <row r="226" spans="1:5" x14ac:dyDescent="0.25">
      <c r="A226" s="323" t="s">
        <v>1083</v>
      </c>
      <c r="B226" s="323" t="s">
        <v>805</v>
      </c>
      <c r="C226" s="323">
        <v>22765</v>
      </c>
      <c r="D226" s="323">
        <v>259</v>
      </c>
      <c r="E226" s="324">
        <f t="shared" si="3"/>
        <v>63159.740000000005</v>
      </c>
    </row>
    <row r="227" spans="1:5" x14ac:dyDescent="0.25">
      <c r="A227" s="323" t="s">
        <v>1517</v>
      </c>
      <c r="B227" s="323" t="s">
        <v>805</v>
      </c>
      <c r="C227" s="323">
        <v>23128</v>
      </c>
      <c r="D227" s="323">
        <v>159</v>
      </c>
      <c r="E227" s="324">
        <f t="shared" si="3"/>
        <v>38773.740000000005</v>
      </c>
    </row>
    <row r="228" spans="1:5" x14ac:dyDescent="0.25">
      <c r="A228" s="323" t="s">
        <v>2540</v>
      </c>
      <c r="B228" s="323" t="s">
        <v>805</v>
      </c>
      <c r="C228" s="323">
        <v>23128</v>
      </c>
      <c r="D228" s="323">
        <v>120</v>
      </c>
      <c r="E228" s="324">
        <f t="shared" si="3"/>
        <v>29263.200000000001</v>
      </c>
    </row>
    <row r="229" spans="1:5" x14ac:dyDescent="0.25">
      <c r="A229" s="323" t="s">
        <v>2684</v>
      </c>
      <c r="B229" s="323" t="s">
        <v>805</v>
      </c>
      <c r="C229" s="323">
        <v>23128</v>
      </c>
      <c r="D229" s="323">
        <v>203</v>
      </c>
      <c r="E229" s="324">
        <f t="shared" si="3"/>
        <v>49503.58</v>
      </c>
    </row>
    <row r="230" spans="1:5" x14ac:dyDescent="0.25">
      <c r="A230" s="323" t="s">
        <v>2684</v>
      </c>
      <c r="B230" s="323" t="s">
        <v>805</v>
      </c>
      <c r="C230" s="323">
        <v>23128</v>
      </c>
      <c r="D230" s="323">
        <v>58</v>
      </c>
      <c r="E230" s="324">
        <f t="shared" si="3"/>
        <v>14143.880000000001</v>
      </c>
    </row>
    <row r="231" spans="1:5" x14ac:dyDescent="0.25">
      <c r="A231" s="323" t="s">
        <v>3211</v>
      </c>
      <c r="B231" s="323" t="s">
        <v>805</v>
      </c>
      <c r="C231" s="323">
        <v>23128</v>
      </c>
      <c r="D231" s="323">
        <v>144</v>
      </c>
      <c r="E231" s="324">
        <f t="shared" si="3"/>
        <v>35115.840000000004</v>
      </c>
    </row>
    <row r="232" spans="1:5" x14ac:dyDescent="0.25">
      <c r="A232" s="323" t="s">
        <v>3553</v>
      </c>
      <c r="B232" s="323" t="s">
        <v>805</v>
      </c>
      <c r="C232" s="323">
        <v>23128</v>
      </c>
      <c r="D232" s="323">
        <v>119</v>
      </c>
      <c r="E232" s="324">
        <f t="shared" si="3"/>
        <v>29019.34</v>
      </c>
    </row>
    <row r="233" spans="1:5" x14ac:dyDescent="0.25">
      <c r="A233" s="323" t="s">
        <v>3993</v>
      </c>
      <c r="B233" s="323" t="s">
        <v>805</v>
      </c>
      <c r="C233" s="323">
        <v>23128</v>
      </c>
      <c r="D233" s="323">
        <v>424</v>
      </c>
      <c r="E233" s="324">
        <f t="shared" si="3"/>
        <v>103396.64</v>
      </c>
    </row>
    <row r="234" spans="1:5" x14ac:dyDescent="0.25">
      <c r="A234" s="323" t="s">
        <v>4393</v>
      </c>
      <c r="B234" s="323" t="s">
        <v>805</v>
      </c>
      <c r="C234" s="323">
        <v>23128</v>
      </c>
      <c r="D234" s="323">
        <v>246</v>
      </c>
      <c r="E234" s="324">
        <f t="shared" si="3"/>
        <v>59989.560000000005</v>
      </c>
    </row>
    <row r="235" spans="1:5" x14ac:dyDescent="0.25">
      <c r="A235" s="323" t="s">
        <v>4505</v>
      </c>
      <c r="B235" s="323" t="s">
        <v>805</v>
      </c>
      <c r="C235" s="323">
        <v>23128</v>
      </c>
      <c r="D235" s="323">
        <v>120</v>
      </c>
      <c r="E235" s="324">
        <f t="shared" si="3"/>
        <v>29263.200000000001</v>
      </c>
    </row>
    <row r="236" spans="1:5" x14ac:dyDescent="0.25">
      <c r="A236" s="323" t="s">
        <v>4602</v>
      </c>
      <c r="B236" s="323" t="s">
        <v>805</v>
      </c>
      <c r="C236" s="323">
        <v>23128</v>
      </c>
      <c r="D236" s="323">
        <v>183</v>
      </c>
      <c r="E236" s="324">
        <f t="shared" si="3"/>
        <v>44626.380000000005</v>
      </c>
    </row>
    <row r="237" spans="1:5" x14ac:dyDescent="0.25">
      <c r="A237" s="323" t="s">
        <v>6726</v>
      </c>
      <c r="B237" s="323" t="s">
        <v>805</v>
      </c>
      <c r="C237" s="323">
        <v>23128</v>
      </c>
      <c r="D237" s="323">
        <v>103</v>
      </c>
      <c r="E237" s="324">
        <f t="shared" si="3"/>
        <v>25117.58</v>
      </c>
    </row>
    <row r="238" spans="1:5" x14ac:dyDescent="0.25">
      <c r="A238" s="323" t="s">
        <v>6727</v>
      </c>
      <c r="B238" s="323" t="s">
        <v>805</v>
      </c>
      <c r="C238" s="323">
        <v>23128</v>
      </c>
      <c r="D238" s="323">
        <v>196</v>
      </c>
      <c r="E238" s="324">
        <f t="shared" si="3"/>
        <v>47796.560000000005</v>
      </c>
    </row>
    <row r="239" spans="1:5" x14ac:dyDescent="0.25">
      <c r="A239" s="323" t="s">
        <v>6728</v>
      </c>
      <c r="B239" s="323" t="s">
        <v>805</v>
      </c>
      <c r="C239" s="323">
        <v>23128</v>
      </c>
      <c r="D239" s="323">
        <v>315</v>
      </c>
      <c r="E239" s="324">
        <f t="shared" si="3"/>
        <v>76815.900000000009</v>
      </c>
    </row>
    <row r="240" spans="1:5" x14ac:dyDescent="0.25">
      <c r="A240" s="323" t="s">
        <v>6733</v>
      </c>
      <c r="B240" s="323" t="s">
        <v>805</v>
      </c>
      <c r="C240" s="323">
        <v>23128</v>
      </c>
      <c r="D240" s="323">
        <v>166</v>
      </c>
      <c r="E240" s="324">
        <f t="shared" si="3"/>
        <v>40480.76</v>
      </c>
    </row>
    <row r="241" spans="1:5" x14ac:dyDescent="0.25">
      <c r="A241" s="323" t="s">
        <v>6734</v>
      </c>
      <c r="B241" s="323" t="s">
        <v>805</v>
      </c>
      <c r="C241" s="323">
        <v>23128</v>
      </c>
      <c r="D241" s="323">
        <v>228</v>
      </c>
      <c r="E241" s="324">
        <f t="shared" si="3"/>
        <v>55600.08</v>
      </c>
    </row>
    <row r="242" spans="1:5" x14ac:dyDescent="0.25">
      <c r="A242" s="323" t="s">
        <v>7289</v>
      </c>
      <c r="B242" s="323" t="s">
        <v>805</v>
      </c>
      <c r="C242" s="323">
        <v>23128</v>
      </c>
      <c r="D242" s="323">
        <v>553</v>
      </c>
      <c r="E242" s="324">
        <f t="shared" si="3"/>
        <v>134854.58000000002</v>
      </c>
    </row>
    <row r="243" spans="1:5" x14ac:dyDescent="0.25">
      <c r="A243" s="323" t="s">
        <v>7309</v>
      </c>
      <c r="B243" s="323" t="s">
        <v>805</v>
      </c>
      <c r="C243" s="323">
        <v>23128</v>
      </c>
      <c r="D243" s="323">
        <v>198</v>
      </c>
      <c r="E243" s="324">
        <f t="shared" si="3"/>
        <v>48284.280000000006</v>
      </c>
    </row>
    <row r="244" spans="1:5" x14ac:dyDescent="0.25">
      <c r="A244" s="323" t="s">
        <v>3429</v>
      </c>
      <c r="B244" s="323" t="s">
        <v>805</v>
      </c>
      <c r="C244" s="323">
        <v>23337</v>
      </c>
      <c r="D244" s="323">
        <v>293</v>
      </c>
      <c r="E244" s="324">
        <f t="shared" si="3"/>
        <v>71450.98000000001</v>
      </c>
    </row>
    <row r="245" spans="1:5" x14ac:dyDescent="0.25">
      <c r="A245" s="323" t="s">
        <v>3713</v>
      </c>
      <c r="B245" s="323" t="s">
        <v>805</v>
      </c>
      <c r="C245" s="323">
        <v>23337</v>
      </c>
      <c r="D245" s="323">
        <v>227</v>
      </c>
      <c r="E245" s="324">
        <f t="shared" si="3"/>
        <v>55356.22</v>
      </c>
    </row>
    <row r="246" spans="1:5" x14ac:dyDescent="0.25">
      <c r="A246" s="323" t="s">
        <v>1461</v>
      </c>
      <c r="B246" s="323" t="s">
        <v>805</v>
      </c>
      <c r="C246" s="323">
        <v>23440</v>
      </c>
      <c r="D246" s="323">
        <v>236</v>
      </c>
      <c r="E246" s="324">
        <f t="shared" si="3"/>
        <v>57550.960000000006</v>
      </c>
    </row>
    <row r="247" spans="1:5" x14ac:dyDescent="0.25">
      <c r="A247" s="323" t="s">
        <v>2157</v>
      </c>
      <c r="B247" s="323" t="s">
        <v>805</v>
      </c>
      <c r="C247" s="323">
        <v>23545</v>
      </c>
      <c r="D247" s="323">
        <v>156</v>
      </c>
      <c r="E247" s="324">
        <f t="shared" si="3"/>
        <v>38042.160000000003</v>
      </c>
    </row>
    <row r="248" spans="1:5" x14ac:dyDescent="0.25">
      <c r="A248" s="323" t="s">
        <v>3212</v>
      </c>
      <c r="B248" s="323" t="s">
        <v>805</v>
      </c>
      <c r="C248" s="323">
        <v>23674</v>
      </c>
      <c r="D248" s="323">
        <v>156</v>
      </c>
      <c r="E248" s="324">
        <f t="shared" si="3"/>
        <v>38042.160000000003</v>
      </c>
    </row>
    <row r="249" spans="1:5" x14ac:dyDescent="0.25">
      <c r="A249" s="323" t="s">
        <v>3544</v>
      </c>
      <c r="B249" s="323" t="s">
        <v>805</v>
      </c>
      <c r="C249" s="323">
        <v>23674</v>
      </c>
      <c r="D249" s="323">
        <v>213</v>
      </c>
      <c r="E249" s="324">
        <f t="shared" si="3"/>
        <v>51942.18</v>
      </c>
    </row>
    <row r="250" spans="1:5" x14ac:dyDescent="0.25">
      <c r="A250" s="323" t="s">
        <v>3432</v>
      </c>
      <c r="B250" s="323" t="s">
        <v>805</v>
      </c>
      <c r="C250" s="323">
        <v>23883</v>
      </c>
      <c r="D250" s="323">
        <v>229</v>
      </c>
      <c r="E250" s="324">
        <f t="shared" si="3"/>
        <v>55843.94</v>
      </c>
    </row>
    <row r="251" spans="1:5" x14ac:dyDescent="0.25">
      <c r="A251" s="323" t="s">
        <v>3714</v>
      </c>
      <c r="B251" s="323" t="s">
        <v>805</v>
      </c>
      <c r="C251" s="323">
        <v>23883</v>
      </c>
      <c r="D251" s="323">
        <v>273</v>
      </c>
      <c r="E251" s="324">
        <f t="shared" si="3"/>
        <v>66573.78</v>
      </c>
    </row>
    <row r="252" spans="1:5" x14ac:dyDescent="0.25">
      <c r="A252" s="323" t="s">
        <v>2162</v>
      </c>
      <c r="B252" s="323" t="s">
        <v>805</v>
      </c>
      <c r="C252" s="323">
        <v>23948</v>
      </c>
      <c r="D252" s="323">
        <v>231</v>
      </c>
      <c r="E252" s="324">
        <f t="shared" si="3"/>
        <v>56331.66</v>
      </c>
    </row>
    <row r="253" spans="1:5" x14ac:dyDescent="0.25">
      <c r="A253" s="323" t="s">
        <v>887</v>
      </c>
      <c r="B253" s="323" t="s">
        <v>816</v>
      </c>
      <c r="C253" s="323">
        <v>23961</v>
      </c>
      <c r="D253" s="323">
        <v>123</v>
      </c>
      <c r="E253" s="324">
        <f t="shared" si="3"/>
        <v>44992.170000000006</v>
      </c>
    </row>
    <row r="254" spans="1:5" x14ac:dyDescent="0.25">
      <c r="A254" s="323" t="s">
        <v>1089</v>
      </c>
      <c r="B254" s="323" t="s">
        <v>805</v>
      </c>
      <c r="C254" s="323">
        <v>23961</v>
      </c>
      <c r="D254" s="323">
        <v>278</v>
      </c>
      <c r="E254" s="324">
        <f t="shared" si="3"/>
        <v>67793.08</v>
      </c>
    </row>
    <row r="255" spans="1:5" x14ac:dyDescent="0.25">
      <c r="A255" s="323" t="s">
        <v>1121</v>
      </c>
      <c r="B255" s="323" t="s">
        <v>805</v>
      </c>
      <c r="C255" s="323">
        <v>23961</v>
      </c>
      <c r="D255" s="323">
        <v>142</v>
      </c>
      <c r="E255" s="324">
        <f t="shared" si="3"/>
        <v>34628.120000000003</v>
      </c>
    </row>
    <row r="256" spans="1:5" x14ac:dyDescent="0.25">
      <c r="A256" s="323" t="s">
        <v>1216</v>
      </c>
      <c r="B256" s="323" t="s">
        <v>805</v>
      </c>
      <c r="C256" s="323">
        <v>23961</v>
      </c>
      <c r="D256" s="323">
        <v>59</v>
      </c>
      <c r="E256" s="324">
        <f t="shared" si="3"/>
        <v>14387.740000000002</v>
      </c>
    </row>
    <row r="257" spans="1:5" x14ac:dyDescent="0.25">
      <c r="A257" s="323" t="s">
        <v>1239</v>
      </c>
      <c r="B257" s="323" t="s">
        <v>805</v>
      </c>
      <c r="C257" s="323">
        <v>23961</v>
      </c>
      <c r="D257" s="323">
        <v>73</v>
      </c>
      <c r="E257" s="324">
        <f t="shared" si="3"/>
        <v>17801.780000000002</v>
      </c>
    </row>
    <row r="258" spans="1:5" x14ac:dyDescent="0.25">
      <c r="A258" s="323" t="s">
        <v>1347</v>
      </c>
      <c r="B258" s="323" t="s">
        <v>805</v>
      </c>
      <c r="C258" s="323">
        <v>23961</v>
      </c>
      <c r="D258" s="323">
        <v>232</v>
      </c>
      <c r="E258" s="324">
        <f t="shared" ref="E258:E321" si="4">D258*IF(B258=$G$9,WerkdrukbedragPerLeerlingBo,IF(B258=$G$10,WerkdrukbedragPerLeerlingSbo,IF(B258=$G$11,WerkdrukbedragPerLeerlingSo,IF(B258=$G$12,WerkdrukbedragPerLeerlingVso,0))))</f>
        <v>56575.520000000004</v>
      </c>
    </row>
    <row r="259" spans="1:5" x14ac:dyDescent="0.25">
      <c r="A259" s="323" t="s">
        <v>1351</v>
      </c>
      <c r="B259" s="323" t="s">
        <v>805</v>
      </c>
      <c r="C259" s="323">
        <v>23961</v>
      </c>
      <c r="D259" s="323">
        <v>58</v>
      </c>
      <c r="E259" s="324">
        <f t="shared" si="4"/>
        <v>14143.880000000001</v>
      </c>
    </row>
    <row r="260" spans="1:5" x14ac:dyDescent="0.25">
      <c r="A260" s="323" t="s">
        <v>1415</v>
      </c>
      <c r="B260" s="323" t="s">
        <v>805</v>
      </c>
      <c r="C260" s="323">
        <v>23961</v>
      </c>
      <c r="D260" s="323">
        <v>131</v>
      </c>
      <c r="E260" s="324">
        <f t="shared" si="4"/>
        <v>31945.660000000003</v>
      </c>
    </row>
    <row r="261" spans="1:5" x14ac:dyDescent="0.25">
      <c r="A261" s="323" t="s">
        <v>1735</v>
      </c>
      <c r="B261" s="323" t="s">
        <v>805</v>
      </c>
      <c r="C261" s="323">
        <v>23961</v>
      </c>
      <c r="D261" s="323">
        <v>58</v>
      </c>
      <c r="E261" s="324">
        <f t="shared" si="4"/>
        <v>14143.880000000001</v>
      </c>
    </row>
    <row r="262" spans="1:5" x14ac:dyDescent="0.25">
      <c r="A262" s="323" t="s">
        <v>2572</v>
      </c>
      <c r="B262" s="323" t="s">
        <v>805</v>
      </c>
      <c r="C262" s="323">
        <v>23961</v>
      </c>
      <c r="D262" s="323">
        <v>83</v>
      </c>
      <c r="E262" s="324">
        <f t="shared" si="4"/>
        <v>20240.38</v>
      </c>
    </row>
    <row r="263" spans="1:5" x14ac:dyDescent="0.25">
      <c r="A263" s="323" t="s">
        <v>2606</v>
      </c>
      <c r="B263" s="323" t="s">
        <v>805</v>
      </c>
      <c r="C263" s="323">
        <v>23961</v>
      </c>
      <c r="D263" s="323">
        <v>272</v>
      </c>
      <c r="E263" s="324">
        <f t="shared" si="4"/>
        <v>66329.919999999998</v>
      </c>
    </row>
    <row r="264" spans="1:5" x14ac:dyDescent="0.25">
      <c r="A264" s="323" t="s">
        <v>3059</v>
      </c>
      <c r="B264" s="323" t="s">
        <v>805</v>
      </c>
      <c r="C264" s="323">
        <v>23961</v>
      </c>
      <c r="D264" s="323">
        <v>49</v>
      </c>
      <c r="E264" s="324">
        <f t="shared" si="4"/>
        <v>11949.140000000001</v>
      </c>
    </row>
    <row r="265" spans="1:5" x14ac:dyDescent="0.25">
      <c r="A265" s="323" t="s">
        <v>3142</v>
      </c>
      <c r="B265" s="323" t="s">
        <v>805</v>
      </c>
      <c r="C265" s="323">
        <v>23961</v>
      </c>
      <c r="D265" s="323">
        <v>234</v>
      </c>
      <c r="E265" s="324">
        <f t="shared" si="4"/>
        <v>57063.240000000005</v>
      </c>
    </row>
    <row r="266" spans="1:5" x14ac:dyDescent="0.25">
      <c r="A266" s="323" t="s">
        <v>5172</v>
      </c>
      <c r="B266" s="323" t="s">
        <v>805</v>
      </c>
      <c r="C266" s="323">
        <v>23961</v>
      </c>
      <c r="D266" s="323">
        <v>109</v>
      </c>
      <c r="E266" s="324">
        <f t="shared" si="4"/>
        <v>26580.74</v>
      </c>
    </row>
    <row r="267" spans="1:5" x14ac:dyDescent="0.25">
      <c r="A267" s="323" t="s">
        <v>5834</v>
      </c>
      <c r="B267" s="323" t="s">
        <v>805</v>
      </c>
      <c r="C267" s="323">
        <v>23961</v>
      </c>
      <c r="D267" s="323">
        <v>367</v>
      </c>
      <c r="E267" s="324">
        <f t="shared" si="4"/>
        <v>89496.62000000001</v>
      </c>
    </row>
    <row r="268" spans="1:5" x14ac:dyDescent="0.25">
      <c r="A268" s="323" t="s">
        <v>2164</v>
      </c>
      <c r="B268" s="323" t="s">
        <v>805</v>
      </c>
      <c r="C268" s="323">
        <v>24065</v>
      </c>
      <c r="D268" s="323">
        <v>98</v>
      </c>
      <c r="E268" s="324">
        <f t="shared" si="4"/>
        <v>23898.280000000002</v>
      </c>
    </row>
    <row r="269" spans="1:5" x14ac:dyDescent="0.25">
      <c r="A269" s="323" t="s">
        <v>1092</v>
      </c>
      <c r="B269" s="323" t="s">
        <v>805</v>
      </c>
      <c r="C269" s="323">
        <v>24195</v>
      </c>
      <c r="D269" s="323">
        <v>218</v>
      </c>
      <c r="E269" s="324">
        <f t="shared" si="4"/>
        <v>53161.48</v>
      </c>
    </row>
    <row r="270" spans="1:5" x14ac:dyDescent="0.25">
      <c r="A270" s="323" t="s">
        <v>6900</v>
      </c>
      <c r="B270" s="323" t="s">
        <v>805</v>
      </c>
      <c r="C270" s="323">
        <v>24195</v>
      </c>
      <c r="D270" s="323">
        <v>242</v>
      </c>
      <c r="E270" s="324">
        <f t="shared" si="4"/>
        <v>59014.12</v>
      </c>
    </row>
    <row r="271" spans="1:5" x14ac:dyDescent="0.25">
      <c r="A271" s="323" t="s">
        <v>2648</v>
      </c>
      <c r="B271" s="323" t="s">
        <v>805</v>
      </c>
      <c r="C271" s="323">
        <v>24207</v>
      </c>
      <c r="D271" s="323">
        <v>190</v>
      </c>
      <c r="E271" s="324">
        <f t="shared" si="4"/>
        <v>46333.4</v>
      </c>
    </row>
    <row r="272" spans="1:5" x14ac:dyDescent="0.25">
      <c r="A272" s="323" t="s">
        <v>1097</v>
      </c>
      <c r="B272" s="323" t="s">
        <v>805</v>
      </c>
      <c r="C272" s="323">
        <v>24481</v>
      </c>
      <c r="D272" s="323">
        <v>616</v>
      </c>
      <c r="E272" s="324">
        <f t="shared" si="4"/>
        <v>150217.76</v>
      </c>
    </row>
    <row r="273" spans="1:5" x14ac:dyDescent="0.25">
      <c r="A273" s="323" t="s">
        <v>4094</v>
      </c>
      <c r="B273" s="323" t="s">
        <v>805</v>
      </c>
      <c r="C273" s="323">
        <v>24533</v>
      </c>
      <c r="D273" s="323">
        <v>261</v>
      </c>
      <c r="E273" s="324">
        <f t="shared" si="4"/>
        <v>63647.460000000006</v>
      </c>
    </row>
    <row r="274" spans="1:5" x14ac:dyDescent="0.25">
      <c r="A274" s="323" t="s">
        <v>4235</v>
      </c>
      <c r="B274" s="323" t="s">
        <v>805</v>
      </c>
      <c r="C274" s="323">
        <v>24533</v>
      </c>
      <c r="D274" s="323">
        <v>252</v>
      </c>
      <c r="E274" s="324">
        <f t="shared" si="4"/>
        <v>61452.72</v>
      </c>
    </row>
    <row r="275" spans="1:5" x14ac:dyDescent="0.25">
      <c r="A275" s="323" t="s">
        <v>4569</v>
      </c>
      <c r="B275" s="323" t="s">
        <v>805</v>
      </c>
      <c r="C275" s="323">
        <v>24533</v>
      </c>
      <c r="D275" s="323">
        <v>295</v>
      </c>
      <c r="E275" s="324">
        <f t="shared" si="4"/>
        <v>71938.7</v>
      </c>
    </row>
    <row r="276" spans="1:5" x14ac:dyDescent="0.25">
      <c r="A276" s="323" t="s">
        <v>4655</v>
      </c>
      <c r="B276" s="323" t="s">
        <v>805</v>
      </c>
      <c r="C276" s="323">
        <v>24533</v>
      </c>
      <c r="D276" s="323">
        <v>185</v>
      </c>
      <c r="E276" s="324">
        <f t="shared" si="4"/>
        <v>45114.100000000006</v>
      </c>
    </row>
    <row r="277" spans="1:5" x14ac:dyDescent="0.25">
      <c r="A277" s="323" t="s">
        <v>6819</v>
      </c>
      <c r="B277" s="323" t="s">
        <v>805</v>
      </c>
      <c r="C277" s="323">
        <v>24533</v>
      </c>
      <c r="D277" s="323">
        <v>325</v>
      </c>
      <c r="E277" s="324">
        <f t="shared" si="4"/>
        <v>79254.5</v>
      </c>
    </row>
    <row r="278" spans="1:5" x14ac:dyDescent="0.25">
      <c r="A278" s="323" t="s">
        <v>1163</v>
      </c>
      <c r="B278" s="323" t="s">
        <v>805</v>
      </c>
      <c r="C278" s="323">
        <v>24597</v>
      </c>
      <c r="D278" s="323">
        <v>302</v>
      </c>
      <c r="E278" s="324">
        <f t="shared" si="4"/>
        <v>73645.72</v>
      </c>
    </row>
    <row r="279" spans="1:5" x14ac:dyDescent="0.25">
      <c r="A279" s="323" t="s">
        <v>1751</v>
      </c>
      <c r="B279" s="323" t="s">
        <v>805</v>
      </c>
      <c r="C279" s="323">
        <v>24597</v>
      </c>
      <c r="D279" s="323">
        <v>626</v>
      </c>
      <c r="E279" s="324">
        <f t="shared" si="4"/>
        <v>152656.36000000002</v>
      </c>
    </row>
    <row r="280" spans="1:5" x14ac:dyDescent="0.25">
      <c r="A280" s="323" t="s">
        <v>1835</v>
      </c>
      <c r="B280" s="323" t="s">
        <v>805</v>
      </c>
      <c r="C280" s="323">
        <v>24597</v>
      </c>
      <c r="D280" s="323">
        <v>224</v>
      </c>
      <c r="E280" s="324">
        <f t="shared" si="4"/>
        <v>54624.639999999999</v>
      </c>
    </row>
    <row r="281" spans="1:5" x14ac:dyDescent="0.25">
      <c r="A281" s="323" t="s">
        <v>2660</v>
      </c>
      <c r="B281" s="323" t="s">
        <v>805</v>
      </c>
      <c r="C281" s="323">
        <v>24597</v>
      </c>
      <c r="D281" s="323">
        <v>352</v>
      </c>
      <c r="E281" s="324">
        <f t="shared" si="4"/>
        <v>85838.720000000001</v>
      </c>
    </row>
    <row r="282" spans="1:5" x14ac:dyDescent="0.25">
      <c r="A282" s="323" t="s">
        <v>3283</v>
      </c>
      <c r="B282" s="323" t="s">
        <v>805</v>
      </c>
      <c r="C282" s="323">
        <v>24597</v>
      </c>
      <c r="D282" s="323">
        <v>581</v>
      </c>
      <c r="E282" s="324">
        <f t="shared" si="4"/>
        <v>141682.66</v>
      </c>
    </row>
    <row r="283" spans="1:5" x14ac:dyDescent="0.25">
      <c r="A283" s="323" t="s">
        <v>5516</v>
      </c>
      <c r="B283" s="323" t="s">
        <v>805</v>
      </c>
      <c r="C283" s="323">
        <v>24597</v>
      </c>
      <c r="D283" s="323">
        <v>548</v>
      </c>
      <c r="E283" s="324">
        <f t="shared" si="4"/>
        <v>133635.28</v>
      </c>
    </row>
    <row r="284" spans="1:5" x14ac:dyDescent="0.25">
      <c r="A284" s="323" t="s">
        <v>5516</v>
      </c>
      <c r="B284" s="323" t="s">
        <v>805</v>
      </c>
      <c r="C284" s="323">
        <v>24597</v>
      </c>
      <c r="D284" s="323">
        <v>202</v>
      </c>
      <c r="E284" s="324">
        <f t="shared" si="4"/>
        <v>49259.72</v>
      </c>
    </row>
    <row r="285" spans="1:5" x14ac:dyDescent="0.25">
      <c r="A285" s="323" t="s">
        <v>5532</v>
      </c>
      <c r="B285" s="323" t="s">
        <v>805</v>
      </c>
      <c r="C285" s="323">
        <v>24597</v>
      </c>
      <c r="D285" s="323">
        <v>272</v>
      </c>
      <c r="E285" s="324">
        <f t="shared" si="4"/>
        <v>66329.919999999998</v>
      </c>
    </row>
    <row r="286" spans="1:5" x14ac:dyDescent="0.25">
      <c r="A286" s="323" t="s">
        <v>5552</v>
      </c>
      <c r="B286" s="323" t="s">
        <v>805</v>
      </c>
      <c r="C286" s="323">
        <v>24597</v>
      </c>
      <c r="D286" s="323">
        <v>248</v>
      </c>
      <c r="E286" s="324">
        <f t="shared" si="4"/>
        <v>60477.280000000006</v>
      </c>
    </row>
    <row r="287" spans="1:5" x14ac:dyDescent="0.25">
      <c r="A287" s="323" t="s">
        <v>5563</v>
      </c>
      <c r="B287" s="323" t="s">
        <v>805</v>
      </c>
      <c r="C287" s="323">
        <v>24597</v>
      </c>
      <c r="D287" s="323">
        <v>271</v>
      </c>
      <c r="E287" s="324">
        <f t="shared" si="4"/>
        <v>66086.06</v>
      </c>
    </row>
    <row r="288" spans="1:5" x14ac:dyDescent="0.25">
      <c r="A288" s="323" t="s">
        <v>5578</v>
      </c>
      <c r="B288" s="323" t="s">
        <v>805</v>
      </c>
      <c r="C288" s="323">
        <v>24597</v>
      </c>
      <c r="D288" s="323">
        <v>719</v>
      </c>
      <c r="E288" s="324">
        <f t="shared" si="4"/>
        <v>175335.34</v>
      </c>
    </row>
    <row r="289" spans="1:5" x14ac:dyDescent="0.25">
      <c r="A289" s="323" t="s">
        <v>5597</v>
      </c>
      <c r="B289" s="323" t="s">
        <v>805</v>
      </c>
      <c r="C289" s="323">
        <v>24597</v>
      </c>
      <c r="D289" s="323">
        <v>202</v>
      </c>
      <c r="E289" s="324">
        <f t="shared" si="4"/>
        <v>49259.72</v>
      </c>
    </row>
    <row r="290" spans="1:5" x14ac:dyDescent="0.25">
      <c r="A290" s="323" t="s">
        <v>5621</v>
      </c>
      <c r="B290" s="323" t="s">
        <v>805</v>
      </c>
      <c r="C290" s="323">
        <v>24597</v>
      </c>
      <c r="D290" s="323">
        <v>316</v>
      </c>
      <c r="E290" s="324">
        <f t="shared" si="4"/>
        <v>77059.760000000009</v>
      </c>
    </row>
    <row r="291" spans="1:5" x14ac:dyDescent="0.25">
      <c r="A291" s="323" t="s">
        <v>5621</v>
      </c>
      <c r="B291" s="323" t="s">
        <v>805</v>
      </c>
      <c r="C291" s="323">
        <v>24597</v>
      </c>
      <c r="D291" s="323">
        <v>102</v>
      </c>
      <c r="E291" s="324">
        <f t="shared" si="4"/>
        <v>24873.72</v>
      </c>
    </row>
    <row r="292" spans="1:5" x14ac:dyDescent="0.25">
      <c r="A292" s="323" t="s">
        <v>5665</v>
      </c>
      <c r="B292" s="323" t="s">
        <v>816</v>
      </c>
      <c r="C292" s="323">
        <v>24597</v>
      </c>
      <c r="D292" s="323">
        <v>124</v>
      </c>
      <c r="E292" s="324">
        <f t="shared" si="4"/>
        <v>45357.96</v>
      </c>
    </row>
    <row r="293" spans="1:5" x14ac:dyDescent="0.25">
      <c r="A293" s="323" t="s">
        <v>5724</v>
      </c>
      <c r="B293" s="323" t="s">
        <v>805</v>
      </c>
      <c r="C293" s="323">
        <v>24597</v>
      </c>
      <c r="D293" s="323">
        <v>260</v>
      </c>
      <c r="E293" s="324">
        <f t="shared" si="4"/>
        <v>63403.600000000006</v>
      </c>
    </row>
    <row r="294" spans="1:5" x14ac:dyDescent="0.25">
      <c r="A294" s="323" t="s">
        <v>5733</v>
      </c>
      <c r="B294" s="323" t="s">
        <v>805</v>
      </c>
      <c r="C294" s="323">
        <v>24597</v>
      </c>
      <c r="D294" s="323">
        <v>222</v>
      </c>
      <c r="E294" s="324">
        <f t="shared" si="4"/>
        <v>54136.920000000006</v>
      </c>
    </row>
    <row r="295" spans="1:5" x14ac:dyDescent="0.25">
      <c r="A295" s="323" t="s">
        <v>5742</v>
      </c>
      <c r="B295" s="323" t="s">
        <v>805</v>
      </c>
      <c r="C295" s="323">
        <v>24597</v>
      </c>
      <c r="D295" s="323">
        <v>325</v>
      </c>
      <c r="E295" s="324">
        <f t="shared" si="4"/>
        <v>79254.5</v>
      </c>
    </row>
    <row r="296" spans="1:5" x14ac:dyDescent="0.25">
      <c r="A296" s="323" t="s">
        <v>5747</v>
      </c>
      <c r="B296" s="323" t="s">
        <v>805</v>
      </c>
      <c r="C296" s="323">
        <v>24597</v>
      </c>
      <c r="D296" s="323">
        <v>342</v>
      </c>
      <c r="E296" s="324">
        <f t="shared" si="4"/>
        <v>83400.12000000001</v>
      </c>
    </row>
    <row r="297" spans="1:5" x14ac:dyDescent="0.25">
      <c r="A297" s="323" t="s">
        <v>5759</v>
      </c>
      <c r="B297" s="323" t="s">
        <v>805</v>
      </c>
      <c r="C297" s="323">
        <v>24597</v>
      </c>
      <c r="D297" s="323">
        <v>346</v>
      </c>
      <c r="E297" s="324">
        <f t="shared" si="4"/>
        <v>84375.56</v>
      </c>
    </row>
    <row r="298" spans="1:5" x14ac:dyDescent="0.25">
      <c r="A298" s="323" t="s">
        <v>5763</v>
      </c>
      <c r="B298" s="323" t="s">
        <v>805</v>
      </c>
      <c r="C298" s="323">
        <v>24597</v>
      </c>
      <c r="D298" s="323">
        <v>518</v>
      </c>
      <c r="E298" s="324">
        <f t="shared" si="4"/>
        <v>126319.48000000001</v>
      </c>
    </row>
    <row r="299" spans="1:5" x14ac:dyDescent="0.25">
      <c r="A299" s="323" t="s">
        <v>5772</v>
      </c>
      <c r="B299" s="323" t="s">
        <v>805</v>
      </c>
      <c r="C299" s="323">
        <v>24597</v>
      </c>
      <c r="D299" s="323">
        <v>192</v>
      </c>
      <c r="E299" s="324">
        <f t="shared" si="4"/>
        <v>46821.120000000003</v>
      </c>
    </row>
    <row r="300" spans="1:5" x14ac:dyDescent="0.25">
      <c r="A300" s="323" t="s">
        <v>5776</v>
      </c>
      <c r="B300" s="323" t="s">
        <v>805</v>
      </c>
      <c r="C300" s="323">
        <v>24597</v>
      </c>
      <c r="D300" s="323">
        <v>638</v>
      </c>
      <c r="E300" s="324">
        <f t="shared" si="4"/>
        <v>155582.68000000002</v>
      </c>
    </row>
    <row r="301" spans="1:5" x14ac:dyDescent="0.25">
      <c r="A301" s="323" t="s">
        <v>5783</v>
      </c>
      <c r="B301" s="323" t="s">
        <v>805</v>
      </c>
      <c r="C301" s="323">
        <v>24597</v>
      </c>
      <c r="D301" s="323">
        <v>520</v>
      </c>
      <c r="E301" s="324">
        <f t="shared" si="4"/>
        <v>126807.20000000001</v>
      </c>
    </row>
    <row r="302" spans="1:5" x14ac:dyDescent="0.25">
      <c r="A302" s="323" t="s">
        <v>5796</v>
      </c>
      <c r="B302" s="323" t="s">
        <v>805</v>
      </c>
      <c r="C302" s="323">
        <v>24597</v>
      </c>
      <c r="D302" s="323">
        <v>350</v>
      </c>
      <c r="E302" s="324">
        <f t="shared" si="4"/>
        <v>85351</v>
      </c>
    </row>
    <row r="303" spans="1:5" x14ac:dyDescent="0.25">
      <c r="A303" s="323" t="s">
        <v>5802</v>
      </c>
      <c r="B303" s="323" t="s">
        <v>805</v>
      </c>
      <c r="C303" s="323">
        <v>24597</v>
      </c>
      <c r="D303" s="323">
        <v>271</v>
      </c>
      <c r="E303" s="324">
        <f t="shared" si="4"/>
        <v>66086.06</v>
      </c>
    </row>
    <row r="304" spans="1:5" x14ac:dyDescent="0.25">
      <c r="A304" s="323" t="s">
        <v>5854</v>
      </c>
      <c r="B304" s="323" t="s">
        <v>805</v>
      </c>
      <c r="C304" s="323">
        <v>24597</v>
      </c>
      <c r="D304" s="323">
        <v>176</v>
      </c>
      <c r="E304" s="324">
        <f t="shared" si="4"/>
        <v>42919.360000000001</v>
      </c>
    </row>
    <row r="305" spans="1:5" x14ac:dyDescent="0.25">
      <c r="A305" s="323" t="s">
        <v>5939</v>
      </c>
      <c r="B305" s="323" t="s">
        <v>805</v>
      </c>
      <c r="C305" s="323">
        <v>24597</v>
      </c>
      <c r="D305" s="323">
        <v>261</v>
      </c>
      <c r="E305" s="324">
        <f t="shared" si="4"/>
        <v>63647.460000000006</v>
      </c>
    </row>
    <row r="306" spans="1:5" x14ac:dyDescent="0.25">
      <c r="A306" s="323" t="s">
        <v>5946</v>
      </c>
      <c r="B306" s="323" t="s">
        <v>805</v>
      </c>
      <c r="C306" s="323">
        <v>24597</v>
      </c>
      <c r="D306" s="323">
        <v>264</v>
      </c>
      <c r="E306" s="324">
        <f t="shared" si="4"/>
        <v>64379.040000000001</v>
      </c>
    </row>
    <row r="307" spans="1:5" x14ac:dyDescent="0.25">
      <c r="A307" s="323" t="s">
        <v>5952</v>
      </c>
      <c r="B307" s="323" t="s">
        <v>805</v>
      </c>
      <c r="C307" s="323">
        <v>24597</v>
      </c>
      <c r="D307" s="323">
        <v>275</v>
      </c>
      <c r="E307" s="324">
        <f t="shared" si="4"/>
        <v>67061.5</v>
      </c>
    </row>
    <row r="308" spans="1:5" x14ac:dyDescent="0.25">
      <c r="A308" s="323" t="s">
        <v>5958</v>
      </c>
      <c r="B308" s="323" t="s">
        <v>805</v>
      </c>
      <c r="C308" s="323">
        <v>24597</v>
      </c>
      <c r="D308" s="323">
        <v>953</v>
      </c>
      <c r="E308" s="324">
        <f t="shared" si="4"/>
        <v>232398.58000000002</v>
      </c>
    </row>
    <row r="309" spans="1:5" x14ac:dyDescent="0.25">
      <c r="A309" s="323" t="s">
        <v>5964</v>
      </c>
      <c r="B309" s="323" t="s">
        <v>805</v>
      </c>
      <c r="C309" s="323">
        <v>24597</v>
      </c>
      <c r="D309" s="323">
        <v>386</v>
      </c>
      <c r="E309" s="324">
        <f t="shared" si="4"/>
        <v>94129.96</v>
      </c>
    </row>
    <row r="310" spans="1:5" x14ac:dyDescent="0.25">
      <c r="A310" s="323" t="s">
        <v>5970</v>
      </c>
      <c r="B310" s="323" t="s">
        <v>805</v>
      </c>
      <c r="C310" s="323">
        <v>24597</v>
      </c>
      <c r="D310" s="323">
        <v>686</v>
      </c>
      <c r="E310" s="324">
        <f t="shared" si="4"/>
        <v>167287.96000000002</v>
      </c>
    </row>
    <row r="311" spans="1:5" x14ac:dyDescent="0.25">
      <c r="A311" s="323" t="s">
        <v>5973</v>
      </c>
      <c r="B311" s="323" t="s">
        <v>805</v>
      </c>
      <c r="C311" s="323">
        <v>24597</v>
      </c>
      <c r="D311" s="323">
        <v>271</v>
      </c>
      <c r="E311" s="324">
        <f t="shared" si="4"/>
        <v>66086.06</v>
      </c>
    </row>
    <row r="312" spans="1:5" x14ac:dyDescent="0.25">
      <c r="A312" s="323" t="s">
        <v>5977</v>
      </c>
      <c r="B312" s="323" t="s">
        <v>805</v>
      </c>
      <c r="C312" s="323">
        <v>24597</v>
      </c>
      <c r="D312" s="323">
        <v>278</v>
      </c>
      <c r="E312" s="324">
        <f t="shared" si="4"/>
        <v>67793.08</v>
      </c>
    </row>
    <row r="313" spans="1:5" x14ac:dyDescent="0.25">
      <c r="A313" s="323" t="s">
        <v>5982</v>
      </c>
      <c r="B313" s="323" t="s">
        <v>805</v>
      </c>
      <c r="C313" s="323">
        <v>24597</v>
      </c>
      <c r="D313" s="323">
        <v>172</v>
      </c>
      <c r="E313" s="324">
        <f t="shared" si="4"/>
        <v>41943.920000000006</v>
      </c>
    </row>
    <row r="314" spans="1:5" x14ac:dyDescent="0.25">
      <c r="A314" s="323" t="s">
        <v>6006</v>
      </c>
      <c r="B314" s="323" t="s">
        <v>805</v>
      </c>
      <c r="C314" s="323">
        <v>24597</v>
      </c>
      <c r="D314" s="323">
        <v>240</v>
      </c>
      <c r="E314" s="324">
        <f t="shared" si="4"/>
        <v>58526.400000000001</v>
      </c>
    </row>
    <row r="315" spans="1:5" x14ac:dyDescent="0.25">
      <c r="A315" s="323" t="s">
        <v>6010</v>
      </c>
      <c r="B315" s="323" t="s">
        <v>805</v>
      </c>
      <c r="C315" s="323">
        <v>24597</v>
      </c>
      <c r="D315" s="323">
        <v>380</v>
      </c>
      <c r="E315" s="324">
        <f t="shared" si="4"/>
        <v>92666.8</v>
      </c>
    </row>
    <row r="316" spans="1:5" x14ac:dyDescent="0.25">
      <c r="A316" s="323" t="s">
        <v>6014</v>
      </c>
      <c r="B316" s="323" t="s">
        <v>805</v>
      </c>
      <c r="C316" s="323">
        <v>24597</v>
      </c>
      <c r="D316" s="323">
        <v>622</v>
      </c>
      <c r="E316" s="324">
        <f t="shared" si="4"/>
        <v>151680.92000000001</v>
      </c>
    </row>
    <row r="317" spans="1:5" x14ac:dyDescent="0.25">
      <c r="A317" s="323" t="s">
        <v>6018</v>
      </c>
      <c r="B317" s="323" t="s">
        <v>805</v>
      </c>
      <c r="C317" s="323">
        <v>24597</v>
      </c>
      <c r="D317" s="323">
        <v>178</v>
      </c>
      <c r="E317" s="324">
        <f t="shared" si="4"/>
        <v>43407.08</v>
      </c>
    </row>
    <row r="318" spans="1:5" x14ac:dyDescent="0.25">
      <c r="A318" s="323" t="s">
        <v>6023</v>
      </c>
      <c r="B318" s="323" t="s">
        <v>805</v>
      </c>
      <c r="C318" s="323">
        <v>24597</v>
      </c>
      <c r="D318" s="323">
        <v>499</v>
      </c>
      <c r="E318" s="324">
        <f t="shared" si="4"/>
        <v>121686.14000000001</v>
      </c>
    </row>
    <row r="319" spans="1:5" x14ac:dyDescent="0.25">
      <c r="A319" s="323" t="s">
        <v>6027</v>
      </c>
      <c r="B319" s="323" t="s">
        <v>805</v>
      </c>
      <c r="C319" s="323">
        <v>24597</v>
      </c>
      <c r="D319" s="323">
        <v>871</v>
      </c>
      <c r="E319" s="324">
        <f t="shared" si="4"/>
        <v>212402.06</v>
      </c>
    </row>
    <row r="320" spans="1:5" x14ac:dyDescent="0.25">
      <c r="A320" s="323" t="s">
        <v>6032</v>
      </c>
      <c r="B320" s="323" t="s">
        <v>805</v>
      </c>
      <c r="C320" s="323">
        <v>24597</v>
      </c>
      <c r="D320" s="323">
        <v>280</v>
      </c>
      <c r="E320" s="324">
        <f t="shared" si="4"/>
        <v>68280.800000000003</v>
      </c>
    </row>
    <row r="321" spans="1:5" x14ac:dyDescent="0.25">
      <c r="A321" s="323" t="s">
        <v>6033</v>
      </c>
      <c r="B321" s="323" t="s">
        <v>805</v>
      </c>
      <c r="C321" s="323">
        <v>24597</v>
      </c>
      <c r="D321" s="323">
        <v>220</v>
      </c>
      <c r="E321" s="324">
        <f t="shared" si="4"/>
        <v>53649.200000000004</v>
      </c>
    </row>
    <row r="322" spans="1:5" x14ac:dyDescent="0.25">
      <c r="A322" s="323" t="s">
        <v>6034</v>
      </c>
      <c r="B322" s="323" t="s">
        <v>805</v>
      </c>
      <c r="C322" s="323">
        <v>24597</v>
      </c>
      <c r="D322" s="323">
        <v>203</v>
      </c>
      <c r="E322" s="324">
        <f t="shared" ref="E322:E385" si="5">D322*IF(B322=$G$9,WerkdrukbedragPerLeerlingBo,IF(B322=$G$10,WerkdrukbedragPerLeerlingSbo,IF(B322=$G$11,WerkdrukbedragPerLeerlingSo,IF(B322=$G$12,WerkdrukbedragPerLeerlingVso,0))))</f>
        <v>49503.58</v>
      </c>
    </row>
    <row r="323" spans="1:5" x14ac:dyDescent="0.25">
      <c r="A323" s="323" t="s">
        <v>6037</v>
      </c>
      <c r="B323" s="323" t="s">
        <v>805</v>
      </c>
      <c r="C323" s="323">
        <v>24597</v>
      </c>
      <c r="D323" s="323">
        <v>408</v>
      </c>
      <c r="E323" s="324">
        <f t="shared" si="5"/>
        <v>99494.88</v>
      </c>
    </row>
    <row r="324" spans="1:5" x14ac:dyDescent="0.25">
      <c r="A324" s="323" t="s">
        <v>6039</v>
      </c>
      <c r="B324" s="323" t="s">
        <v>805</v>
      </c>
      <c r="C324" s="323">
        <v>24597</v>
      </c>
      <c r="D324" s="323">
        <v>424</v>
      </c>
      <c r="E324" s="324">
        <f t="shared" si="5"/>
        <v>103396.64</v>
      </c>
    </row>
    <row r="325" spans="1:5" x14ac:dyDescent="0.25">
      <c r="A325" s="323" t="s">
        <v>6041</v>
      </c>
      <c r="B325" s="323" t="s">
        <v>805</v>
      </c>
      <c r="C325" s="323">
        <v>24597</v>
      </c>
      <c r="D325" s="323">
        <v>256</v>
      </c>
      <c r="E325" s="324">
        <f t="shared" si="5"/>
        <v>62428.160000000003</v>
      </c>
    </row>
    <row r="326" spans="1:5" x14ac:dyDescent="0.25">
      <c r="A326" s="323" t="s">
        <v>6043</v>
      </c>
      <c r="B326" s="323" t="s">
        <v>805</v>
      </c>
      <c r="C326" s="323">
        <v>24597</v>
      </c>
      <c r="D326" s="323">
        <v>313</v>
      </c>
      <c r="E326" s="324">
        <f t="shared" si="5"/>
        <v>76328.180000000008</v>
      </c>
    </row>
    <row r="327" spans="1:5" x14ac:dyDescent="0.25">
      <c r="A327" s="323" t="s">
        <v>6044</v>
      </c>
      <c r="B327" s="323" t="s">
        <v>805</v>
      </c>
      <c r="C327" s="323">
        <v>24597</v>
      </c>
      <c r="D327" s="323">
        <v>144</v>
      </c>
      <c r="E327" s="324">
        <f t="shared" si="5"/>
        <v>35115.840000000004</v>
      </c>
    </row>
    <row r="328" spans="1:5" x14ac:dyDescent="0.25">
      <c r="A328" s="323" t="s">
        <v>6336</v>
      </c>
      <c r="B328" s="323" t="s">
        <v>816</v>
      </c>
      <c r="C328" s="323">
        <v>24597</v>
      </c>
      <c r="D328" s="323">
        <v>107</v>
      </c>
      <c r="E328" s="324">
        <f t="shared" si="5"/>
        <v>39139.53</v>
      </c>
    </row>
    <row r="329" spans="1:5" x14ac:dyDescent="0.25">
      <c r="A329" s="323" t="s">
        <v>6407</v>
      </c>
      <c r="B329" s="323" t="s">
        <v>816</v>
      </c>
      <c r="C329" s="323">
        <v>24597</v>
      </c>
      <c r="D329" s="323">
        <v>79</v>
      </c>
      <c r="E329" s="324">
        <f t="shared" si="5"/>
        <v>28897.41</v>
      </c>
    </row>
    <row r="330" spans="1:5" x14ac:dyDescent="0.25">
      <c r="A330" s="323" t="s">
        <v>6885</v>
      </c>
      <c r="B330" s="323" t="s">
        <v>805</v>
      </c>
      <c r="C330" s="323">
        <v>24597</v>
      </c>
      <c r="D330" s="323">
        <v>494</v>
      </c>
      <c r="E330" s="324">
        <f t="shared" si="5"/>
        <v>120466.84000000001</v>
      </c>
    </row>
    <row r="331" spans="1:5" x14ac:dyDescent="0.25">
      <c r="A331" s="323" t="s">
        <v>7092</v>
      </c>
      <c r="B331" s="323" t="s">
        <v>805</v>
      </c>
      <c r="C331" s="323">
        <v>24597</v>
      </c>
      <c r="D331" s="323">
        <v>662</v>
      </c>
      <c r="E331" s="324">
        <f t="shared" si="5"/>
        <v>161435.32</v>
      </c>
    </row>
    <row r="332" spans="1:5" x14ac:dyDescent="0.25">
      <c r="A332" s="323" t="s">
        <v>7152</v>
      </c>
      <c r="B332" s="323" t="s">
        <v>805</v>
      </c>
      <c r="C332" s="323">
        <v>24597</v>
      </c>
      <c r="D332" s="323">
        <v>309</v>
      </c>
      <c r="E332" s="324">
        <f t="shared" si="5"/>
        <v>75352.740000000005</v>
      </c>
    </row>
    <row r="333" spans="1:5" x14ac:dyDescent="0.25">
      <c r="A333" s="323" t="s">
        <v>7352</v>
      </c>
      <c r="B333" s="323" t="s">
        <v>805</v>
      </c>
      <c r="C333" s="323">
        <v>24597</v>
      </c>
      <c r="D333" s="323">
        <v>946</v>
      </c>
      <c r="E333" s="324">
        <f t="shared" si="5"/>
        <v>230691.56000000003</v>
      </c>
    </row>
    <row r="334" spans="1:5" x14ac:dyDescent="0.25">
      <c r="A334" s="323" t="s">
        <v>7503</v>
      </c>
      <c r="B334" s="323" t="s">
        <v>805</v>
      </c>
      <c r="C334" s="323">
        <v>24597</v>
      </c>
      <c r="D334" s="323">
        <v>362</v>
      </c>
      <c r="E334" s="324">
        <f t="shared" si="5"/>
        <v>88277.32</v>
      </c>
    </row>
    <row r="335" spans="1:5" x14ac:dyDescent="0.25">
      <c r="A335" s="323" t="s">
        <v>7504</v>
      </c>
      <c r="B335" s="323" t="s">
        <v>805</v>
      </c>
      <c r="C335" s="323">
        <v>24597</v>
      </c>
      <c r="D335" s="323">
        <v>319</v>
      </c>
      <c r="E335" s="324">
        <f t="shared" si="5"/>
        <v>77791.340000000011</v>
      </c>
    </row>
    <row r="336" spans="1:5" x14ac:dyDescent="0.25">
      <c r="A336" s="323" t="s">
        <v>1100</v>
      </c>
      <c r="B336" s="323" t="s">
        <v>805</v>
      </c>
      <c r="C336" s="323">
        <v>24715</v>
      </c>
      <c r="D336" s="323">
        <v>412</v>
      </c>
      <c r="E336" s="324">
        <f t="shared" si="5"/>
        <v>100470.32</v>
      </c>
    </row>
    <row r="337" spans="1:5" x14ac:dyDescent="0.25">
      <c r="A337" s="323" t="s">
        <v>7069</v>
      </c>
      <c r="B337" s="323" t="s">
        <v>805</v>
      </c>
      <c r="C337" s="323">
        <v>24715</v>
      </c>
      <c r="D337" s="323">
        <v>260</v>
      </c>
      <c r="E337" s="324">
        <f t="shared" si="5"/>
        <v>63403.600000000006</v>
      </c>
    </row>
    <row r="338" spans="1:5" x14ac:dyDescent="0.25">
      <c r="A338" s="323" t="s">
        <v>7349</v>
      </c>
      <c r="B338" s="323" t="s">
        <v>805</v>
      </c>
      <c r="C338" s="323">
        <v>24715</v>
      </c>
      <c r="D338" s="323">
        <v>370</v>
      </c>
      <c r="E338" s="324">
        <f t="shared" si="5"/>
        <v>90228.200000000012</v>
      </c>
    </row>
    <row r="339" spans="1:5" x14ac:dyDescent="0.25">
      <c r="A339" s="323" t="s">
        <v>1909</v>
      </c>
      <c r="B339" s="323" t="s">
        <v>805</v>
      </c>
      <c r="C339" s="323">
        <v>24844</v>
      </c>
      <c r="D339" s="323">
        <v>278</v>
      </c>
      <c r="E339" s="324">
        <f t="shared" si="5"/>
        <v>67793.08</v>
      </c>
    </row>
    <row r="340" spans="1:5" x14ac:dyDescent="0.25">
      <c r="A340" s="323" t="s">
        <v>1964</v>
      </c>
      <c r="B340" s="323" t="s">
        <v>805</v>
      </c>
      <c r="C340" s="323">
        <v>24844</v>
      </c>
      <c r="D340" s="323">
        <v>56</v>
      </c>
      <c r="E340" s="324">
        <f t="shared" si="5"/>
        <v>13656.16</v>
      </c>
    </row>
    <row r="341" spans="1:5" x14ac:dyDescent="0.25">
      <c r="A341" s="323" t="s">
        <v>2363</v>
      </c>
      <c r="B341" s="323" t="s">
        <v>805</v>
      </c>
      <c r="C341" s="323">
        <v>24844</v>
      </c>
      <c r="D341" s="323">
        <v>114</v>
      </c>
      <c r="E341" s="324">
        <f t="shared" si="5"/>
        <v>27800.04</v>
      </c>
    </row>
    <row r="342" spans="1:5" x14ac:dyDescent="0.25">
      <c r="A342" s="323" t="s">
        <v>2567</v>
      </c>
      <c r="B342" s="323" t="s">
        <v>805</v>
      </c>
      <c r="C342" s="323">
        <v>24844</v>
      </c>
      <c r="D342" s="323">
        <v>88</v>
      </c>
      <c r="E342" s="324">
        <f t="shared" si="5"/>
        <v>21459.68</v>
      </c>
    </row>
    <row r="343" spans="1:5" x14ac:dyDescent="0.25">
      <c r="A343" s="323" t="s">
        <v>2912</v>
      </c>
      <c r="B343" s="323" t="s">
        <v>805</v>
      </c>
      <c r="C343" s="323">
        <v>24844</v>
      </c>
      <c r="D343" s="323">
        <v>92</v>
      </c>
      <c r="E343" s="324">
        <f t="shared" si="5"/>
        <v>22435.120000000003</v>
      </c>
    </row>
    <row r="344" spans="1:5" x14ac:dyDescent="0.25">
      <c r="A344" s="323" t="s">
        <v>3213</v>
      </c>
      <c r="B344" s="323" t="s">
        <v>805</v>
      </c>
      <c r="C344" s="323">
        <v>24844</v>
      </c>
      <c r="D344" s="323">
        <v>139</v>
      </c>
      <c r="E344" s="324">
        <f t="shared" si="5"/>
        <v>33896.54</v>
      </c>
    </row>
    <row r="345" spans="1:5" x14ac:dyDescent="0.25">
      <c r="A345" s="323" t="s">
        <v>3805</v>
      </c>
      <c r="B345" s="323" t="s">
        <v>805</v>
      </c>
      <c r="C345" s="323">
        <v>24844</v>
      </c>
      <c r="D345" s="323">
        <v>532</v>
      </c>
      <c r="E345" s="324">
        <f t="shared" si="5"/>
        <v>129733.52</v>
      </c>
    </row>
    <row r="346" spans="1:5" x14ac:dyDescent="0.25">
      <c r="A346" s="323" t="s">
        <v>3994</v>
      </c>
      <c r="B346" s="323" t="s">
        <v>805</v>
      </c>
      <c r="C346" s="323">
        <v>24844</v>
      </c>
      <c r="D346" s="323">
        <v>115</v>
      </c>
      <c r="E346" s="324">
        <f t="shared" si="5"/>
        <v>28043.9</v>
      </c>
    </row>
    <row r="347" spans="1:5" x14ac:dyDescent="0.25">
      <c r="A347" s="323" t="s">
        <v>4749</v>
      </c>
      <c r="B347" s="323" t="s">
        <v>805</v>
      </c>
      <c r="C347" s="323">
        <v>24844</v>
      </c>
      <c r="D347" s="323">
        <v>585</v>
      </c>
      <c r="E347" s="324">
        <f t="shared" si="5"/>
        <v>142658.1</v>
      </c>
    </row>
    <row r="348" spans="1:5" x14ac:dyDescent="0.25">
      <c r="A348" s="323" t="s">
        <v>4816</v>
      </c>
      <c r="B348" s="323" t="s">
        <v>805</v>
      </c>
      <c r="C348" s="323">
        <v>24844</v>
      </c>
      <c r="D348" s="323">
        <v>92</v>
      </c>
      <c r="E348" s="324">
        <f t="shared" si="5"/>
        <v>22435.120000000003</v>
      </c>
    </row>
    <row r="349" spans="1:5" x14ac:dyDescent="0.25">
      <c r="A349" s="323" t="s">
        <v>4863</v>
      </c>
      <c r="B349" s="323" t="s">
        <v>805</v>
      </c>
      <c r="C349" s="323">
        <v>24844</v>
      </c>
      <c r="D349" s="323">
        <v>185</v>
      </c>
      <c r="E349" s="324">
        <f t="shared" si="5"/>
        <v>45114.100000000006</v>
      </c>
    </row>
    <row r="350" spans="1:5" x14ac:dyDescent="0.25">
      <c r="A350" s="323" t="s">
        <v>7456</v>
      </c>
      <c r="B350" s="323" t="s">
        <v>805</v>
      </c>
      <c r="C350" s="323">
        <v>24844</v>
      </c>
      <c r="D350" s="323">
        <v>206</v>
      </c>
      <c r="E350" s="324">
        <f t="shared" si="5"/>
        <v>50235.16</v>
      </c>
    </row>
    <row r="351" spans="1:5" x14ac:dyDescent="0.25">
      <c r="A351" s="323" t="s">
        <v>4237</v>
      </c>
      <c r="B351" s="323" t="s">
        <v>805</v>
      </c>
      <c r="C351" s="323">
        <v>24845</v>
      </c>
      <c r="D351" s="323">
        <v>108</v>
      </c>
      <c r="E351" s="324">
        <f t="shared" si="5"/>
        <v>26336.880000000001</v>
      </c>
    </row>
    <row r="352" spans="1:5" x14ac:dyDescent="0.25">
      <c r="A352" s="323" t="s">
        <v>928</v>
      </c>
      <c r="B352" s="323" t="s">
        <v>809</v>
      </c>
      <c r="C352" s="323">
        <v>24922</v>
      </c>
      <c r="D352" s="323">
        <v>76</v>
      </c>
      <c r="E352" s="324">
        <f t="shared" si="5"/>
        <v>37066.720000000001</v>
      </c>
    </row>
    <row r="353" spans="1:5" x14ac:dyDescent="0.25">
      <c r="A353" s="323" t="s">
        <v>2652</v>
      </c>
      <c r="B353" s="323" t="s">
        <v>803</v>
      </c>
      <c r="C353" s="323">
        <v>24922</v>
      </c>
      <c r="D353" s="323">
        <v>87</v>
      </c>
      <c r="E353" s="324">
        <f t="shared" si="5"/>
        <v>42431.64</v>
      </c>
    </row>
    <row r="354" spans="1:5" x14ac:dyDescent="0.25">
      <c r="A354" s="323" t="s">
        <v>2652</v>
      </c>
      <c r="B354" s="323" t="s">
        <v>803</v>
      </c>
      <c r="C354" s="323">
        <v>24922</v>
      </c>
      <c r="D354" s="323">
        <v>47</v>
      </c>
      <c r="E354" s="324">
        <f t="shared" si="5"/>
        <v>22922.84</v>
      </c>
    </row>
    <row r="355" spans="1:5" x14ac:dyDescent="0.25">
      <c r="A355" s="323" t="s">
        <v>2652</v>
      </c>
      <c r="B355" s="323" t="s">
        <v>803</v>
      </c>
      <c r="C355" s="323">
        <v>24922</v>
      </c>
      <c r="D355" s="323">
        <v>67</v>
      </c>
      <c r="E355" s="324">
        <f t="shared" si="5"/>
        <v>32677.24</v>
      </c>
    </row>
    <row r="356" spans="1:5" x14ac:dyDescent="0.25">
      <c r="A356" s="323" t="s">
        <v>2652</v>
      </c>
      <c r="B356" s="323" t="s">
        <v>803</v>
      </c>
      <c r="C356" s="323">
        <v>24922</v>
      </c>
      <c r="D356" s="323">
        <v>34</v>
      </c>
      <c r="E356" s="324">
        <f t="shared" si="5"/>
        <v>16582.48</v>
      </c>
    </row>
    <row r="357" spans="1:5" x14ac:dyDescent="0.25">
      <c r="A357" s="323" t="s">
        <v>2652</v>
      </c>
      <c r="B357" s="323" t="s">
        <v>803</v>
      </c>
      <c r="C357" s="323">
        <v>24922</v>
      </c>
      <c r="D357" s="323">
        <v>107</v>
      </c>
      <c r="E357" s="324">
        <f t="shared" si="5"/>
        <v>52186.04</v>
      </c>
    </row>
    <row r="358" spans="1:5" x14ac:dyDescent="0.25">
      <c r="A358" s="323" t="s">
        <v>2652</v>
      </c>
      <c r="B358" s="323" t="s">
        <v>803</v>
      </c>
      <c r="C358" s="323">
        <v>24922</v>
      </c>
      <c r="D358" s="323">
        <v>104</v>
      </c>
      <c r="E358" s="324">
        <f t="shared" si="5"/>
        <v>50722.880000000005</v>
      </c>
    </row>
    <row r="359" spans="1:5" x14ac:dyDescent="0.25">
      <c r="A359" s="323" t="s">
        <v>2652</v>
      </c>
      <c r="B359" s="323" t="s">
        <v>803</v>
      </c>
      <c r="C359" s="323">
        <v>24922</v>
      </c>
      <c r="D359" s="323">
        <v>90</v>
      </c>
      <c r="E359" s="324">
        <f t="shared" si="5"/>
        <v>43894.8</v>
      </c>
    </row>
    <row r="360" spans="1:5" x14ac:dyDescent="0.25">
      <c r="A360" s="323" t="s">
        <v>2652</v>
      </c>
      <c r="B360" s="323" t="s">
        <v>803</v>
      </c>
      <c r="C360" s="323">
        <v>24922</v>
      </c>
      <c r="D360" s="323">
        <v>247</v>
      </c>
      <c r="E360" s="324">
        <f t="shared" si="5"/>
        <v>120466.84000000001</v>
      </c>
    </row>
    <row r="361" spans="1:5" x14ac:dyDescent="0.25">
      <c r="A361" s="323" t="s">
        <v>2652</v>
      </c>
      <c r="B361" s="323" t="s">
        <v>803</v>
      </c>
      <c r="C361" s="323">
        <v>24922</v>
      </c>
      <c r="D361" s="323">
        <v>95</v>
      </c>
      <c r="E361" s="324">
        <f t="shared" si="5"/>
        <v>46333.4</v>
      </c>
    </row>
    <row r="362" spans="1:5" x14ac:dyDescent="0.25">
      <c r="A362" s="323" t="s">
        <v>2652</v>
      </c>
      <c r="B362" s="323" t="s">
        <v>803</v>
      </c>
      <c r="C362" s="323">
        <v>24922</v>
      </c>
      <c r="D362" s="323">
        <v>20</v>
      </c>
      <c r="E362" s="324">
        <f t="shared" si="5"/>
        <v>9754.4000000000015</v>
      </c>
    </row>
    <row r="363" spans="1:5" x14ac:dyDescent="0.25">
      <c r="A363" s="323" t="s">
        <v>1467</v>
      </c>
      <c r="B363" s="323" t="s">
        <v>805</v>
      </c>
      <c r="C363" s="323">
        <v>25156</v>
      </c>
      <c r="D363" s="323">
        <v>329</v>
      </c>
      <c r="E363" s="324">
        <f t="shared" si="5"/>
        <v>80229.94</v>
      </c>
    </row>
    <row r="364" spans="1:5" x14ac:dyDescent="0.25">
      <c r="A364" s="323" t="s">
        <v>2177</v>
      </c>
      <c r="B364" s="323" t="s">
        <v>805</v>
      </c>
      <c r="C364" s="323">
        <v>25196</v>
      </c>
      <c r="D364" s="323">
        <v>188</v>
      </c>
      <c r="E364" s="324">
        <f t="shared" si="5"/>
        <v>45845.68</v>
      </c>
    </row>
    <row r="365" spans="1:5" x14ac:dyDescent="0.25">
      <c r="A365" s="323" t="s">
        <v>3060</v>
      </c>
      <c r="B365" s="323" t="s">
        <v>805</v>
      </c>
      <c r="C365" s="323">
        <v>25196</v>
      </c>
      <c r="D365" s="323">
        <v>277</v>
      </c>
      <c r="E365" s="324">
        <f t="shared" si="5"/>
        <v>67549.22</v>
      </c>
    </row>
    <row r="366" spans="1:5" x14ac:dyDescent="0.25">
      <c r="A366" s="323" t="s">
        <v>3434</v>
      </c>
      <c r="B366" s="323" t="s">
        <v>805</v>
      </c>
      <c r="C366" s="323">
        <v>25196</v>
      </c>
      <c r="D366" s="323">
        <v>214</v>
      </c>
      <c r="E366" s="324">
        <f t="shared" si="5"/>
        <v>52186.04</v>
      </c>
    </row>
    <row r="367" spans="1:5" x14ac:dyDescent="0.25">
      <c r="A367" s="323" t="s">
        <v>1343</v>
      </c>
      <c r="B367" s="323" t="s">
        <v>805</v>
      </c>
      <c r="C367" s="323">
        <v>25351</v>
      </c>
      <c r="D367" s="323">
        <v>110</v>
      </c>
      <c r="E367" s="324">
        <f t="shared" si="5"/>
        <v>26824.600000000002</v>
      </c>
    </row>
    <row r="368" spans="1:5" x14ac:dyDescent="0.25">
      <c r="A368" s="323" t="s">
        <v>2316</v>
      </c>
      <c r="B368" s="323" t="s">
        <v>805</v>
      </c>
      <c r="C368" s="323">
        <v>25351</v>
      </c>
      <c r="D368" s="323">
        <v>235</v>
      </c>
      <c r="E368" s="324">
        <f t="shared" si="5"/>
        <v>57307.100000000006</v>
      </c>
    </row>
    <row r="369" spans="1:5" x14ac:dyDescent="0.25">
      <c r="A369" s="323" t="s">
        <v>2471</v>
      </c>
      <c r="B369" s="323" t="s">
        <v>805</v>
      </c>
      <c r="C369" s="323">
        <v>25351</v>
      </c>
      <c r="D369" s="323">
        <v>91</v>
      </c>
      <c r="E369" s="324">
        <f t="shared" si="5"/>
        <v>22191.260000000002</v>
      </c>
    </row>
    <row r="370" spans="1:5" x14ac:dyDescent="0.25">
      <c r="A370" s="323" t="s">
        <v>2875</v>
      </c>
      <c r="B370" s="323" t="s">
        <v>805</v>
      </c>
      <c r="C370" s="323">
        <v>25351</v>
      </c>
      <c r="D370" s="323">
        <v>154</v>
      </c>
      <c r="E370" s="324">
        <f t="shared" si="5"/>
        <v>37554.44</v>
      </c>
    </row>
    <row r="371" spans="1:5" x14ac:dyDescent="0.25">
      <c r="A371" s="323" t="s">
        <v>3120</v>
      </c>
      <c r="B371" s="323" t="s">
        <v>805</v>
      </c>
      <c r="C371" s="323">
        <v>25351</v>
      </c>
      <c r="D371" s="323">
        <v>212</v>
      </c>
      <c r="E371" s="324">
        <f t="shared" si="5"/>
        <v>51698.32</v>
      </c>
    </row>
    <row r="372" spans="1:5" x14ac:dyDescent="0.25">
      <c r="A372" s="323" t="s">
        <v>3281</v>
      </c>
      <c r="B372" s="323" t="s">
        <v>805</v>
      </c>
      <c r="C372" s="323">
        <v>25351</v>
      </c>
      <c r="D372" s="323">
        <v>86</v>
      </c>
      <c r="E372" s="324">
        <f t="shared" si="5"/>
        <v>20971.960000000003</v>
      </c>
    </row>
    <row r="373" spans="1:5" x14ac:dyDescent="0.25">
      <c r="A373" s="323" t="s">
        <v>3545</v>
      </c>
      <c r="B373" s="323" t="s">
        <v>805</v>
      </c>
      <c r="C373" s="323">
        <v>25351</v>
      </c>
      <c r="D373" s="323">
        <v>92</v>
      </c>
      <c r="E373" s="324">
        <f t="shared" si="5"/>
        <v>22435.120000000003</v>
      </c>
    </row>
    <row r="374" spans="1:5" x14ac:dyDescent="0.25">
      <c r="A374" s="323" t="s">
        <v>3592</v>
      </c>
      <c r="B374" s="323" t="s">
        <v>805</v>
      </c>
      <c r="C374" s="323">
        <v>25351</v>
      </c>
      <c r="D374" s="323">
        <v>159</v>
      </c>
      <c r="E374" s="324">
        <f t="shared" si="5"/>
        <v>38773.740000000005</v>
      </c>
    </row>
    <row r="375" spans="1:5" x14ac:dyDescent="0.25">
      <c r="A375" s="323" t="s">
        <v>3995</v>
      </c>
      <c r="B375" s="323" t="s">
        <v>805</v>
      </c>
      <c r="C375" s="323">
        <v>25351</v>
      </c>
      <c r="D375" s="323">
        <v>160</v>
      </c>
      <c r="E375" s="324">
        <f t="shared" si="5"/>
        <v>39017.600000000006</v>
      </c>
    </row>
    <row r="376" spans="1:5" x14ac:dyDescent="0.25">
      <c r="A376" s="323" t="s">
        <v>4149</v>
      </c>
      <c r="B376" s="323" t="s">
        <v>805</v>
      </c>
      <c r="C376" s="323">
        <v>25351</v>
      </c>
      <c r="D376" s="323">
        <v>103</v>
      </c>
      <c r="E376" s="324">
        <f t="shared" si="5"/>
        <v>25117.58</v>
      </c>
    </row>
    <row r="377" spans="1:5" x14ac:dyDescent="0.25">
      <c r="A377" s="323" t="s">
        <v>4284</v>
      </c>
      <c r="B377" s="323" t="s">
        <v>805</v>
      </c>
      <c r="C377" s="323">
        <v>25351</v>
      </c>
      <c r="D377" s="323">
        <v>192</v>
      </c>
      <c r="E377" s="324">
        <f t="shared" si="5"/>
        <v>46821.120000000003</v>
      </c>
    </row>
    <row r="378" spans="1:5" x14ac:dyDescent="0.25">
      <c r="A378" s="323" t="s">
        <v>4432</v>
      </c>
      <c r="B378" s="323" t="s">
        <v>805</v>
      </c>
      <c r="C378" s="323">
        <v>25351</v>
      </c>
      <c r="D378" s="323">
        <v>182</v>
      </c>
      <c r="E378" s="324">
        <f t="shared" si="5"/>
        <v>44382.520000000004</v>
      </c>
    </row>
    <row r="379" spans="1:5" x14ac:dyDescent="0.25">
      <c r="A379" s="323" t="s">
        <v>4603</v>
      </c>
      <c r="B379" s="323" t="s">
        <v>805</v>
      </c>
      <c r="C379" s="323">
        <v>25351</v>
      </c>
      <c r="D379" s="323">
        <v>264</v>
      </c>
      <c r="E379" s="324">
        <f t="shared" si="5"/>
        <v>64379.040000000001</v>
      </c>
    </row>
    <row r="380" spans="1:5" x14ac:dyDescent="0.25">
      <c r="A380" s="323" t="s">
        <v>4626</v>
      </c>
      <c r="B380" s="323" t="s">
        <v>805</v>
      </c>
      <c r="C380" s="323">
        <v>25351</v>
      </c>
      <c r="D380" s="323">
        <v>89</v>
      </c>
      <c r="E380" s="324">
        <f t="shared" si="5"/>
        <v>21703.54</v>
      </c>
    </row>
    <row r="381" spans="1:5" x14ac:dyDescent="0.25">
      <c r="A381" s="323" t="s">
        <v>4687</v>
      </c>
      <c r="B381" s="323" t="s">
        <v>805</v>
      </c>
      <c r="C381" s="323">
        <v>25351</v>
      </c>
      <c r="D381" s="323">
        <v>87</v>
      </c>
      <c r="E381" s="324">
        <f t="shared" si="5"/>
        <v>21215.82</v>
      </c>
    </row>
    <row r="382" spans="1:5" x14ac:dyDescent="0.25">
      <c r="A382" s="323" t="s">
        <v>4750</v>
      </c>
      <c r="B382" s="323" t="s">
        <v>805</v>
      </c>
      <c r="C382" s="323">
        <v>25351</v>
      </c>
      <c r="D382" s="323">
        <v>120</v>
      </c>
      <c r="E382" s="324">
        <f t="shared" si="5"/>
        <v>29263.200000000001</v>
      </c>
    </row>
    <row r="383" spans="1:5" x14ac:dyDescent="0.25">
      <c r="A383" s="323" t="s">
        <v>7360</v>
      </c>
      <c r="B383" s="323" t="s">
        <v>805</v>
      </c>
      <c r="C383" s="323">
        <v>25351</v>
      </c>
      <c r="D383" s="323">
        <v>379</v>
      </c>
      <c r="E383" s="324">
        <f t="shared" si="5"/>
        <v>92422.94</v>
      </c>
    </row>
    <row r="384" spans="1:5" x14ac:dyDescent="0.25">
      <c r="A384" s="323" t="s">
        <v>1105</v>
      </c>
      <c r="B384" s="323" t="s">
        <v>805</v>
      </c>
      <c r="C384" s="323">
        <v>25664</v>
      </c>
      <c r="D384" s="323">
        <v>332</v>
      </c>
      <c r="E384" s="324">
        <f t="shared" si="5"/>
        <v>80961.52</v>
      </c>
    </row>
    <row r="385" spans="1:5" x14ac:dyDescent="0.25">
      <c r="A385" s="323" t="s">
        <v>1107</v>
      </c>
      <c r="B385" s="323" t="s">
        <v>805</v>
      </c>
      <c r="C385" s="323">
        <v>25833</v>
      </c>
      <c r="D385" s="323">
        <v>365</v>
      </c>
      <c r="E385" s="324">
        <f t="shared" si="5"/>
        <v>89008.900000000009</v>
      </c>
    </row>
    <row r="386" spans="1:5" x14ac:dyDescent="0.25">
      <c r="A386" s="323" t="s">
        <v>855</v>
      </c>
      <c r="B386" s="323" t="s">
        <v>803</v>
      </c>
      <c r="C386" s="323">
        <v>25859</v>
      </c>
      <c r="D386" s="323">
        <v>71</v>
      </c>
      <c r="E386" s="324">
        <f t="shared" ref="E386:E449" si="6">D386*IF(B386=$G$9,WerkdrukbedragPerLeerlingBo,IF(B386=$G$10,WerkdrukbedragPerLeerlingSbo,IF(B386=$G$11,WerkdrukbedragPerLeerlingSo,IF(B386=$G$12,WerkdrukbedragPerLeerlingVso,0))))</f>
        <v>34628.120000000003</v>
      </c>
    </row>
    <row r="387" spans="1:5" x14ac:dyDescent="0.25">
      <c r="A387" s="323" t="s">
        <v>855</v>
      </c>
      <c r="B387" s="323" t="s">
        <v>803</v>
      </c>
      <c r="C387" s="323">
        <v>25859</v>
      </c>
      <c r="D387" s="323">
        <v>90</v>
      </c>
      <c r="E387" s="324">
        <f t="shared" si="6"/>
        <v>43894.8</v>
      </c>
    </row>
    <row r="388" spans="1:5" x14ac:dyDescent="0.25">
      <c r="A388" s="323" t="s">
        <v>855</v>
      </c>
      <c r="B388" s="323" t="s">
        <v>809</v>
      </c>
      <c r="C388" s="323">
        <v>25859</v>
      </c>
      <c r="D388" s="323">
        <v>85</v>
      </c>
      <c r="E388" s="324">
        <f t="shared" si="6"/>
        <v>41456.200000000004</v>
      </c>
    </row>
    <row r="389" spans="1:5" x14ac:dyDescent="0.25">
      <c r="A389" s="323" t="s">
        <v>855</v>
      </c>
      <c r="B389" s="323" t="s">
        <v>803</v>
      </c>
      <c r="C389" s="323">
        <v>25859</v>
      </c>
      <c r="D389" s="323">
        <v>93</v>
      </c>
      <c r="E389" s="324">
        <f t="shared" si="6"/>
        <v>45357.96</v>
      </c>
    </row>
    <row r="390" spans="1:5" x14ac:dyDescent="0.25">
      <c r="A390" s="323" t="s">
        <v>855</v>
      </c>
      <c r="B390" s="323" t="s">
        <v>809</v>
      </c>
      <c r="C390" s="323">
        <v>25859</v>
      </c>
      <c r="D390" s="323">
        <v>42</v>
      </c>
      <c r="E390" s="324">
        <f t="shared" si="6"/>
        <v>20484.240000000002</v>
      </c>
    </row>
    <row r="391" spans="1:5" x14ac:dyDescent="0.25">
      <c r="A391" s="323" t="s">
        <v>855</v>
      </c>
      <c r="B391" s="323" t="s">
        <v>803</v>
      </c>
      <c r="C391" s="323">
        <v>25859</v>
      </c>
      <c r="D391" s="323">
        <v>71</v>
      </c>
      <c r="E391" s="324">
        <f t="shared" si="6"/>
        <v>34628.120000000003</v>
      </c>
    </row>
    <row r="392" spans="1:5" x14ac:dyDescent="0.25">
      <c r="A392" s="323" t="s">
        <v>855</v>
      </c>
      <c r="B392" s="323" t="s">
        <v>803</v>
      </c>
      <c r="C392" s="323">
        <v>25859</v>
      </c>
      <c r="D392" s="323">
        <v>40</v>
      </c>
      <c r="E392" s="324">
        <f t="shared" si="6"/>
        <v>19508.800000000003</v>
      </c>
    </row>
    <row r="393" spans="1:5" x14ac:dyDescent="0.25">
      <c r="A393" s="323" t="s">
        <v>855</v>
      </c>
      <c r="B393" s="323" t="s">
        <v>803</v>
      </c>
      <c r="C393" s="323">
        <v>25859</v>
      </c>
      <c r="D393" s="323">
        <v>19</v>
      </c>
      <c r="E393" s="324">
        <f t="shared" si="6"/>
        <v>9266.68</v>
      </c>
    </row>
    <row r="394" spans="1:5" x14ac:dyDescent="0.25">
      <c r="A394" s="323" t="s">
        <v>855</v>
      </c>
      <c r="B394" s="323" t="s">
        <v>803</v>
      </c>
      <c r="C394" s="323">
        <v>25859</v>
      </c>
      <c r="D394" s="323">
        <v>58</v>
      </c>
      <c r="E394" s="324">
        <f t="shared" si="6"/>
        <v>28287.760000000002</v>
      </c>
    </row>
    <row r="395" spans="1:5" x14ac:dyDescent="0.25">
      <c r="A395" s="323" t="s">
        <v>855</v>
      </c>
      <c r="B395" s="323" t="s">
        <v>809</v>
      </c>
      <c r="C395" s="323">
        <v>25859</v>
      </c>
      <c r="D395" s="323">
        <v>184</v>
      </c>
      <c r="E395" s="324">
        <f t="shared" si="6"/>
        <v>89740.48000000001</v>
      </c>
    </row>
    <row r="396" spans="1:5" x14ac:dyDescent="0.25">
      <c r="A396" s="323" t="s">
        <v>855</v>
      </c>
      <c r="B396" s="323" t="s">
        <v>803</v>
      </c>
      <c r="C396" s="323">
        <v>25859</v>
      </c>
      <c r="D396" s="323">
        <v>98</v>
      </c>
      <c r="E396" s="324">
        <f t="shared" si="6"/>
        <v>47796.560000000005</v>
      </c>
    </row>
    <row r="397" spans="1:5" x14ac:dyDescent="0.25">
      <c r="A397" s="323" t="s">
        <v>855</v>
      </c>
      <c r="B397" s="323" t="s">
        <v>803</v>
      </c>
      <c r="C397" s="323">
        <v>25859</v>
      </c>
      <c r="D397" s="323">
        <v>93</v>
      </c>
      <c r="E397" s="324">
        <f t="shared" si="6"/>
        <v>45357.96</v>
      </c>
    </row>
    <row r="398" spans="1:5" x14ac:dyDescent="0.25">
      <c r="A398" s="323" t="s">
        <v>855</v>
      </c>
      <c r="B398" s="323" t="s">
        <v>809</v>
      </c>
      <c r="C398" s="323">
        <v>25859</v>
      </c>
      <c r="D398" s="323">
        <v>55</v>
      </c>
      <c r="E398" s="324">
        <f t="shared" si="6"/>
        <v>26824.600000000002</v>
      </c>
    </row>
    <row r="399" spans="1:5" x14ac:dyDescent="0.25">
      <c r="A399" s="323" t="s">
        <v>901</v>
      </c>
      <c r="B399" s="323" t="s">
        <v>809</v>
      </c>
      <c r="C399" s="323">
        <v>25859</v>
      </c>
      <c r="D399" s="323">
        <v>147</v>
      </c>
      <c r="E399" s="324">
        <f t="shared" si="6"/>
        <v>71694.840000000011</v>
      </c>
    </row>
    <row r="400" spans="1:5" x14ac:dyDescent="0.25">
      <c r="A400" s="323" t="s">
        <v>979</v>
      </c>
      <c r="B400" s="323" t="s">
        <v>809</v>
      </c>
      <c r="C400" s="323">
        <v>25859</v>
      </c>
      <c r="D400" s="323">
        <v>147</v>
      </c>
      <c r="E400" s="324">
        <f t="shared" si="6"/>
        <v>71694.840000000011</v>
      </c>
    </row>
    <row r="401" spans="1:5" x14ac:dyDescent="0.25">
      <c r="A401" s="323" t="s">
        <v>979</v>
      </c>
      <c r="B401" s="323" t="s">
        <v>803</v>
      </c>
      <c r="C401" s="323">
        <v>25859</v>
      </c>
      <c r="D401" s="323">
        <v>132</v>
      </c>
      <c r="E401" s="324">
        <f t="shared" si="6"/>
        <v>64379.040000000001</v>
      </c>
    </row>
    <row r="402" spans="1:5" x14ac:dyDescent="0.25">
      <c r="A402" s="323" t="s">
        <v>979</v>
      </c>
      <c r="B402" s="323" t="s">
        <v>809</v>
      </c>
      <c r="C402" s="323">
        <v>25859</v>
      </c>
      <c r="D402" s="323">
        <v>7</v>
      </c>
      <c r="E402" s="324">
        <f t="shared" si="6"/>
        <v>3414.04</v>
      </c>
    </row>
    <row r="403" spans="1:5" x14ac:dyDescent="0.25">
      <c r="A403" s="323" t="s">
        <v>979</v>
      </c>
      <c r="B403" s="323" t="s">
        <v>803</v>
      </c>
      <c r="C403" s="323">
        <v>25859</v>
      </c>
      <c r="D403" s="323">
        <v>11</v>
      </c>
      <c r="E403" s="324">
        <f t="shared" si="6"/>
        <v>5364.92</v>
      </c>
    </row>
    <row r="404" spans="1:5" x14ac:dyDescent="0.25">
      <c r="A404" s="323" t="s">
        <v>6433</v>
      </c>
      <c r="B404" s="323" t="s">
        <v>809</v>
      </c>
      <c r="C404" s="323">
        <v>25859</v>
      </c>
      <c r="D404" s="323">
        <v>81</v>
      </c>
      <c r="E404" s="324">
        <f t="shared" si="6"/>
        <v>39505.32</v>
      </c>
    </row>
    <row r="405" spans="1:5" x14ac:dyDescent="0.25">
      <c r="A405" s="323" t="s">
        <v>6433</v>
      </c>
      <c r="B405" s="323" t="s">
        <v>803</v>
      </c>
      <c r="C405" s="323">
        <v>25859</v>
      </c>
      <c r="D405" s="323">
        <v>81</v>
      </c>
      <c r="E405" s="324">
        <f t="shared" si="6"/>
        <v>39505.32</v>
      </c>
    </row>
    <row r="406" spans="1:5" x14ac:dyDescent="0.25">
      <c r="A406" s="323" t="s">
        <v>6944</v>
      </c>
      <c r="B406" s="323" t="s">
        <v>803</v>
      </c>
      <c r="C406" s="323">
        <v>25859</v>
      </c>
      <c r="D406" s="323">
        <v>101</v>
      </c>
      <c r="E406" s="324">
        <f t="shared" si="6"/>
        <v>49259.72</v>
      </c>
    </row>
    <row r="407" spans="1:5" x14ac:dyDescent="0.25">
      <c r="A407" s="323" t="s">
        <v>964</v>
      </c>
      <c r="B407" s="323" t="s">
        <v>816</v>
      </c>
      <c r="C407" s="323">
        <v>25897</v>
      </c>
      <c r="D407" s="323">
        <v>173</v>
      </c>
      <c r="E407" s="324">
        <f t="shared" si="6"/>
        <v>63281.670000000006</v>
      </c>
    </row>
    <row r="408" spans="1:5" x14ac:dyDescent="0.25">
      <c r="A408" s="323" t="s">
        <v>857</v>
      </c>
      <c r="B408" s="323" t="s">
        <v>809</v>
      </c>
      <c r="C408" s="323">
        <v>26132</v>
      </c>
      <c r="D408" s="323">
        <v>90</v>
      </c>
      <c r="E408" s="324">
        <f t="shared" si="6"/>
        <v>43894.8</v>
      </c>
    </row>
    <row r="409" spans="1:5" x14ac:dyDescent="0.25">
      <c r="A409" s="323" t="s">
        <v>857</v>
      </c>
      <c r="B409" s="323" t="s">
        <v>803</v>
      </c>
      <c r="C409" s="323">
        <v>26132</v>
      </c>
      <c r="D409" s="323">
        <v>105</v>
      </c>
      <c r="E409" s="324">
        <f t="shared" si="6"/>
        <v>51210.600000000006</v>
      </c>
    </row>
    <row r="410" spans="1:5" x14ac:dyDescent="0.25">
      <c r="A410" s="323" t="s">
        <v>973</v>
      </c>
      <c r="B410" s="323" t="s">
        <v>816</v>
      </c>
      <c r="C410" s="323">
        <v>26158</v>
      </c>
      <c r="D410" s="323">
        <v>101</v>
      </c>
      <c r="E410" s="324">
        <f t="shared" si="6"/>
        <v>36944.79</v>
      </c>
    </row>
    <row r="411" spans="1:5" x14ac:dyDescent="0.25">
      <c r="A411" s="323" t="s">
        <v>1030</v>
      </c>
      <c r="B411" s="323" t="s">
        <v>805</v>
      </c>
      <c r="C411" s="323">
        <v>26158</v>
      </c>
      <c r="D411" s="323">
        <v>205</v>
      </c>
      <c r="E411" s="324">
        <f t="shared" si="6"/>
        <v>49991.3</v>
      </c>
    </row>
    <row r="412" spans="1:5" x14ac:dyDescent="0.25">
      <c r="A412" s="323" t="s">
        <v>1217</v>
      </c>
      <c r="B412" s="323" t="s">
        <v>805</v>
      </c>
      <c r="C412" s="323">
        <v>26158</v>
      </c>
      <c r="D412" s="323">
        <v>108</v>
      </c>
      <c r="E412" s="324">
        <f t="shared" si="6"/>
        <v>26336.880000000001</v>
      </c>
    </row>
    <row r="413" spans="1:5" x14ac:dyDescent="0.25">
      <c r="A413" s="323" t="s">
        <v>1893</v>
      </c>
      <c r="B413" s="323" t="s">
        <v>805</v>
      </c>
      <c r="C413" s="323">
        <v>26158</v>
      </c>
      <c r="D413" s="323">
        <v>111</v>
      </c>
      <c r="E413" s="324">
        <f t="shared" si="6"/>
        <v>27068.460000000003</v>
      </c>
    </row>
    <row r="414" spans="1:5" x14ac:dyDescent="0.25">
      <c r="A414" s="323" t="s">
        <v>2179</v>
      </c>
      <c r="B414" s="323" t="s">
        <v>805</v>
      </c>
      <c r="C414" s="323">
        <v>26158</v>
      </c>
      <c r="D414" s="323">
        <v>282</v>
      </c>
      <c r="E414" s="324">
        <f t="shared" si="6"/>
        <v>68768.52</v>
      </c>
    </row>
    <row r="415" spans="1:5" x14ac:dyDescent="0.25">
      <c r="A415" s="323" t="s">
        <v>3062</v>
      </c>
      <c r="B415" s="323" t="s">
        <v>805</v>
      </c>
      <c r="C415" s="323">
        <v>26158</v>
      </c>
      <c r="D415" s="323">
        <v>480</v>
      </c>
      <c r="E415" s="324">
        <f t="shared" si="6"/>
        <v>117052.8</v>
      </c>
    </row>
    <row r="416" spans="1:5" x14ac:dyDescent="0.25">
      <c r="A416" s="323" t="s">
        <v>3436</v>
      </c>
      <c r="B416" s="323" t="s">
        <v>805</v>
      </c>
      <c r="C416" s="323">
        <v>26158</v>
      </c>
      <c r="D416" s="323">
        <v>392</v>
      </c>
      <c r="E416" s="324">
        <f t="shared" si="6"/>
        <v>95593.12000000001</v>
      </c>
    </row>
    <row r="417" spans="1:5" x14ac:dyDescent="0.25">
      <c r="A417" s="323" t="s">
        <v>3620</v>
      </c>
      <c r="B417" s="323" t="s">
        <v>805</v>
      </c>
      <c r="C417" s="323">
        <v>26158</v>
      </c>
      <c r="D417" s="323">
        <v>319</v>
      </c>
      <c r="E417" s="324">
        <f t="shared" si="6"/>
        <v>77791.340000000011</v>
      </c>
    </row>
    <row r="418" spans="1:5" x14ac:dyDescent="0.25">
      <c r="A418" s="323" t="s">
        <v>3928</v>
      </c>
      <c r="B418" s="323" t="s">
        <v>805</v>
      </c>
      <c r="C418" s="323">
        <v>26158</v>
      </c>
      <c r="D418" s="323">
        <v>366</v>
      </c>
      <c r="E418" s="324">
        <f t="shared" si="6"/>
        <v>89252.760000000009</v>
      </c>
    </row>
    <row r="419" spans="1:5" x14ac:dyDescent="0.25">
      <c r="A419" s="323" t="s">
        <v>4238</v>
      </c>
      <c r="B419" s="323" t="s">
        <v>805</v>
      </c>
      <c r="C419" s="323">
        <v>26158</v>
      </c>
      <c r="D419" s="323">
        <v>156</v>
      </c>
      <c r="E419" s="324">
        <f t="shared" si="6"/>
        <v>38042.160000000003</v>
      </c>
    </row>
    <row r="420" spans="1:5" x14ac:dyDescent="0.25">
      <c r="A420" s="323" t="s">
        <v>6980</v>
      </c>
      <c r="B420" s="323" t="s">
        <v>805</v>
      </c>
      <c r="C420" s="323">
        <v>26158</v>
      </c>
      <c r="D420" s="323">
        <v>85</v>
      </c>
      <c r="E420" s="324">
        <f t="shared" si="6"/>
        <v>20728.100000000002</v>
      </c>
    </row>
    <row r="421" spans="1:5" x14ac:dyDescent="0.25">
      <c r="A421" s="323" t="s">
        <v>7228</v>
      </c>
      <c r="B421" s="323" t="s">
        <v>805</v>
      </c>
      <c r="C421" s="323">
        <v>26158</v>
      </c>
      <c r="D421" s="323">
        <v>704</v>
      </c>
      <c r="E421" s="324">
        <f t="shared" si="6"/>
        <v>171677.44</v>
      </c>
    </row>
    <row r="422" spans="1:5" x14ac:dyDescent="0.25">
      <c r="A422" s="323" t="s">
        <v>3931</v>
      </c>
      <c r="B422" s="323" t="s">
        <v>805</v>
      </c>
      <c r="C422" s="323">
        <v>26613</v>
      </c>
      <c r="D422" s="323">
        <v>378</v>
      </c>
      <c r="E422" s="324">
        <f t="shared" si="6"/>
        <v>92179.08</v>
      </c>
    </row>
    <row r="423" spans="1:5" x14ac:dyDescent="0.25">
      <c r="A423" s="323" t="s">
        <v>2180</v>
      </c>
      <c r="B423" s="323" t="s">
        <v>805</v>
      </c>
      <c r="C423" s="323">
        <v>26626</v>
      </c>
      <c r="D423" s="323">
        <v>362</v>
      </c>
      <c r="E423" s="324">
        <f t="shared" si="6"/>
        <v>88277.32</v>
      </c>
    </row>
    <row r="424" spans="1:5" x14ac:dyDescent="0.25">
      <c r="A424" s="323" t="s">
        <v>1113</v>
      </c>
      <c r="B424" s="323" t="s">
        <v>805</v>
      </c>
      <c r="C424" s="323">
        <v>26977</v>
      </c>
      <c r="D424" s="323">
        <v>114</v>
      </c>
      <c r="E424" s="324">
        <f t="shared" si="6"/>
        <v>27800.04</v>
      </c>
    </row>
    <row r="425" spans="1:5" x14ac:dyDescent="0.25">
      <c r="A425" s="323" t="s">
        <v>1789</v>
      </c>
      <c r="B425" s="323" t="s">
        <v>805</v>
      </c>
      <c r="C425" s="323">
        <v>26977</v>
      </c>
      <c r="D425" s="323">
        <v>162</v>
      </c>
      <c r="E425" s="324">
        <f t="shared" si="6"/>
        <v>39505.32</v>
      </c>
    </row>
    <row r="426" spans="1:5" x14ac:dyDescent="0.25">
      <c r="A426" s="323" t="s">
        <v>2183</v>
      </c>
      <c r="B426" s="323" t="s">
        <v>805</v>
      </c>
      <c r="C426" s="323">
        <v>26977</v>
      </c>
      <c r="D426" s="323">
        <v>263</v>
      </c>
      <c r="E426" s="324">
        <f t="shared" si="6"/>
        <v>64135.18</v>
      </c>
    </row>
    <row r="427" spans="1:5" x14ac:dyDescent="0.25">
      <c r="A427" s="323" t="s">
        <v>2292</v>
      </c>
      <c r="B427" s="323" t="s">
        <v>805</v>
      </c>
      <c r="C427" s="323">
        <v>26977</v>
      </c>
      <c r="D427" s="323">
        <v>500</v>
      </c>
      <c r="E427" s="324">
        <f t="shared" si="6"/>
        <v>121930</v>
      </c>
    </row>
    <row r="428" spans="1:5" x14ac:dyDescent="0.25">
      <c r="A428" s="323" t="s">
        <v>2835</v>
      </c>
      <c r="B428" s="323" t="s">
        <v>805</v>
      </c>
      <c r="C428" s="323">
        <v>26977</v>
      </c>
      <c r="D428" s="323">
        <v>305</v>
      </c>
      <c r="E428" s="324">
        <f t="shared" si="6"/>
        <v>74377.3</v>
      </c>
    </row>
    <row r="429" spans="1:5" x14ac:dyDescent="0.25">
      <c r="A429" s="323" t="s">
        <v>3125</v>
      </c>
      <c r="B429" s="323" t="s">
        <v>805</v>
      </c>
      <c r="C429" s="323">
        <v>26977</v>
      </c>
      <c r="D429" s="323">
        <v>425</v>
      </c>
      <c r="E429" s="324">
        <f t="shared" si="6"/>
        <v>103640.5</v>
      </c>
    </row>
    <row r="430" spans="1:5" x14ac:dyDescent="0.25">
      <c r="A430" s="323" t="s">
        <v>7292</v>
      </c>
      <c r="B430" s="323" t="s">
        <v>805</v>
      </c>
      <c r="C430" s="323">
        <v>26977</v>
      </c>
      <c r="D430" s="323">
        <v>412</v>
      </c>
      <c r="E430" s="324">
        <f t="shared" si="6"/>
        <v>100470.32</v>
      </c>
    </row>
    <row r="431" spans="1:5" x14ac:dyDescent="0.25">
      <c r="A431" s="323" t="s">
        <v>1953</v>
      </c>
      <c r="B431" s="323" t="s">
        <v>805</v>
      </c>
      <c r="C431" s="323">
        <v>27067</v>
      </c>
      <c r="D431" s="323">
        <v>86</v>
      </c>
      <c r="E431" s="324">
        <f t="shared" si="6"/>
        <v>20971.960000000003</v>
      </c>
    </row>
    <row r="432" spans="1:5" x14ac:dyDescent="0.25">
      <c r="A432" s="323" t="s">
        <v>2656</v>
      </c>
      <c r="B432" s="323" t="s">
        <v>805</v>
      </c>
      <c r="C432" s="323">
        <v>27067</v>
      </c>
      <c r="D432" s="323">
        <v>148</v>
      </c>
      <c r="E432" s="324">
        <f t="shared" si="6"/>
        <v>36091.279999999999</v>
      </c>
    </row>
    <row r="433" spans="1:5" x14ac:dyDescent="0.25">
      <c r="A433" s="323" t="s">
        <v>3215</v>
      </c>
      <c r="B433" s="323" t="s">
        <v>805</v>
      </c>
      <c r="C433" s="323">
        <v>27067</v>
      </c>
      <c r="D433" s="323">
        <v>129</v>
      </c>
      <c r="E433" s="324">
        <f t="shared" si="6"/>
        <v>31457.940000000002</v>
      </c>
    </row>
    <row r="434" spans="1:5" x14ac:dyDescent="0.25">
      <c r="A434" s="323" t="s">
        <v>2185</v>
      </c>
      <c r="B434" s="323" t="s">
        <v>805</v>
      </c>
      <c r="C434" s="323">
        <v>27237</v>
      </c>
      <c r="D434" s="323">
        <v>54</v>
      </c>
      <c r="E434" s="324">
        <f t="shared" si="6"/>
        <v>13168.44</v>
      </c>
    </row>
    <row r="435" spans="1:5" x14ac:dyDescent="0.25">
      <c r="A435" s="323" t="s">
        <v>2657</v>
      </c>
      <c r="B435" s="323" t="s">
        <v>805</v>
      </c>
      <c r="C435" s="323">
        <v>27340</v>
      </c>
      <c r="D435" s="323">
        <v>66</v>
      </c>
      <c r="E435" s="324">
        <f t="shared" si="6"/>
        <v>16094.76</v>
      </c>
    </row>
    <row r="436" spans="1:5" x14ac:dyDescent="0.25">
      <c r="A436" s="323" t="s">
        <v>5163</v>
      </c>
      <c r="B436" s="323" t="s">
        <v>809</v>
      </c>
      <c r="C436" s="323">
        <v>27445</v>
      </c>
      <c r="D436" s="323">
        <v>44</v>
      </c>
      <c r="E436" s="324">
        <f t="shared" si="6"/>
        <v>21459.68</v>
      </c>
    </row>
    <row r="437" spans="1:5" x14ac:dyDescent="0.25">
      <c r="A437" s="323" t="s">
        <v>5163</v>
      </c>
      <c r="B437" s="323" t="s">
        <v>803</v>
      </c>
      <c r="C437" s="323">
        <v>27445</v>
      </c>
      <c r="D437" s="323">
        <v>43</v>
      </c>
      <c r="E437" s="324">
        <f t="shared" si="6"/>
        <v>20971.960000000003</v>
      </c>
    </row>
    <row r="438" spans="1:5" x14ac:dyDescent="0.25">
      <c r="A438" s="323" t="s">
        <v>1597</v>
      </c>
      <c r="B438" s="323" t="s">
        <v>805</v>
      </c>
      <c r="C438" s="323">
        <v>27770</v>
      </c>
      <c r="D438" s="323">
        <v>119</v>
      </c>
      <c r="E438" s="324">
        <f t="shared" si="6"/>
        <v>29019.34</v>
      </c>
    </row>
    <row r="439" spans="1:5" x14ac:dyDescent="0.25">
      <c r="A439" s="323" t="s">
        <v>1785</v>
      </c>
      <c r="B439" s="323" t="s">
        <v>805</v>
      </c>
      <c r="C439" s="323">
        <v>27770</v>
      </c>
      <c r="D439" s="323">
        <v>522</v>
      </c>
      <c r="E439" s="324">
        <f t="shared" si="6"/>
        <v>127294.92000000001</v>
      </c>
    </row>
    <row r="440" spans="1:5" x14ac:dyDescent="0.25">
      <c r="A440" s="323" t="s">
        <v>2828</v>
      </c>
      <c r="B440" s="323" t="s">
        <v>805</v>
      </c>
      <c r="C440" s="323">
        <v>27770</v>
      </c>
      <c r="D440" s="323">
        <v>396</v>
      </c>
      <c r="E440" s="324">
        <f t="shared" si="6"/>
        <v>96568.560000000012</v>
      </c>
    </row>
    <row r="441" spans="1:5" x14ac:dyDescent="0.25">
      <c r="A441" s="323" t="s">
        <v>2828</v>
      </c>
      <c r="B441" s="323" t="s">
        <v>805</v>
      </c>
      <c r="C441" s="323">
        <v>27770</v>
      </c>
      <c r="D441" s="323">
        <v>192</v>
      </c>
      <c r="E441" s="324">
        <f t="shared" si="6"/>
        <v>46821.120000000003</v>
      </c>
    </row>
    <row r="442" spans="1:5" x14ac:dyDescent="0.25">
      <c r="A442" s="323" t="s">
        <v>3072</v>
      </c>
      <c r="B442" s="323" t="s">
        <v>805</v>
      </c>
      <c r="C442" s="323">
        <v>27770</v>
      </c>
      <c r="D442" s="323">
        <v>231</v>
      </c>
      <c r="E442" s="324">
        <f t="shared" si="6"/>
        <v>56331.66</v>
      </c>
    </row>
    <row r="443" spans="1:5" x14ac:dyDescent="0.25">
      <c r="A443" s="323" t="s">
        <v>3084</v>
      </c>
      <c r="B443" s="323" t="s">
        <v>805</v>
      </c>
      <c r="C443" s="323">
        <v>27770</v>
      </c>
      <c r="D443" s="323">
        <v>178</v>
      </c>
      <c r="E443" s="324">
        <f t="shared" si="6"/>
        <v>43407.08</v>
      </c>
    </row>
    <row r="444" spans="1:5" x14ac:dyDescent="0.25">
      <c r="A444" s="323" t="s">
        <v>3443</v>
      </c>
      <c r="B444" s="323" t="s">
        <v>805</v>
      </c>
      <c r="C444" s="323">
        <v>27770</v>
      </c>
      <c r="D444" s="323">
        <v>193</v>
      </c>
      <c r="E444" s="324">
        <f t="shared" si="6"/>
        <v>47064.98</v>
      </c>
    </row>
    <row r="445" spans="1:5" x14ac:dyDescent="0.25">
      <c r="A445" s="323" t="s">
        <v>1104</v>
      </c>
      <c r="B445" s="323" t="s">
        <v>805</v>
      </c>
      <c r="C445" s="323">
        <v>27910</v>
      </c>
      <c r="D445" s="323">
        <v>244</v>
      </c>
      <c r="E445" s="324">
        <f t="shared" si="6"/>
        <v>59501.840000000004</v>
      </c>
    </row>
    <row r="446" spans="1:5" x14ac:dyDescent="0.25">
      <c r="A446" s="323" t="s">
        <v>1182</v>
      </c>
      <c r="B446" s="323" t="s">
        <v>805</v>
      </c>
      <c r="C446" s="323">
        <v>27910</v>
      </c>
      <c r="D446" s="323">
        <v>128</v>
      </c>
      <c r="E446" s="324">
        <f t="shared" si="6"/>
        <v>31214.080000000002</v>
      </c>
    </row>
    <row r="447" spans="1:5" x14ac:dyDescent="0.25">
      <c r="A447" s="323" t="s">
        <v>1668</v>
      </c>
      <c r="B447" s="323" t="s">
        <v>805</v>
      </c>
      <c r="C447" s="323">
        <v>27910</v>
      </c>
      <c r="D447" s="323">
        <v>179</v>
      </c>
      <c r="E447" s="324">
        <f t="shared" si="6"/>
        <v>43650.94</v>
      </c>
    </row>
    <row r="448" spans="1:5" x14ac:dyDescent="0.25">
      <c r="A448" s="323" t="s">
        <v>1916</v>
      </c>
      <c r="B448" s="323" t="s">
        <v>805</v>
      </c>
      <c r="C448" s="323">
        <v>27910</v>
      </c>
      <c r="D448" s="323">
        <v>188</v>
      </c>
      <c r="E448" s="324">
        <f t="shared" si="6"/>
        <v>45845.68</v>
      </c>
    </row>
    <row r="449" spans="1:5" x14ac:dyDescent="0.25">
      <c r="A449" s="323" t="s">
        <v>2226</v>
      </c>
      <c r="B449" s="323" t="s">
        <v>805</v>
      </c>
      <c r="C449" s="323">
        <v>27910</v>
      </c>
      <c r="D449" s="323">
        <v>58</v>
      </c>
      <c r="E449" s="324">
        <f t="shared" si="6"/>
        <v>14143.880000000001</v>
      </c>
    </row>
    <row r="450" spans="1:5" x14ac:dyDescent="0.25">
      <c r="A450" s="323" t="s">
        <v>3094</v>
      </c>
      <c r="B450" s="323" t="s">
        <v>805</v>
      </c>
      <c r="C450" s="323">
        <v>27910</v>
      </c>
      <c r="D450" s="323">
        <v>245</v>
      </c>
      <c r="E450" s="324">
        <f t="shared" ref="E450:E513" si="7">D450*IF(B450=$G$9,WerkdrukbedragPerLeerlingBo,IF(B450=$G$10,WerkdrukbedragPerLeerlingSbo,IF(B450=$G$11,WerkdrukbedragPerLeerlingSo,IF(B450=$G$12,WerkdrukbedragPerLeerlingVso,0))))</f>
        <v>59745.700000000004</v>
      </c>
    </row>
    <row r="451" spans="1:5" x14ac:dyDescent="0.25">
      <c r="A451" s="323" t="s">
        <v>3135</v>
      </c>
      <c r="B451" s="323" t="s">
        <v>805</v>
      </c>
      <c r="C451" s="323">
        <v>27910</v>
      </c>
      <c r="D451" s="323">
        <v>321</v>
      </c>
      <c r="E451" s="324">
        <f t="shared" si="7"/>
        <v>78279.06</v>
      </c>
    </row>
    <row r="452" spans="1:5" x14ac:dyDescent="0.25">
      <c r="A452" s="323" t="s">
        <v>3221</v>
      </c>
      <c r="B452" s="323" t="s">
        <v>805</v>
      </c>
      <c r="C452" s="323">
        <v>27910</v>
      </c>
      <c r="D452" s="323">
        <v>173</v>
      </c>
      <c r="E452" s="324">
        <f t="shared" si="7"/>
        <v>42187.78</v>
      </c>
    </row>
    <row r="453" spans="1:5" x14ac:dyDescent="0.25">
      <c r="A453" s="323" t="s">
        <v>3458</v>
      </c>
      <c r="B453" s="323" t="s">
        <v>805</v>
      </c>
      <c r="C453" s="323">
        <v>27910</v>
      </c>
      <c r="D453" s="323">
        <v>114</v>
      </c>
      <c r="E453" s="324">
        <f t="shared" si="7"/>
        <v>27800.04</v>
      </c>
    </row>
    <row r="454" spans="1:5" x14ac:dyDescent="0.25">
      <c r="A454" s="323" t="s">
        <v>3546</v>
      </c>
      <c r="B454" s="323" t="s">
        <v>805</v>
      </c>
      <c r="C454" s="323">
        <v>27910</v>
      </c>
      <c r="D454" s="323">
        <v>307</v>
      </c>
      <c r="E454" s="324">
        <f t="shared" si="7"/>
        <v>74865.02</v>
      </c>
    </row>
    <row r="455" spans="1:5" x14ac:dyDescent="0.25">
      <c r="A455" s="323" t="s">
        <v>3551</v>
      </c>
      <c r="B455" s="323" t="s">
        <v>805</v>
      </c>
      <c r="C455" s="323">
        <v>27910</v>
      </c>
      <c r="D455" s="323">
        <v>177</v>
      </c>
      <c r="E455" s="324">
        <f t="shared" si="7"/>
        <v>43163.22</v>
      </c>
    </row>
    <row r="456" spans="1:5" x14ac:dyDescent="0.25">
      <c r="A456" s="323" t="s">
        <v>3731</v>
      </c>
      <c r="B456" s="323" t="s">
        <v>805</v>
      </c>
      <c r="C456" s="323">
        <v>27910</v>
      </c>
      <c r="D456" s="323">
        <v>207</v>
      </c>
      <c r="E456" s="324">
        <f t="shared" si="7"/>
        <v>50479.020000000004</v>
      </c>
    </row>
    <row r="457" spans="1:5" x14ac:dyDescent="0.25">
      <c r="A457" s="323" t="s">
        <v>3884</v>
      </c>
      <c r="B457" s="323" t="s">
        <v>805</v>
      </c>
      <c r="C457" s="323">
        <v>27910</v>
      </c>
      <c r="D457" s="323">
        <v>148</v>
      </c>
      <c r="E457" s="324">
        <f t="shared" si="7"/>
        <v>36091.279999999999</v>
      </c>
    </row>
    <row r="458" spans="1:5" x14ac:dyDescent="0.25">
      <c r="A458" s="323" t="s">
        <v>4104</v>
      </c>
      <c r="B458" s="323" t="s">
        <v>805</v>
      </c>
      <c r="C458" s="323">
        <v>27910</v>
      </c>
      <c r="D458" s="323">
        <v>352</v>
      </c>
      <c r="E458" s="324">
        <f t="shared" si="7"/>
        <v>85838.720000000001</v>
      </c>
    </row>
    <row r="459" spans="1:5" x14ac:dyDescent="0.25">
      <c r="A459" s="323" t="s">
        <v>4150</v>
      </c>
      <c r="B459" s="323" t="s">
        <v>805</v>
      </c>
      <c r="C459" s="323">
        <v>27910</v>
      </c>
      <c r="D459" s="323">
        <v>170</v>
      </c>
      <c r="E459" s="324">
        <f t="shared" si="7"/>
        <v>41456.200000000004</v>
      </c>
    </row>
    <row r="460" spans="1:5" x14ac:dyDescent="0.25">
      <c r="A460" s="323" t="s">
        <v>7082</v>
      </c>
      <c r="B460" s="323" t="s">
        <v>805</v>
      </c>
      <c r="C460" s="323">
        <v>27910</v>
      </c>
      <c r="D460" s="323">
        <v>433</v>
      </c>
      <c r="E460" s="324">
        <f t="shared" si="7"/>
        <v>105591.38</v>
      </c>
    </row>
    <row r="461" spans="1:5" x14ac:dyDescent="0.25">
      <c r="A461" s="323" t="s">
        <v>7353</v>
      </c>
      <c r="B461" s="323" t="s">
        <v>805</v>
      </c>
      <c r="C461" s="323">
        <v>27910</v>
      </c>
      <c r="D461" s="323">
        <v>499</v>
      </c>
      <c r="E461" s="324">
        <f t="shared" si="7"/>
        <v>121686.14000000001</v>
      </c>
    </row>
    <row r="462" spans="1:5" x14ac:dyDescent="0.25">
      <c r="A462" s="323" t="s">
        <v>1122</v>
      </c>
      <c r="B462" s="323" t="s">
        <v>805</v>
      </c>
      <c r="C462" s="323">
        <v>28212</v>
      </c>
      <c r="D462" s="323">
        <v>294</v>
      </c>
      <c r="E462" s="324">
        <f t="shared" si="7"/>
        <v>71694.840000000011</v>
      </c>
    </row>
    <row r="463" spans="1:5" x14ac:dyDescent="0.25">
      <c r="A463" s="323" t="s">
        <v>2192</v>
      </c>
      <c r="B463" s="323" t="s">
        <v>805</v>
      </c>
      <c r="C463" s="323">
        <v>28212</v>
      </c>
      <c r="D463" s="323">
        <v>264</v>
      </c>
      <c r="E463" s="324">
        <f t="shared" si="7"/>
        <v>64379.040000000001</v>
      </c>
    </row>
    <row r="464" spans="1:5" x14ac:dyDescent="0.25">
      <c r="A464" s="323" t="s">
        <v>1851</v>
      </c>
      <c r="B464" s="323" t="s">
        <v>805</v>
      </c>
      <c r="C464" s="323">
        <v>28563</v>
      </c>
      <c r="D464" s="323">
        <v>302</v>
      </c>
      <c r="E464" s="324">
        <f t="shared" si="7"/>
        <v>73645.72</v>
      </c>
    </row>
    <row r="465" spans="1:5" x14ac:dyDescent="0.25">
      <c r="A465" s="323" t="s">
        <v>2549</v>
      </c>
      <c r="B465" s="323" t="s">
        <v>805</v>
      </c>
      <c r="C465" s="323">
        <v>28563</v>
      </c>
      <c r="D465" s="323">
        <v>117</v>
      </c>
      <c r="E465" s="324">
        <f t="shared" si="7"/>
        <v>28531.620000000003</v>
      </c>
    </row>
    <row r="466" spans="1:5" x14ac:dyDescent="0.25">
      <c r="A466" s="323" t="s">
        <v>2853</v>
      </c>
      <c r="B466" s="323" t="s">
        <v>805</v>
      </c>
      <c r="C466" s="323">
        <v>28563</v>
      </c>
      <c r="D466" s="323">
        <v>232</v>
      </c>
      <c r="E466" s="324">
        <f t="shared" si="7"/>
        <v>56575.520000000004</v>
      </c>
    </row>
    <row r="467" spans="1:5" x14ac:dyDescent="0.25">
      <c r="A467" s="323" t="s">
        <v>3304</v>
      </c>
      <c r="B467" s="323" t="s">
        <v>805</v>
      </c>
      <c r="C467" s="323">
        <v>28563</v>
      </c>
      <c r="D467" s="323">
        <v>320</v>
      </c>
      <c r="E467" s="324">
        <f t="shared" si="7"/>
        <v>78035.200000000012</v>
      </c>
    </row>
    <row r="468" spans="1:5" x14ac:dyDescent="0.25">
      <c r="A468" s="323" t="s">
        <v>3721</v>
      </c>
      <c r="B468" s="323" t="s">
        <v>805</v>
      </c>
      <c r="C468" s="323">
        <v>28563</v>
      </c>
      <c r="D468" s="323">
        <v>332</v>
      </c>
      <c r="E468" s="324">
        <f t="shared" si="7"/>
        <v>80961.52</v>
      </c>
    </row>
    <row r="469" spans="1:5" x14ac:dyDescent="0.25">
      <c r="A469" s="323" t="s">
        <v>3933</v>
      </c>
      <c r="B469" s="323" t="s">
        <v>805</v>
      </c>
      <c r="C469" s="323">
        <v>28563</v>
      </c>
      <c r="D469" s="323">
        <v>192</v>
      </c>
      <c r="E469" s="324">
        <f t="shared" si="7"/>
        <v>46821.120000000003</v>
      </c>
    </row>
    <row r="470" spans="1:5" x14ac:dyDescent="0.25">
      <c r="A470" s="323" t="s">
        <v>3977</v>
      </c>
      <c r="B470" s="323" t="s">
        <v>805</v>
      </c>
      <c r="C470" s="323">
        <v>28563</v>
      </c>
      <c r="D470" s="323">
        <v>307</v>
      </c>
      <c r="E470" s="324">
        <f t="shared" si="7"/>
        <v>74865.02</v>
      </c>
    </row>
    <row r="471" spans="1:5" x14ac:dyDescent="0.25">
      <c r="A471" s="323" t="s">
        <v>4137</v>
      </c>
      <c r="B471" s="323" t="s">
        <v>805</v>
      </c>
      <c r="C471" s="323">
        <v>28563</v>
      </c>
      <c r="D471" s="323">
        <v>275</v>
      </c>
      <c r="E471" s="324">
        <f t="shared" si="7"/>
        <v>67061.5</v>
      </c>
    </row>
    <row r="472" spans="1:5" x14ac:dyDescent="0.25">
      <c r="A472" s="323" t="s">
        <v>4241</v>
      </c>
      <c r="B472" s="323" t="s">
        <v>805</v>
      </c>
      <c r="C472" s="323">
        <v>28563</v>
      </c>
      <c r="D472" s="323">
        <v>209</v>
      </c>
      <c r="E472" s="324">
        <f t="shared" si="7"/>
        <v>50966.740000000005</v>
      </c>
    </row>
    <row r="473" spans="1:5" x14ac:dyDescent="0.25">
      <c r="A473" s="323" t="s">
        <v>1063</v>
      </c>
      <c r="B473" s="323" t="s">
        <v>805</v>
      </c>
      <c r="C473" s="323">
        <v>28601</v>
      </c>
      <c r="D473" s="323">
        <v>110</v>
      </c>
      <c r="E473" s="324">
        <f t="shared" si="7"/>
        <v>26824.600000000002</v>
      </c>
    </row>
    <row r="474" spans="1:5" x14ac:dyDescent="0.25">
      <c r="A474" s="323" t="s">
        <v>2110</v>
      </c>
      <c r="B474" s="323" t="s">
        <v>805</v>
      </c>
      <c r="C474" s="323">
        <v>28601</v>
      </c>
      <c r="D474" s="323">
        <v>181</v>
      </c>
      <c r="E474" s="324">
        <f t="shared" si="7"/>
        <v>44138.66</v>
      </c>
    </row>
    <row r="475" spans="1:5" x14ac:dyDescent="0.25">
      <c r="A475" s="323" t="s">
        <v>3023</v>
      </c>
      <c r="B475" s="323" t="s">
        <v>805</v>
      </c>
      <c r="C475" s="323">
        <v>28601</v>
      </c>
      <c r="D475" s="323">
        <v>147</v>
      </c>
      <c r="E475" s="324">
        <f t="shared" si="7"/>
        <v>35847.420000000006</v>
      </c>
    </row>
    <row r="476" spans="1:5" x14ac:dyDescent="0.25">
      <c r="A476" s="323" t="s">
        <v>3033</v>
      </c>
      <c r="B476" s="323" t="s">
        <v>805</v>
      </c>
      <c r="C476" s="323">
        <v>28601</v>
      </c>
      <c r="D476" s="323">
        <v>110</v>
      </c>
      <c r="E476" s="324">
        <f t="shared" si="7"/>
        <v>26824.600000000002</v>
      </c>
    </row>
    <row r="477" spans="1:5" x14ac:dyDescent="0.25">
      <c r="A477" s="323" t="s">
        <v>4152</v>
      </c>
      <c r="B477" s="323" t="s">
        <v>805</v>
      </c>
      <c r="C477" s="323">
        <v>28601</v>
      </c>
      <c r="D477" s="323">
        <v>253</v>
      </c>
      <c r="E477" s="324">
        <f t="shared" si="7"/>
        <v>61696.58</v>
      </c>
    </row>
    <row r="478" spans="1:5" x14ac:dyDescent="0.25">
      <c r="A478" s="323" t="s">
        <v>4394</v>
      </c>
      <c r="B478" s="323" t="s">
        <v>805</v>
      </c>
      <c r="C478" s="323">
        <v>28601</v>
      </c>
      <c r="D478" s="323">
        <v>439</v>
      </c>
      <c r="E478" s="324">
        <f t="shared" si="7"/>
        <v>107054.54000000001</v>
      </c>
    </row>
    <row r="479" spans="1:5" x14ac:dyDescent="0.25">
      <c r="A479" s="323" t="s">
        <v>4507</v>
      </c>
      <c r="B479" s="323" t="s">
        <v>805</v>
      </c>
      <c r="C479" s="323">
        <v>28601</v>
      </c>
      <c r="D479" s="323">
        <v>147</v>
      </c>
      <c r="E479" s="324">
        <f t="shared" si="7"/>
        <v>35847.420000000006</v>
      </c>
    </row>
    <row r="480" spans="1:5" x14ac:dyDescent="0.25">
      <c r="A480" s="323" t="s">
        <v>4817</v>
      </c>
      <c r="B480" s="323" t="s">
        <v>805</v>
      </c>
      <c r="C480" s="323">
        <v>28601</v>
      </c>
      <c r="D480" s="323">
        <v>421</v>
      </c>
      <c r="E480" s="324">
        <f t="shared" si="7"/>
        <v>102665.06000000001</v>
      </c>
    </row>
    <row r="481" spans="1:5" x14ac:dyDescent="0.25">
      <c r="A481" s="323" t="s">
        <v>4874</v>
      </c>
      <c r="B481" s="323" t="s">
        <v>805</v>
      </c>
      <c r="C481" s="323">
        <v>28601</v>
      </c>
      <c r="D481" s="323">
        <v>144</v>
      </c>
      <c r="E481" s="324">
        <f t="shared" si="7"/>
        <v>35115.840000000004</v>
      </c>
    </row>
    <row r="482" spans="1:5" x14ac:dyDescent="0.25">
      <c r="A482" s="323" t="s">
        <v>4914</v>
      </c>
      <c r="B482" s="323" t="s">
        <v>805</v>
      </c>
      <c r="C482" s="323">
        <v>28601</v>
      </c>
      <c r="D482" s="323">
        <v>168</v>
      </c>
      <c r="E482" s="324">
        <f t="shared" si="7"/>
        <v>40968.480000000003</v>
      </c>
    </row>
    <row r="483" spans="1:5" x14ac:dyDescent="0.25">
      <c r="A483" s="323" t="s">
        <v>4998</v>
      </c>
      <c r="B483" s="323" t="s">
        <v>805</v>
      </c>
      <c r="C483" s="323">
        <v>28601</v>
      </c>
      <c r="D483" s="323">
        <v>202</v>
      </c>
      <c r="E483" s="324">
        <f t="shared" si="7"/>
        <v>49259.72</v>
      </c>
    </row>
    <row r="484" spans="1:5" x14ac:dyDescent="0.25">
      <c r="A484" s="323" t="s">
        <v>5240</v>
      </c>
      <c r="B484" s="323" t="s">
        <v>805</v>
      </c>
      <c r="C484" s="323">
        <v>28601</v>
      </c>
      <c r="D484" s="323">
        <v>170</v>
      </c>
      <c r="E484" s="324">
        <f t="shared" si="7"/>
        <v>41456.200000000004</v>
      </c>
    </row>
    <row r="485" spans="1:5" x14ac:dyDescent="0.25">
      <c r="A485" s="323" t="s">
        <v>6061</v>
      </c>
      <c r="B485" s="323" t="s">
        <v>805</v>
      </c>
      <c r="C485" s="323">
        <v>28601</v>
      </c>
      <c r="D485" s="323">
        <v>228</v>
      </c>
      <c r="E485" s="324">
        <f t="shared" si="7"/>
        <v>55600.08</v>
      </c>
    </row>
    <row r="486" spans="1:5" x14ac:dyDescent="0.25">
      <c r="A486" s="323" t="s">
        <v>6066</v>
      </c>
      <c r="B486" s="323" t="s">
        <v>805</v>
      </c>
      <c r="C486" s="323">
        <v>28601</v>
      </c>
      <c r="D486" s="323">
        <v>144</v>
      </c>
      <c r="E486" s="324">
        <f t="shared" si="7"/>
        <v>35115.840000000004</v>
      </c>
    </row>
    <row r="487" spans="1:5" x14ac:dyDescent="0.25">
      <c r="A487" s="323" t="s">
        <v>6121</v>
      </c>
      <c r="B487" s="323" t="s">
        <v>805</v>
      </c>
      <c r="C487" s="323">
        <v>28601</v>
      </c>
      <c r="D487" s="323">
        <v>339</v>
      </c>
      <c r="E487" s="324">
        <f t="shared" si="7"/>
        <v>82668.540000000008</v>
      </c>
    </row>
    <row r="488" spans="1:5" x14ac:dyDescent="0.25">
      <c r="A488" s="323" t="s">
        <v>6965</v>
      </c>
      <c r="B488" s="323" t="s">
        <v>805</v>
      </c>
      <c r="C488" s="323">
        <v>28601</v>
      </c>
      <c r="D488" s="323">
        <v>325</v>
      </c>
      <c r="E488" s="324">
        <f t="shared" si="7"/>
        <v>79254.5</v>
      </c>
    </row>
    <row r="489" spans="1:5" x14ac:dyDescent="0.25">
      <c r="A489" s="323" t="s">
        <v>6967</v>
      </c>
      <c r="B489" s="323" t="s">
        <v>805</v>
      </c>
      <c r="C489" s="323">
        <v>28601</v>
      </c>
      <c r="D489" s="323">
        <v>457</v>
      </c>
      <c r="E489" s="324">
        <f t="shared" si="7"/>
        <v>111444.02</v>
      </c>
    </row>
    <row r="490" spans="1:5" x14ac:dyDescent="0.25">
      <c r="A490" s="323" t="s">
        <v>7342</v>
      </c>
      <c r="B490" s="323" t="s">
        <v>805</v>
      </c>
      <c r="C490" s="323">
        <v>28601</v>
      </c>
      <c r="D490" s="323">
        <v>388</v>
      </c>
      <c r="E490" s="324">
        <f t="shared" si="7"/>
        <v>94617.680000000008</v>
      </c>
    </row>
    <row r="491" spans="1:5" x14ac:dyDescent="0.25">
      <c r="A491" s="323" t="s">
        <v>2662</v>
      </c>
      <c r="B491" s="323" t="s">
        <v>805</v>
      </c>
      <c r="C491" s="323">
        <v>28614</v>
      </c>
      <c r="D491" s="323">
        <v>242</v>
      </c>
      <c r="E491" s="324">
        <f t="shared" si="7"/>
        <v>59014.12</v>
      </c>
    </row>
    <row r="492" spans="1:5" x14ac:dyDescent="0.25">
      <c r="A492" s="323" t="s">
        <v>3218</v>
      </c>
      <c r="B492" s="323" t="s">
        <v>805</v>
      </c>
      <c r="C492" s="323">
        <v>28614</v>
      </c>
      <c r="D492" s="323">
        <v>236</v>
      </c>
      <c r="E492" s="324">
        <f t="shared" si="7"/>
        <v>57550.960000000006</v>
      </c>
    </row>
    <row r="493" spans="1:5" x14ac:dyDescent="0.25">
      <c r="A493" s="323" t="s">
        <v>1126</v>
      </c>
      <c r="B493" s="323" t="s">
        <v>805</v>
      </c>
      <c r="C493" s="323">
        <v>28849</v>
      </c>
      <c r="D493" s="323">
        <v>441</v>
      </c>
      <c r="E493" s="324">
        <f t="shared" si="7"/>
        <v>107542.26000000001</v>
      </c>
    </row>
    <row r="494" spans="1:5" x14ac:dyDescent="0.25">
      <c r="A494" s="323" t="s">
        <v>2197</v>
      </c>
      <c r="B494" s="323" t="s">
        <v>805</v>
      </c>
      <c r="C494" s="323">
        <v>28849</v>
      </c>
      <c r="D494" s="323">
        <v>740</v>
      </c>
      <c r="E494" s="324">
        <f t="shared" si="7"/>
        <v>180456.40000000002</v>
      </c>
    </row>
    <row r="495" spans="1:5" x14ac:dyDescent="0.25">
      <c r="A495" s="323" t="s">
        <v>3446</v>
      </c>
      <c r="B495" s="323" t="s">
        <v>805</v>
      </c>
      <c r="C495" s="323">
        <v>28849</v>
      </c>
      <c r="D495" s="323">
        <v>402</v>
      </c>
      <c r="E495" s="324">
        <f t="shared" si="7"/>
        <v>98031.72</v>
      </c>
    </row>
    <row r="496" spans="1:5" x14ac:dyDescent="0.25">
      <c r="A496" s="323" t="s">
        <v>3219</v>
      </c>
      <c r="B496" s="323" t="s">
        <v>805</v>
      </c>
      <c r="C496" s="323">
        <v>29056</v>
      </c>
      <c r="D496" s="323">
        <v>275</v>
      </c>
      <c r="E496" s="324">
        <f t="shared" si="7"/>
        <v>67061.5</v>
      </c>
    </row>
    <row r="497" spans="1:5" x14ac:dyDescent="0.25">
      <c r="A497" s="323" t="s">
        <v>3548</v>
      </c>
      <c r="B497" s="323" t="s">
        <v>805</v>
      </c>
      <c r="C497" s="323">
        <v>29056</v>
      </c>
      <c r="D497" s="323">
        <v>201</v>
      </c>
      <c r="E497" s="324">
        <f t="shared" si="7"/>
        <v>49015.86</v>
      </c>
    </row>
    <row r="498" spans="1:5" x14ac:dyDescent="0.25">
      <c r="A498" s="323" t="s">
        <v>3808</v>
      </c>
      <c r="B498" s="323" t="s">
        <v>805</v>
      </c>
      <c r="C498" s="323">
        <v>29056</v>
      </c>
      <c r="D498" s="323">
        <v>196</v>
      </c>
      <c r="E498" s="324">
        <f t="shared" si="7"/>
        <v>47796.560000000005</v>
      </c>
    </row>
    <row r="499" spans="1:5" x14ac:dyDescent="0.25">
      <c r="A499" s="323" t="s">
        <v>3998</v>
      </c>
      <c r="B499" s="323" t="s">
        <v>805</v>
      </c>
      <c r="C499" s="323">
        <v>29056</v>
      </c>
      <c r="D499" s="323">
        <v>278</v>
      </c>
      <c r="E499" s="324">
        <f t="shared" si="7"/>
        <v>67793.08</v>
      </c>
    </row>
    <row r="500" spans="1:5" x14ac:dyDescent="0.25">
      <c r="A500" s="323" t="s">
        <v>4153</v>
      </c>
      <c r="B500" s="323" t="s">
        <v>805</v>
      </c>
      <c r="C500" s="323">
        <v>29056</v>
      </c>
      <c r="D500" s="323">
        <v>165</v>
      </c>
      <c r="E500" s="324">
        <f t="shared" si="7"/>
        <v>40236.9</v>
      </c>
    </row>
    <row r="501" spans="1:5" x14ac:dyDescent="0.25">
      <c r="A501" s="323" t="s">
        <v>1134</v>
      </c>
      <c r="B501" s="323" t="s">
        <v>805</v>
      </c>
      <c r="C501" s="323">
        <v>29473</v>
      </c>
      <c r="D501" s="323">
        <v>297</v>
      </c>
      <c r="E501" s="324">
        <f t="shared" si="7"/>
        <v>72426.42</v>
      </c>
    </row>
    <row r="502" spans="1:5" x14ac:dyDescent="0.25">
      <c r="A502" s="323" t="s">
        <v>1135</v>
      </c>
      <c r="B502" s="323" t="s">
        <v>805</v>
      </c>
      <c r="C502" s="323">
        <v>29577</v>
      </c>
      <c r="D502" s="323">
        <v>358</v>
      </c>
      <c r="E502" s="324">
        <f t="shared" si="7"/>
        <v>87301.88</v>
      </c>
    </row>
    <row r="503" spans="1:5" x14ac:dyDescent="0.25">
      <c r="A503" s="323" t="s">
        <v>3449</v>
      </c>
      <c r="B503" s="323" t="s">
        <v>805</v>
      </c>
      <c r="C503" s="323">
        <v>29785</v>
      </c>
      <c r="D503" s="323">
        <v>226</v>
      </c>
      <c r="E503" s="324">
        <f t="shared" si="7"/>
        <v>55112.36</v>
      </c>
    </row>
    <row r="504" spans="1:5" x14ac:dyDescent="0.25">
      <c r="A504" s="323" t="s">
        <v>3723</v>
      </c>
      <c r="B504" s="323" t="s">
        <v>805</v>
      </c>
      <c r="C504" s="323">
        <v>29785</v>
      </c>
      <c r="D504" s="323">
        <v>191</v>
      </c>
      <c r="E504" s="324">
        <f t="shared" si="7"/>
        <v>46577.26</v>
      </c>
    </row>
    <row r="505" spans="1:5" x14ac:dyDescent="0.25">
      <c r="A505" s="323" t="s">
        <v>3934</v>
      </c>
      <c r="B505" s="323" t="s">
        <v>805</v>
      </c>
      <c r="C505" s="323">
        <v>29785</v>
      </c>
      <c r="D505" s="323">
        <v>90</v>
      </c>
      <c r="E505" s="324">
        <f t="shared" si="7"/>
        <v>21947.4</v>
      </c>
    </row>
    <row r="506" spans="1:5" x14ac:dyDescent="0.25">
      <c r="A506" s="323" t="s">
        <v>856</v>
      </c>
      <c r="B506" s="323" t="s">
        <v>816</v>
      </c>
      <c r="C506" s="323">
        <v>29810</v>
      </c>
      <c r="D506" s="323">
        <v>174</v>
      </c>
      <c r="E506" s="324">
        <f t="shared" si="7"/>
        <v>63647.460000000006</v>
      </c>
    </row>
    <row r="507" spans="1:5" x14ac:dyDescent="0.25">
      <c r="A507" s="323" t="s">
        <v>918</v>
      </c>
      <c r="B507" s="323" t="s">
        <v>809</v>
      </c>
      <c r="C507" s="323">
        <v>29810</v>
      </c>
      <c r="D507" s="323">
        <v>76</v>
      </c>
      <c r="E507" s="324">
        <f t="shared" si="7"/>
        <v>37066.720000000001</v>
      </c>
    </row>
    <row r="508" spans="1:5" x14ac:dyDescent="0.25">
      <c r="A508" s="323" t="s">
        <v>2569</v>
      </c>
      <c r="B508" s="323" t="s">
        <v>805</v>
      </c>
      <c r="C508" s="323">
        <v>29810</v>
      </c>
      <c r="D508" s="323">
        <v>187</v>
      </c>
      <c r="E508" s="324">
        <f t="shared" si="7"/>
        <v>45601.82</v>
      </c>
    </row>
    <row r="509" spans="1:5" x14ac:dyDescent="0.25">
      <c r="A509" s="323" t="s">
        <v>2587</v>
      </c>
      <c r="B509" s="323" t="s">
        <v>805</v>
      </c>
      <c r="C509" s="323">
        <v>29810</v>
      </c>
      <c r="D509" s="323">
        <v>209</v>
      </c>
      <c r="E509" s="324">
        <f t="shared" si="7"/>
        <v>50966.740000000005</v>
      </c>
    </row>
    <row r="510" spans="1:5" x14ac:dyDescent="0.25">
      <c r="A510" s="323" t="s">
        <v>2936</v>
      </c>
      <c r="B510" s="323" t="s">
        <v>805</v>
      </c>
      <c r="C510" s="323">
        <v>29810</v>
      </c>
      <c r="D510" s="323">
        <v>350</v>
      </c>
      <c r="E510" s="324">
        <f t="shared" si="7"/>
        <v>85351</v>
      </c>
    </row>
    <row r="511" spans="1:5" x14ac:dyDescent="0.25">
      <c r="A511" s="323" t="s">
        <v>2983</v>
      </c>
      <c r="B511" s="323" t="s">
        <v>805</v>
      </c>
      <c r="C511" s="323">
        <v>29810</v>
      </c>
      <c r="D511" s="323">
        <v>189</v>
      </c>
      <c r="E511" s="324">
        <f t="shared" si="7"/>
        <v>46089.54</v>
      </c>
    </row>
    <row r="512" spans="1:5" x14ac:dyDescent="0.25">
      <c r="A512" s="323" t="s">
        <v>3549</v>
      </c>
      <c r="B512" s="323" t="s">
        <v>805</v>
      </c>
      <c r="C512" s="323">
        <v>29810</v>
      </c>
      <c r="D512" s="323">
        <v>344</v>
      </c>
      <c r="E512" s="324">
        <f t="shared" si="7"/>
        <v>83887.840000000011</v>
      </c>
    </row>
    <row r="513" spans="1:5" x14ac:dyDescent="0.25">
      <c r="A513" s="323" t="s">
        <v>3635</v>
      </c>
      <c r="B513" s="323" t="s">
        <v>805</v>
      </c>
      <c r="C513" s="323">
        <v>29810</v>
      </c>
      <c r="D513" s="323">
        <v>227</v>
      </c>
      <c r="E513" s="324">
        <f t="shared" si="7"/>
        <v>55356.22</v>
      </c>
    </row>
    <row r="514" spans="1:5" x14ac:dyDescent="0.25">
      <c r="A514" s="323" t="s">
        <v>3687</v>
      </c>
      <c r="B514" s="323" t="s">
        <v>805</v>
      </c>
      <c r="C514" s="323">
        <v>29810</v>
      </c>
      <c r="D514" s="323">
        <v>193</v>
      </c>
      <c r="E514" s="324">
        <f t="shared" ref="E514:E577" si="8">D514*IF(B514=$G$9,WerkdrukbedragPerLeerlingBo,IF(B514=$G$10,WerkdrukbedragPerLeerlingSbo,IF(B514=$G$11,WerkdrukbedragPerLeerlingSo,IF(B514=$G$12,WerkdrukbedragPerLeerlingVso,0))))</f>
        <v>47064.98</v>
      </c>
    </row>
    <row r="515" spans="1:5" x14ac:dyDescent="0.25">
      <c r="A515" s="323" t="s">
        <v>3809</v>
      </c>
      <c r="B515" s="323" t="s">
        <v>805</v>
      </c>
      <c r="C515" s="323">
        <v>29810</v>
      </c>
      <c r="D515" s="323">
        <v>162</v>
      </c>
      <c r="E515" s="324">
        <f t="shared" si="8"/>
        <v>39505.32</v>
      </c>
    </row>
    <row r="516" spans="1:5" x14ac:dyDescent="0.25">
      <c r="A516" s="323" t="s">
        <v>4000</v>
      </c>
      <c r="B516" s="323" t="s">
        <v>805</v>
      </c>
      <c r="C516" s="323">
        <v>29810</v>
      </c>
      <c r="D516" s="323">
        <v>140</v>
      </c>
      <c r="E516" s="324">
        <f t="shared" si="8"/>
        <v>34140.400000000001</v>
      </c>
    </row>
    <row r="517" spans="1:5" x14ac:dyDescent="0.25">
      <c r="A517" s="323" t="s">
        <v>4081</v>
      </c>
      <c r="B517" s="323" t="s">
        <v>805</v>
      </c>
      <c r="C517" s="323">
        <v>29810</v>
      </c>
      <c r="D517" s="323">
        <v>271</v>
      </c>
      <c r="E517" s="324">
        <f t="shared" si="8"/>
        <v>66086.06</v>
      </c>
    </row>
    <row r="518" spans="1:5" x14ac:dyDescent="0.25">
      <c r="A518" s="323" t="s">
        <v>4110</v>
      </c>
      <c r="B518" s="323" t="s">
        <v>805</v>
      </c>
      <c r="C518" s="323">
        <v>29810</v>
      </c>
      <c r="D518" s="323">
        <v>209</v>
      </c>
      <c r="E518" s="324">
        <f t="shared" si="8"/>
        <v>50966.740000000005</v>
      </c>
    </row>
    <row r="519" spans="1:5" x14ac:dyDescent="0.25">
      <c r="A519" s="323" t="s">
        <v>4221</v>
      </c>
      <c r="B519" s="323" t="s">
        <v>805</v>
      </c>
      <c r="C519" s="323">
        <v>29810</v>
      </c>
      <c r="D519" s="323">
        <v>90</v>
      </c>
      <c r="E519" s="324">
        <f t="shared" si="8"/>
        <v>21947.4</v>
      </c>
    </row>
    <row r="520" spans="1:5" x14ac:dyDescent="0.25">
      <c r="A520" s="323" t="s">
        <v>4333</v>
      </c>
      <c r="B520" s="323" t="s">
        <v>805</v>
      </c>
      <c r="C520" s="323">
        <v>29810</v>
      </c>
      <c r="D520" s="323">
        <v>180</v>
      </c>
      <c r="E520" s="324">
        <f t="shared" si="8"/>
        <v>43894.8</v>
      </c>
    </row>
    <row r="521" spans="1:5" x14ac:dyDescent="0.25">
      <c r="A521" s="323" t="s">
        <v>4395</v>
      </c>
      <c r="B521" s="323" t="s">
        <v>805</v>
      </c>
      <c r="C521" s="323">
        <v>29810</v>
      </c>
      <c r="D521" s="323">
        <v>622</v>
      </c>
      <c r="E521" s="324">
        <f t="shared" si="8"/>
        <v>151680.92000000001</v>
      </c>
    </row>
    <row r="522" spans="1:5" x14ac:dyDescent="0.25">
      <c r="A522" s="323" t="s">
        <v>4688</v>
      </c>
      <c r="B522" s="323" t="s">
        <v>805</v>
      </c>
      <c r="C522" s="323">
        <v>29810</v>
      </c>
      <c r="D522" s="323">
        <v>324</v>
      </c>
      <c r="E522" s="324">
        <f t="shared" si="8"/>
        <v>79010.64</v>
      </c>
    </row>
    <row r="523" spans="1:5" x14ac:dyDescent="0.25">
      <c r="A523" s="323" t="s">
        <v>5273</v>
      </c>
      <c r="B523" s="323" t="s">
        <v>816</v>
      </c>
      <c r="C523" s="323">
        <v>29810</v>
      </c>
      <c r="D523" s="323">
        <v>308</v>
      </c>
      <c r="E523" s="324">
        <f t="shared" si="8"/>
        <v>112663.32</v>
      </c>
    </row>
    <row r="524" spans="1:5" x14ac:dyDescent="0.25">
      <c r="A524" s="323" t="s">
        <v>5345</v>
      </c>
      <c r="B524" s="323" t="s">
        <v>805</v>
      </c>
      <c r="C524" s="323">
        <v>29810</v>
      </c>
      <c r="D524" s="323">
        <v>155</v>
      </c>
      <c r="E524" s="324">
        <f t="shared" si="8"/>
        <v>37798.300000000003</v>
      </c>
    </row>
    <row r="525" spans="1:5" x14ac:dyDescent="0.25">
      <c r="A525" s="323" t="s">
        <v>5393</v>
      </c>
      <c r="B525" s="323" t="s">
        <v>805</v>
      </c>
      <c r="C525" s="323">
        <v>29810</v>
      </c>
      <c r="D525" s="323">
        <v>142</v>
      </c>
      <c r="E525" s="324">
        <f t="shared" si="8"/>
        <v>34628.120000000003</v>
      </c>
    </row>
    <row r="526" spans="1:5" x14ac:dyDescent="0.25">
      <c r="A526" s="323" t="s">
        <v>5419</v>
      </c>
      <c r="B526" s="323" t="s">
        <v>805</v>
      </c>
      <c r="C526" s="323">
        <v>29810</v>
      </c>
      <c r="D526" s="323">
        <v>173</v>
      </c>
      <c r="E526" s="324">
        <f t="shared" si="8"/>
        <v>42187.78</v>
      </c>
    </row>
    <row r="527" spans="1:5" x14ac:dyDescent="0.25">
      <c r="A527" s="323" t="s">
        <v>5445</v>
      </c>
      <c r="B527" s="323" t="s">
        <v>805</v>
      </c>
      <c r="C527" s="323">
        <v>29810</v>
      </c>
      <c r="D527" s="323">
        <v>140</v>
      </c>
      <c r="E527" s="324">
        <f t="shared" si="8"/>
        <v>34140.400000000001</v>
      </c>
    </row>
    <row r="528" spans="1:5" x14ac:dyDescent="0.25">
      <c r="A528" s="323" t="s">
        <v>5839</v>
      </c>
      <c r="B528" s="323" t="s">
        <v>805</v>
      </c>
      <c r="C528" s="323">
        <v>29810</v>
      </c>
      <c r="D528" s="323">
        <v>465</v>
      </c>
      <c r="E528" s="324">
        <f t="shared" si="8"/>
        <v>113394.90000000001</v>
      </c>
    </row>
    <row r="529" spans="1:5" x14ac:dyDescent="0.25">
      <c r="A529" s="323" t="s">
        <v>6078</v>
      </c>
      <c r="B529" s="323" t="s">
        <v>805</v>
      </c>
      <c r="C529" s="323">
        <v>29810</v>
      </c>
      <c r="D529" s="323">
        <v>224</v>
      </c>
      <c r="E529" s="324">
        <f t="shared" si="8"/>
        <v>54624.639999999999</v>
      </c>
    </row>
    <row r="530" spans="1:5" x14ac:dyDescent="0.25">
      <c r="A530" s="323" t="s">
        <v>6111</v>
      </c>
      <c r="B530" s="323" t="s">
        <v>805</v>
      </c>
      <c r="C530" s="323">
        <v>29810</v>
      </c>
      <c r="D530" s="323">
        <v>288</v>
      </c>
      <c r="E530" s="324">
        <f t="shared" si="8"/>
        <v>70231.680000000008</v>
      </c>
    </row>
    <row r="531" spans="1:5" x14ac:dyDescent="0.25">
      <c r="A531" s="323" t="s">
        <v>7048</v>
      </c>
      <c r="B531" s="323" t="s">
        <v>805</v>
      </c>
      <c r="C531" s="323">
        <v>29810</v>
      </c>
      <c r="D531" s="323">
        <v>254</v>
      </c>
      <c r="E531" s="324">
        <f t="shared" si="8"/>
        <v>61940.44</v>
      </c>
    </row>
    <row r="532" spans="1:5" x14ac:dyDescent="0.25">
      <c r="A532" s="323" t="s">
        <v>7236</v>
      </c>
      <c r="B532" s="323" t="s">
        <v>805</v>
      </c>
      <c r="C532" s="323">
        <v>29810</v>
      </c>
      <c r="D532" s="323">
        <v>700</v>
      </c>
      <c r="E532" s="324">
        <f t="shared" si="8"/>
        <v>170702</v>
      </c>
    </row>
    <row r="533" spans="1:5" x14ac:dyDescent="0.25">
      <c r="A533" s="323" t="s">
        <v>7240</v>
      </c>
      <c r="B533" s="323" t="s">
        <v>805</v>
      </c>
      <c r="C533" s="323">
        <v>29810</v>
      </c>
      <c r="D533" s="323">
        <v>580</v>
      </c>
      <c r="E533" s="324">
        <f t="shared" si="8"/>
        <v>141438.80000000002</v>
      </c>
    </row>
    <row r="534" spans="1:5" x14ac:dyDescent="0.25">
      <c r="A534" s="323" t="s">
        <v>7433</v>
      </c>
      <c r="B534" s="323" t="s">
        <v>805</v>
      </c>
      <c r="C534" s="323">
        <v>29810</v>
      </c>
      <c r="D534" s="323">
        <v>473</v>
      </c>
      <c r="E534" s="324">
        <f t="shared" si="8"/>
        <v>115345.78000000001</v>
      </c>
    </row>
    <row r="535" spans="1:5" x14ac:dyDescent="0.25">
      <c r="A535" s="323" t="s">
        <v>7465</v>
      </c>
      <c r="B535" s="323" t="s">
        <v>805</v>
      </c>
      <c r="C535" s="323">
        <v>29810</v>
      </c>
      <c r="D535" s="323">
        <v>212</v>
      </c>
      <c r="E535" s="324">
        <f t="shared" si="8"/>
        <v>51698.32</v>
      </c>
    </row>
    <row r="536" spans="1:5" x14ac:dyDescent="0.25">
      <c r="A536" s="323" t="s">
        <v>7479</v>
      </c>
      <c r="B536" s="323" t="s">
        <v>805</v>
      </c>
      <c r="C536" s="323">
        <v>29810</v>
      </c>
      <c r="D536" s="323">
        <v>86</v>
      </c>
      <c r="E536" s="324">
        <f t="shared" si="8"/>
        <v>20971.960000000003</v>
      </c>
    </row>
    <row r="537" spans="1:5" x14ac:dyDescent="0.25">
      <c r="A537" s="323" t="s">
        <v>2664</v>
      </c>
      <c r="B537" s="323" t="s">
        <v>805</v>
      </c>
      <c r="C537" s="323">
        <v>29823</v>
      </c>
      <c r="D537" s="323">
        <v>286</v>
      </c>
      <c r="E537" s="324">
        <f t="shared" si="8"/>
        <v>69743.960000000006</v>
      </c>
    </row>
    <row r="538" spans="1:5" x14ac:dyDescent="0.25">
      <c r="A538" s="323" t="s">
        <v>952</v>
      </c>
      <c r="B538" s="323" t="s">
        <v>805</v>
      </c>
      <c r="C538" s="323">
        <v>30010</v>
      </c>
      <c r="D538" s="323">
        <v>200</v>
      </c>
      <c r="E538" s="324">
        <f t="shared" si="8"/>
        <v>48772</v>
      </c>
    </row>
    <row r="539" spans="1:5" x14ac:dyDescent="0.25">
      <c r="A539" s="323" t="s">
        <v>3196</v>
      </c>
      <c r="B539" s="323" t="s">
        <v>805</v>
      </c>
      <c r="C539" s="323">
        <v>30010</v>
      </c>
      <c r="D539" s="323">
        <v>322</v>
      </c>
      <c r="E539" s="324">
        <f t="shared" si="8"/>
        <v>78522.92</v>
      </c>
    </row>
    <row r="540" spans="1:5" x14ac:dyDescent="0.25">
      <c r="A540" s="323" t="s">
        <v>3796</v>
      </c>
      <c r="B540" s="323" t="s">
        <v>805</v>
      </c>
      <c r="C540" s="323">
        <v>30010</v>
      </c>
      <c r="D540" s="323">
        <v>222</v>
      </c>
      <c r="E540" s="324">
        <f t="shared" si="8"/>
        <v>54136.920000000006</v>
      </c>
    </row>
    <row r="541" spans="1:5" x14ac:dyDescent="0.25">
      <c r="A541" s="323" t="s">
        <v>3984</v>
      </c>
      <c r="B541" s="323" t="s">
        <v>805</v>
      </c>
      <c r="C541" s="323">
        <v>30010</v>
      </c>
      <c r="D541" s="323">
        <v>208</v>
      </c>
      <c r="E541" s="324">
        <f t="shared" si="8"/>
        <v>50722.880000000005</v>
      </c>
    </row>
    <row r="542" spans="1:5" x14ac:dyDescent="0.25">
      <c r="A542" s="323" t="s">
        <v>4495</v>
      </c>
      <c r="B542" s="323" t="s">
        <v>805</v>
      </c>
      <c r="C542" s="323">
        <v>30010</v>
      </c>
      <c r="D542" s="323">
        <v>433</v>
      </c>
      <c r="E542" s="324">
        <f t="shared" si="8"/>
        <v>105591.38</v>
      </c>
    </row>
    <row r="543" spans="1:5" x14ac:dyDescent="0.25">
      <c r="A543" s="323" t="s">
        <v>4681</v>
      </c>
      <c r="B543" s="323" t="s">
        <v>805</v>
      </c>
      <c r="C543" s="323">
        <v>30010</v>
      </c>
      <c r="D543" s="323">
        <v>245</v>
      </c>
      <c r="E543" s="324">
        <f t="shared" si="8"/>
        <v>59745.700000000004</v>
      </c>
    </row>
    <row r="544" spans="1:5" x14ac:dyDescent="0.25">
      <c r="A544" s="323" t="s">
        <v>5126</v>
      </c>
      <c r="B544" s="323" t="s">
        <v>816</v>
      </c>
      <c r="C544" s="323">
        <v>30010</v>
      </c>
      <c r="D544" s="323">
        <v>53</v>
      </c>
      <c r="E544" s="324">
        <f t="shared" si="8"/>
        <v>19386.870000000003</v>
      </c>
    </row>
    <row r="545" spans="1:5" x14ac:dyDescent="0.25">
      <c r="A545" s="323" t="s">
        <v>6803</v>
      </c>
      <c r="B545" s="323" t="s">
        <v>805</v>
      </c>
      <c r="C545" s="323">
        <v>30010</v>
      </c>
      <c r="D545" s="323">
        <v>208</v>
      </c>
      <c r="E545" s="324">
        <f t="shared" si="8"/>
        <v>50722.880000000005</v>
      </c>
    </row>
    <row r="546" spans="1:5" x14ac:dyDescent="0.25">
      <c r="A546" s="323" t="s">
        <v>6951</v>
      </c>
      <c r="B546" s="323" t="s">
        <v>805</v>
      </c>
      <c r="C546" s="323">
        <v>30010</v>
      </c>
      <c r="D546" s="323">
        <v>177</v>
      </c>
      <c r="E546" s="324">
        <f t="shared" si="8"/>
        <v>43163.22</v>
      </c>
    </row>
    <row r="547" spans="1:5" x14ac:dyDescent="0.25">
      <c r="A547" s="323" t="s">
        <v>7227</v>
      </c>
      <c r="B547" s="323" t="s">
        <v>805</v>
      </c>
      <c r="C547" s="323">
        <v>30010</v>
      </c>
      <c r="D547" s="323">
        <v>431</v>
      </c>
      <c r="E547" s="324">
        <f t="shared" si="8"/>
        <v>105103.66</v>
      </c>
    </row>
    <row r="548" spans="1:5" x14ac:dyDescent="0.25">
      <c r="A548" s="323" t="s">
        <v>7266</v>
      </c>
      <c r="B548" s="323" t="s">
        <v>805</v>
      </c>
      <c r="C548" s="323">
        <v>30010</v>
      </c>
      <c r="D548" s="323">
        <v>582</v>
      </c>
      <c r="E548" s="324">
        <f t="shared" si="8"/>
        <v>141926.52000000002</v>
      </c>
    </row>
    <row r="549" spans="1:5" x14ac:dyDescent="0.25">
      <c r="A549" s="323" t="s">
        <v>7378</v>
      </c>
      <c r="B549" s="323" t="s">
        <v>805</v>
      </c>
      <c r="C549" s="323">
        <v>30010</v>
      </c>
      <c r="D549" s="323">
        <v>445</v>
      </c>
      <c r="E549" s="324">
        <f t="shared" si="8"/>
        <v>108517.70000000001</v>
      </c>
    </row>
    <row r="550" spans="1:5" x14ac:dyDescent="0.25">
      <c r="A550" s="323" t="s">
        <v>1036</v>
      </c>
      <c r="B550" s="323" t="s">
        <v>805</v>
      </c>
      <c r="C550" s="323">
        <v>30013</v>
      </c>
      <c r="D550" s="323">
        <v>72</v>
      </c>
      <c r="E550" s="324">
        <f t="shared" si="8"/>
        <v>17557.920000000002</v>
      </c>
    </row>
    <row r="551" spans="1:5" x14ac:dyDescent="0.25">
      <c r="A551" s="323" t="s">
        <v>6781</v>
      </c>
      <c r="B551" s="323" t="s">
        <v>805</v>
      </c>
      <c r="C551" s="323">
        <v>30013</v>
      </c>
      <c r="D551" s="323">
        <v>87</v>
      </c>
      <c r="E551" s="324">
        <f t="shared" si="8"/>
        <v>21215.82</v>
      </c>
    </row>
    <row r="552" spans="1:5" x14ac:dyDescent="0.25">
      <c r="A552" s="323" t="s">
        <v>3421</v>
      </c>
      <c r="B552" s="323" t="s">
        <v>805</v>
      </c>
      <c r="C552" s="323">
        <v>30015</v>
      </c>
      <c r="D552" s="323">
        <v>188</v>
      </c>
      <c r="E552" s="324">
        <f t="shared" si="8"/>
        <v>45845.68</v>
      </c>
    </row>
    <row r="553" spans="1:5" x14ac:dyDescent="0.25">
      <c r="A553" s="323" t="s">
        <v>957</v>
      </c>
      <c r="B553" s="323" t="s">
        <v>805</v>
      </c>
      <c r="C553" s="323">
        <v>30027</v>
      </c>
      <c r="D553" s="323">
        <v>480</v>
      </c>
      <c r="E553" s="324">
        <f t="shared" si="8"/>
        <v>117052.8</v>
      </c>
    </row>
    <row r="554" spans="1:5" x14ac:dyDescent="0.25">
      <c r="A554" s="323" t="s">
        <v>822</v>
      </c>
      <c r="B554" s="323" t="s">
        <v>805</v>
      </c>
      <c r="C554" s="323">
        <v>30051</v>
      </c>
      <c r="D554" s="323">
        <v>52</v>
      </c>
      <c r="E554" s="324">
        <f t="shared" si="8"/>
        <v>12680.720000000001</v>
      </c>
    </row>
    <row r="555" spans="1:5" x14ac:dyDescent="0.25">
      <c r="A555" s="323" t="s">
        <v>1037</v>
      </c>
      <c r="B555" s="323" t="s">
        <v>816</v>
      </c>
      <c r="C555" s="323">
        <v>30117</v>
      </c>
      <c r="D555" s="323">
        <v>86</v>
      </c>
      <c r="E555" s="324">
        <f t="shared" si="8"/>
        <v>31457.940000000002</v>
      </c>
    </row>
    <row r="556" spans="1:5" x14ac:dyDescent="0.25">
      <c r="A556" s="323" t="s">
        <v>7181</v>
      </c>
      <c r="B556" s="323" t="s">
        <v>809</v>
      </c>
      <c r="C556" s="323">
        <v>30117</v>
      </c>
      <c r="D556" s="323">
        <v>76</v>
      </c>
      <c r="E556" s="324">
        <f t="shared" si="8"/>
        <v>37066.720000000001</v>
      </c>
    </row>
    <row r="557" spans="1:5" x14ac:dyDescent="0.25">
      <c r="A557" s="323" t="s">
        <v>7181</v>
      </c>
      <c r="B557" s="323" t="s">
        <v>803</v>
      </c>
      <c r="C557" s="323">
        <v>30117</v>
      </c>
      <c r="D557" s="323">
        <v>52</v>
      </c>
      <c r="E557" s="324">
        <f t="shared" si="8"/>
        <v>25361.440000000002</v>
      </c>
    </row>
    <row r="558" spans="1:5" x14ac:dyDescent="0.25">
      <c r="A558" s="323" t="s">
        <v>7181</v>
      </c>
      <c r="B558" s="323" t="s">
        <v>803</v>
      </c>
      <c r="C558" s="323">
        <v>30117</v>
      </c>
      <c r="D558" s="323">
        <v>115</v>
      </c>
      <c r="E558" s="324">
        <f t="shared" si="8"/>
        <v>56087.8</v>
      </c>
    </row>
    <row r="559" spans="1:5" x14ac:dyDescent="0.25">
      <c r="A559" s="323" t="s">
        <v>7181</v>
      </c>
      <c r="B559" s="323" t="s">
        <v>809</v>
      </c>
      <c r="C559" s="323">
        <v>30117</v>
      </c>
      <c r="D559" s="323">
        <v>24</v>
      </c>
      <c r="E559" s="324">
        <f t="shared" si="8"/>
        <v>11705.28</v>
      </c>
    </row>
    <row r="560" spans="1:5" x14ac:dyDescent="0.25">
      <c r="A560" s="323" t="s">
        <v>838</v>
      </c>
      <c r="B560" s="323" t="s">
        <v>805</v>
      </c>
      <c r="C560" s="323">
        <v>30124</v>
      </c>
      <c r="D560" s="323">
        <v>68</v>
      </c>
      <c r="E560" s="324">
        <f t="shared" si="8"/>
        <v>16582.48</v>
      </c>
    </row>
    <row r="561" spans="1:5" x14ac:dyDescent="0.25">
      <c r="A561" s="323" t="s">
        <v>844</v>
      </c>
      <c r="B561" s="323" t="s">
        <v>805</v>
      </c>
      <c r="C561" s="323">
        <v>30128</v>
      </c>
      <c r="D561" s="323">
        <v>219</v>
      </c>
      <c r="E561" s="324">
        <f t="shared" si="8"/>
        <v>53405.340000000004</v>
      </c>
    </row>
    <row r="562" spans="1:5" x14ac:dyDescent="0.25">
      <c r="A562" s="323" t="s">
        <v>833</v>
      </c>
      <c r="B562" s="323" t="s">
        <v>805</v>
      </c>
      <c r="C562" s="323">
        <v>30133</v>
      </c>
      <c r="D562" s="323">
        <v>145</v>
      </c>
      <c r="E562" s="324">
        <f t="shared" si="8"/>
        <v>35359.700000000004</v>
      </c>
    </row>
    <row r="563" spans="1:5" x14ac:dyDescent="0.25">
      <c r="A563" s="323" t="s">
        <v>1342</v>
      </c>
      <c r="B563" s="323" t="s">
        <v>805</v>
      </c>
      <c r="C563" s="323">
        <v>30133</v>
      </c>
      <c r="D563" s="323">
        <v>119</v>
      </c>
      <c r="E563" s="324">
        <f t="shared" si="8"/>
        <v>29019.34</v>
      </c>
    </row>
    <row r="564" spans="1:5" x14ac:dyDescent="0.25">
      <c r="A564" s="323" t="s">
        <v>1370</v>
      </c>
      <c r="B564" s="323" t="s">
        <v>805</v>
      </c>
      <c r="C564" s="323">
        <v>30133</v>
      </c>
      <c r="D564" s="323">
        <v>57</v>
      </c>
      <c r="E564" s="324">
        <f t="shared" si="8"/>
        <v>13900.02</v>
      </c>
    </row>
    <row r="565" spans="1:5" x14ac:dyDescent="0.25">
      <c r="A565" s="323" t="s">
        <v>2263</v>
      </c>
      <c r="B565" s="323" t="s">
        <v>805</v>
      </c>
      <c r="C565" s="323">
        <v>30133</v>
      </c>
      <c r="D565" s="323">
        <v>398</v>
      </c>
      <c r="E565" s="324">
        <f t="shared" si="8"/>
        <v>97056.28</v>
      </c>
    </row>
    <row r="566" spans="1:5" x14ac:dyDescent="0.25">
      <c r="A566" s="323" t="s">
        <v>2705</v>
      </c>
      <c r="B566" s="323" t="s">
        <v>805</v>
      </c>
      <c r="C566" s="323">
        <v>30133</v>
      </c>
      <c r="D566" s="323">
        <v>75</v>
      </c>
      <c r="E566" s="324">
        <f t="shared" si="8"/>
        <v>18289.5</v>
      </c>
    </row>
    <row r="567" spans="1:5" x14ac:dyDescent="0.25">
      <c r="A567" s="323" t="s">
        <v>850</v>
      </c>
      <c r="B567" s="323" t="s">
        <v>805</v>
      </c>
      <c r="C567" s="323">
        <v>30145</v>
      </c>
      <c r="D567" s="323">
        <v>129</v>
      </c>
      <c r="E567" s="324">
        <f t="shared" si="8"/>
        <v>31457.940000000002</v>
      </c>
    </row>
    <row r="568" spans="1:5" x14ac:dyDescent="0.25">
      <c r="A568" s="323" t="s">
        <v>6742</v>
      </c>
      <c r="B568" s="323" t="s">
        <v>809</v>
      </c>
      <c r="C568" s="323">
        <v>30198</v>
      </c>
      <c r="D568" s="323">
        <v>154</v>
      </c>
      <c r="E568" s="324">
        <f t="shared" si="8"/>
        <v>75108.88</v>
      </c>
    </row>
    <row r="569" spans="1:5" x14ac:dyDescent="0.25">
      <c r="A569" s="323" t="s">
        <v>2674</v>
      </c>
      <c r="B569" s="323" t="s">
        <v>805</v>
      </c>
      <c r="C569" s="323">
        <v>30235</v>
      </c>
      <c r="D569" s="323">
        <v>362</v>
      </c>
      <c r="E569" s="324">
        <f t="shared" si="8"/>
        <v>88277.32</v>
      </c>
    </row>
    <row r="570" spans="1:5" x14ac:dyDescent="0.25">
      <c r="A570" s="323" t="s">
        <v>997</v>
      </c>
      <c r="B570" s="323" t="s">
        <v>816</v>
      </c>
      <c r="C570" s="323">
        <v>30240</v>
      </c>
      <c r="D570" s="323">
        <v>194</v>
      </c>
      <c r="E570" s="324">
        <f t="shared" si="8"/>
        <v>70963.260000000009</v>
      </c>
    </row>
    <row r="571" spans="1:5" x14ac:dyDescent="0.25">
      <c r="A571" s="323" t="s">
        <v>1294</v>
      </c>
      <c r="B571" s="323" t="s">
        <v>805</v>
      </c>
      <c r="C571" s="323">
        <v>30240</v>
      </c>
      <c r="D571" s="323">
        <v>250</v>
      </c>
      <c r="E571" s="324">
        <f t="shared" si="8"/>
        <v>60965</v>
      </c>
    </row>
    <row r="572" spans="1:5" x14ac:dyDescent="0.25">
      <c r="A572" s="323" t="s">
        <v>2298</v>
      </c>
      <c r="B572" s="323" t="s">
        <v>805</v>
      </c>
      <c r="C572" s="323">
        <v>30240</v>
      </c>
      <c r="D572" s="323">
        <v>295</v>
      </c>
      <c r="E572" s="324">
        <f t="shared" si="8"/>
        <v>71938.7</v>
      </c>
    </row>
    <row r="573" spans="1:5" x14ac:dyDescent="0.25">
      <c r="A573" s="323" t="s">
        <v>2328</v>
      </c>
      <c r="B573" s="323" t="s">
        <v>805</v>
      </c>
      <c r="C573" s="323">
        <v>30240</v>
      </c>
      <c r="D573" s="323">
        <v>199</v>
      </c>
      <c r="E573" s="324">
        <f t="shared" si="8"/>
        <v>48528.14</v>
      </c>
    </row>
    <row r="574" spans="1:5" x14ac:dyDescent="0.25">
      <c r="A574" s="323" t="s">
        <v>2852</v>
      </c>
      <c r="B574" s="323" t="s">
        <v>805</v>
      </c>
      <c r="C574" s="323">
        <v>30240</v>
      </c>
      <c r="D574" s="323">
        <v>200</v>
      </c>
      <c r="E574" s="324">
        <f t="shared" si="8"/>
        <v>48772</v>
      </c>
    </row>
    <row r="575" spans="1:5" x14ac:dyDescent="0.25">
      <c r="A575" s="323" t="s">
        <v>3090</v>
      </c>
      <c r="B575" s="323" t="s">
        <v>805</v>
      </c>
      <c r="C575" s="323">
        <v>30240</v>
      </c>
      <c r="D575" s="323">
        <v>398</v>
      </c>
      <c r="E575" s="324">
        <f t="shared" si="8"/>
        <v>97056.28</v>
      </c>
    </row>
    <row r="576" spans="1:5" x14ac:dyDescent="0.25">
      <c r="A576" s="323" t="s">
        <v>3724</v>
      </c>
      <c r="B576" s="323" t="s">
        <v>805</v>
      </c>
      <c r="C576" s="323">
        <v>30240</v>
      </c>
      <c r="D576" s="323">
        <v>289</v>
      </c>
      <c r="E576" s="324">
        <f t="shared" si="8"/>
        <v>70475.540000000008</v>
      </c>
    </row>
    <row r="577" spans="1:5" x14ac:dyDescent="0.25">
      <c r="A577" s="323" t="s">
        <v>3769</v>
      </c>
      <c r="B577" s="323" t="s">
        <v>805</v>
      </c>
      <c r="C577" s="323">
        <v>30240</v>
      </c>
      <c r="D577" s="323">
        <v>280</v>
      </c>
      <c r="E577" s="324">
        <f t="shared" si="8"/>
        <v>68280.800000000003</v>
      </c>
    </row>
    <row r="578" spans="1:5" x14ac:dyDescent="0.25">
      <c r="A578" s="323" t="s">
        <v>6182</v>
      </c>
      <c r="B578" s="323" t="s">
        <v>805</v>
      </c>
      <c r="C578" s="323">
        <v>30240</v>
      </c>
      <c r="D578" s="323">
        <v>457</v>
      </c>
      <c r="E578" s="324">
        <f t="shared" ref="E578:E641" si="9">D578*IF(B578=$G$9,WerkdrukbedragPerLeerlingBo,IF(B578=$G$10,WerkdrukbedragPerLeerlingSbo,IF(B578=$G$11,WerkdrukbedragPerLeerlingSo,IF(B578=$G$12,WerkdrukbedragPerLeerlingVso,0))))</f>
        <v>111444.02</v>
      </c>
    </row>
    <row r="579" spans="1:5" x14ac:dyDescent="0.25">
      <c r="A579" s="323" t="s">
        <v>7137</v>
      </c>
      <c r="B579" s="323" t="s">
        <v>805</v>
      </c>
      <c r="C579" s="323">
        <v>30240</v>
      </c>
      <c r="D579" s="323">
        <v>445</v>
      </c>
      <c r="E579" s="324">
        <f t="shared" si="9"/>
        <v>108517.70000000001</v>
      </c>
    </row>
    <row r="580" spans="1:5" x14ac:dyDescent="0.25">
      <c r="A580" s="323" t="s">
        <v>7230</v>
      </c>
      <c r="B580" s="323" t="s">
        <v>805</v>
      </c>
      <c r="C580" s="323">
        <v>30240</v>
      </c>
      <c r="D580" s="323">
        <v>537</v>
      </c>
      <c r="E580" s="324">
        <f t="shared" si="9"/>
        <v>130952.82</v>
      </c>
    </row>
    <row r="581" spans="1:5" x14ac:dyDescent="0.25">
      <c r="A581" s="323" t="s">
        <v>7394</v>
      </c>
      <c r="B581" s="323" t="s">
        <v>805</v>
      </c>
      <c r="C581" s="323">
        <v>30240</v>
      </c>
      <c r="D581" s="323">
        <v>361</v>
      </c>
      <c r="E581" s="324">
        <f t="shared" si="9"/>
        <v>88033.46</v>
      </c>
    </row>
    <row r="582" spans="1:5" x14ac:dyDescent="0.25">
      <c r="A582" s="323" t="s">
        <v>6763</v>
      </c>
      <c r="B582" s="323" t="s">
        <v>805</v>
      </c>
      <c r="C582" s="323">
        <v>30263</v>
      </c>
      <c r="D582" s="323">
        <v>124</v>
      </c>
      <c r="E582" s="324">
        <f t="shared" si="9"/>
        <v>30238.640000000003</v>
      </c>
    </row>
    <row r="583" spans="1:5" x14ac:dyDescent="0.25">
      <c r="A583" s="323" t="s">
        <v>3132</v>
      </c>
      <c r="B583" s="323" t="s">
        <v>805</v>
      </c>
      <c r="C583" s="323">
        <v>30320</v>
      </c>
      <c r="D583" s="323">
        <v>208</v>
      </c>
      <c r="E583" s="324">
        <f t="shared" si="9"/>
        <v>50722.880000000005</v>
      </c>
    </row>
    <row r="584" spans="1:5" x14ac:dyDescent="0.25">
      <c r="A584" s="323" t="s">
        <v>1487</v>
      </c>
      <c r="B584" s="323" t="s">
        <v>805</v>
      </c>
      <c r="C584" s="323">
        <v>30330</v>
      </c>
      <c r="D584" s="323">
        <v>71</v>
      </c>
      <c r="E584" s="324">
        <f t="shared" si="9"/>
        <v>17314.060000000001</v>
      </c>
    </row>
    <row r="585" spans="1:5" x14ac:dyDescent="0.25">
      <c r="A585" s="323" t="s">
        <v>7205</v>
      </c>
      <c r="B585" s="323" t="s">
        <v>805</v>
      </c>
      <c r="C585" s="323">
        <v>30357</v>
      </c>
      <c r="D585" s="323">
        <v>326</v>
      </c>
      <c r="E585" s="324">
        <f t="shared" si="9"/>
        <v>79498.36</v>
      </c>
    </row>
    <row r="586" spans="1:5" x14ac:dyDescent="0.25">
      <c r="A586" s="323" t="s">
        <v>1401</v>
      </c>
      <c r="B586" s="323" t="s">
        <v>816</v>
      </c>
      <c r="C586" s="323">
        <v>30582</v>
      </c>
      <c r="D586" s="323">
        <v>167</v>
      </c>
      <c r="E586" s="324">
        <f t="shared" si="9"/>
        <v>61086.93</v>
      </c>
    </row>
    <row r="587" spans="1:5" x14ac:dyDescent="0.25">
      <c r="A587" s="323" t="s">
        <v>1460</v>
      </c>
      <c r="B587" s="323" t="s">
        <v>805</v>
      </c>
      <c r="C587" s="323">
        <v>30582</v>
      </c>
      <c r="D587" s="323">
        <v>232</v>
      </c>
      <c r="E587" s="324">
        <f t="shared" si="9"/>
        <v>56575.520000000004</v>
      </c>
    </row>
    <row r="588" spans="1:5" x14ac:dyDescent="0.25">
      <c r="A588" s="323" t="s">
        <v>1574</v>
      </c>
      <c r="B588" s="323" t="s">
        <v>805</v>
      </c>
      <c r="C588" s="323">
        <v>30582</v>
      </c>
      <c r="D588" s="323">
        <v>337</v>
      </c>
      <c r="E588" s="324">
        <f t="shared" si="9"/>
        <v>82180.820000000007</v>
      </c>
    </row>
    <row r="589" spans="1:5" x14ac:dyDescent="0.25">
      <c r="A589" s="323" t="s">
        <v>2646</v>
      </c>
      <c r="B589" s="323" t="s">
        <v>805</v>
      </c>
      <c r="C589" s="323">
        <v>30582</v>
      </c>
      <c r="D589" s="323">
        <v>194</v>
      </c>
      <c r="E589" s="324">
        <f t="shared" si="9"/>
        <v>47308.840000000004</v>
      </c>
    </row>
    <row r="590" spans="1:5" x14ac:dyDescent="0.25">
      <c r="A590" s="323" t="s">
        <v>2723</v>
      </c>
      <c r="B590" s="323" t="s">
        <v>805</v>
      </c>
      <c r="C590" s="323">
        <v>30582</v>
      </c>
      <c r="D590" s="323">
        <v>275</v>
      </c>
      <c r="E590" s="324">
        <f t="shared" si="9"/>
        <v>67061.5</v>
      </c>
    </row>
    <row r="591" spans="1:5" x14ac:dyDescent="0.25">
      <c r="A591" s="323" t="s">
        <v>3240</v>
      </c>
      <c r="B591" s="323" t="s">
        <v>805</v>
      </c>
      <c r="C591" s="323">
        <v>30582</v>
      </c>
      <c r="D591" s="323">
        <v>258</v>
      </c>
      <c r="E591" s="324">
        <f t="shared" si="9"/>
        <v>62915.880000000005</v>
      </c>
    </row>
    <row r="592" spans="1:5" x14ac:dyDescent="0.25">
      <c r="A592" s="323" t="s">
        <v>3543</v>
      </c>
      <c r="B592" s="323" t="s">
        <v>805</v>
      </c>
      <c r="C592" s="323">
        <v>30582</v>
      </c>
      <c r="D592" s="323">
        <v>242</v>
      </c>
      <c r="E592" s="324">
        <f t="shared" si="9"/>
        <v>59014.12</v>
      </c>
    </row>
    <row r="593" spans="1:5" x14ac:dyDescent="0.25">
      <c r="A593" s="323" t="s">
        <v>4009</v>
      </c>
      <c r="B593" s="323" t="s">
        <v>805</v>
      </c>
      <c r="C593" s="323">
        <v>30582</v>
      </c>
      <c r="D593" s="323">
        <v>236</v>
      </c>
      <c r="E593" s="324">
        <f t="shared" si="9"/>
        <v>57550.960000000006</v>
      </c>
    </row>
    <row r="594" spans="1:5" x14ac:dyDescent="0.25">
      <c r="A594" s="323" t="s">
        <v>4297</v>
      </c>
      <c r="B594" s="323" t="s">
        <v>805</v>
      </c>
      <c r="C594" s="323">
        <v>30582</v>
      </c>
      <c r="D594" s="323">
        <v>435</v>
      </c>
      <c r="E594" s="324">
        <f t="shared" si="9"/>
        <v>106079.1</v>
      </c>
    </row>
    <row r="595" spans="1:5" x14ac:dyDescent="0.25">
      <c r="A595" s="323" t="s">
        <v>4405</v>
      </c>
      <c r="B595" s="323" t="s">
        <v>805</v>
      </c>
      <c r="C595" s="323">
        <v>30582</v>
      </c>
      <c r="D595" s="323">
        <v>385</v>
      </c>
      <c r="E595" s="324">
        <f t="shared" si="9"/>
        <v>93886.1</v>
      </c>
    </row>
    <row r="596" spans="1:5" x14ac:dyDescent="0.25">
      <c r="A596" s="323" t="s">
        <v>7381</v>
      </c>
      <c r="B596" s="323" t="s">
        <v>805</v>
      </c>
      <c r="C596" s="323">
        <v>30582</v>
      </c>
      <c r="D596" s="323">
        <v>201</v>
      </c>
      <c r="E596" s="324">
        <f t="shared" si="9"/>
        <v>49015.86</v>
      </c>
    </row>
    <row r="597" spans="1:5" x14ac:dyDescent="0.25">
      <c r="A597" s="323" t="s">
        <v>980</v>
      </c>
      <c r="B597" s="323" t="s">
        <v>809</v>
      </c>
      <c r="C597" s="323">
        <v>30605</v>
      </c>
      <c r="D597" s="323">
        <v>71</v>
      </c>
      <c r="E597" s="324">
        <f t="shared" si="9"/>
        <v>34628.120000000003</v>
      </c>
    </row>
    <row r="598" spans="1:5" x14ac:dyDescent="0.25">
      <c r="A598" s="323" t="s">
        <v>980</v>
      </c>
      <c r="B598" s="323" t="s">
        <v>803</v>
      </c>
      <c r="C598" s="323">
        <v>30605</v>
      </c>
      <c r="D598" s="323">
        <v>158</v>
      </c>
      <c r="E598" s="324">
        <f t="shared" si="9"/>
        <v>77059.760000000009</v>
      </c>
    </row>
    <row r="599" spans="1:5" x14ac:dyDescent="0.25">
      <c r="A599" s="323" t="s">
        <v>2955</v>
      </c>
      <c r="B599" s="323" t="s">
        <v>805</v>
      </c>
      <c r="C599" s="323">
        <v>30673</v>
      </c>
      <c r="D599" s="323">
        <v>239</v>
      </c>
      <c r="E599" s="324">
        <f t="shared" si="9"/>
        <v>58282.54</v>
      </c>
    </row>
    <row r="600" spans="1:5" x14ac:dyDescent="0.25">
      <c r="A600" s="323" t="s">
        <v>3358</v>
      </c>
      <c r="B600" s="323" t="s">
        <v>805</v>
      </c>
      <c r="C600" s="323">
        <v>30673</v>
      </c>
      <c r="D600" s="323">
        <v>278</v>
      </c>
      <c r="E600" s="324">
        <f t="shared" si="9"/>
        <v>67793.08</v>
      </c>
    </row>
    <row r="601" spans="1:5" x14ac:dyDescent="0.25">
      <c r="A601" s="323" t="s">
        <v>6851</v>
      </c>
      <c r="B601" s="323" t="s">
        <v>805</v>
      </c>
      <c r="C601" s="323">
        <v>30700</v>
      </c>
      <c r="D601" s="323">
        <v>81</v>
      </c>
      <c r="E601" s="324">
        <f t="shared" si="9"/>
        <v>19752.66</v>
      </c>
    </row>
    <row r="602" spans="1:5" x14ac:dyDescent="0.25">
      <c r="A602" s="323" t="s">
        <v>6855</v>
      </c>
      <c r="B602" s="323" t="s">
        <v>805</v>
      </c>
      <c r="C602" s="323">
        <v>30701</v>
      </c>
      <c r="D602" s="323">
        <v>190</v>
      </c>
      <c r="E602" s="324">
        <f t="shared" si="9"/>
        <v>46333.4</v>
      </c>
    </row>
    <row r="603" spans="1:5" x14ac:dyDescent="0.25">
      <c r="A603" s="323" t="s">
        <v>6853</v>
      </c>
      <c r="B603" s="323" t="s">
        <v>805</v>
      </c>
      <c r="C603" s="323">
        <v>30703</v>
      </c>
      <c r="D603" s="323">
        <v>172</v>
      </c>
      <c r="E603" s="324">
        <f t="shared" si="9"/>
        <v>41943.920000000006</v>
      </c>
    </row>
    <row r="604" spans="1:5" x14ac:dyDescent="0.25">
      <c r="A604" s="323" t="s">
        <v>6858</v>
      </c>
      <c r="B604" s="323" t="s">
        <v>805</v>
      </c>
      <c r="C604" s="323">
        <v>30709</v>
      </c>
      <c r="D604" s="323">
        <v>450</v>
      </c>
      <c r="E604" s="324">
        <f t="shared" si="9"/>
        <v>109737</v>
      </c>
    </row>
    <row r="605" spans="1:5" x14ac:dyDescent="0.25">
      <c r="A605" s="323" t="s">
        <v>6921</v>
      </c>
      <c r="B605" s="323" t="s">
        <v>805</v>
      </c>
      <c r="C605" s="323">
        <v>30709</v>
      </c>
      <c r="D605" s="323">
        <v>344</v>
      </c>
      <c r="E605" s="324">
        <f t="shared" si="9"/>
        <v>83887.840000000011</v>
      </c>
    </row>
    <row r="606" spans="1:5" x14ac:dyDescent="0.25">
      <c r="A606" s="323" t="s">
        <v>6921</v>
      </c>
      <c r="B606" s="323" t="s">
        <v>805</v>
      </c>
      <c r="C606" s="323">
        <v>30709</v>
      </c>
      <c r="D606" s="323">
        <v>110</v>
      </c>
      <c r="E606" s="324">
        <f t="shared" si="9"/>
        <v>26824.600000000002</v>
      </c>
    </row>
    <row r="607" spans="1:5" x14ac:dyDescent="0.25">
      <c r="A607" s="323" t="s">
        <v>6995</v>
      </c>
      <c r="B607" s="323" t="s">
        <v>805</v>
      </c>
      <c r="C607" s="323">
        <v>30709</v>
      </c>
      <c r="D607" s="323">
        <v>172</v>
      </c>
      <c r="E607" s="324">
        <f t="shared" si="9"/>
        <v>41943.920000000006</v>
      </c>
    </row>
    <row r="608" spans="1:5" x14ac:dyDescent="0.25">
      <c r="A608" s="323" t="s">
        <v>7339</v>
      </c>
      <c r="B608" s="323" t="s">
        <v>805</v>
      </c>
      <c r="C608" s="323">
        <v>30709</v>
      </c>
      <c r="D608" s="323">
        <v>70</v>
      </c>
      <c r="E608" s="324">
        <f t="shared" si="9"/>
        <v>17070.2</v>
      </c>
    </row>
    <row r="609" spans="1:5" x14ac:dyDescent="0.25">
      <c r="A609" s="323" t="s">
        <v>6860</v>
      </c>
      <c r="B609" s="323" t="s">
        <v>805</v>
      </c>
      <c r="C609" s="323">
        <v>30715</v>
      </c>
      <c r="D609" s="323">
        <v>552</v>
      </c>
      <c r="E609" s="324">
        <f t="shared" si="9"/>
        <v>134610.72</v>
      </c>
    </row>
    <row r="610" spans="1:5" x14ac:dyDescent="0.25">
      <c r="A610" s="323" t="s">
        <v>6862</v>
      </c>
      <c r="B610" s="323" t="s">
        <v>805</v>
      </c>
      <c r="C610" s="323">
        <v>30725</v>
      </c>
      <c r="D610" s="323">
        <v>303</v>
      </c>
      <c r="E610" s="324">
        <f t="shared" si="9"/>
        <v>73889.58</v>
      </c>
    </row>
    <row r="611" spans="1:5" x14ac:dyDescent="0.25">
      <c r="A611" s="323" t="s">
        <v>7443</v>
      </c>
      <c r="B611" s="323" t="s">
        <v>805</v>
      </c>
      <c r="C611" s="323">
        <v>30725</v>
      </c>
      <c r="D611" s="323">
        <v>162</v>
      </c>
      <c r="E611" s="324">
        <f t="shared" si="9"/>
        <v>39505.32</v>
      </c>
    </row>
    <row r="612" spans="1:5" x14ac:dyDescent="0.25">
      <c r="A612" s="323" t="s">
        <v>7495</v>
      </c>
      <c r="B612" s="323" t="s">
        <v>805</v>
      </c>
      <c r="C612" s="323">
        <v>30725</v>
      </c>
      <c r="D612" s="323">
        <v>41</v>
      </c>
      <c r="E612" s="324">
        <f t="shared" si="9"/>
        <v>9998.26</v>
      </c>
    </row>
    <row r="613" spans="1:5" x14ac:dyDescent="0.25">
      <c r="A613" s="323" t="s">
        <v>6863</v>
      </c>
      <c r="B613" s="323" t="s">
        <v>805</v>
      </c>
      <c r="C613" s="323">
        <v>30731</v>
      </c>
      <c r="D613" s="323">
        <v>326</v>
      </c>
      <c r="E613" s="324">
        <f t="shared" si="9"/>
        <v>79498.36</v>
      </c>
    </row>
    <row r="614" spans="1:5" x14ac:dyDescent="0.25">
      <c r="A614" s="323" t="s">
        <v>6934</v>
      </c>
      <c r="B614" s="323" t="s">
        <v>805</v>
      </c>
      <c r="C614" s="323">
        <v>30731</v>
      </c>
      <c r="D614" s="323">
        <v>318</v>
      </c>
      <c r="E614" s="324">
        <f t="shared" si="9"/>
        <v>77547.48000000001</v>
      </c>
    </row>
    <row r="615" spans="1:5" x14ac:dyDescent="0.25">
      <c r="A615" s="323" t="s">
        <v>7316</v>
      </c>
      <c r="B615" s="323" t="s">
        <v>805</v>
      </c>
      <c r="C615" s="323">
        <v>30731</v>
      </c>
      <c r="D615" s="323">
        <v>409</v>
      </c>
      <c r="E615" s="324">
        <f t="shared" si="9"/>
        <v>99738.74</v>
      </c>
    </row>
    <row r="616" spans="1:5" x14ac:dyDescent="0.25">
      <c r="A616" s="323" t="s">
        <v>7458</v>
      </c>
      <c r="B616" s="323" t="s">
        <v>805</v>
      </c>
      <c r="C616" s="323">
        <v>30731</v>
      </c>
      <c r="D616" s="323">
        <v>320</v>
      </c>
      <c r="E616" s="324">
        <f t="shared" si="9"/>
        <v>78035.200000000012</v>
      </c>
    </row>
    <row r="617" spans="1:5" x14ac:dyDescent="0.25">
      <c r="A617" s="323" t="s">
        <v>7488</v>
      </c>
      <c r="B617" s="323" t="s">
        <v>805</v>
      </c>
      <c r="C617" s="323">
        <v>30731</v>
      </c>
      <c r="D617" s="323">
        <v>520</v>
      </c>
      <c r="E617" s="324">
        <f t="shared" si="9"/>
        <v>126807.20000000001</v>
      </c>
    </row>
    <row r="618" spans="1:5" x14ac:dyDescent="0.25">
      <c r="A618" s="323" t="s">
        <v>853</v>
      </c>
      <c r="B618" s="323" t="s">
        <v>816</v>
      </c>
      <c r="C618" s="323">
        <v>30742</v>
      </c>
      <c r="D618" s="323">
        <v>160</v>
      </c>
      <c r="E618" s="324">
        <f t="shared" si="9"/>
        <v>58526.400000000001</v>
      </c>
    </row>
    <row r="619" spans="1:5" x14ac:dyDescent="0.25">
      <c r="A619" s="323" t="s">
        <v>2653</v>
      </c>
      <c r="B619" s="323" t="s">
        <v>809</v>
      </c>
      <c r="C619" s="323">
        <v>30742</v>
      </c>
      <c r="D619" s="323">
        <v>49</v>
      </c>
      <c r="E619" s="324">
        <f t="shared" si="9"/>
        <v>23898.280000000002</v>
      </c>
    </row>
    <row r="620" spans="1:5" x14ac:dyDescent="0.25">
      <c r="A620" s="323" t="s">
        <v>2653</v>
      </c>
      <c r="B620" s="323" t="s">
        <v>803</v>
      </c>
      <c r="C620" s="323">
        <v>30742</v>
      </c>
      <c r="D620" s="323">
        <v>74</v>
      </c>
      <c r="E620" s="324">
        <f t="shared" si="9"/>
        <v>36091.279999999999</v>
      </c>
    </row>
    <row r="621" spans="1:5" x14ac:dyDescent="0.25">
      <c r="A621" s="323" t="s">
        <v>6311</v>
      </c>
      <c r="B621" s="323" t="s">
        <v>816</v>
      </c>
      <c r="C621" s="323">
        <v>30742</v>
      </c>
      <c r="D621" s="323">
        <v>28</v>
      </c>
      <c r="E621" s="324">
        <f t="shared" si="9"/>
        <v>10242.120000000001</v>
      </c>
    </row>
    <row r="622" spans="1:5" x14ac:dyDescent="0.25">
      <c r="A622" s="323" t="s">
        <v>6930</v>
      </c>
      <c r="B622" s="323" t="s">
        <v>803</v>
      </c>
      <c r="C622" s="323">
        <v>30815</v>
      </c>
      <c r="D622" s="323">
        <v>102</v>
      </c>
      <c r="E622" s="324">
        <f t="shared" si="9"/>
        <v>49747.44</v>
      </c>
    </row>
    <row r="623" spans="1:5" x14ac:dyDescent="0.25">
      <c r="A623" s="323" t="s">
        <v>6930</v>
      </c>
      <c r="B623" s="323" t="s">
        <v>803</v>
      </c>
      <c r="C623" s="323">
        <v>30815</v>
      </c>
      <c r="D623" s="323">
        <v>75</v>
      </c>
      <c r="E623" s="324">
        <f t="shared" si="9"/>
        <v>36579</v>
      </c>
    </row>
    <row r="624" spans="1:5" x14ac:dyDescent="0.25">
      <c r="A624" s="323" t="s">
        <v>6930</v>
      </c>
      <c r="B624" s="323" t="s">
        <v>803</v>
      </c>
      <c r="C624" s="323">
        <v>30815</v>
      </c>
      <c r="D624" s="323">
        <v>83</v>
      </c>
      <c r="E624" s="324">
        <f t="shared" si="9"/>
        <v>40480.76</v>
      </c>
    </row>
    <row r="625" spans="1:5" x14ac:dyDescent="0.25">
      <c r="A625" s="323" t="s">
        <v>6930</v>
      </c>
      <c r="B625" s="323" t="s">
        <v>803</v>
      </c>
      <c r="C625" s="323">
        <v>30815</v>
      </c>
      <c r="D625" s="323">
        <v>290</v>
      </c>
      <c r="E625" s="324">
        <f t="shared" si="9"/>
        <v>141438.80000000002</v>
      </c>
    </row>
    <row r="626" spans="1:5" x14ac:dyDescent="0.25">
      <c r="A626" s="323" t="s">
        <v>6930</v>
      </c>
      <c r="B626" s="323" t="s">
        <v>803</v>
      </c>
      <c r="C626" s="323">
        <v>30815</v>
      </c>
      <c r="D626" s="323">
        <v>134</v>
      </c>
      <c r="E626" s="324">
        <f t="shared" si="9"/>
        <v>65354.48</v>
      </c>
    </row>
    <row r="627" spans="1:5" x14ac:dyDescent="0.25">
      <c r="A627" s="323" t="s">
        <v>1489</v>
      </c>
      <c r="B627" s="323" t="s">
        <v>805</v>
      </c>
      <c r="C627" s="323">
        <v>30824</v>
      </c>
      <c r="D627" s="323">
        <v>290</v>
      </c>
      <c r="E627" s="324">
        <f t="shared" si="9"/>
        <v>70719.400000000009</v>
      </c>
    </row>
    <row r="628" spans="1:5" x14ac:dyDescent="0.25">
      <c r="A628" s="323" t="s">
        <v>6905</v>
      </c>
      <c r="B628" s="323" t="s">
        <v>805</v>
      </c>
      <c r="C628" s="323">
        <v>30835</v>
      </c>
      <c r="D628" s="323">
        <v>389</v>
      </c>
      <c r="E628" s="324">
        <f t="shared" si="9"/>
        <v>94861.540000000008</v>
      </c>
    </row>
    <row r="629" spans="1:5" x14ac:dyDescent="0.25">
      <c r="A629" s="323" t="s">
        <v>967</v>
      </c>
      <c r="B629" s="323" t="s">
        <v>816</v>
      </c>
      <c r="C629" s="323">
        <v>30837</v>
      </c>
      <c r="D629" s="323">
        <v>68</v>
      </c>
      <c r="E629" s="324">
        <f t="shared" si="9"/>
        <v>24873.72</v>
      </c>
    </row>
    <row r="630" spans="1:5" x14ac:dyDescent="0.25">
      <c r="A630" s="323" t="s">
        <v>6906</v>
      </c>
      <c r="B630" s="323" t="s">
        <v>805</v>
      </c>
      <c r="C630" s="323">
        <v>30847</v>
      </c>
      <c r="D630" s="323">
        <v>215</v>
      </c>
      <c r="E630" s="324">
        <f t="shared" si="9"/>
        <v>52429.9</v>
      </c>
    </row>
    <row r="631" spans="1:5" x14ac:dyDescent="0.25">
      <c r="A631" s="323" t="s">
        <v>6906</v>
      </c>
      <c r="B631" s="323" t="s">
        <v>805</v>
      </c>
      <c r="C631" s="323">
        <v>30847</v>
      </c>
      <c r="D631" s="323">
        <v>60</v>
      </c>
      <c r="E631" s="324">
        <f t="shared" si="9"/>
        <v>14631.6</v>
      </c>
    </row>
    <row r="632" spans="1:5" x14ac:dyDescent="0.25">
      <c r="A632" s="323" t="s">
        <v>6912</v>
      </c>
      <c r="B632" s="323" t="s">
        <v>805</v>
      </c>
      <c r="C632" s="323">
        <v>30849</v>
      </c>
      <c r="D632" s="323">
        <v>174</v>
      </c>
      <c r="E632" s="324">
        <f t="shared" si="9"/>
        <v>42431.64</v>
      </c>
    </row>
    <row r="633" spans="1:5" x14ac:dyDescent="0.25">
      <c r="A633" s="323" t="s">
        <v>6940</v>
      </c>
      <c r="B633" s="323" t="s">
        <v>803</v>
      </c>
      <c r="C633" s="323">
        <v>30882</v>
      </c>
      <c r="D633" s="323">
        <v>570</v>
      </c>
      <c r="E633" s="324">
        <f t="shared" si="9"/>
        <v>278000.40000000002</v>
      </c>
    </row>
    <row r="634" spans="1:5" x14ac:dyDescent="0.25">
      <c r="A634" s="323" t="s">
        <v>6940</v>
      </c>
      <c r="B634" s="323" t="s">
        <v>809</v>
      </c>
      <c r="C634" s="323">
        <v>30882</v>
      </c>
      <c r="D634" s="323">
        <v>43</v>
      </c>
      <c r="E634" s="324">
        <f t="shared" si="9"/>
        <v>20971.960000000003</v>
      </c>
    </row>
    <row r="635" spans="1:5" x14ac:dyDescent="0.25">
      <c r="A635" s="323" t="s">
        <v>6940</v>
      </c>
      <c r="B635" s="323" t="s">
        <v>803</v>
      </c>
      <c r="C635" s="323">
        <v>30882</v>
      </c>
      <c r="D635" s="323">
        <v>368</v>
      </c>
      <c r="E635" s="324">
        <f t="shared" si="9"/>
        <v>179480.96000000002</v>
      </c>
    </row>
    <row r="636" spans="1:5" x14ac:dyDescent="0.25">
      <c r="A636" s="323" t="s">
        <v>6940</v>
      </c>
      <c r="B636" s="323" t="s">
        <v>803</v>
      </c>
      <c r="C636" s="323">
        <v>30882</v>
      </c>
      <c r="D636" s="323">
        <v>74</v>
      </c>
      <c r="E636" s="324">
        <f t="shared" si="9"/>
        <v>36091.279999999999</v>
      </c>
    </row>
    <row r="637" spans="1:5" x14ac:dyDescent="0.25">
      <c r="A637" s="323" t="s">
        <v>6940</v>
      </c>
      <c r="B637" s="323" t="s">
        <v>809</v>
      </c>
      <c r="C637" s="323">
        <v>30882</v>
      </c>
      <c r="D637" s="323">
        <v>46</v>
      </c>
      <c r="E637" s="324">
        <f t="shared" si="9"/>
        <v>22435.120000000003</v>
      </c>
    </row>
    <row r="638" spans="1:5" x14ac:dyDescent="0.25">
      <c r="A638" s="323" t="s">
        <v>6940</v>
      </c>
      <c r="B638" s="323" t="s">
        <v>803</v>
      </c>
      <c r="C638" s="323">
        <v>30882</v>
      </c>
      <c r="D638" s="323">
        <v>76</v>
      </c>
      <c r="E638" s="324">
        <f t="shared" si="9"/>
        <v>37066.720000000001</v>
      </c>
    </row>
    <row r="639" spans="1:5" x14ac:dyDescent="0.25">
      <c r="A639" s="323" t="s">
        <v>7003</v>
      </c>
      <c r="B639" s="323" t="s">
        <v>809</v>
      </c>
      <c r="C639" s="323">
        <v>30882</v>
      </c>
      <c r="D639" s="323">
        <v>148</v>
      </c>
      <c r="E639" s="324">
        <f t="shared" si="9"/>
        <v>72182.559999999998</v>
      </c>
    </row>
    <row r="640" spans="1:5" x14ac:dyDescent="0.25">
      <c r="A640" s="323" t="s">
        <v>6939</v>
      </c>
      <c r="B640" s="323" t="s">
        <v>805</v>
      </c>
      <c r="C640" s="323">
        <v>30883</v>
      </c>
      <c r="D640" s="323">
        <v>499</v>
      </c>
      <c r="E640" s="324">
        <f t="shared" si="9"/>
        <v>121686.14000000001</v>
      </c>
    </row>
    <row r="641" spans="1:5" x14ac:dyDescent="0.25">
      <c r="A641" s="323" t="s">
        <v>7429</v>
      </c>
      <c r="B641" s="323" t="s">
        <v>805</v>
      </c>
      <c r="C641" s="323">
        <v>30883</v>
      </c>
      <c r="D641" s="323">
        <v>311</v>
      </c>
      <c r="E641" s="324">
        <f t="shared" si="9"/>
        <v>75840.460000000006</v>
      </c>
    </row>
    <row r="642" spans="1:5" x14ac:dyDescent="0.25">
      <c r="A642" s="323" t="s">
        <v>7430</v>
      </c>
      <c r="B642" s="323" t="s">
        <v>805</v>
      </c>
      <c r="C642" s="323">
        <v>30883</v>
      </c>
      <c r="D642" s="323">
        <v>323</v>
      </c>
      <c r="E642" s="324">
        <f t="shared" ref="E642:E705" si="10">D642*IF(B642=$G$9,WerkdrukbedragPerLeerlingBo,IF(B642=$G$10,WerkdrukbedragPerLeerlingSbo,IF(B642=$G$11,WerkdrukbedragPerLeerlingSo,IF(B642=$G$12,WerkdrukbedragPerLeerlingVso,0))))</f>
        <v>78766.78</v>
      </c>
    </row>
    <row r="643" spans="1:5" x14ac:dyDescent="0.25">
      <c r="A643" s="323" t="s">
        <v>2668</v>
      </c>
      <c r="B643" s="323" t="s">
        <v>805</v>
      </c>
      <c r="C643" s="323">
        <v>30889</v>
      </c>
      <c r="D643" s="323">
        <v>93</v>
      </c>
      <c r="E643" s="324">
        <f t="shared" si="10"/>
        <v>22678.98</v>
      </c>
    </row>
    <row r="644" spans="1:5" x14ac:dyDescent="0.25">
      <c r="A644" s="323" t="s">
        <v>1491</v>
      </c>
      <c r="B644" s="323" t="s">
        <v>805</v>
      </c>
      <c r="C644" s="323">
        <v>30967</v>
      </c>
      <c r="D644" s="323">
        <v>65</v>
      </c>
      <c r="E644" s="324">
        <f t="shared" si="10"/>
        <v>15850.900000000001</v>
      </c>
    </row>
    <row r="645" spans="1:5" x14ac:dyDescent="0.25">
      <c r="A645" s="323" t="s">
        <v>867</v>
      </c>
      <c r="B645" s="323" t="s">
        <v>809</v>
      </c>
      <c r="C645" s="323">
        <v>30968</v>
      </c>
      <c r="D645" s="323">
        <v>150</v>
      </c>
      <c r="E645" s="324">
        <f t="shared" si="10"/>
        <v>73158</v>
      </c>
    </row>
    <row r="646" spans="1:5" x14ac:dyDescent="0.25">
      <c r="A646" s="323" t="s">
        <v>867</v>
      </c>
      <c r="B646" s="323" t="s">
        <v>803</v>
      </c>
      <c r="C646" s="323">
        <v>30968</v>
      </c>
      <c r="D646" s="323">
        <v>5</v>
      </c>
      <c r="E646" s="324">
        <f t="shared" si="10"/>
        <v>2438.6000000000004</v>
      </c>
    </row>
    <row r="647" spans="1:5" x14ac:dyDescent="0.25">
      <c r="A647" s="323" t="s">
        <v>867</v>
      </c>
      <c r="B647" s="323" t="s">
        <v>809</v>
      </c>
      <c r="C647" s="323">
        <v>30968</v>
      </c>
      <c r="D647" s="323">
        <v>93</v>
      </c>
      <c r="E647" s="324">
        <f t="shared" si="10"/>
        <v>45357.96</v>
      </c>
    </row>
    <row r="648" spans="1:5" x14ac:dyDescent="0.25">
      <c r="A648" s="323" t="s">
        <v>867</v>
      </c>
      <c r="B648" s="323" t="s">
        <v>803</v>
      </c>
      <c r="C648" s="323">
        <v>30968</v>
      </c>
      <c r="D648" s="323">
        <v>162</v>
      </c>
      <c r="E648" s="324">
        <f t="shared" si="10"/>
        <v>79010.64</v>
      </c>
    </row>
    <row r="649" spans="1:5" x14ac:dyDescent="0.25">
      <c r="A649" s="323" t="s">
        <v>867</v>
      </c>
      <c r="B649" s="323" t="s">
        <v>803</v>
      </c>
      <c r="C649" s="323">
        <v>30968</v>
      </c>
      <c r="D649" s="323">
        <v>291</v>
      </c>
      <c r="E649" s="324">
        <f t="shared" si="10"/>
        <v>141926.52000000002</v>
      </c>
    </row>
    <row r="650" spans="1:5" x14ac:dyDescent="0.25">
      <c r="A650" s="323" t="s">
        <v>867</v>
      </c>
      <c r="B650" s="323" t="s">
        <v>803</v>
      </c>
      <c r="C650" s="323">
        <v>30968</v>
      </c>
      <c r="D650" s="323">
        <v>278</v>
      </c>
      <c r="E650" s="324">
        <f t="shared" si="10"/>
        <v>135586.16</v>
      </c>
    </row>
    <row r="651" spans="1:5" x14ac:dyDescent="0.25">
      <c r="A651" s="323" t="s">
        <v>867</v>
      </c>
      <c r="B651" s="323" t="s">
        <v>809</v>
      </c>
      <c r="C651" s="323">
        <v>30968</v>
      </c>
      <c r="D651" s="323">
        <v>31</v>
      </c>
      <c r="E651" s="324">
        <f t="shared" si="10"/>
        <v>15119.320000000002</v>
      </c>
    </row>
    <row r="652" spans="1:5" x14ac:dyDescent="0.25">
      <c r="A652" s="323" t="s">
        <v>867</v>
      </c>
      <c r="B652" s="323" t="s">
        <v>803</v>
      </c>
      <c r="C652" s="323">
        <v>30968</v>
      </c>
      <c r="D652" s="323">
        <v>38</v>
      </c>
      <c r="E652" s="324">
        <f t="shared" si="10"/>
        <v>18533.36</v>
      </c>
    </row>
    <row r="653" spans="1:5" x14ac:dyDescent="0.25">
      <c r="A653" s="323" t="s">
        <v>1120</v>
      </c>
      <c r="B653" s="323" t="s">
        <v>805</v>
      </c>
      <c r="C653" s="323">
        <v>31017</v>
      </c>
      <c r="D653" s="323">
        <v>334</v>
      </c>
      <c r="E653" s="324">
        <f t="shared" si="10"/>
        <v>81449.240000000005</v>
      </c>
    </row>
    <row r="654" spans="1:5" x14ac:dyDescent="0.25">
      <c r="A654" s="323" t="s">
        <v>1127</v>
      </c>
      <c r="B654" s="323" t="s">
        <v>805</v>
      </c>
      <c r="C654" s="323">
        <v>31017</v>
      </c>
      <c r="D654" s="323">
        <v>164</v>
      </c>
      <c r="E654" s="324">
        <f t="shared" si="10"/>
        <v>39993.040000000001</v>
      </c>
    </row>
    <row r="655" spans="1:5" x14ac:dyDescent="0.25">
      <c r="A655" s="323" t="s">
        <v>1166</v>
      </c>
      <c r="B655" s="323" t="s">
        <v>805</v>
      </c>
      <c r="C655" s="323">
        <v>31017</v>
      </c>
      <c r="D655" s="323">
        <v>342</v>
      </c>
      <c r="E655" s="324">
        <f t="shared" si="10"/>
        <v>83400.12000000001</v>
      </c>
    </row>
    <row r="656" spans="1:5" x14ac:dyDescent="0.25">
      <c r="A656" s="323" t="s">
        <v>1199</v>
      </c>
      <c r="B656" s="323" t="s">
        <v>805</v>
      </c>
      <c r="C656" s="323">
        <v>31017</v>
      </c>
      <c r="D656" s="323">
        <v>81</v>
      </c>
      <c r="E656" s="324">
        <f t="shared" si="10"/>
        <v>19752.66</v>
      </c>
    </row>
    <row r="657" spans="1:5" x14ac:dyDescent="0.25">
      <c r="A657" s="323" t="s">
        <v>2193</v>
      </c>
      <c r="B657" s="323" t="s">
        <v>805</v>
      </c>
      <c r="C657" s="323">
        <v>31017</v>
      </c>
      <c r="D657" s="323">
        <v>274</v>
      </c>
      <c r="E657" s="324">
        <f t="shared" si="10"/>
        <v>66817.64</v>
      </c>
    </row>
    <row r="658" spans="1:5" x14ac:dyDescent="0.25">
      <c r="A658" s="323" t="s">
        <v>2229</v>
      </c>
      <c r="B658" s="323" t="s">
        <v>805</v>
      </c>
      <c r="C658" s="323">
        <v>31017</v>
      </c>
      <c r="D658" s="323">
        <v>506</v>
      </c>
      <c r="E658" s="324">
        <f t="shared" si="10"/>
        <v>123393.16</v>
      </c>
    </row>
    <row r="659" spans="1:5" x14ac:dyDescent="0.25">
      <c r="A659" s="323" t="s">
        <v>2245</v>
      </c>
      <c r="B659" s="323" t="s">
        <v>805</v>
      </c>
      <c r="C659" s="323">
        <v>31017</v>
      </c>
      <c r="D659" s="323">
        <v>172</v>
      </c>
      <c r="E659" s="324">
        <f t="shared" si="10"/>
        <v>41943.920000000006</v>
      </c>
    </row>
    <row r="660" spans="1:5" x14ac:dyDescent="0.25">
      <c r="A660" s="323" t="s">
        <v>2477</v>
      </c>
      <c r="B660" s="323" t="s">
        <v>805</v>
      </c>
      <c r="C660" s="323">
        <v>31017</v>
      </c>
      <c r="D660" s="323">
        <v>115</v>
      </c>
      <c r="E660" s="324">
        <f t="shared" si="10"/>
        <v>28043.9</v>
      </c>
    </row>
    <row r="661" spans="1:5" x14ac:dyDescent="0.25">
      <c r="A661" s="323" t="s">
        <v>2561</v>
      </c>
      <c r="B661" s="323" t="s">
        <v>805</v>
      </c>
      <c r="C661" s="323">
        <v>31017</v>
      </c>
      <c r="D661" s="323">
        <v>288</v>
      </c>
      <c r="E661" s="324">
        <f t="shared" si="10"/>
        <v>70231.680000000008</v>
      </c>
    </row>
    <row r="662" spans="1:5" x14ac:dyDescent="0.25">
      <c r="A662" s="323" t="s">
        <v>3075</v>
      </c>
      <c r="B662" s="323" t="s">
        <v>805</v>
      </c>
      <c r="C662" s="323">
        <v>31017</v>
      </c>
      <c r="D662" s="323">
        <v>87</v>
      </c>
      <c r="E662" s="324">
        <f t="shared" si="10"/>
        <v>21215.82</v>
      </c>
    </row>
    <row r="663" spans="1:5" x14ac:dyDescent="0.25">
      <c r="A663" s="323" t="s">
        <v>3077</v>
      </c>
      <c r="B663" s="323" t="s">
        <v>805</v>
      </c>
      <c r="C663" s="323">
        <v>31017</v>
      </c>
      <c r="D663" s="323">
        <v>215</v>
      </c>
      <c r="E663" s="324">
        <f t="shared" si="10"/>
        <v>52429.9</v>
      </c>
    </row>
    <row r="664" spans="1:5" x14ac:dyDescent="0.25">
      <c r="A664" s="323" t="s">
        <v>4134</v>
      </c>
      <c r="B664" s="323" t="s">
        <v>805</v>
      </c>
      <c r="C664" s="323">
        <v>31017</v>
      </c>
      <c r="D664" s="323">
        <v>235</v>
      </c>
      <c r="E664" s="324">
        <f t="shared" si="10"/>
        <v>57307.100000000006</v>
      </c>
    </row>
    <row r="665" spans="1:5" x14ac:dyDescent="0.25">
      <c r="A665" s="323" t="s">
        <v>4478</v>
      </c>
      <c r="B665" s="323" t="s">
        <v>805</v>
      </c>
      <c r="C665" s="323">
        <v>31017</v>
      </c>
      <c r="D665" s="323">
        <v>109</v>
      </c>
      <c r="E665" s="324">
        <f t="shared" si="10"/>
        <v>26580.74</v>
      </c>
    </row>
    <row r="666" spans="1:5" x14ac:dyDescent="0.25">
      <c r="A666" s="323" t="s">
        <v>4585</v>
      </c>
      <c r="B666" s="323" t="s">
        <v>805</v>
      </c>
      <c r="C666" s="323">
        <v>31017</v>
      </c>
      <c r="D666" s="323">
        <v>483</v>
      </c>
      <c r="E666" s="324">
        <f t="shared" si="10"/>
        <v>117784.38</v>
      </c>
    </row>
    <row r="667" spans="1:5" x14ac:dyDescent="0.25">
      <c r="A667" s="323" t="s">
        <v>2060</v>
      </c>
      <c r="B667" s="323" t="s">
        <v>805</v>
      </c>
      <c r="C667" s="323">
        <v>31019</v>
      </c>
      <c r="D667" s="323">
        <v>183</v>
      </c>
      <c r="E667" s="324">
        <f t="shared" si="10"/>
        <v>44626.380000000005</v>
      </c>
    </row>
    <row r="668" spans="1:5" x14ac:dyDescent="0.25">
      <c r="A668" s="323" t="s">
        <v>1492</v>
      </c>
      <c r="B668" s="323" t="s">
        <v>805</v>
      </c>
      <c r="C668" s="323">
        <v>31032</v>
      </c>
      <c r="D668" s="323">
        <v>153</v>
      </c>
      <c r="E668" s="324">
        <f t="shared" si="10"/>
        <v>37310.58</v>
      </c>
    </row>
    <row r="669" spans="1:5" x14ac:dyDescent="0.25">
      <c r="A669" s="323" t="s">
        <v>2942</v>
      </c>
      <c r="B669" s="323" t="s">
        <v>805</v>
      </c>
      <c r="C669" s="323">
        <v>31075</v>
      </c>
      <c r="D669" s="323">
        <v>370</v>
      </c>
      <c r="E669" s="324">
        <f t="shared" si="10"/>
        <v>90228.200000000012</v>
      </c>
    </row>
    <row r="670" spans="1:5" x14ac:dyDescent="0.25">
      <c r="A670" s="323" t="s">
        <v>6972</v>
      </c>
      <c r="B670" s="323" t="s">
        <v>805</v>
      </c>
      <c r="C670" s="323">
        <v>31076</v>
      </c>
      <c r="D670" s="323">
        <v>196</v>
      </c>
      <c r="E670" s="324">
        <f t="shared" si="10"/>
        <v>47796.560000000005</v>
      </c>
    </row>
    <row r="671" spans="1:5" x14ac:dyDescent="0.25">
      <c r="A671" s="323" t="s">
        <v>6997</v>
      </c>
      <c r="B671" s="323" t="s">
        <v>805</v>
      </c>
      <c r="C671" s="323">
        <v>31076</v>
      </c>
      <c r="D671" s="323">
        <v>257</v>
      </c>
      <c r="E671" s="324">
        <f t="shared" si="10"/>
        <v>62672.020000000004</v>
      </c>
    </row>
    <row r="672" spans="1:5" x14ac:dyDescent="0.25">
      <c r="A672" s="323" t="s">
        <v>7066</v>
      </c>
      <c r="B672" s="323" t="s">
        <v>805</v>
      </c>
      <c r="C672" s="323">
        <v>31076</v>
      </c>
      <c r="D672" s="323">
        <v>186</v>
      </c>
      <c r="E672" s="324">
        <f t="shared" si="10"/>
        <v>45357.96</v>
      </c>
    </row>
    <row r="673" spans="1:5" x14ac:dyDescent="0.25">
      <c r="A673" s="323" t="s">
        <v>7067</v>
      </c>
      <c r="B673" s="323" t="s">
        <v>805</v>
      </c>
      <c r="C673" s="323">
        <v>31076</v>
      </c>
      <c r="D673" s="323">
        <v>235</v>
      </c>
      <c r="E673" s="324">
        <f t="shared" si="10"/>
        <v>57307.100000000006</v>
      </c>
    </row>
    <row r="674" spans="1:5" x14ac:dyDescent="0.25">
      <c r="A674" s="323" t="s">
        <v>7068</v>
      </c>
      <c r="B674" s="323" t="s">
        <v>805</v>
      </c>
      <c r="C674" s="323">
        <v>31076</v>
      </c>
      <c r="D674" s="323">
        <v>229</v>
      </c>
      <c r="E674" s="324">
        <f t="shared" si="10"/>
        <v>55843.94</v>
      </c>
    </row>
    <row r="675" spans="1:5" x14ac:dyDescent="0.25">
      <c r="A675" s="323" t="s">
        <v>7111</v>
      </c>
      <c r="B675" s="323" t="s">
        <v>805</v>
      </c>
      <c r="C675" s="323">
        <v>31076</v>
      </c>
      <c r="D675" s="323">
        <v>90</v>
      </c>
      <c r="E675" s="324">
        <f t="shared" si="10"/>
        <v>21947.4</v>
      </c>
    </row>
    <row r="676" spans="1:5" x14ac:dyDescent="0.25">
      <c r="A676" s="323" t="s">
        <v>7119</v>
      </c>
      <c r="B676" s="323" t="s">
        <v>805</v>
      </c>
      <c r="C676" s="323">
        <v>31076</v>
      </c>
      <c r="D676" s="323">
        <v>187</v>
      </c>
      <c r="E676" s="324">
        <f t="shared" si="10"/>
        <v>45601.82</v>
      </c>
    </row>
    <row r="677" spans="1:5" x14ac:dyDescent="0.25">
      <c r="A677" s="323" t="s">
        <v>7364</v>
      </c>
      <c r="B677" s="323" t="s">
        <v>805</v>
      </c>
      <c r="C677" s="323">
        <v>31076</v>
      </c>
      <c r="D677" s="323">
        <v>145</v>
      </c>
      <c r="E677" s="324">
        <f t="shared" si="10"/>
        <v>35359.700000000004</v>
      </c>
    </row>
    <row r="678" spans="1:5" x14ac:dyDescent="0.25">
      <c r="A678" s="323" t="s">
        <v>7412</v>
      </c>
      <c r="B678" s="323" t="s">
        <v>805</v>
      </c>
      <c r="C678" s="323">
        <v>31076</v>
      </c>
      <c r="D678" s="323">
        <v>203</v>
      </c>
      <c r="E678" s="324">
        <f t="shared" si="10"/>
        <v>49503.58</v>
      </c>
    </row>
    <row r="679" spans="1:5" x14ac:dyDescent="0.25">
      <c r="A679" s="323" t="s">
        <v>7451</v>
      </c>
      <c r="B679" s="323" t="s">
        <v>805</v>
      </c>
      <c r="C679" s="323">
        <v>31076</v>
      </c>
      <c r="D679" s="323">
        <v>154</v>
      </c>
      <c r="E679" s="324">
        <f t="shared" si="10"/>
        <v>37554.44</v>
      </c>
    </row>
    <row r="680" spans="1:5" x14ac:dyDescent="0.25">
      <c r="A680" s="323" t="s">
        <v>1144</v>
      </c>
      <c r="B680" s="323" t="s">
        <v>805</v>
      </c>
      <c r="C680" s="323">
        <v>31077</v>
      </c>
      <c r="D680" s="323">
        <v>599</v>
      </c>
      <c r="E680" s="324">
        <f t="shared" si="10"/>
        <v>146072.14000000001</v>
      </c>
    </row>
    <row r="681" spans="1:5" x14ac:dyDescent="0.25">
      <c r="A681" s="323" t="s">
        <v>6998</v>
      </c>
      <c r="B681" s="323" t="s">
        <v>805</v>
      </c>
      <c r="C681" s="323">
        <v>31077</v>
      </c>
      <c r="D681" s="323">
        <v>163</v>
      </c>
      <c r="E681" s="324">
        <f t="shared" si="10"/>
        <v>39749.18</v>
      </c>
    </row>
    <row r="682" spans="1:5" x14ac:dyDescent="0.25">
      <c r="A682" s="323" t="s">
        <v>6999</v>
      </c>
      <c r="B682" s="323" t="s">
        <v>805</v>
      </c>
      <c r="C682" s="323">
        <v>31080</v>
      </c>
      <c r="D682" s="323">
        <v>352</v>
      </c>
      <c r="E682" s="324">
        <f t="shared" si="10"/>
        <v>85838.720000000001</v>
      </c>
    </row>
    <row r="683" spans="1:5" x14ac:dyDescent="0.25">
      <c r="A683" s="323" t="s">
        <v>7365</v>
      </c>
      <c r="B683" s="323" t="s">
        <v>805</v>
      </c>
      <c r="C683" s="323">
        <v>31080</v>
      </c>
      <c r="D683" s="323">
        <v>541</v>
      </c>
      <c r="E683" s="324">
        <f t="shared" si="10"/>
        <v>131928.26</v>
      </c>
    </row>
    <row r="684" spans="1:5" x14ac:dyDescent="0.25">
      <c r="A684" s="323" t="s">
        <v>7000</v>
      </c>
      <c r="B684" s="323" t="s">
        <v>805</v>
      </c>
      <c r="C684" s="323">
        <v>31088</v>
      </c>
      <c r="D684" s="323">
        <v>191</v>
      </c>
      <c r="E684" s="324">
        <f t="shared" si="10"/>
        <v>46577.26</v>
      </c>
    </row>
    <row r="685" spans="1:5" x14ac:dyDescent="0.25">
      <c r="A685" s="323" t="s">
        <v>7001</v>
      </c>
      <c r="B685" s="323" t="s">
        <v>805</v>
      </c>
      <c r="C685" s="323">
        <v>31089</v>
      </c>
      <c r="D685" s="323">
        <v>43</v>
      </c>
      <c r="E685" s="324">
        <f t="shared" si="10"/>
        <v>10485.980000000001</v>
      </c>
    </row>
    <row r="686" spans="1:5" x14ac:dyDescent="0.25">
      <c r="A686" s="323" t="s">
        <v>7002</v>
      </c>
      <c r="B686" s="323" t="s">
        <v>805</v>
      </c>
      <c r="C686" s="323">
        <v>31118</v>
      </c>
      <c r="D686" s="323">
        <v>293</v>
      </c>
      <c r="E686" s="324">
        <f t="shared" si="10"/>
        <v>71450.98000000001</v>
      </c>
    </row>
    <row r="687" spans="1:5" x14ac:dyDescent="0.25">
      <c r="A687" s="323" t="s">
        <v>7314</v>
      </c>
      <c r="B687" s="323" t="s">
        <v>805</v>
      </c>
      <c r="C687" s="323">
        <v>31118</v>
      </c>
      <c r="D687" s="323">
        <v>457</v>
      </c>
      <c r="E687" s="324">
        <f t="shared" si="10"/>
        <v>111444.02</v>
      </c>
    </row>
    <row r="688" spans="1:5" x14ac:dyDescent="0.25">
      <c r="A688" s="323" t="s">
        <v>1494</v>
      </c>
      <c r="B688" s="323" t="s">
        <v>805</v>
      </c>
      <c r="C688" s="323">
        <v>31162</v>
      </c>
      <c r="D688" s="323">
        <v>214</v>
      </c>
      <c r="E688" s="324">
        <f t="shared" si="10"/>
        <v>52186.04</v>
      </c>
    </row>
    <row r="689" spans="1:5" x14ac:dyDescent="0.25">
      <c r="A689" s="323" t="s">
        <v>1142</v>
      </c>
      <c r="B689" s="323" t="s">
        <v>805</v>
      </c>
      <c r="C689" s="323">
        <v>31189</v>
      </c>
      <c r="D689" s="323">
        <v>397</v>
      </c>
      <c r="E689" s="324">
        <f t="shared" si="10"/>
        <v>96812.42</v>
      </c>
    </row>
    <row r="690" spans="1:5" x14ac:dyDescent="0.25">
      <c r="A690" s="323" t="s">
        <v>7056</v>
      </c>
      <c r="B690" s="323" t="s">
        <v>805</v>
      </c>
      <c r="C690" s="323">
        <v>31189</v>
      </c>
      <c r="D690" s="323">
        <v>404</v>
      </c>
      <c r="E690" s="324">
        <f t="shared" si="10"/>
        <v>98519.44</v>
      </c>
    </row>
    <row r="691" spans="1:5" x14ac:dyDescent="0.25">
      <c r="A691" s="323" t="s">
        <v>7011</v>
      </c>
      <c r="B691" s="323" t="s">
        <v>805</v>
      </c>
      <c r="C691" s="323">
        <v>31204</v>
      </c>
      <c r="D691" s="323">
        <v>268</v>
      </c>
      <c r="E691" s="324">
        <f t="shared" si="10"/>
        <v>65354.48</v>
      </c>
    </row>
    <row r="692" spans="1:5" x14ac:dyDescent="0.25">
      <c r="A692" s="323" t="s">
        <v>1495</v>
      </c>
      <c r="B692" s="323" t="s">
        <v>805</v>
      </c>
      <c r="C692" s="323">
        <v>31227</v>
      </c>
      <c r="D692" s="323">
        <v>243</v>
      </c>
      <c r="E692" s="324">
        <f t="shared" si="10"/>
        <v>59257.98</v>
      </c>
    </row>
    <row r="693" spans="1:5" x14ac:dyDescent="0.25">
      <c r="A693" s="323" t="s">
        <v>1599</v>
      </c>
      <c r="B693" s="323" t="s">
        <v>805</v>
      </c>
      <c r="C693" s="323">
        <v>31237</v>
      </c>
      <c r="D693" s="323">
        <v>200</v>
      </c>
      <c r="E693" s="324">
        <f t="shared" si="10"/>
        <v>48772</v>
      </c>
    </row>
    <row r="694" spans="1:5" x14ac:dyDescent="0.25">
      <c r="A694" s="323" t="s">
        <v>1800</v>
      </c>
      <c r="B694" s="323" t="s">
        <v>805</v>
      </c>
      <c r="C694" s="323">
        <v>31237</v>
      </c>
      <c r="D694" s="323">
        <v>234</v>
      </c>
      <c r="E694" s="324">
        <f t="shared" si="10"/>
        <v>57063.240000000005</v>
      </c>
    </row>
    <row r="695" spans="1:5" x14ac:dyDescent="0.25">
      <c r="A695" s="323" t="s">
        <v>1829</v>
      </c>
      <c r="B695" s="323" t="s">
        <v>805</v>
      </c>
      <c r="C695" s="323">
        <v>31237</v>
      </c>
      <c r="D695" s="323">
        <v>224</v>
      </c>
      <c r="E695" s="324">
        <f t="shared" si="10"/>
        <v>54624.639999999999</v>
      </c>
    </row>
    <row r="696" spans="1:5" x14ac:dyDescent="0.25">
      <c r="A696" s="323" t="s">
        <v>2294</v>
      </c>
      <c r="B696" s="323" t="s">
        <v>805</v>
      </c>
      <c r="C696" s="323">
        <v>31237</v>
      </c>
      <c r="D696" s="323">
        <v>274</v>
      </c>
      <c r="E696" s="324">
        <f t="shared" si="10"/>
        <v>66817.64</v>
      </c>
    </row>
    <row r="697" spans="1:5" x14ac:dyDescent="0.25">
      <c r="A697" s="323" t="s">
        <v>2511</v>
      </c>
      <c r="B697" s="323" t="s">
        <v>805</v>
      </c>
      <c r="C697" s="323">
        <v>31237</v>
      </c>
      <c r="D697" s="323">
        <v>159</v>
      </c>
      <c r="E697" s="324">
        <f t="shared" si="10"/>
        <v>38773.740000000005</v>
      </c>
    </row>
    <row r="698" spans="1:5" x14ac:dyDescent="0.25">
      <c r="A698" s="323" t="s">
        <v>2863</v>
      </c>
      <c r="B698" s="323" t="s">
        <v>805</v>
      </c>
      <c r="C698" s="323">
        <v>31237</v>
      </c>
      <c r="D698" s="323">
        <v>256</v>
      </c>
      <c r="E698" s="324">
        <f t="shared" si="10"/>
        <v>62428.160000000003</v>
      </c>
    </row>
    <row r="699" spans="1:5" x14ac:dyDescent="0.25">
      <c r="A699" s="323" t="s">
        <v>3244</v>
      </c>
      <c r="B699" s="323" t="s">
        <v>805</v>
      </c>
      <c r="C699" s="323">
        <v>31237</v>
      </c>
      <c r="D699" s="323">
        <v>191</v>
      </c>
      <c r="E699" s="324">
        <f t="shared" si="10"/>
        <v>46577.26</v>
      </c>
    </row>
    <row r="700" spans="1:5" x14ac:dyDescent="0.25">
      <c r="A700" s="323" t="s">
        <v>4259</v>
      </c>
      <c r="B700" s="323" t="s">
        <v>805</v>
      </c>
      <c r="C700" s="323">
        <v>31237</v>
      </c>
      <c r="D700" s="323">
        <v>432</v>
      </c>
      <c r="E700" s="324">
        <f t="shared" si="10"/>
        <v>105347.52</v>
      </c>
    </row>
    <row r="701" spans="1:5" x14ac:dyDescent="0.25">
      <c r="A701" s="323" t="s">
        <v>4368</v>
      </c>
      <c r="B701" s="323" t="s">
        <v>805</v>
      </c>
      <c r="C701" s="323">
        <v>31237</v>
      </c>
      <c r="D701" s="323">
        <v>181</v>
      </c>
      <c r="E701" s="324">
        <f t="shared" si="10"/>
        <v>44138.66</v>
      </c>
    </row>
    <row r="702" spans="1:5" x14ac:dyDescent="0.25">
      <c r="A702" s="323" t="s">
        <v>5833</v>
      </c>
      <c r="B702" s="323" t="s">
        <v>805</v>
      </c>
      <c r="C702" s="323">
        <v>31237</v>
      </c>
      <c r="D702" s="323">
        <v>107</v>
      </c>
      <c r="E702" s="324">
        <f t="shared" si="10"/>
        <v>26093.02</v>
      </c>
    </row>
    <row r="703" spans="1:5" x14ac:dyDescent="0.25">
      <c r="A703" s="323" t="s">
        <v>6955</v>
      </c>
      <c r="B703" s="323" t="s">
        <v>805</v>
      </c>
      <c r="C703" s="323">
        <v>31237</v>
      </c>
      <c r="D703" s="323">
        <v>273</v>
      </c>
      <c r="E703" s="324">
        <f t="shared" si="10"/>
        <v>66573.78</v>
      </c>
    </row>
    <row r="704" spans="1:5" x14ac:dyDescent="0.25">
      <c r="A704" s="323" t="s">
        <v>3725</v>
      </c>
      <c r="B704" s="323" t="s">
        <v>805</v>
      </c>
      <c r="C704" s="323">
        <v>31267</v>
      </c>
      <c r="D704" s="323">
        <v>120</v>
      </c>
      <c r="E704" s="324">
        <f t="shared" si="10"/>
        <v>29263.200000000001</v>
      </c>
    </row>
    <row r="705" spans="1:5" x14ac:dyDescent="0.25">
      <c r="A705" s="323" t="s">
        <v>4461</v>
      </c>
      <c r="B705" s="323" t="s">
        <v>805</v>
      </c>
      <c r="C705" s="323">
        <v>31267</v>
      </c>
      <c r="D705" s="323">
        <v>201</v>
      </c>
      <c r="E705" s="324">
        <f t="shared" si="10"/>
        <v>49015.86</v>
      </c>
    </row>
    <row r="706" spans="1:5" x14ac:dyDescent="0.25">
      <c r="A706" s="323" t="s">
        <v>4570</v>
      </c>
      <c r="B706" s="323" t="s">
        <v>805</v>
      </c>
      <c r="C706" s="323">
        <v>31267</v>
      </c>
      <c r="D706" s="323">
        <v>196</v>
      </c>
      <c r="E706" s="324">
        <f t="shared" ref="E706:E769" si="11">D706*IF(B706=$G$9,WerkdrukbedragPerLeerlingBo,IF(B706=$G$10,WerkdrukbedragPerLeerlingSbo,IF(B706=$G$11,WerkdrukbedragPerLeerlingSo,IF(B706=$G$12,WerkdrukbedragPerLeerlingVso,0))))</f>
        <v>47796.560000000005</v>
      </c>
    </row>
    <row r="707" spans="1:5" x14ac:dyDescent="0.25">
      <c r="A707" s="323" t="s">
        <v>5456</v>
      </c>
      <c r="B707" s="323" t="s">
        <v>805</v>
      </c>
      <c r="C707" s="323">
        <v>31267</v>
      </c>
      <c r="D707" s="323">
        <v>558</v>
      </c>
      <c r="E707" s="324">
        <f t="shared" si="11"/>
        <v>136073.88</v>
      </c>
    </row>
    <row r="708" spans="1:5" x14ac:dyDescent="0.25">
      <c r="A708" s="323" t="s">
        <v>6753</v>
      </c>
      <c r="B708" s="323" t="s">
        <v>805</v>
      </c>
      <c r="C708" s="323">
        <v>31267</v>
      </c>
      <c r="D708" s="323">
        <v>329</v>
      </c>
      <c r="E708" s="324">
        <f t="shared" si="11"/>
        <v>80229.94</v>
      </c>
    </row>
    <row r="709" spans="1:5" x14ac:dyDescent="0.25">
      <c r="A709" s="323" t="s">
        <v>6754</v>
      </c>
      <c r="B709" s="323" t="s">
        <v>805</v>
      </c>
      <c r="C709" s="323">
        <v>31267</v>
      </c>
      <c r="D709" s="323">
        <v>544</v>
      </c>
      <c r="E709" s="324">
        <f t="shared" si="11"/>
        <v>132659.84</v>
      </c>
    </row>
    <row r="710" spans="1:5" x14ac:dyDescent="0.25">
      <c r="A710" s="323" t="s">
        <v>5166</v>
      </c>
      <c r="B710" s="323" t="s">
        <v>805</v>
      </c>
      <c r="C710" s="323">
        <v>31280</v>
      </c>
      <c r="D710" s="323">
        <v>326</v>
      </c>
      <c r="E710" s="324">
        <f t="shared" si="11"/>
        <v>79498.36</v>
      </c>
    </row>
    <row r="711" spans="1:5" x14ac:dyDescent="0.25">
      <c r="A711" s="323" t="s">
        <v>1197</v>
      </c>
      <c r="B711" s="323" t="s">
        <v>805</v>
      </c>
      <c r="C711" s="323">
        <v>31384</v>
      </c>
      <c r="D711" s="323">
        <v>132</v>
      </c>
      <c r="E711" s="324">
        <f t="shared" si="11"/>
        <v>32189.52</v>
      </c>
    </row>
    <row r="712" spans="1:5" x14ac:dyDescent="0.25">
      <c r="A712" s="323" t="s">
        <v>1252</v>
      </c>
      <c r="B712" s="323" t="s">
        <v>805</v>
      </c>
      <c r="C712" s="323">
        <v>31384</v>
      </c>
      <c r="D712" s="323">
        <v>74</v>
      </c>
      <c r="E712" s="324">
        <f t="shared" si="11"/>
        <v>18045.64</v>
      </c>
    </row>
    <row r="713" spans="1:5" x14ac:dyDescent="0.25">
      <c r="A713" s="323" t="s">
        <v>1363</v>
      </c>
      <c r="B713" s="323" t="s">
        <v>805</v>
      </c>
      <c r="C713" s="323">
        <v>31384</v>
      </c>
      <c r="D713" s="323">
        <v>241</v>
      </c>
      <c r="E713" s="324">
        <f t="shared" si="11"/>
        <v>58770.26</v>
      </c>
    </row>
    <row r="714" spans="1:5" x14ac:dyDescent="0.25">
      <c r="A714" s="323" t="s">
        <v>1425</v>
      </c>
      <c r="B714" s="323" t="s">
        <v>805</v>
      </c>
      <c r="C714" s="323">
        <v>31384</v>
      </c>
      <c r="D714" s="323">
        <v>50</v>
      </c>
      <c r="E714" s="324">
        <f t="shared" si="11"/>
        <v>12193</v>
      </c>
    </row>
    <row r="715" spans="1:5" x14ac:dyDescent="0.25">
      <c r="A715" s="323" t="s">
        <v>1749</v>
      </c>
      <c r="B715" s="323" t="s">
        <v>805</v>
      </c>
      <c r="C715" s="323">
        <v>31384</v>
      </c>
      <c r="D715" s="323">
        <v>136</v>
      </c>
      <c r="E715" s="324">
        <f t="shared" si="11"/>
        <v>33164.959999999999</v>
      </c>
    </row>
    <row r="716" spans="1:5" x14ac:dyDescent="0.25">
      <c r="A716" s="323" t="s">
        <v>1768</v>
      </c>
      <c r="B716" s="323" t="s">
        <v>805</v>
      </c>
      <c r="C716" s="323">
        <v>31384</v>
      </c>
      <c r="D716" s="323">
        <v>88</v>
      </c>
      <c r="E716" s="324">
        <f t="shared" si="11"/>
        <v>21459.68</v>
      </c>
    </row>
    <row r="717" spans="1:5" x14ac:dyDescent="0.25">
      <c r="A717" s="323" t="s">
        <v>1779</v>
      </c>
      <c r="B717" s="323" t="s">
        <v>805</v>
      </c>
      <c r="C717" s="323">
        <v>31384</v>
      </c>
      <c r="D717" s="323">
        <v>116</v>
      </c>
      <c r="E717" s="324">
        <f t="shared" si="11"/>
        <v>28287.760000000002</v>
      </c>
    </row>
    <row r="718" spans="1:5" x14ac:dyDescent="0.25">
      <c r="A718" s="323" t="s">
        <v>1791</v>
      </c>
      <c r="B718" s="323" t="s">
        <v>805</v>
      </c>
      <c r="C718" s="323">
        <v>31384</v>
      </c>
      <c r="D718" s="323">
        <v>70</v>
      </c>
      <c r="E718" s="324">
        <f t="shared" si="11"/>
        <v>17070.2</v>
      </c>
    </row>
    <row r="719" spans="1:5" x14ac:dyDescent="0.25">
      <c r="A719" s="323" t="s">
        <v>1850</v>
      </c>
      <c r="B719" s="323" t="s">
        <v>816</v>
      </c>
      <c r="C719" s="323">
        <v>31384</v>
      </c>
      <c r="D719" s="323">
        <v>89</v>
      </c>
      <c r="E719" s="324">
        <f t="shared" si="11"/>
        <v>32555.31</v>
      </c>
    </row>
    <row r="720" spans="1:5" x14ac:dyDescent="0.25">
      <c r="A720" s="323" t="s">
        <v>2206</v>
      </c>
      <c r="B720" s="323" t="s">
        <v>805</v>
      </c>
      <c r="C720" s="323">
        <v>31384</v>
      </c>
      <c r="D720" s="323">
        <v>187</v>
      </c>
      <c r="E720" s="324">
        <f t="shared" si="11"/>
        <v>45601.82</v>
      </c>
    </row>
    <row r="721" spans="1:5" x14ac:dyDescent="0.25">
      <c r="A721" s="323" t="s">
        <v>2285</v>
      </c>
      <c r="B721" s="323" t="s">
        <v>805</v>
      </c>
      <c r="C721" s="323">
        <v>31384</v>
      </c>
      <c r="D721" s="323">
        <v>230</v>
      </c>
      <c r="E721" s="324">
        <f t="shared" si="11"/>
        <v>56087.8</v>
      </c>
    </row>
    <row r="722" spans="1:5" x14ac:dyDescent="0.25">
      <c r="A722" s="323" t="s">
        <v>2458</v>
      </c>
      <c r="B722" s="323" t="s">
        <v>805</v>
      </c>
      <c r="C722" s="323">
        <v>31384</v>
      </c>
      <c r="D722" s="323">
        <v>179</v>
      </c>
      <c r="E722" s="324">
        <f t="shared" si="11"/>
        <v>43650.94</v>
      </c>
    </row>
    <row r="723" spans="1:5" x14ac:dyDescent="0.25">
      <c r="A723" s="323" t="s">
        <v>2473</v>
      </c>
      <c r="B723" s="323" t="s">
        <v>805</v>
      </c>
      <c r="C723" s="323">
        <v>31384</v>
      </c>
      <c r="D723" s="323">
        <v>104</v>
      </c>
      <c r="E723" s="324">
        <f t="shared" si="11"/>
        <v>25361.440000000002</v>
      </c>
    </row>
    <row r="724" spans="1:5" x14ac:dyDescent="0.25">
      <c r="A724" s="323" t="s">
        <v>2690</v>
      </c>
      <c r="B724" s="323" t="s">
        <v>805</v>
      </c>
      <c r="C724" s="323">
        <v>31384</v>
      </c>
      <c r="D724" s="323">
        <v>206</v>
      </c>
      <c r="E724" s="324">
        <f t="shared" si="11"/>
        <v>50235.16</v>
      </c>
    </row>
    <row r="725" spans="1:5" x14ac:dyDescent="0.25">
      <c r="A725" s="323" t="s">
        <v>2871</v>
      </c>
      <c r="B725" s="323" t="s">
        <v>805</v>
      </c>
      <c r="C725" s="323">
        <v>31384</v>
      </c>
      <c r="D725" s="323">
        <v>193</v>
      </c>
      <c r="E725" s="324">
        <f t="shared" si="11"/>
        <v>47064.98</v>
      </c>
    </row>
    <row r="726" spans="1:5" x14ac:dyDescent="0.25">
      <c r="A726" s="323" t="s">
        <v>3086</v>
      </c>
      <c r="B726" s="323" t="s">
        <v>805</v>
      </c>
      <c r="C726" s="323">
        <v>31384</v>
      </c>
      <c r="D726" s="323">
        <v>141</v>
      </c>
      <c r="E726" s="324">
        <f t="shared" si="11"/>
        <v>34384.26</v>
      </c>
    </row>
    <row r="727" spans="1:5" x14ac:dyDescent="0.25">
      <c r="A727" s="323" t="s">
        <v>3162</v>
      </c>
      <c r="B727" s="323" t="s">
        <v>805</v>
      </c>
      <c r="C727" s="323">
        <v>31384</v>
      </c>
      <c r="D727" s="323">
        <v>50</v>
      </c>
      <c r="E727" s="324">
        <f t="shared" si="11"/>
        <v>12193</v>
      </c>
    </row>
    <row r="728" spans="1:5" x14ac:dyDescent="0.25">
      <c r="A728" s="323" t="s">
        <v>3173</v>
      </c>
      <c r="B728" s="323" t="s">
        <v>805</v>
      </c>
      <c r="C728" s="323">
        <v>31384</v>
      </c>
      <c r="D728" s="323">
        <v>101</v>
      </c>
      <c r="E728" s="324">
        <f t="shared" si="11"/>
        <v>24629.86</v>
      </c>
    </row>
    <row r="729" spans="1:5" x14ac:dyDescent="0.25">
      <c r="A729" s="323" t="s">
        <v>3524</v>
      </c>
      <c r="B729" s="323" t="s">
        <v>805</v>
      </c>
      <c r="C729" s="323">
        <v>31384</v>
      </c>
      <c r="D729" s="323">
        <v>145</v>
      </c>
      <c r="E729" s="324">
        <f t="shared" si="11"/>
        <v>35359.700000000004</v>
      </c>
    </row>
    <row r="730" spans="1:5" x14ac:dyDescent="0.25">
      <c r="A730" s="323" t="s">
        <v>3614</v>
      </c>
      <c r="B730" s="323" t="s">
        <v>805</v>
      </c>
      <c r="C730" s="323">
        <v>31384</v>
      </c>
      <c r="D730" s="323">
        <v>128</v>
      </c>
      <c r="E730" s="324">
        <f t="shared" si="11"/>
        <v>31214.080000000002</v>
      </c>
    </row>
    <row r="731" spans="1:5" x14ac:dyDescent="0.25">
      <c r="A731" s="323" t="s">
        <v>3744</v>
      </c>
      <c r="B731" s="323" t="s">
        <v>805</v>
      </c>
      <c r="C731" s="323">
        <v>31384</v>
      </c>
      <c r="D731" s="323">
        <v>364</v>
      </c>
      <c r="E731" s="324">
        <f t="shared" si="11"/>
        <v>88765.040000000008</v>
      </c>
    </row>
    <row r="732" spans="1:5" x14ac:dyDescent="0.25">
      <c r="A732" s="323" t="s">
        <v>3857</v>
      </c>
      <c r="B732" s="323" t="s">
        <v>805</v>
      </c>
      <c r="C732" s="323">
        <v>31384</v>
      </c>
      <c r="D732" s="323">
        <v>243</v>
      </c>
      <c r="E732" s="324">
        <f t="shared" si="11"/>
        <v>59257.98</v>
      </c>
    </row>
    <row r="733" spans="1:5" x14ac:dyDescent="0.25">
      <c r="A733" s="323" t="s">
        <v>4127</v>
      </c>
      <c r="B733" s="323" t="s">
        <v>805</v>
      </c>
      <c r="C733" s="323">
        <v>31384</v>
      </c>
      <c r="D733" s="323">
        <v>241</v>
      </c>
      <c r="E733" s="324">
        <f t="shared" si="11"/>
        <v>58770.26</v>
      </c>
    </row>
    <row r="734" spans="1:5" x14ac:dyDescent="0.25">
      <c r="A734" s="323" t="s">
        <v>4262</v>
      </c>
      <c r="B734" s="323" t="s">
        <v>805</v>
      </c>
      <c r="C734" s="323">
        <v>31384</v>
      </c>
      <c r="D734" s="323">
        <v>121</v>
      </c>
      <c r="E734" s="324">
        <f t="shared" si="11"/>
        <v>29507.06</v>
      </c>
    </row>
    <row r="735" spans="1:5" x14ac:dyDescent="0.25">
      <c r="A735" s="323" t="s">
        <v>4371</v>
      </c>
      <c r="B735" s="323" t="s">
        <v>805</v>
      </c>
      <c r="C735" s="323">
        <v>31384</v>
      </c>
      <c r="D735" s="323">
        <v>308</v>
      </c>
      <c r="E735" s="324">
        <f t="shared" si="11"/>
        <v>75108.88</v>
      </c>
    </row>
    <row r="736" spans="1:5" x14ac:dyDescent="0.25">
      <c r="A736" s="323" t="s">
        <v>5218</v>
      </c>
      <c r="B736" s="323" t="s">
        <v>805</v>
      </c>
      <c r="C736" s="323">
        <v>31384</v>
      </c>
      <c r="D736" s="323">
        <v>482</v>
      </c>
      <c r="E736" s="324">
        <f t="shared" si="11"/>
        <v>117540.52</v>
      </c>
    </row>
    <row r="737" spans="1:5" x14ac:dyDescent="0.25">
      <c r="A737" s="323" t="s">
        <v>5230</v>
      </c>
      <c r="B737" s="323" t="s">
        <v>805</v>
      </c>
      <c r="C737" s="323">
        <v>31384</v>
      </c>
      <c r="D737" s="323">
        <v>321</v>
      </c>
      <c r="E737" s="324">
        <f t="shared" si="11"/>
        <v>78279.06</v>
      </c>
    </row>
    <row r="738" spans="1:5" x14ac:dyDescent="0.25">
      <c r="A738" s="323" t="s">
        <v>5234</v>
      </c>
      <c r="B738" s="323" t="s">
        <v>805</v>
      </c>
      <c r="C738" s="323">
        <v>31384</v>
      </c>
      <c r="D738" s="323">
        <v>141</v>
      </c>
      <c r="E738" s="324">
        <f t="shared" si="11"/>
        <v>34384.26</v>
      </c>
    </row>
    <row r="739" spans="1:5" x14ac:dyDescent="0.25">
      <c r="A739" s="323" t="s">
        <v>6075</v>
      </c>
      <c r="B739" s="323" t="s">
        <v>805</v>
      </c>
      <c r="C739" s="323">
        <v>31384</v>
      </c>
      <c r="D739" s="323">
        <v>194</v>
      </c>
      <c r="E739" s="324">
        <f t="shared" si="11"/>
        <v>47308.840000000004</v>
      </c>
    </row>
    <row r="740" spans="1:5" x14ac:dyDescent="0.25">
      <c r="A740" s="323" t="s">
        <v>6109</v>
      </c>
      <c r="B740" s="323" t="s">
        <v>805</v>
      </c>
      <c r="C740" s="323">
        <v>31384</v>
      </c>
      <c r="D740" s="323">
        <v>316</v>
      </c>
      <c r="E740" s="324">
        <f t="shared" si="11"/>
        <v>77059.760000000009</v>
      </c>
    </row>
    <row r="741" spans="1:5" x14ac:dyDescent="0.25">
      <c r="A741" s="323" t="s">
        <v>1499</v>
      </c>
      <c r="B741" s="323" t="s">
        <v>805</v>
      </c>
      <c r="C741" s="323">
        <v>31552</v>
      </c>
      <c r="D741" s="323">
        <v>206</v>
      </c>
      <c r="E741" s="324">
        <f t="shared" si="11"/>
        <v>50235.16</v>
      </c>
    </row>
    <row r="742" spans="1:5" x14ac:dyDescent="0.25">
      <c r="A742" s="323" t="s">
        <v>2207</v>
      </c>
      <c r="B742" s="323" t="s">
        <v>805</v>
      </c>
      <c r="C742" s="323">
        <v>31657</v>
      </c>
      <c r="D742" s="323">
        <v>369</v>
      </c>
      <c r="E742" s="324">
        <f t="shared" si="11"/>
        <v>89984.340000000011</v>
      </c>
    </row>
    <row r="743" spans="1:5" x14ac:dyDescent="0.25">
      <c r="A743" s="323" t="s">
        <v>2332</v>
      </c>
      <c r="B743" s="323" t="s">
        <v>805</v>
      </c>
      <c r="C743" s="323">
        <v>31657</v>
      </c>
      <c r="D743" s="323">
        <v>380</v>
      </c>
      <c r="E743" s="324">
        <f t="shared" si="11"/>
        <v>92666.8</v>
      </c>
    </row>
    <row r="744" spans="1:5" x14ac:dyDescent="0.25">
      <c r="A744" s="323" t="s">
        <v>2553</v>
      </c>
      <c r="B744" s="323" t="s">
        <v>805</v>
      </c>
      <c r="C744" s="323">
        <v>31657</v>
      </c>
      <c r="D744" s="323">
        <v>178</v>
      </c>
      <c r="E744" s="324">
        <f t="shared" si="11"/>
        <v>43407.08</v>
      </c>
    </row>
    <row r="745" spans="1:5" x14ac:dyDescent="0.25">
      <c r="A745" s="323" t="s">
        <v>2553</v>
      </c>
      <c r="B745" s="323" t="s">
        <v>805</v>
      </c>
      <c r="C745" s="323">
        <v>31657</v>
      </c>
      <c r="D745" s="323">
        <v>119</v>
      </c>
      <c r="E745" s="324">
        <f t="shared" si="11"/>
        <v>29019.34</v>
      </c>
    </row>
    <row r="746" spans="1:5" x14ac:dyDescent="0.25">
      <c r="A746" s="323" t="s">
        <v>2854</v>
      </c>
      <c r="B746" s="323" t="s">
        <v>805</v>
      </c>
      <c r="C746" s="323">
        <v>31657</v>
      </c>
      <c r="D746" s="323">
        <v>386</v>
      </c>
      <c r="E746" s="324">
        <f t="shared" si="11"/>
        <v>94129.96</v>
      </c>
    </row>
    <row r="747" spans="1:5" x14ac:dyDescent="0.25">
      <c r="A747" s="323" t="s">
        <v>3087</v>
      </c>
      <c r="B747" s="323" t="s">
        <v>805</v>
      </c>
      <c r="C747" s="323">
        <v>31657</v>
      </c>
      <c r="D747" s="323">
        <v>113</v>
      </c>
      <c r="E747" s="324">
        <f t="shared" si="11"/>
        <v>27556.18</v>
      </c>
    </row>
    <row r="748" spans="1:5" x14ac:dyDescent="0.25">
      <c r="A748" s="323" t="s">
        <v>3305</v>
      </c>
      <c r="B748" s="323" t="s">
        <v>805</v>
      </c>
      <c r="C748" s="323">
        <v>31657</v>
      </c>
      <c r="D748" s="323">
        <v>229</v>
      </c>
      <c r="E748" s="324">
        <f t="shared" si="11"/>
        <v>55843.94</v>
      </c>
    </row>
    <row r="749" spans="1:5" x14ac:dyDescent="0.25">
      <c r="A749" s="323" t="s">
        <v>4017</v>
      </c>
      <c r="B749" s="323" t="s">
        <v>805</v>
      </c>
      <c r="C749" s="323">
        <v>31657</v>
      </c>
      <c r="D749" s="323">
        <v>264</v>
      </c>
      <c r="E749" s="324">
        <f t="shared" si="11"/>
        <v>64379.040000000001</v>
      </c>
    </row>
    <row r="750" spans="1:5" x14ac:dyDescent="0.25">
      <c r="A750" s="323" t="s">
        <v>4030</v>
      </c>
      <c r="B750" s="323" t="s">
        <v>805</v>
      </c>
      <c r="C750" s="323">
        <v>31657</v>
      </c>
      <c r="D750" s="323">
        <v>202</v>
      </c>
      <c r="E750" s="324">
        <f t="shared" si="11"/>
        <v>49259.72</v>
      </c>
    </row>
    <row r="751" spans="1:5" x14ac:dyDescent="0.25">
      <c r="A751" s="323" t="s">
        <v>4163</v>
      </c>
      <c r="B751" s="323" t="s">
        <v>805</v>
      </c>
      <c r="C751" s="323">
        <v>31657</v>
      </c>
      <c r="D751" s="323">
        <v>319</v>
      </c>
      <c r="E751" s="324">
        <f t="shared" si="11"/>
        <v>77791.340000000011</v>
      </c>
    </row>
    <row r="752" spans="1:5" x14ac:dyDescent="0.25">
      <c r="A752" s="323" t="s">
        <v>7095</v>
      </c>
      <c r="B752" s="323" t="s">
        <v>805</v>
      </c>
      <c r="C752" s="323">
        <v>31657</v>
      </c>
      <c r="D752" s="323">
        <v>197</v>
      </c>
      <c r="E752" s="324">
        <f t="shared" si="11"/>
        <v>48040.420000000006</v>
      </c>
    </row>
    <row r="753" spans="1:5" x14ac:dyDescent="0.25">
      <c r="A753" s="323" t="s">
        <v>7375</v>
      </c>
      <c r="B753" s="323" t="s">
        <v>805</v>
      </c>
      <c r="C753" s="323">
        <v>31657</v>
      </c>
      <c r="D753" s="323">
        <v>404</v>
      </c>
      <c r="E753" s="324">
        <f t="shared" si="11"/>
        <v>98519.44</v>
      </c>
    </row>
    <row r="754" spans="1:5" x14ac:dyDescent="0.25">
      <c r="A754" s="323" t="s">
        <v>2671</v>
      </c>
      <c r="B754" s="323" t="s">
        <v>805</v>
      </c>
      <c r="C754" s="323">
        <v>31890</v>
      </c>
      <c r="D754" s="323">
        <v>164</v>
      </c>
      <c r="E754" s="324">
        <f t="shared" si="11"/>
        <v>39993.040000000001</v>
      </c>
    </row>
    <row r="755" spans="1:5" x14ac:dyDescent="0.25">
      <c r="A755" s="323" t="s">
        <v>2211</v>
      </c>
      <c r="B755" s="323" t="s">
        <v>805</v>
      </c>
      <c r="C755" s="323">
        <v>31969</v>
      </c>
      <c r="D755" s="323">
        <v>392</v>
      </c>
      <c r="E755" s="324">
        <f t="shared" si="11"/>
        <v>95593.12000000001</v>
      </c>
    </row>
    <row r="756" spans="1:5" x14ac:dyDescent="0.25">
      <c r="A756" s="323" t="s">
        <v>1171</v>
      </c>
      <c r="B756" s="323" t="s">
        <v>805</v>
      </c>
      <c r="C756" s="323">
        <v>32060</v>
      </c>
      <c r="D756" s="323">
        <v>242</v>
      </c>
      <c r="E756" s="324">
        <f t="shared" si="11"/>
        <v>59014.12</v>
      </c>
    </row>
    <row r="757" spans="1:5" x14ac:dyDescent="0.25">
      <c r="A757" s="323" t="s">
        <v>1665</v>
      </c>
      <c r="B757" s="323" t="s">
        <v>805</v>
      </c>
      <c r="C757" s="323">
        <v>32060</v>
      </c>
      <c r="D757" s="323">
        <v>260</v>
      </c>
      <c r="E757" s="324">
        <f t="shared" si="11"/>
        <v>63403.600000000006</v>
      </c>
    </row>
    <row r="758" spans="1:5" x14ac:dyDescent="0.25">
      <c r="A758" s="323" t="s">
        <v>2213</v>
      </c>
      <c r="B758" s="323" t="s">
        <v>805</v>
      </c>
      <c r="C758" s="323">
        <v>32060</v>
      </c>
      <c r="D758" s="323">
        <v>308</v>
      </c>
      <c r="E758" s="324">
        <f t="shared" si="11"/>
        <v>75108.88</v>
      </c>
    </row>
    <row r="759" spans="1:5" x14ac:dyDescent="0.25">
      <c r="A759" s="323" t="s">
        <v>2224</v>
      </c>
      <c r="B759" s="323" t="s">
        <v>805</v>
      </c>
      <c r="C759" s="323">
        <v>32060</v>
      </c>
      <c r="D759" s="323">
        <v>453</v>
      </c>
      <c r="E759" s="324">
        <f t="shared" si="11"/>
        <v>110468.58</v>
      </c>
    </row>
    <row r="760" spans="1:5" x14ac:dyDescent="0.25">
      <c r="A760" s="323" t="s">
        <v>3089</v>
      </c>
      <c r="B760" s="323" t="s">
        <v>805</v>
      </c>
      <c r="C760" s="323">
        <v>32060</v>
      </c>
      <c r="D760" s="323">
        <v>61</v>
      </c>
      <c r="E760" s="324">
        <f t="shared" si="11"/>
        <v>14875.460000000001</v>
      </c>
    </row>
    <row r="761" spans="1:5" x14ac:dyDescent="0.25">
      <c r="A761" s="323" t="s">
        <v>3185</v>
      </c>
      <c r="B761" s="323" t="s">
        <v>805</v>
      </c>
      <c r="C761" s="323">
        <v>32060</v>
      </c>
      <c r="D761" s="323">
        <v>337</v>
      </c>
      <c r="E761" s="324">
        <f t="shared" si="11"/>
        <v>82180.820000000007</v>
      </c>
    </row>
    <row r="762" spans="1:5" x14ac:dyDescent="0.25">
      <c r="A762" s="323" t="s">
        <v>3311</v>
      </c>
      <c r="B762" s="323" t="s">
        <v>805</v>
      </c>
      <c r="C762" s="323">
        <v>32060</v>
      </c>
      <c r="D762" s="323">
        <v>109</v>
      </c>
      <c r="E762" s="324">
        <f t="shared" si="11"/>
        <v>26580.74</v>
      </c>
    </row>
    <row r="763" spans="1:5" x14ac:dyDescent="0.25">
      <c r="A763" s="323" t="s">
        <v>2673</v>
      </c>
      <c r="B763" s="323" t="s">
        <v>805</v>
      </c>
      <c r="C763" s="323">
        <v>32072</v>
      </c>
      <c r="D763" s="323">
        <v>473</v>
      </c>
      <c r="E763" s="324">
        <f t="shared" si="11"/>
        <v>115345.78000000001</v>
      </c>
    </row>
    <row r="764" spans="1:5" x14ac:dyDescent="0.25">
      <c r="A764" s="323" t="s">
        <v>1335</v>
      </c>
      <c r="B764" s="323" t="s">
        <v>805</v>
      </c>
      <c r="C764" s="323">
        <v>32073</v>
      </c>
      <c r="D764" s="323">
        <v>64</v>
      </c>
      <c r="E764" s="324">
        <f t="shared" si="11"/>
        <v>15607.04</v>
      </c>
    </row>
    <row r="765" spans="1:5" x14ac:dyDescent="0.25">
      <c r="A765" s="323" t="s">
        <v>1490</v>
      </c>
      <c r="B765" s="323" t="s">
        <v>805</v>
      </c>
      <c r="C765" s="323">
        <v>32073</v>
      </c>
      <c r="D765" s="323">
        <v>152</v>
      </c>
      <c r="E765" s="324">
        <f t="shared" si="11"/>
        <v>37066.720000000001</v>
      </c>
    </row>
    <row r="766" spans="1:5" x14ac:dyDescent="0.25">
      <c r="A766" s="323" t="s">
        <v>1608</v>
      </c>
      <c r="B766" s="323" t="s">
        <v>805</v>
      </c>
      <c r="C766" s="323">
        <v>32073</v>
      </c>
      <c r="D766" s="323">
        <v>37</v>
      </c>
      <c r="E766" s="324">
        <f t="shared" si="11"/>
        <v>9022.82</v>
      </c>
    </row>
    <row r="767" spans="1:5" x14ac:dyDescent="0.25">
      <c r="A767" s="323" t="s">
        <v>1907</v>
      </c>
      <c r="B767" s="323" t="s">
        <v>805</v>
      </c>
      <c r="C767" s="323">
        <v>32073</v>
      </c>
      <c r="D767" s="323">
        <v>232</v>
      </c>
      <c r="E767" s="324">
        <f t="shared" si="11"/>
        <v>56575.520000000004</v>
      </c>
    </row>
    <row r="768" spans="1:5" x14ac:dyDescent="0.25">
      <c r="A768" s="323" t="s">
        <v>1913</v>
      </c>
      <c r="B768" s="323" t="s">
        <v>805</v>
      </c>
      <c r="C768" s="323">
        <v>32073</v>
      </c>
      <c r="D768" s="323">
        <v>95</v>
      </c>
      <c r="E768" s="324">
        <f t="shared" si="11"/>
        <v>23166.7</v>
      </c>
    </row>
    <row r="769" spans="1:5" x14ac:dyDescent="0.25">
      <c r="A769" s="323" t="s">
        <v>1965</v>
      </c>
      <c r="B769" s="323" t="s">
        <v>805</v>
      </c>
      <c r="C769" s="323">
        <v>32073</v>
      </c>
      <c r="D769" s="323">
        <v>208</v>
      </c>
      <c r="E769" s="324">
        <f t="shared" si="11"/>
        <v>50722.880000000005</v>
      </c>
    </row>
    <row r="770" spans="1:5" x14ac:dyDescent="0.25">
      <c r="A770" s="323" t="s">
        <v>1966</v>
      </c>
      <c r="B770" s="323" t="s">
        <v>805</v>
      </c>
      <c r="C770" s="323">
        <v>32073</v>
      </c>
      <c r="D770" s="323">
        <v>45</v>
      </c>
      <c r="E770" s="324">
        <f t="shared" ref="E770:E833" si="12">D770*IF(B770=$G$9,WerkdrukbedragPerLeerlingBo,IF(B770=$G$10,WerkdrukbedragPerLeerlingSbo,IF(B770=$G$11,WerkdrukbedragPerLeerlingSo,IF(B770=$G$12,WerkdrukbedragPerLeerlingVso,0))))</f>
        <v>10973.7</v>
      </c>
    </row>
    <row r="771" spans="1:5" x14ac:dyDescent="0.25">
      <c r="A771" s="323" t="s">
        <v>2007</v>
      </c>
      <c r="B771" s="323" t="s">
        <v>805</v>
      </c>
      <c r="C771" s="323">
        <v>32073</v>
      </c>
      <c r="D771" s="323">
        <v>49</v>
      </c>
      <c r="E771" s="324">
        <f t="shared" si="12"/>
        <v>11949.140000000001</v>
      </c>
    </row>
    <row r="772" spans="1:5" x14ac:dyDescent="0.25">
      <c r="A772" s="323" t="s">
        <v>2010</v>
      </c>
      <c r="B772" s="323" t="s">
        <v>805</v>
      </c>
      <c r="C772" s="323">
        <v>32073</v>
      </c>
      <c r="D772" s="323">
        <v>72</v>
      </c>
      <c r="E772" s="324">
        <f t="shared" si="12"/>
        <v>17557.920000000002</v>
      </c>
    </row>
    <row r="773" spans="1:5" x14ac:dyDescent="0.25">
      <c r="A773" s="323" t="s">
        <v>2214</v>
      </c>
      <c r="B773" s="323" t="s">
        <v>805</v>
      </c>
      <c r="C773" s="323">
        <v>32073</v>
      </c>
      <c r="D773" s="323">
        <v>140</v>
      </c>
      <c r="E773" s="324">
        <f t="shared" si="12"/>
        <v>34140.400000000001</v>
      </c>
    </row>
    <row r="774" spans="1:5" x14ac:dyDescent="0.25">
      <c r="A774" s="323" t="s">
        <v>2219</v>
      </c>
      <c r="B774" s="323" t="s">
        <v>805</v>
      </c>
      <c r="C774" s="323">
        <v>32073</v>
      </c>
      <c r="D774" s="323">
        <v>114</v>
      </c>
      <c r="E774" s="324">
        <f t="shared" si="12"/>
        <v>27800.04</v>
      </c>
    </row>
    <row r="775" spans="1:5" x14ac:dyDescent="0.25">
      <c r="A775" s="323" t="s">
        <v>2289</v>
      </c>
      <c r="B775" s="323" t="s">
        <v>805</v>
      </c>
      <c r="C775" s="323">
        <v>32073</v>
      </c>
      <c r="D775" s="323">
        <v>51</v>
      </c>
      <c r="E775" s="324">
        <f t="shared" si="12"/>
        <v>12436.86</v>
      </c>
    </row>
    <row r="776" spans="1:5" x14ac:dyDescent="0.25">
      <c r="A776" s="323" t="s">
        <v>2548</v>
      </c>
      <c r="B776" s="323" t="s">
        <v>805</v>
      </c>
      <c r="C776" s="323">
        <v>32073</v>
      </c>
      <c r="D776" s="323">
        <v>148</v>
      </c>
      <c r="E776" s="324">
        <f t="shared" si="12"/>
        <v>36091.279999999999</v>
      </c>
    </row>
    <row r="777" spans="1:5" x14ac:dyDescent="0.25">
      <c r="A777" s="323" t="s">
        <v>2742</v>
      </c>
      <c r="B777" s="323" t="s">
        <v>805</v>
      </c>
      <c r="C777" s="323">
        <v>32073</v>
      </c>
      <c r="D777" s="323">
        <v>196</v>
      </c>
      <c r="E777" s="324">
        <f t="shared" si="12"/>
        <v>47796.560000000005</v>
      </c>
    </row>
    <row r="778" spans="1:5" x14ac:dyDescent="0.25">
      <c r="A778" s="323" t="s">
        <v>3157</v>
      </c>
      <c r="B778" s="323" t="s">
        <v>805</v>
      </c>
      <c r="C778" s="323">
        <v>32073</v>
      </c>
      <c r="D778" s="323">
        <v>232</v>
      </c>
      <c r="E778" s="324">
        <f t="shared" si="12"/>
        <v>56575.520000000004</v>
      </c>
    </row>
    <row r="779" spans="1:5" x14ac:dyDescent="0.25">
      <c r="A779" s="323" t="s">
        <v>3453</v>
      </c>
      <c r="B779" s="323" t="s">
        <v>805</v>
      </c>
      <c r="C779" s="323">
        <v>32073</v>
      </c>
      <c r="D779" s="323">
        <v>178</v>
      </c>
      <c r="E779" s="324">
        <f t="shared" si="12"/>
        <v>43407.08</v>
      </c>
    </row>
    <row r="780" spans="1:5" x14ac:dyDescent="0.25">
      <c r="A780" s="323" t="s">
        <v>3526</v>
      </c>
      <c r="B780" s="323" t="s">
        <v>805</v>
      </c>
      <c r="C780" s="323">
        <v>32073</v>
      </c>
      <c r="D780" s="323">
        <v>84</v>
      </c>
      <c r="E780" s="324">
        <f t="shared" si="12"/>
        <v>20484.240000000002</v>
      </c>
    </row>
    <row r="781" spans="1:5" x14ac:dyDescent="0.25">
      <c r="A781" s="323" t="s">
        <v>3767</v>
      </c>
      <c r="B781" s="323" t="s">
        <v>805</v>
      </c>
      <c r="C781" s="323">
        <v>32073</v>
      </c>
      <c r="D781" s="323">
        <v>125</v>
      </c>
      <c r="E781" s="324">
        <f t="shared" si="12"/>
        <v>30482.5</v>
      </c>
    </row>
    <row r="782" spans="1:5" x14ac:dyDescent="0.25">
      <c r="A782" s="323" t="s">
        <v>3788</v>
      </c>
      <c r="B782" s="323" t="s">
        <v>805</v>
      </c>
      <c r="C782" s="323">
        <v>32073</v>
      </c>
      <c r="D782" s="323">
        <v>265</v>
      </c>
      <c r="E782" s="324">
        <f t="shared" si="12"/>
        <v>64622.9</v>
      </c>
    </row>
    <row r="783" spans="1:5" x14ac:dyDescent="0.25">
      <c r="A783" s="323" t="s">
        <v>3962</v>
      </c>
      <c r="B783" s="323" t="s">
        <v>805</v>
      </c>
      <c r="C783" s="323">
        <v>32073</v>
      </c>
      <c r="D783" s="323">
        <v>126</v>
      </c>
      <c r="E783" s="324">
        <f t="shared" si="12"/>
        <v>30726.36</v>
      </c>
    </row>
    <row r="784" spans="1:5" x14ac:dyDescent="0.25">
      <c r="A784" s="323" t="s">
        <v>4100</v>
      </c>
      <c r="B784" s="323" t="s">
        <v>805</v>
      </c>
      <c r="C784" s="323">
        <v>32073</v>
      </c>
      <c r="D784" s="323">
        <v>180</v>
      </c>
      <c r="E784" s="324">
        <f t="shared" si="12"/>
        <v>43894.8</v>
      </c>
    </row>
    <row r="785" spans="1:5" x14ac:dyDescent="0.25">
      <c r="A785" s="323" t="s">
        <v>4242</v>
      </c>
      <c r="B785" s="323" t="s">
        <v>805</v>
      </c>
      <c r="C785" s="323">
        <v>32073</v>
      </c>
      <c r="D785" s="323">
        <v>255</v>
      </c>
      <c r="E785" s="324">
        <f t="shared" si="12"/>
        <v>62184.3</v>
      </c>
    </row>
    <row r="786" spans="1:5" x14ac:dyDescent="0.25">
      <c r="A786" s="323" t="s">
        <v>4462</v>
      </c>
      <c r="B786" s="323" t="s">
        <v>805</v>
      </c>
      <c r="C786" s="323">
        <v>32073</v>
      </c>
      <c r="D786" s="323">
        <v>341</v>
      </c>
      <c r="E786" s="324">
        <f t="shared" si="12"/>
        <v>83156.260000000009</v>
      </c>
    </row>
    <row r="787" spans="1:5" x14ac:dyDescent="0.25">
      <c r="A787" s="323" t="s">
        <v>5174</v>
      </c>
      <c r="B787" s="323" t="s">
        <v>805</v>
      </c>
      <c r="C787" s="323">
        <v>32073</v>
      </c>
      <c r="D787" s="323">
        <v>123</v>
      </c>
      <c r="E787" s="324">
        <f t="shared" si="12"/>
        <v>29994.780000000002</v>
      </c>
    </row>
    <row r="788" spans="1:5" x14ac:dyDescent="0.25">
      <c r="A788" s="323" t="s">
        <v>6747</v>
      </c>
      <c r="B788" s="323" t="s">
        <v>805</v>
      </c>
      <c r="C788" s="323">
        <v>32073</v>
      </c>
      <c r="D788" s="323">
        <v>363</v>
      </c>
      <c r="E788" s="324">
        <f t="shared" si="12"/>
        <v>88521.180000000008</v>
      </c>
    </row>
    <row r="789" spans="1:5" x14ac:dyDescent="0.25">
      <c r="A789" s="323" t="s">
        <v>6794</v>
      </c>
      <c r="B789" s="323" t="s">
        <v>805</v>
      </c>
      <c r="C789" s="323">
        <v>32073</v>
      </c>
      <c r="D789" s="323">
        <v>243</v>
      </c>
      <c r="E789" s="324">
        <f t="shared" si="12"/>
        <v>59257.98</v>
      </c>
    </row>
    <row r="790" spans="1:5" x14ac:dyDescent="0.25">
      <c r="A790" s="323" t="s">
        <v>6945</v>
      </c>
      <c r="B790" s="323" t="s">
        <v>816</v>
      </c>
      <c r="C790" s="323">
        <v>32073</v>
      </c>
      <c r="D790" s="323">
        <v>96</v>
      </c>
      <c r="E790" s="324">
        <f t="shared" si="12"/>
        <v>35115.840000000004</v>
      </c>
    </row>
    <row r="791" spans="1:5" x14ac:dyDescent="0.25">
      <c r="A791" s="323" t="s">
        <v>7209</v>
      </c>
      <c r="B791" s="323" t="s">
        <v>805</v>
      </c>
      <c r="C791" s="323">
        <v>32073</v>
      </c>
      <c r="D791" s="323">
        <v>242</v>
      </c>
      <c r="E791" s="324">
        <f t="shared" si="12"/>
        <v>59014.12</v>
      </c>
    </row>
    <row r="792" spans="1:5" x14ac:dyDescent="0.25">
      <c r="A792" s="323" t="s">
        <v>7299</v>
      </c>
      <c r="B792" s="323" t="s">
        <v>805</v>
      </c>
      <c r="C792" s="323">
        <v>32073</v>
      </c>
      <c r="D792" s="323">
        <v>479</v>
      </c>
      <c r="E792" s="324">
        <f t="shared" si="12"/>
        <v>116808.94</v>
      </c>
    </row>
    <row r="793" spans="1:5" x14ac:dyDescent="0.25">
      <c r="A793" s="323" t="s">
        <v>7491</v>
      </c>
      <c r="B793" s="323" t="s">
        <v>805</v>
      </c>
      <c r="C793" s="323">
        <v>32073</v>
      </c>
      <c r="D793" s="323">
        <v>240</v>
      </c>
      <c r="E793" s="324">
        <f t="shared" si="12"/>
        <v>58526.400000000001</v>
      </c>
    </row>
    <row r="794" spans="1:5" x14ac:dyDescent="0.25">
      <c r="A794" s="323" t="s">
        <v>1148</v>
      </c>
      <c r="B794" s="323" t="s">
        <v>805</v>
      </c>
      <c r="C794" s="323">
        <v>32099</v>
      </c>
      <c r="D794" s="323">
        <v>646</v>
      </c>
      <c r="E794" s="324">
        <f t="shared" si="12"/>
        <v>157533.56</v>
      </c>
    </row>
    <row r="795" spans="1:5" x14ac:dyDescent="0.25">
      <c r="A795" s="323" t="s">
        <v>1447</v>
      </c>
      <c r="B795" s="323" t="s">
        <v>805</v>
      </c>
      <c r="C795" s="323">
        <v>32099</v>
      </c>
      <c r="D795" s="323">
        <v>711</v>
      </c>
      <c r="E795" s="324">
        <f t="shared" si="12"/>
        <v>173384.46000000002</v>
      </c>
    </row>
    <row r="796" spans="1:5" x14ac:dyDescent="0.25">
      <c r="A796" s="323" t="s">
        <v>1447</v>
      </c>
      <c r="B796" s="323" t="s">
        <v>805</v>
      </c>
      <c r="C796" s="323">
        <v>32099</v>
      </c>
      <c r="D796" s="323">
        <v>62</v>
      </c>
      <c r="E796" s="324">
        <f t="shared" si="12"/>
        <v>15119.320000000002</v>
      </c>
    </row>
    <row r="797" spans="1:5" x14ac:dyDescent="0.25">
      <c r="A797" s="323" t="s">
        <v>7226</v>
      </c>
      <c r="B797" s="323" t="s">
        <v>805</v>
      </c>
      <c r="C797" s="323">
        <v>32099</v>
      </c>
      <c r="D797" s="323">
        <v>412</v>
      </c>
      <c r="E797" s="324">
        <f t="shared" si="12"/>
        <v>100470.32</v>
      </c>
    </row>
    <row r="798" spans="1:5" x14ac:dyDescent="0.25">
      <c r="A798" s="323" t="s">
        <v>7315</v>
      </c>
      <c r="B798" s="323" t="s">
        <v>805</v>
      </c>
      <c r="C798" s="323">
        <v>32099</v>
      </c>
      <c r="D798" s="323">
        <v>1356</v>
      </c>
      <c r="E798" s="324">
        <f t="shared" si="12"/>
        <v>330674.16000000003</v>
      </c>
    </row>
    <row r="799" spans="1:5" x14ac:dyDescent="0.25">
      <c r="A799" s="323" t="s">
        <v>1661</v>
      </c>
      <c r="B799" s="323" t="s">
        <v>805</v>
      </c>
      <c r="C799" s="323">
        <v>32177</v>
      </c>
      <c r="D799" s="323">
        <v>126</v>
      </c>
      <c r="E799" s="324">
        <f t="shared" si="12"/>
        <v>30726.36</v>
      </c>
    </row>
    <row r="800" spans="1:5" x14ac:dyDescent="0.25">
      <c r="A800" s="323" t="s">
        <v>2089</v>
      </c>
      <c r="B800" s="323" t="s">
        <v>805</v>
      </c>
      <c r="C800" s="323">
        <v>32177</v>
      </c>
      <c r="D800" s="323">
        <v>144</v>
      </c>
      <c r="E800" s="324">
        <f t="shared" si="12"/>
        <v>35115.840000000004</v>
      </c>
    </row>
    <row r="801" spans="1:5" x14ac:dyDescent="0.25">
      <c r="A801" s="323" t="s">
        <v>3972</v>
      </c>
      <c r="B801" s="323" t="s">
        <v>805</v>
      </c>
      <c r="C801" s="323">
        <v>32177</v>
      </c>
      <c r="D801" s="323">
        <v>175</v>
      </c>
      <c r="E801" s="324">
        <f t="shared" si="12"/>
        <v>42675.5</v>
      </c>
    </row>
    <row r="802" spans="1:5" x14ac:dyDescent="0.25">
      <c r="A802" s="323" t="s">
        <v>3972</v>
      </c>
      <c r="B802" s="323" t="s">
        <v>805</v>
      </c>
      <c r="C802" s="323">
        <v>32177</v>
      </c>
      <c r="D802" s="323">
        <v>51</v>
      </c>
      <c r="E802" s="324">
        <f t="shared" si="12"/>
        <v>12436.86</v>
      </c>
    </row>
    <row r="803" spans="1:5" x14ac:dyDescent="0.25">
      <c r="A803" s="323" t="s">
        <v>4243</v>
      </c>
      <c r="B803" s="323" t="s">
        <v>805</v>
      </c>
      <c r="C803" s="323">
        <v>32177</v>
      </c>
      <c r="D803" s="323">
        <v>230</v>
      </c>
      <c r="E803" s="324">
        <f t="shared" si="12"/>
        <v>56087.8</v>
      </c>
    </row>
    <row r="804" spans="1:5" x14ac:dyDescent="0.25">
      <c r="A804" s="323" t="s">
        <v>4463</v>
      </c>
      <c r="B804" s="323" t="s">
        <v>805</v>
      </c>
      <c r="C804" s="323">
        <v>32177</v>
      </c>
      <c r="D804" s="323">
        <v>145</v>
      </c>
      <c r="E804" s="324">
        <f t="shared" si="12"/>
        <v>35359.700000000004</v>
      </c>
    </row>
    <row r="805" spans="1:5" x14ac:dyDescent="0.25">
      <c r="A805" s="323" t="s">
        <v>4571</v>
      </c>
      <c r="B805" s="323" t="s">
        <v>805</v>
      </c>
      <c r="C805" s="323">
        <v>32177</v>
      </c>
      <c r="D805" s="323">
        <v>271</v>
      </c>
      <c r="E805" s="324">
        <f t="shared" si="12"/>
        <v>66086.06</v>
      </c>
    </row>
    <row r="806" spans="1:5" x14ac:dyDescent="0.25">
      <c r="A806" s="323" t="s">
        <v>4657</v>
      </c>
      <c r="B806" s="323" t="s">
        <v>805</v>
      </c>
      <c r="C806" s="323">
        <v>32177</v>
      </c>
      <c r="D806" s="323">
        <v>197</v>
      </c>
      <c r="E806" s="324">
        <f t="shared" si="12"/>
        <v>48040.420000000006</v>
      </c>
    </row>
    <row r="807" spans="1:5" x14ac:dyDescent="0.25">
      <c r="A807" s="323" t="s">
        <v>4719</v>
      </c>
      <c r="B807" s="323" t="s">
        <v>805</v>
      </c>
      <c r="C807" s="323">
        <v>32177</v>
      </c>
      <c r="D807" s="323">
        <v>130</v>
      </c>
      <c r="E807" s="324">
        <f t="shared" si="12"/>
        <v>31701.800000000003</v>
      </c>
    </row>
    <row r="808" spans="1:5" x14ac:dyDescent="0.25">
      <c r="A808" s="323" t="s">
        <v>4791</v>
      </c>
      <c r="B808" s="323" t="s">
        <v>805</v>
      </c>
      <c r="C808" s="323">
        <v>32177</v>
      </c>
      <c r="D808" s="323">
        <v>237</v>
      </c>
      <c r="E808" s="324">
        <f t="shared" si="12"/>
        <v>57794.82</v>
      </c>
    </row>
    <row r="809" spans="1:5" x14ac:dyDescent="0.25">
      <c r="A809" s="323" t="s">
        <v>6631</v>
      </c>
      <c r="B809" s="323" t="s">
        <v>816</v>
      </c>
      <c r="C809" s="323">
        <v>32177</v>
      </c>
      <c r="D809" s="323">
        <v>93</v>
      </c>
      <c r="E809" s="324">
        <f t="shared" si="12"/>
        <v>34018.47</v>
      </c>
    </row>
    <row r="810" spans="1:5" x14ac:dyDescent="0.25">
      <c r="A810" s="323" t="s">
        <v>6822</v>
      </c>
      <c r="B810" s="323" t="s">
        <v>805</v>
      </c>
      <c r="C810" s="323">
        <v>32177</v>
      </c>
      <c r="D810" s="323">
        <v>257</v>
      </c>
      <c r="E810" s="324">
        <f t="shared" si="12"/>
        <v>62672.020000000004</v>
      </c>
    </row>
    <row r="811" spans="1:5" x14ac:dyDescent="0.25">
      <c r="A811" s="323" t="s">
        <v>7041</v>
      </c>
      <c r="B811" s="323" t="s">
        <v>805</v>
      </c>
      <c r="C811" s="323">
        <v>32177</v>
      </c>
      <c r="D811" s="323">
        <v>405</v>
      </c>
      <c r="E811" s="324">
        <f t="shared" si="12"/>
        <v>98763.3</v>
      </c>
    </row>
    <row r="812" spans="1:5" x14ac:dyDescent="0.25">
      <c r="A812" s="323" t="s">
        <v>7368</v>
      </c>
      <c r="B812" s="323" t="s">
        <v>805</v>
      </c>
      <c r="C812" s="323">
        <v>32177</v>
      </c>
      <c r="D812" s="323">
        <v>288</v>
      </c>
      <c r="E812" s="324">
        <f t="shared" si="12"/>
        <v>70231.680000000008</v>
      </c>
    </row>
    <row r="813" spans="1:5" x14ac:dyDescent="0.25">
      <c r="A813" s="323" t="s">
        <v>1503</v>
      </c>
      <c r="B813" s="323" t="s">
        <v>805</v>
      </c>
      <c r="C813" s="323">
        <v>32202</v>
      </c>
      <c r="D813" s="323">
        <v>283</v>
      </c>
      <c r="E813" s="324">
        <f t="shared" si="12"/>
        <v>69012.38</v>
      </c>
    </row>
    <row r="814" spans="1:5" x14ac:dyDescent="0.25">
      <c r="A814" s="323" t="s">
        <v>1149</v>
      </c>
      <c r="B814" s="323" t="s">
        <v>805</v>
      </c>
      <c r="C814" s="323">
        <v>32203</v>
      </c>
      <c r="D814" s="323">
        <v>788</v>
      </c>
      <c r="E814" s="324">
        <f t="shared" si="12"/>
        <v>192161.68000000002</v>
      </c>
    </row>
    <row r="815" spans="1:5" x14ac:dyDescent="0.25">
      <c r="A815" s="323" t="s">
        <v>870</v>
      </c>
      <c r="B815" s="323" t="s">
        <v>809</v>
      </c>
      <c r="C815" s="323">
        <v>32216</v>
      </c>
      <c r="D815" s="323">
        <v>118</v>
      </c>
      <c r="E815" s="324">
        <f t="shared" si="12"/>
        <v>57550.960000000006</v>
      </c>
    </row>
    <row r="816" spans="1:5" x14ac:dyDescent="0.25">
      <c r="A816" s="323" t="s">
        <v>870</v>
      </c>
      <c r="B816" s="323" t="s">
        <v>809</v>
      </c>
      <c r="C816" s="323">
        <v>32216</v>
      </c>
      <c r="D816" s="323">
        <v>52</v>
      </c>
      <c r="E816" s="324">
        <f t="shared" si="12"/>
        <v>25361.440000000002</v>
      </c>
    </row>
    <row r="817" spans="1:5" x14ac:dyDescent="0.25">
      <c r="A817" s="323" t="s">
        <v>870</v>
      </c>
      <c r="B817" s="323" t="s">
        <v>809</v>
      </c>
      <c r="C817" s="323">
        <v>32216</v>
      </c>
      <c r="D817" s="323">
        <v>75</v>
      </c>
      <c r="E817" s="324">
        <f t="shared" si="12"/>
        <v>36579</v>
      </c>
    </row>
    <row r="818" spans="1:5" x14ac:dyDescent="0.25">
      <c r="A818" s="323" t="s">
        <v>5111</v>
      </c>
      <c r="B818" s="323" t="s">
        <v>809</v>
      </c>
      <c r="C818" s="323">
        <v>32216</v>
      </c>
      <c r="D818" s="323">
        <v>167</v>
      </c>
      <c r="E818" s="324">
        <f t="shared" si="12"/>
        <v>81449.240000000005</v>
      </c>
    </row>
    <row r="819" spans="1:5" x14ac:dyDescent="0.25">
      <c r="A819" s="323" t="s">
        <v>2215</v>
      </c>
      <c r="B819" s="323" t="s">
        <v>805</v>
      </c>
      <c r="C819" s="323">
        <v>32515</v>
      </c>
      <c r="D819" s="323">
        <v>210</v>
      </c>
      <c r="E819" s="324">
        <f t="shared" si="12"/>
        <v>51210.600000000006</v>
      </c>
    </row>
    <row r="820" spans="1:5" x14ac:dyDescent="0.25">
      <c r="A820" s="323" t="s">
        <v>994</v>
      </c>
      <c r="B820" s="323" t="s">
        <v>816</v>
      </c>
      <c r="C820" s="323">
        <v>32580</v>
      </c>
      <c r="D820" s="323">
        <v>144</v>
      </c>
      <c r="E820" s="324">
        <f t="shared" si="12"/>
        <v>52673.760000000002</v>
      </c>
    </row>
    <row r="821" spans="1:5" x14ac:dyDescent="0.25">
      <c r="A821" s="323" t="s">
        <v>1483</v>
      </c>
      <c r="B821" s="323" t="s">
        <v>805</v>
      </c>
      <c r="C821" s="323">
        <v>32580</v>
      </c>
      <c r="D821" s="323">
        <v>106</v>
      </c>
      <c r="E821" s="324">
        <f t="shared" si="12"/>
        <v>25849.16</v>
      </c>
    </row>
    <row r="822" spans="1:5" x14ac:dyDescent="0.25">
      <c r="A822" s="323" t="s">
        <v>1587</v>
      </c>
      <c r="B822" s="323" t="s">
        <v>805</v>
      </c>
      <c r="C822" s="323">
        <v>32580</v>
      </c>
      <c r="D822" s="323">
        <v>189</v>
      </c>
      <c r="E822" s="324">
        <f t="shared" si="12"/>
        <v>46089.54</v>
      </c>
    </row>
    <row r="823" spans="1:5" x14ac:dyDescent="0.25">
      <c r="A823" s="323" t="s">
        <v>2396</v>
      </c>
      <c r="B823" s="323" t="s">
        <v>805</v>
      </c>
      <c r="C823" s="323">
        <v>32580</v>
      </c>
      <c r="D823" s="323">
        <v>345</v>
      </c>
      <c r="E823" s="324">
        <f t="shared" si="12"/>
        <v>84131.700000000012</v>
      </c>
    </row>
    <row r="824" spans="1:5" x14ac:dyDescent="0.25">
      <c r="A824" s="323" t="s">
        <v>3454</v>
      </c>
      <c r="B824" s="323" t="s">
        <v>805</v>
      </c>
      <c r="C824" s="323">
        <v>32580</v>
      </c>
      <c r="D824" s="323">
        <v>202</v>
      </c>
      <c r="E824" s="324">
        <f t="shared" si="12"/>
        <v>49259.72</v>
      </c>
    </row>
    <row r="825" spans="1:5" x14ac:dyDescent="0.25">
      <c r="A825" s="323" t="s">
        <v>3827</v>
      </c>
      <c r="B825" s="323" t="s">
        <v>805</v>
      </c>
      <c r="C825" s="323">
        <v>32580</v>
      </c>
      <c r="D825" s="323">
        <v>138</v>
      </c>
      <c r="E825" s="324">
        <f t="shared" si="12"/>
        <v>33652.68</v>
      </c>
    </row>
    <row r="826" spans="1:5" x14ac:dyDescent="0.25">
      <c r="A826" s="323" t="s">
        <v>3937</v>
      </c>
      <c r="B826" s="323" t="s">
        <v>805</v>
      </c>
      <c r="C826" s="323">
        <v>32580</v>
      </c>
      <c r="D826" s="323">
        <v>479</v>
      </c>
      <c r="E826" s="324">
        <f t="shared" si="12"/>
        <v>116808.94</v>
      </c>
    </row>
    <row r="827" spans="1:5" x14ac:dyDescent="0.25">
      <c r="A827" s="323" t="s">
        <v>4101</v>
      </c>
      <c r="B827" s="323" t="s">
        <v>805</v>
      </c>
      <c r="C827" s="323">
        <v>32580</v>
      </c>
      <c r="D827" s="323">
        <v>119</v>
      </c>
      <c r="E827" s="324">
        <f t="shared" si="12"/>
        <v>29019.34</v>
      </c>
    </row>
    <row r="828" spans="1:5" x14ac:dyDescent="0.25">
      <c r="A828" s="323" t="s">
        <v>4164</v>
      </c>
      <c r="B828" s="323" t="s">
        <v>805</v>
      </c>
      <c r="C828" s="323">
        <v>32580</v>
      </c>
      <c r="D828" s="323">
        <v>415</v>
      </c>
      <c r="E828" s="324">
        <f t="shared" si="12"/>
        <v>101201.90000000001</v>
      </c>
    </row>
    <row r="829" spans="1:5" x14ac:dyDescent="0.25">
      <c r="A829" s="323" t="s">
        <v>4244</v>
      </c>
      <c r="B829" s="323" t="s">
        <v>805</v>
      </c>
      <c r="C829" s="323">
        <v>32580</v>
      </c>
      <c r="D829" s="323">
        <v>102</v>
      </c>
      <c r="E829" s="324">
        <f t="shared" si="12"/>
        <v>24873.72</v>
      </c>
    </row>
    <row r="830" spans="1:5" x14ac:dyDescent="0.25">
      <c r="A830" s="323" t="s">
        <v>4294</v>
      </c>
      <c r="B830" s="323" t="s">
        <v>805</v>
      </c>
      <c r="C830" s="323">
        <v>32580</v>
      </c>
      <c r="D830" s="323">
        <v>167</v>
      </c>
      <c r="E830" s="324">
        <f t="shared" si="12"/>
        <v>40724.620000000003</v>
      </c>
    </row>
    <row r="831" spans="1:5" x14ac:dyDescent="0.25">
      <c r="A831" s="323" t="s">
        <v>4352</v>
      </c>
      <c r="B831" s="323" t="s">
        <v>805</v>
      </c>
      <c r="C831" s="323">
        <v>32580</v>
      </c>
      <c r="D831" s="323">
        <v>129</v>
      </c>
      <c r="E831" s="324">
        <f t="shared" si="12"/>
        <v>31457.940000000002</v>
      </c>
    </row>
    <row r="832" spans="1:5" x14ac:dyDescent="0.25">
      <c r="A832" s="323" t="s">
        <v>4464</v>
      </c>
      <c r="B832" s="323" t="s">
        <v>805</v>
      </c>
      <c r="C832" s="323">
        <v>32580</v>
      </c>
      <c r="D832" s="323">
        <v>341</v>
      </c>
      <c r="E832" s="324">
        <f t="shared" si="12"/>
        <v>83156.260000000009</v>
      </c>
    </row>
    <row r="833" spans="1:5" x14ac:dyDescent="0.25">
      <c r="A833" s="323" t="s">
        <v>1261</v>
      </c>
      <c r="B833" s="323" t="s">
        <v>805</v>
      </c>
      <c r="C833" s="323">
        <v>32631</v>
      </c>
      <c r="D833" s="323">
        <v>242</v>
      </c>
      <c r="E833" s="324">
        <f t="shared" si="12"/>
        <v>59014.12</v>
      </c>
    </row>
    <row r="834" spans="1:5" x14ac:dyDescent="0.25">
      <c r="A834" s="323" t="s">
        <v>1558</v>
      </c>
      <c r="B834" s="323" t="s">
        <v>805</v>
      </c>
      <c r="C834" s="323">
        <v>32631</v>
      </c>
      <c r="D834" s="323">
        <v>408</v>
      </c>
      <c r="E834" s="324">
        <f t="shared" ref="E834:E897" si="13">D834*IF(B834=$G$9,WerkdrukbedragPerLeerlingBo,IF(B834=$G$10,WerkdrukbedragPerLeerlingSbo,IF(B834=$G$11,WerkdrukbedragPerLeerlingSo,IF(B834=$G$12,WerkdrukbedragPerLeerlingVso,0))))</f>
        <v>99494.88</v>
      </c>
    </row>
    <row r="835" spans="1:5" x14ac:dyDescent="0.25">
      <c r="A835" s="323" t="s">
        <v>1604</v>
      </c>
      <c r="B835" s="323" t="s">
        <v>805</v>
      </c>
      <c r="C835" s="323">
        <v>32631</v>
      </c>
      <c r="D835" s="323">
        <v>52</v>
      </c>
      <c r="E835" s="324">
        <f t="shared" si="13"/>
        <v>12680.720000000001</v>
      </c>
    </row>
    <row r="836" spans="1:5" x14ac:dyDescent="0.25">
      <c r="A836" s="323" t="s">
        <v>2280</v>
      </c>
      <c r="B836" s="323" t="s">
        <v>805</v>
      </c>
      <c r="C836" s="323">
        <v>32631</v>
      </c>
      <c r="D836" s="323">
        <v>312</v>
      </c>
      <c r="E836" s="324">
        <f t="shared" si="13"/>
        <v>76084.320000000007</v>
      </c>
    </row>
    <row r="837" spans="1:5" x14ac:dyDescent="0.25">
      <c r="A837" s="323" t="s">
        <v>2582</v>
      </c>
      <c r="B837" s="323" t="s">
        <v>805</v>
      </c>
      <c r="C837" s="323">
        <v>32631</v>
      </c>
      <c r="D837" s="323">
        <v>80</v>
      </c>
      <c r="E837" s="324">
        <f t="shared" si="13"/>
        <v>19508.800000000003</v>
      </c>
    </row>
    <row r="838" spans="1:5" x14ac:dyDescent="0.25">
      <c r="A838" s="323" t="s">
        <v>2678</v>
      </c>
      <c r="B838" s="323" t="s">
        <v>805</v>
      </c>
      <c r="C838" s="323">
        <v>32631</v>
      </c>
      <c r="D838" s="323">
        <v>91</v>
      </c>
      <c r="E838" s="324">
        <f t="shared" si="13"/>
        <v>22191.260000000002</v>
      </c>
    </row>
    <row r="839" spans="1:5" x14ac:dyDescent="0.25">
      <c r="A839" s="323" t="s">
        <v>2681</v>
      </c>
      <c r="B839" s="323" t="s">
        <v>805</v>
      </c>
      <c r="C839" s="323">
        <v>32813</v>
      </c>
      <c r="D839" s="323">
        <v>154</v>
      </c>
      <c r="E839" s="324">
        <f t="shared" si="13"/>
        <v>37554.44</v>
      </c>
    </row>
    <row r="840" spans="1:5" x14ac:dyDescent="0.25">
      <c r="A840" s="323" t="s">
        <v>1512</v>
      </c>
      <c r="B840" s="323" t="s">
        <v>805</v>
      </c>
      <c r="C840" s="323">
        <v>33034</v>
      </c>
      <c r="D840" s="323">
        <v>200</v>
      </c>
      <c r="E840" s="324">
        <f t="shared" si="13"/>
        <v>48772</v>
      </c>
    </row>
    <row r="841" spans="1:5" x14ac:dyDescent="0.25">
      <c r="A841" s="323" t="s">
        <v>1513</v>
      </c>
      <c r="B841" s="323" t="s">
        <v>805</v>
      </c>
      <c r="C841" s="323">
        <v>33151</v>
      </c>
      <c r="D841" s="323">
        <v>230</v>
      </c>
      <c r="E841" s="324">
        <f t="shared" si="13"/>
        <v>56087.8</v>
      </c>
    </row>
    <row r="842" spans="1:5" x14ac:dyDescent="0.25">
      <c r="A842" s="323" t="s">
        <v>2682</v>
      </c>
      <c r="B842" s="323" t="s">
        <v>805</v>
      </c>
      <c r="C842" s="323">
        <v>33268</v>
      </c>
      <c r="D842" s="323">
        <v>220</v>
      </c>
      <c r="E842" s="324">
        <f t="shared" si="13"/>
        <v>53649.200000000004</v>
      </c>
    </row>
    <row r="843" spans="1:5" x14ac:dyDescent="0.25">
      <c r="A843" s="323" t="s">
        <v>1514</v>
      </c>
      <c r="B843" s="323" t="s">
        <v>805</v>
      </c>
      <c r="C843" s="323">
        <v>33424</v>
      </c>
      <c r="D843" s="323">
        <v>63</v>
      </c>
      <c r="E843" s="324">
        <f t="shared" si="13"/>
        <v>15363.18</v>
      </c>
    </row>
    <row r="844" spans="1:5" x14ac:dyDescent="0.25">
      <c r="A844" s="323" t="s">
        <v>2685</v>
      </c>
      <c r="B844" s="323" t="s">
        <v>805</v>
      </c>
      <c r="C844" s="323">
        <v>33645</v>
      </c>
      <c r="D844" s="323">
        <v>273</v>
      </c>
      <c r="E844" s="324">
        <f t="shared" si="13"/>
        <v>66573.78</v>
      </c>
    </row>
    <row r="845" spans="1:5" x14ac:dyDescent="0.25">
      <c r="A845" s="323" t="s">
        <v>2687</v>
      </c>
      <c r="B845" s="323" t="s">
        <v>805</v>
      </c>
      <c r="C845" s="323">
        <v>33853</v>
      </c>
      <c r="D845" s="323">
        <v>139</v>
      </c>
      <c r="E845" s="324">
        <f t="shared" si="13"/>
        <v>33896.54</v>
      </c>
    </row>
    <row r="846" spans="1:5" x14ac:dyDescent="0.25">
      <c r="A846" s="323" t="s">
        <v>1519</v>
      </c>
      <c r="B846" s="323" t="s">
        <v>805</v>
      </c>
      <c r="C846" s="323">
        <v>33957</v>
      </c>
      <c r="D846" s="323">
        <v>121</v>
      </c>
      <c r="E846" s="324">
        <f t="shared" si="13"/>
        <v>29507.06</v>
      </c>
    </row>
    <row r="847" spans="1:5" x14ac:dyDescent="0.25">
      <c r="A847" s="323" t="s">
        <v>1180</v>
      </c>
      <c r="B847" s="323" t="s">
        <v>805</v>
      </c>
      <c r="C847" s="323">
        <v>34139</v>
      </c>
      <c r="D847" s="323">
        <v>47</v>
      </c>
      <c r="E847" s="324">
        <f t="shared" si="13"/>
        <v>11461.42</v>
      </c>
    </row>
    <row r="848" spans="1:5" x14ac:dyDescent="0.25">
      <c r="A848" s="323" t="s">
        <v>2689</v>
      </c>
      <c r="B848" s="323" t="s">
        <v>805</v>
      </c>
      <c r="C848" s="323">
        <v>34139</v>
      </c>
      <c r="D848" s="323">
        <v>485</v>
      </c>
      <c r="E848" s="324">
        <f t="shared" si="13"/>
        <v>118272.1</v>
      </c>
    </row>
    <row r="849" spans="1:5" x14ac:dyDescent="0.25">
      <c r="A849" s="323" t="s">
        <v>5687</v>
      </c>
      <c r="B849" s="323" t="s">
        <v>805</v>
      </c>
      <c r="C849" s="323">
        <v>34230</v>
      </c>
      <c r="D849" s="323">
        <v>422</v>
      </c>
      <c r="E849" s="324">
        <f t="shared" si="13"/>
        <v>102908.92000000001</v>
      </c>
    </row>
    <row r="850" spans="1:5" x14ac:dyDescent="0.25">
      <c r="A850" s="323" t="s">
        <v>2691</v>
      </c>
      <c r="B850" s="323" t="s">
        <v>805</v>
      </c>
      <c r="C850" s="323">
        <v>34646</v>
      </c>
      <c r="D850" s="323">
        <v>195</v>
      </c>
      <c r="E850" s="324">
        <f t="shared" si="13"/>
        <v>47552.700000000004</v>
      </c>
    </row>
    <row r="851" spans="1:5" x14ac:dyDescent="0.25">
      <c r="A851" s="323" t="s">
        <v>1526</v>
      </c>
      <c r="B851" s="323" t="s">
        <v>805</v>
      </c>
      <c r="C851" s="323">
        <v>34893</v>
      </c>
      <c r="D851" s="323">
        <v>207</v>
      </c>
      <c r="E851" s="324">
        <f t="shared" si="13"/>
        <v>50479.020000000004</v>
      </c>
    </row>
    <row r="852" spans="1:5" x14ac:dyDescent="0.25">
      <c r="A852" s="323" t="s">
        <v>1527</v>
      </c>
      <c r="B852" s="323" t="s">
        <v>805</v>
      </c>
      <c r="C852" s="323">
        <v>34919</v>
      </c>
      <c r="D852" s="323">
        <v>431</v>
      </c>
      <c r="E852" s="324">
        <f t="shared" si="13"/>
        <v>105103.66</v>
      </c>
    </row>
    <row r="853" spans="1:5" x14ac:dyDescent="0.25">
      <c r="A853" s="323" t="s">
        <v>1528</v>
      </c>
      <c r="B853" s="323" t="s">
        <v>805</v>
      </c>
      <c r="C853" s="323">
        <v>34932</v>
      </c>
      <c r="D853" s="323">
        <v>310</v>
      </c>
      <c r="E853" s="324">
        <f t="shared" si="13"/>
        <v>75596.600000000006</v>
      </c>
    </row>
    <row r="854" spans="1:5" x14ac:dyDescent="0.25">
      <c r="A854" s="323" t="s">
        <v>1528</v>
      </c>
      <c r="B854" s="323" t="s">
        <v>805</v>
      </c>
      <c r="C854" s="323">
        <v>34932</v>
      </c>
      <c r="D854" s="323">
        <v>313</v>
      </c>
      <c r="E854" s="324">
        <f t="shared" si="13"/>
        <v>76328.180000000008</v>
      </c>
    </row>
    <row r="855" spans="1:5" x14ac:dyDescent="0.25">
      <c r="A855" s="323" t="s">
        <v>1530</v>
      </c>
      <c r="B855" s="323" t="s">
        <v>805</v>
      </c>
      <c r="C855" s="323">
        <v>35218</v>
      </c>
      <c r="D855" s="323">
        <v>226</v>
      </c>
      <c r="E855" s="324">
        <f t="shared" si="13"/>
        <v>55112.36</v>
      </c>
    </row>
    <row r="856" spans="1:5" x14ac:dyDescent="0.25">
      <c r="A856" s="323" t="s">
        <v>1151</v>
      </c>
      <c r="B856" s="323" t="s">
        <v>805</v>
      </c>
      <c r="C856" s="323">
        <v>35297</v>
      </c>
      <c r="D856" s="323">
        <v>275</v>
      </c>
      <c r="E856" s="324">
        <f t="shared" si="13"/>
        <v>67061.5</v>
      </c>
    </row>
    <row r="857" spans="1:5" x14ac:dyDescent="0.25">
      <c r="A857" s="323" t="s">
        <v>2920</v>
      </c>
      <c r="B857" s="323" t="s">
        <v>805</v>
      </c>
      <c r="C857" s="323">
        <v>35466</v>
      </c>
      <c r="D857" s="323">
        <v>163</v>
      </c>
      <c r="E857" s="324">
        <f t="shared" si="13"/>
        <v>39749.18</v>
      </c>
    </row>
    <row r="858" spans="1:5" x14ac:dyDescent="0.25">
      <c r="A858" s="323" t="s">
        <v>3091</v>
      </c>
      <c r="B858" s="323" t="s">
        <v>805</v>
      </c>
      <c r="C858" s="323">
        <v>35466</v>
      </c>
      <c r="D858" s="323">
        <v>755</v>
      </c>
      <c r="E858" s="324">
        <f t="shared" si="13"/>
        <v>184114.30000000002</v>
      </c>
    </row>
    <row r="859" spans="1:5" x14ac:dyDescent="0.25">
      <c r="A859" s="323" t="s">
        <v>3455</v>
      </c>
      <c r="B859" s="323" t="s">
        <v>805</v>
      </c>
      <c r="C859" s="323">
        <v>35466</v>
      </c>
      <c r="D859" s="323">
        <v>217</v>
      </c>
      <c r="E859" s="324">
        <f t="shared" si="13"/>
        <v>52917.62</v>
      </c>
    </row>
    <row r="860" spans="1:5" x14ac:dyDescent="0.25">
      <c r="A860" s="323" t="s">
        <v>3505</v>
      </c>
      <c r="B860" s="323" t="s">
        <v>805</v>
      </c>
      <c r="C860" s="323">
        <v>35466</v>
      </c>
      <c r="D860" s="323">
        <v>231</v>
      </c>
      <c r="E860" s="324">
        <f t="shared" si="13"/>
        <v>56331.66</v>
      </c>
    </row>
    <row r="861" spans="1:5" x14ac:dyDescent="0.25">
      <c r="A861" s="323" t="s">
        <v>3728</v>
      </c>
      <c r="B861" s="323" t="s">
        <v>805</v>
      </c>
      <c r="C861" s="323">
        <v>35466</v>
      </c>
      <c r="D861" s="323">
        <v>181</v>
      </c>
      <c r="E861" s="324">
        <f t="shared" si="13"/>
        <v>44138.66</v>
      </c>
    </row>
    <row r="862" spans="1:5" x14ac:dyDescent="0.25">
      <c r="A862" s="323" t="s">
        <v>3957</v>
      </c>
      <c r="B862" s="323" t="s">
        <v>805</v>
      </c>
      <c r="C862" s="323">
        <v>35466</v>
      </c>
      <c r="D862" s="323">
        <v>81</v>
      </c>
      <c r="E862" s="324">
        <f t="shared" si="13"/>
        <v>19752.66</v>
      </c>
    </row>
    <row r="863" spans="1:5" x14ac:dyDescent="0.25">
      <c r="A863" s="323" t="s">
        <v>4102</v>
      </c>
      <c r="B863" s="323" t="s">
        <v>805</v>
      </c>
      <c r="C863" s="323">
        <v>35466</v>
      </c>
      <c r="D863" s="323">
        <v>389</v>
      </c>
      <c r="E863" s="324">
        <f t="shared" si="13"/>
        <v>94861.540000000008</v>
      </c>
    </row>
    <row r="864" spans="1:5" x14ac:dyDescent="0.25">
      <c r="A864" s="323" t="s">
        <v>2696</v>
      </c>
      <c r="B864" s="323" t="s">
        <v>805</v>
      </c>
      <c r="C864" s="323">
        <v>35504</v>
      </c>
      <c r="D864" s="323">
        <v>291</v>
      </c>
      <c r="E864" s="324">
        <f t="shared" si="13"/>
        <v>70963.260000000009</v>
      </c>
    </row>
    <row r="865" spans="1:5" x14ac:dyDescent="0.25">
      <c r="A865" s="323" t="s">
        <v>1537</v>
      </c>
      <c r="B865" s="323" t="s">
        <v>805</v>
      </c>
      <c r="C865" s="323">
        <v>36063</v>
      </c>
      <c r="D865" s="323">
        <v>77</v>
      </c>
      <c r="E865" s="324">
        <f t="shared" si="13"/>
        <v>18777.22</v>
      </c>
    </row>
    <row r="866" spans="1:5" x14ac:dyDescent="0.25">
      <c r="A866" s="323" t="s">
        <v>2700</v>
      </c>
      <c r="B866" s="323" t="s">
        <v>805</v>
      </c>
      <c r="C866" s="323">
        <v>36336</v>
      </c>
      <c r="D866" s="323">
        <v>145</v>
      </c>
      <c r="E866" s="324">
        <f t="shared" si="13"/>
        <v>35359.700000000004</v>
      </c>
    </row>
    <row r="867" spans="1:5" x14ac:dyDescent="0.25">
      <c r="A867" s="323" t="s">
        <v>1539</v>
      </c>
      <c r="B867" s="323" t="s">
        <v>805</v>
      </c>
      <c r="C867" s="323">
        <v>36349</v>
      </c>
      <c r="D867" s="323">
        <v>259</v>
      </c>
      <c r="E867" s="324">
        <f t="shared" si="13"/>
        <v>63159.740000000005</v>
      </c>
    </row>
    <row r="868" spans="1:5" x14ac:dyDescent="0.25">
      <c r="A868" s="323" t="s">
        <v>2701</v>
      </c>
      <c r="B868" s="323" t="s">
        <v>805</v>
      </c>
      <c r="C868" s="323">
        <v>36440</v>
      </c>
      <c r="D868" s="323">
        <v>184</v>
      </c>
      <c r="E868" s="324">
        <f t="shared" si="13"/>
        <v>44870.240000000005</v>
      </c>
    </row>
    <row r="869" spans="1:5" x14ac:dyDescent="0.25">
      <c r="A869" s="323" t="s">
        <v>1541</v>
      </c>
      <c r="B869" s="323" t="s">
        <v>805</v>
      </c>
      <c r="C869" s="323">
        <v>36479</v>
      </c>
      <c r="D869" s="323">
        <v>408</v>
      </c>
      <c r="E869" s="324">
        <f t="shared" si="13"/>
        <v>99494.88</v>
      </c>
    </row>
    <row r="870" spans="1:5" x14ac:dyDescent="0.25">
      <c r="A870" s="323" t="s">
        <v>2702</v>
      </c>
      <c r="B870" s="323" t="s">
        <v>805</v>
      </c>
      <c r="C870" s="323">
        <v>36479</v>
      </c>
      <c r="D870" s="323">
        <v>324</v>
      </c>
      <c r="E870" s="324">
        <f t="shared" si="13"/>
        <v>79010.64</v>
      </c>
    </row>
    <row r="871" spans="1:5" x14ac:dyDescent="0.25">
      <c r="A871" s="323" t="s">
        <v>3230</v>
      </c>
      <c r="B871" s="323" t="s">
        <v>805</v>
      </c>
      <c r="C871" s="323">
        <v>36479</v>
      </c>
      <c r="D871" s="323">
        <v>411</v>
      </c>
      <c r="E871" s="324">
        <f t="shared" si="13"/>
        <v>100226.46</v>
      </c>
    </row>
    <row r="872" spans="1:5" x14ac:dyDescent="0.25">
      <c r="A872" s="323" t="s">
        <v>976</v>
      </c>
      <c r="B872" s="323" t="s">
        <v>803</v>
      </c>
      <c r="C872" s="323">
        <v>36700</v>
      </c>
      <c r="D872" s="323">
        <v>197</v>
      </c>
      <c r="E872" s="324">
        <f t="shared" si="13"/>
        <v>96080.840000000011</v>
      </c>
    </row>
    <row r="873" spans="1:5" x14ac:dyDescent="0.25">
      <c r="A873" s="323" t="s">
        <v>976</v>
      </c>
      <c r="B873" s="323" t="s">
        <v>803</v>
      </c>
      <c r="C873" s="323">
        <v>36700</v>
      </c>
      <c r="D873" s="323">
        <v>50</v>
      </c>
      <c r="E873" s="324">
        <f t="shared" si="13"/>
        <v>24386</v>
      </c>
    </row>
    <row r="874" spans="1:5" x14ac:dyDescent="0.25">
      <c r="A874" s="323" t="s">
        <v>1543</v>
      </c>
      <c r="B874" s="323" t="s">
        <v>805</v>
      </c>
      <c r="C874" s="323">
        <v>36739</v>
      </c>
      <c r="D874" s="323">
        <v>240</v>
      </c>
      <c r="E874" s="324">
        <f t="shared" si="13"/>
        <v>58526.400000000001</v>
      </c>
    </row>
    <row r="875" spans="1:5" x14ac:dyDescent="0.25">
      <c r="A875" s="323" t="s">
        <v>1546</v>
      </c>
      <c r="B875" s="323" t="s">
        <v>805</v>
      </c>
      <c r="C875" s="323">
        <v>36778</v>
      </c>
      <c r="D875" s="323">
        <v>94</v>
      </c>
      <c r="E875" s="324">
        <f t="shared" si="13"/>
        <v>22922.84</v>
      </c>
    </row>
    <row r="876" spans="1:5" x14ac:dyDescent="0.25">
      <c r="A876" s="323" t="s">
        <v>1547</v>
      </c>
      <c r="B876" s="323" t="s">
        <v>805</v>
      </c>
      <c r="C876" s="323">
        <v>36817</v>
      </c>
      <c r="D876" s="323">
        <v>199</v>
      </c>
      <c r="E876" s="324">
        <f t="shared" si="13"/>
        <v>48528.14</v>
      </c>
    </row>
    <row r="877" spans="1:5" x14ac:dyDescent="0.25">
      <c r="A877" s="323" t="s">
        <v>1156</v>
      </c>
      <c r="B877" s="323" t="s">
        <v>805</v>
      </c>
      <c r="C877" s="323">
        <v>36831</v>
      </c>
      <c r="D877" s="323">
        <v>307</v>
      </c>
      <c r="E877" s="324">
        <f t="shared" si="13"/>
        <v>74865.02</v>
      </c>
    </row>
    <row r="878" spans="1:5" x14ac:dyDescent="0.25">
      <c r="A878" s="323" t="s">
        <v>1550</v>
      </c>
      <c r="B878" s="323" t="s">
        <v>805</v>
      </c>
      <c r="C878" s="323">
        <v>37038</v>
      </c>
      <c r="D878" s="323">
        <v>184</v>
      </c>
      <c r="E878" s="324">
        <f t="shared" si="13"/>
        <v>44870.240000000005</v>
      </c>
    </row>
    <row r="879" spans="1:5" x14ac:dyDescent="0.25">
      <c r="A879" s="323" t="s">
        <v>5270</v>
      </c>
      <c r="B879" s="323" t="s">
        <v>805</v>
      </c>
      <c r="C879" s="323">
        <v>37233</v>
      </c>
      <c r="D879" s="323">
        <v>226</v>
      </c>
      <c r="E879" s="324">
        <f t="shared" si="13"/>
        <v>55112.36</v>
      </c>
    </row>
    <row r="880" spans="1:5" x14ac:dyDescent="0.25">
      <c r="A880" s="323" t="s">
        <v>1160</v>
      </c>
      <c r="B880" s="323" t="s">
        <v>805</v>
      </c>
      <c r="C880" s="323">
        <v>37299</v>
      </c>
      <c r="D880" s="323">
        <v>117</v>
      </c>
      <c r="E880" s="324">
        <f t="shared" si="13"/>
        <v>28531.620000000003</v>
      </c>
    </row>
    <row r="881" spans="1:5" x14ac:dyDescent="0.25">
      <c r="A881" s="323" t="s">
        <v>1168</v>
      </c>
      <c r="B881" s="323" t="s">
        <v>805</v>
      </c>
      <c r="C881" s="323">
        <v>37299</v>
      </c>
      <c r="D881" s="323">
        <v>38</v>
      </c>
      <c r="E881" s="324">
        <f t="shared" si="13"/>
        <v>9266.68</v>
      </c>
    </row>
    <row r="882" spans="1:5" x14ac:dyDescent="0.25">
      <c r="A882" s="323" t="s">
        <v>2617</v>
      </c>
      <c r="B882" s="323" t="s">
        <v>805</v>
      </c>
      <c r="C882" s="323">
        <v>37299</v>
      </c>
      <c r="D882" s="323">
        <v>89</v>
      </c>
      <c r="E882" s="324">
        <f t="shared" si="13"/>
        <v>21703.54</v>
      </c>
    </row>
    <row r="883" spans="1:5" x14ac:dyDescent="0.25">
      <c r="A883" s="323" t="s">
        <v>3457</v>
      </c>
      <c r="B883" s="323" t="s">
        <v>805</v>
      </c>
      <c r="C883" s="323">
        <v>37299</v>
      </c>
      <c r="D883" s="323">
        <v>203</v>
      </c>
      <c r="E883" s="324">
        <f t="shared" si="13"/>
        <v>49503.58</v>
      </c>
    </row>
    <row r="884" spans="1:5" x14ac:dyDescent="0.25">
      <c r="A884" s="323" t="s">
        <v>3730</v>
      </c>
      <c r="B884" s="323" t="s">
        <v>805</v>
      </c>
      <c r="C884" s="323">
        <v>37299</v>
      </c>
      <c r="D884" s="323">
        <v>100</v>
      </c>
      <c r="E884" s="324">
        <f t="shared" si="13"/>
        <v>24386</v>
      </c>
    </row>
    <row r="885" spans="1:5" x14ac:dyDescent="0.25">
      <c r="A885" s="323" t="s">
        <v>5680</v>
      </c>
      <c r="B885" s="323" t="s">
        <v>805</v>
      </c>
      <c r="C885" s="323">
        <v>37299</v>
      </c>
      <c r="D885" s="323">
        <v>132</v>
      </c>
      <c r="E885" s="324">
        <f t="shared" si="13"/>
        <v>32189.52</v>
      </c>
    </row>
    <row r="886" spans="1:5" x14ac:dyDescent="0.25">
      <c r="A886" s="323" t="s">
        <v>2710</v>
      </c>
      <c r="B886" s="323" t="s">
        <v>805</v>
      </c>
      <c r="C886" s="323">
        <v>37428</v>
      </c>
      <c r="D886" s="323">
        <v>392</v>
      </c>
      <c r="E886" s="324">
        <f t="shared" si="13"/>
        <v>95593.12000000001</v>
      </c>
    </row>
    <row r="887" spans="1:5" x14ac:dyDescent="0.25">
      <c r="A887" s="323" t="s">
        <v>1555</v>
      </c>
      <c r="B887" s="323" t="s">
        <v>805</v>
      </c>
      <c r="C887" s="323">
        <v>37545</v>
      </c>
      <c r="D887" s="323">
        <v>470</v>
      </c>
      <c r="E887" s="324">
        <f t="shared" si="13"/>
        <v>114614.20000000001</v>
      </c>
    </row>
    <row r="888" spans="1:5" x14ac:dyDescent="0.25">
      <c r="A888" s="323" t="s">
        <v>1556</v>
      </c>
      <c r="B888" s="323" t="s">
        <v>805</v>
      </c>
      <c r="C888" s="323">
        <v>37571</v>
      </c>
      <c r="D888" s="323">
        <v>282</v>
      </c>
      <c r="E888" s="324">
        <f t="shared" si="13"/>
        <v>68768.52</v>
      </c>
    </row>
    <row r="889" spans="1:5" x14ac:dyDescent="0.25">
      <c r="A889" s="323" t="s">
        <v>995</v>
      </c>
      <c r="B889" s="323" t="s">
        <v>816</v>
      </c>
      <c r="C889" s="323">
        <v>37663</v>
      </c>
      <c r="D889" s="323">
        <v>128</v>
      </c>
      <c r="E889" s="324">
        <f t="shared" si="13"/>
        <v>46821.120000000003</v>
      </c>
    </row>
    <row r="890" spans="1:5" x14ac:dyDescent="0.25">
      <c r="A890" s="323" t="s">
        <v>1112</v>
      </c>
      <c r="B890" s="323" t="s">
        <v>805</v>
      </c>
      <c r="C890" s="323">
        <v>37663</v>
      </c>
      <c r="D890" s="323">
        <v>158</v>
      </c>
      <c r="E890" s="324">
        <f t="shared" si="13"/>
        <v>38529.880000000005</v>
      </c>
    </row>
    <row r="891" spans="1:5" x14ac:dyDescent="0.25">
      <c r="A891" s="323" t="s">
        <v>1158</v>
      </c>
      <c r="B891" s="323" t="s">
        <v>805</v>
      </c>
      <c r="C891" s="323">
        <v>37663</v>
      </c>
      <c r="D891" s="323">
        <v>78</v>
      </c>
      <c r="E891" s="324">
        <f t="shared" si="13"/>
        <v>19021.080000000002</v>
      </c>
    </row>
    <row r="892" spans="1:5" x14ac:dyDescent="0.25">
      <c r="A892" s="323" t="s">
        <v>1167</v>
      </c>
      <c r="B892" s="323" t="s">
        <v>805</v>
      </c>
      <c r="C892" s="323">
        <v>37663</v>
      </c>
      <c r="D892" s="323">
        <v>195</v>
      </c>
      <c r="E892" s="324">
        <f t="shared" si="13"/>
        <v>47552.700000000004</v>
      </c>
    </row>
    <row r="893" spans="1:5" x14ac:dyDescent="0.25">
      <c r="A893" s="323" t="s">
        <v>1358</v>
      </c>
      <c r="B893" s="323" t="s">
        <v>805</v>
      </c>
      <c r="C893" s="323">
        <v>37663</v>
      </c>
      <c r="D893" s="323">
        <v>122</v>
      </c>
      <c r="E893" s="324">
        <f t="shared" si="13"/>
        <v>29750.920000000002</v>
      </c>
    </row>
    <row r="894" spans="1:5" x14ac:dyDescent="0.25">
      <c r="A894" s="323" t="s">
        <v>1648</v>
      </c>
      <c r="B894" s="323" t="s">
        <v>805</v>
      </c>
      <c r="C894" s="323">
        <v>37663</v>
      </c>
      <c r="D894" s="323">
        <v>112</v>
      </c>
      <c r="E894" s="324">
        <f t="shared" si="13"/>
        <v>27312.32</v>
      </c>
    </row>
    <row r="895" spans="1:5" x14ac:dyDescent="0.25">
      <c r="A895" s="323" t="s">
        <v>1788</v>
      </c>
      <c r="B895" s="323" t="s">
        <v>805</v>
      </c>
      <c r="C895" s="323">
        <v>37663</v>
      </c>
      <c r="D895" s="323">
        <v>204</v>
      </c>
      <c r="E895" s="324">
        <f t="shared" si="13"/>
        <v>49747.44</v>
      </c>
    </row>
    <row r="896" spans="1:5" x14ac:dyDescent="0.25">
      <c r="A896" s="323" t="s">
        <v>1817</v>
      </c>
      <c r="B896" s="323" t="s">
        <v>805</v>
      </c>
      <c r="C896" s="323">
        <v>37663</v>
      </c>
      <c r="D896" s="323">
        <v>264</v>
      </c>
      <c r="E896" s="324">
        <f t="shared" si="13"/>
        <v>64379.040000000001</v>
      </c>
    </row>
    <row r="897" spans="1:5" x14ac:dyDescent="0.25">
      <c r="A897" s="323" t="s">
        <v>2227</v>
      </c>
      <c r="B897" s="323" t="s">
        <v>805</v>
      </c>
      <c r="C897" s="323">
        <v>37663</v>
      </c>
      <c r="D897" s="323">
        <v>52</v>
      </c>
      <c r="E897" s="324">
        <f t="shared" si="13"/>
        <v>12680.720000000001</v>
      </c>
    </row>
    <row r="898" spans="1:5" x14ac:dyDescent="0.25">
      <c r="A898" s="323" t="s">
        <v>2527</v>
      </c>
      <c r="B898" s="323" t="s">
        <v>805</v>
      </c>
      <c r="C898" s="323">
        <v>37663</v>
      </c>
      <c r="D898" s="323">
        <v>68</v>
      </c>
      <c r="E898" s="324">
        <f t="shared" ref="E898:E961" si="14">D898*IF(B898=$G$9,WerkdrukbedragPerLeerlingBo,IF(B898=$G$10,WerkdrukbedragPerLeerlingSbo,IF(B898=$G$11,WerkdrukbedragPerLeerlingSo,IF(B898=$G$12,WerkdrukbedragPerLeerlingVso,0))))</f>
        <v>16582.48</v>
      </c>
    </row>
    <row r="899" spans="1:5" x14ac:dyDescent="0.25">
      <c r="A899" s="323" t="s">
        <v>2621</v>
      </c>
      <c r="B899" s="323" t="s">
        <v>805</v>
      </c>
      <c r="C899" s="323">
        <v>37663</v>
      </c>
      <c r="D899" s="323">
        <v>331</v>
      </c>
      <c r="E899" s="324">
        <f t="shared" si="14"/>
        <v>80717.66</v>
      </c>
    </row>
    <row r="900" spans="1:5" x14ac:dyDescent="0.25">
      <c r="A900" s="323" t="s">
        <v>2858</v>
      </c>
      <c r="B900" s="323" t="s">
        <v>805</v>
      </c>
      <c r="C900" s="323">
        <v>37663</v>
      </c>
      <c r="D900" s="323">
        <v>152</v>
      </c>
      <c r="E900" s="324">
        <f t="shared" si="14"/>
        <v>37066.720000000001</v>
      </c>
    </row>
    <row r="901" spans="1:5" x14ac:dyDescent="0.25">
      <c r="A901" s="323" t="s">
        <v>3095</v>
      </c>
      <c r="B901" s="323" t="s">
        <v>805</v>
      </c>
      <c r="C901" s="323">
        <v>37663</v>
      </c>
      <c r="D901" s="323">
        <v>210</v>
      </c>
      <c r="E901" s="324">
        <f t="shared" si="14"/>
        <v>51210.600000000006</v>
      </c>
    </row>
    <row r="902" spans="1:5" x14ac:dyDescent="0.25">
      <c r="A902" s="323" t="s">
        <v>3174</v>
      </c>
      <c r="B902" s="323" t="s">
        <v>805</v>
      </c>
      <c r="C902" s="323">
        <v>37663</v>
      </c>
      <c r="D902" s="323">
        <v>138</v>
      </c>
      <c r="E902" s="324">
        <f t="shared" si="14"/>
        <v>33652.68</v>
      </c>
    </row>
    <row r="903" spans="1:5" x14ac:dyDescent="0.25">
      <c r="A903" s="323" t="s">
        <v>3310</v>
      </c>
      <c r="B903" s="323" t="s">
        <v>805</v>
      </c>
      <c r="C903" s="323">
        <v>37663</v>
      </c>
      <c r="D903" s="323">
        <v>62</v>
      </c>
      <c r="E903" s="324">
        <f t="shared" si="14"/>
        <v>15119.320000000002</v>
      </c>
    </row>
    <row r="904" spans="1:5" x14ac:dyDescent="0.25">
      <c r="A904" s="323" t="s">
        <v>1560</v>
      </c>
      <c r="B904" s="323" t="s">
        <v>805</v>
      </c>
      <c r="C904" s="323">
        <v>37857</v>
      </c>
      <c r="D904" s="323">
        <v>290</v>
      </c>
      <c r="E904" s="324">
        <f t="shared" si="14"/>
        <v>70719.400000000009</v>
      </c>
    </row>
    <row r="905" spans="1:5" x14ac:dyDescent="0.25">
      <c r="A905" s="323" t="s">
        <v>3246</v>
      </c>
      <c r="B905" s="323" t="s">
        <v>805</v>
      </c>
      <c r="C905" s="323">
        <v>37949</v>
      </c>
      <c r="D905" s="323">
        <v>55</v>
      </c>
      <c r="E905" s="324">
        <f t="shared" si="14"/>
        <v>13412.300000000001</v>
      </c>
    </row>
    <row r="906" spans="1:5" x14ac:dyDescent="0.25">
      <c r="A906" s="323" t="s">
        <v>3567</v>
      </c>
      <c r="B906" s="323" t="s">
        <v>805</v>
      </c>
      <c r="C906" s="323">
        <v>37949</v>
      </c>
      <c r="D906" s="323">
        <v>410</v>
      </c>
      <c r="E906" s="324">
        <f t="shared" si="14"/>
        <v>99982.6</v>
      </c>
    </row>
    <row r="907" spans="1:5" x14ac:dyDescent="0.25">
      <c r="A907" s="323" t="s">
        <v>3765</v>
      </c>
      <c r="B907" s="323" t="s">
        <v>805</v>
      </c>
      <c r="C907" s="323">
        <v>37949</v>
      </c>
      <c r="D907" s="323">
        <v>335</v>
      </c>
      <c r="E907" s="324">
        <f t="shared" si="14"/>
        <v>81693.100000000006</v>
      </c>
    </row>
    <row r="908" spans="1:5" x14ac:dyDescent="0.25">
      <c r="A908" s="323" t="s">
        <v>3820</v>
      </c>
      <c r="B908" s="323" t="s">
        <v>805</v>
      </c>
      <c r="C908" s="323">
        <v>37949</v>
      </c>
      <c r="D908" s="323">
        <v>244</v>
      </c>
      <c r="E908" s="324">
        <f t="shared" si="14"/>
        <v>59501.840000000004</v>
      </c>
    </row>
    <row r="909" spans="1:5" x14ac:dyDescent="0.25">
      <c r="A909" s="323" t="s">
        <v>4131</v>
      </c>
      <c r="B909" s="323" t="s">
        <v>805</v>
      </c>
      <c r="C909" s="323">
        <v>37949</v>
      </c>
      <c r="D909" s="323">
        <v>308</v>
      </c>
      <c r="E909" s="324">
        <f t="shared" si="14"/>
        <v>75108.88</v>
      </c>
    </row>
    <row r="910" spans="1:5" x14ac:dyDescent="0.25">
      <c r="A910" s="323" t="s">
        <v>6491</v>
      </c>
      <c r="B910" s="323" t="s">
        <v>805</v>
      </c>
      <c r="C910" s="323">
        <v>37949</v>
      </c>
      <c r="D910" s="323">
        <v>197</v>
      </c>
      <c r="E910" s="324">
        <f t="shared" si="14"/>
        <v>48040.420000000006</v>
      </c>
    </row>
    <row r="911" spans="1:5" x14ac:dyDescent="0.25">
      <c r="A911" s="323" t="s">
        <v>6512</v>
      </c>
      <c r="B911" s="323" t="s">
        <v>805</v>
      </c>
      <c r="C911" s="323">
        <v>37949</v>
      </c>
      <c r="D911" s="323">
        <v>329</v>
      </c>
      <c r="E911" s="324">
        <f t="shared" si="14"/>
        <v>80229.94</v>
      </c>
    </row>
    <row r="912" spans="1:5" x14ac:dyDescent="0.25">
      <c r="A912" s="323" t="s">
        <v>6528</v>
      </c>
      <c r="B912" s="323" t="s">
        <v>805</v>
      </c>
      <c r="C912" s="323">
        <v>37949</v>
      </c>
      <c r="D912" s="323">
        <v>524</v>
      </c>
      <c r="E912" s="324">
        <f t="shared" si="14"/>
        <v>127782.64000000001</v>
      </c>
    </row>
    <row r="913" spans="1:5" x14ac:dyDescent="0.25">
      <c r="A913" s="323" t="s">
        <v>6539</v>
      </c>
      <c r="B913" s="323" t="s">
        <v>805</v>
      </c>
      <c r="C913" s="323">
        <v>37949</v>
      </c>
      <c r="D913" s="323">
        <v>304</v>
      </c>
      <c r="E913" s="324">
        <f t="shared" si="14"/>
        <v>74133.440000000002</v>
      </c>
    </row>
    <row r="914" spans="1:5" x14ac:dyDescent="0.25">
      <c r="A914" s="323" t="s">
        <v>7153</v>
      </c>
      <c r="B914" s="323" t="s">
        <v>805</v>
      </c>
      <c r="C914" s="323">
        <v>37949</v>
      </c>
      <c r="D914" s="323">
        <v>1012</v>
      </c>
      <c r="E914" s="324">
        <f t="shared" si="14"/>
        <v>246786.32</v>
      </c>
    </row>
    <row r="915" spans="1:5" x14ac:dyDescent="0.25">
      <c r="A915" s="323" t="s">
        <v>7335</v>
      </c>
      <c r="B915" s="323" t="s">
        <v>805</v>
      </c>
      <c r="C915" s="323">
        <v>37949</v>
      </c>
      <c r="D915" s="323">
        <v>329</v>
      </c>
      <c r="E915" s="324">
        <f t="shared" si="14"/>
        <v>80229.94</v>
      </c>
    </row>
    <row r="916" spans="1:5" x14ac:dyDescent="0.25">
      <c r="A916" s="323" t="s">
        <v>1593</v>
      </c>
      <c r="B916" s="323" t="s">
        <v>805</v>
      </c>
      <c r="C916" s="323">
        <v>38001</v>
      </c>
      <c r="D916" s="323">
        <v>46</v>
      </c>
      <c r="E916" s="324">
        <f t="shared" si="14"/>
        <v>11217.560000000001</v>
      </c>
    </row>
    <row r="917" spans="1:5" x14ac:dyDescent="0.25">
      <c r="A917" s="323" t="s">
        <v>2499</v>
      </c>
      <c r="B917" s="323" t="s">
        <v>805</v>
      </c>
      <c r="C917" s="323">
        <v>38001</v>
      </c>
      <c r="D917" s="323">
        <v>397</v>
      </c>
      <c r="E917" s="324">
        <f t="shared" si="14"/>
        <v>96812.42</v>
      </c>
    </row>
    <row r="918" spans="1:5" x14ac:dyDescent="0.25">
      <c r="A918" s="323" t="s">
        <v>2513</v>
      </c>
      <c r="B918" s="323" t="s">
        <v>805</v>
      </c>
      <c r="C918" s="323">
        <v>38001</v>
      </c>
      <c r="D918" s="323">
        <v>55</v>
      </c>
      <c r="E918" s="324">
        <f t="shared" si="14"/>
        <v>13412.300000000001</v>
      </c>
    </row>
    <row r="919" spans="1:5" x14ac:dyDescent="0.25">
      <c r="A919" s="323" t="s">
        <v>2608</v>
      </c>
      <c r="B919" s="323" t="s">
        <v>805</v>
      </c>
      <c r="C919" s="323">
        <v>38001</v>
      </c>
      <c r="D919" s="323">
        <v>112</v>
      </c>
      <c r="E919" s="324">
        <f t="shared" si="14"/>
        <v>27312.32</v>
      </c>
    </row>
    <row r="920" spans="1:5" x14ac:dyDescent="0.25">
      <c r="A920" s="323" t="s">
        <v>3907</v>
      </c>
      <c r="B920" s="323" t="s">
        <v>805</v>
      </c>
      <c r="C920" s="323">
        <v>38001</v>
      </c>
      <c r="D920" s="323">
        <v>323</v>
      </c>
      <c r="E920" s="324">
        <f t="shared" si="14"/>
        <v>78766.78</v>
      </c>
    </row>
    <row r="921" spans="1:5" x14ac:dyDescent="0.25">
      <c r="A921" s="323" t="s">
        <v>4356</v>
      </c>
      <c r="B921" s="323" t="s">
        <v>805</v>
      </c>
      <c r="C921" s="323">
        <v>38001</v>
      </c>
      <c r="D921" s="323">
        <v>245</v>
      </c>
      <c r="E921" s="324">
        <f t="shared" si="14"/>
        <v>59745.700000000004</v>
      </c>
    </row>
    <row r="922" spans="1:5" x14ac:dyDescent="0.25">
      <c r="A922" s="323" t="s">
        <v>4466</v>
      </c>
      <c r="B922" s="323" t="s">
        <v>805</v>
      </c>
      <c r="C922" s="323">
        <v>38001</v>
      </c>
      <c r="D922" s="323">
        <v>216</v>
      </c>
      <c r="E922" s="324">
        <f t="shared" si="14"/>
        <v>52673.760000000002</v>
      </c>
    </row>
    <row r="923" spans="1:5" x14ac:dyDescent="0.25">
      <c r="A923" s="323" t="s">
        <v>4575</v>
      </c>
      <c r="B923" s="323" t="s">
        <v>805</v>
      </c>
      <c r="C923" s="323">
        <v>38001</v>
      </c>
      <c r="D923" s="323">
        <v>132</v>
      </c>
      <c r="E923" s="324">
        <f t="shared" si="14"/>
        <v>32189.52</v>
      </c>
    </row>
    <row r="924" spans="1:5" x14ac:dyDescent="0.25">
      <c r="A924" s="323" t="s">
        <v>4661</v>
      </c>
      <c r="B924" s="323" t="s">
        <v>805</v>
      </c>
      <c r="C924" s="323">
        <v>38001</v>
      </c>
      <c r="D924" s="323">
        <v>338</v>
      </c>
      <c r="E924" s="324">
        <f t="shared" si="14"/>
        <v>82424.680000000008</v>
      </c>
    </row>
    <row r="925" spans="1:5" x14ac:dyDescent="0.25">
      <c r="A925" s="323" t="s">
        <v>4721</v>
      </c>
      <c r="B925" s="323" t="s">
        <v>805</v>
      </c>
      <c r="C925" s="323">
        <v>38001</v>
      </c>
      <c r="D925" s="323">
        <v>33</v>
      </c>
      <c r="E925" s="324">
        <f t="shared" si="14"/>
        <v>8047.38</v>
      </c>
    </row>
    <row r="926" spans="1:5" x14ac:dyDescent="0.25">
      <c r="A926" s="323" t="s">
        <v>5204</v>
      </c>
      <c r="B926" s="323" t="s">
        <v>805</v>
      </c>
      <c r="C926" s="323">
        <v>38001</v>
      </c>
      <c r="D926" s="323">
        <v>57</v>
      </c>
      <c r="E926" s="324">
        <f t="shared" si="14"/>
        <v>13900.02</v>
      </c>
    </row>
    <row r="927" spans="1:5" x14ac:dyDescent="0.25">
      <c r="A927" s="323" t="s">
        <v>6633</v>
      </c>
      <c r="B927" s="323" t="s">
        <v>816</v>
      </c>
      <c r="C927" s="323">
        <v>38001</v>
      </c>
      <c r="D927" s="323">
        <v>147</v>
      </c>
      <c r="E927" s="324">
        <f t="shared" si="14"/>
        <v>53771.130000000005</v>
      </c>
    </row>
    <row r="928" spans="1:5" x14ac:dyDescent="0.25">
      <c r="A928" s="323" t="s">
        <v>6891</v>
      </c>
      <c r="B928" s="323" t="s">
        <v>805</v>
      </c>
      <c r="C928" s="323">
        <v>38001</v>
      </c>
      <c r="D928" s="323">
        <v>362</v>
      </c>
      <c r="E928" s="324">
        <f t="shared" si="14"/>
        <v>88277.32</v>
      </c>
    </row>
    <row r="929" spans="1:5" x14ac:dyDescent="0.25">
      <c r="A929" s="323" t="s">
        <v>7040</v>
      </c>
      <c r="B929" s="323" t="s">
        <v>805</v>
      </c>
      <c r="C929" s="323">
        <v>38001</v>
      </c>
      <c r="D929" s="323">
        <v>806</v>
      </c>
      <c r="E929" s="324">
        <f t="shared" si="14"/>
        <v>196551.16</v>
      </c>
    </row>
    <row r="930" spans="1:5" x14ac:dyDescent="0.25">
      <c r="A930" s="323" t="s">
        <v>2231</v>
      </c>
      <c r="B930" s="323" t="s">
        <v>805</v>
      </c>
      <c r="C930" s="323">
        <v>38144</v>
      </c>
      <c r="D930" s="323">
        <v>239</v>
      </c>
      <c r="E930" s="324">
        <f t="shared" si="14"/>
        <v>58282.54</v>
      </c>
    </row>
    <row r="931" spans="1:5" x14ac:dyDescent="0.25">
      <c r="A931" s="323" t="s">
        <v>1564</v>
      </c>
      <c r="B931" s="323" t="s">
        <v>805</v>
      </c>
      <c r="C931" s="323">
        <v>38169</v>
      </c>
      <c r="D931" s="323">
        <v>434</v>
      </c>
      <c r="E931" s="324">
        <f t="shared" si="14"/>
        <v>105835.24</v>
      </c>
    </row>
    <row r="932" spans="1:5" x14ac:dyDescent="0.25">
      <c r="A932" s="323" t="s">
        <v>874</v>
      </c>
      <c r="B932" s="323" t="s">
        <v>803</v>
      </c>
      <c r="C932" s="323">
        <v>38209</v>
      </c>
      <c r="D932" s="323">
        <v>79</v>
      </c>
      <c r="E932" s="324">
        <f t="shared" si="14"/>
        <v>38529.880000000005</v>
      </c>
    </row>
    <row r="933" spans="1:5" x14ac:dyDescent="0.25">
      <c r="A933" s="323" t="s">
        <v>874</v>
      </c>
      <c r="B933" s="323" t="s">
        <v>809</v>
      </c>
      <c r="C933" s="323">
        <v>38209</v>
      </c>
      <c r="D933" s="323">
        <v>48</v>
      </c>
      <c r="E933" s="324">
        <f t="shared" si="14"/>
        <v>23410.560000000001</v>
      </c>
    </row>
    <row r="934" spans="1:5" x14ac:dyDescent="0.25">
      <c r="A934" s="323" t="s">
        <v>874</v>
      </c>
      <c r="B934" s="323" t="s">
        <v>803</v>
      </c>
      <c r="C934" s="323">
        <v>38209</v>
      </c>
      <c r="D934" s="323">
        <v>74</v>
      </c>
      <c r="E934" s="324">
        <f t="shared" si="14"/>
        <v>36091.279999999999</v>
      </c>
    </row>
    <row r="935" spans="1:5" x14ac:dyDescent="0.25">
      <c r="A935" s="323" t="s">
        <v>874</v>
      </c>
      <c r="B935" s="323" t="s">
        <v>809</v>
      </c>
      <c r="C935" s="323">
        <v>38209</v>
      </c>
      <c r="D935" s="323">
        <v>54</v>
      </c>
      <c r="E935" s="324">
        <f t="shared" si="14"/>
        <v>26336.880000000001</v>
      </c>
    </row>
    <row r="936" spans="1:5" x14ac:dyDescent="0.25">
      <c r="A936" s="323" t="s">
        <v>874</v>
      </c>
      <c r="B936" s="323" t="s">
        <v>803</v>
      </c>
      <c r="C936" s="323">
        <v>38209</v>
      </c>
      <c r="D936" s="323">
        <v>24</v>
      </c>
      <c r="E936" s="324">
        <f t="shared" si="14"/>
        <v>11705.28</v>
      </c>
    </row>
    <row r="937" spans="1:5" x14ac:dyDescent="0.25">
      <c r="A937" s="323" t="s">
        <v>2232</v>
      </c>
      <c r="B937" s="323" t="s">
        <v>805</v>
      </c>
      <c r="C937" s="323">
        <v>38222</v>
      </c>
      <c r="D937" s="323">
        <v>171</v>
      </c>
      <c r="E937" s="324">
        <f t="shared" si="14"/>
        <v>41700.060000000005</v>
      </c>
    </row>
    <row r="938" spans="1:5" x14ac:dyDescent="0.25">
      <c r="A938" s="323" t="s">
        <v>5169</v>
      </c>
      <c r="B938" s="323" t="s">
        <v>805</v>
      </c>
      <c r="C938" s="323">
        <v>38235</v>
      </c>
      <c r="D938" s="323">
        <v>107</v>
      </c>
      <c r="E938" s="324">
        <f t="shared" si="14"/>
        <v>26093.02</v>
      </c>
    </row>
    <row r="939" spans="1:5" x14ac:dyDescent="0.25">
      <c r="A939" s="323" t="s">
        <v>1566</v>
      </c>
      <c r="B939" s="323" t="s">
        <v>805</v>
      </c>
      <c r="C939" s="323">
        <v>38351</v>
      </c>
      <c r="D939" s="323">
        <v>181</v>
      </c>
      <c r="E939" s="324">
        <f t="shared" si="14"/>
        <v>44138.66</v>
      </c>
    </row>
    <row r="940" spans="1:5" x14ac:dyDescent="0.25">
      <c r="A940" s="323" t="s">
        <v>2718</v>
      </c>
      <c r="B940" s="323" t="s">
        <v>805</v>
      </c>
      <c r="C940" s="323">
        <v>38650</v>
      </c>
      <c r="D940" s="323">
        <v>277</v>
      </c>
      <c r="E940" s="324">
        <f t="shared" si="14"/>
        <v>67549.22</v>
      </c>
    </row>
    <row r="941" spans="1:5" x14ac:dyDescent="0.25">
      <c r="A941" s="323" t="s">
        <v>3236</v>
      </c>
      <c r="B941" s="323" t="s">
        <v>805</v>
      </c>
      <c r="C941" s="323">
        <v>38819</v>
      </c>
      <c r="D941" s="323">
        <v>135</v>
      </c>
      <c r="E941" s="324">
        <f t="shared" si="14"/>
        <v>32921.1</v>
      </c>
    </row>
    <row r="942" spans="1:5" x14ac:dyDescent="0.25">
      <c r="A942" s="323" t="s">
        <v>3558</v>
      </c>
      <c r="B942" s="323" t="s">
        <v>805</v>
      </c>
      <c r="C942" s="323">
        <v>38819</v>
      </c>
      <c r="D942" s="323">
        <v>196</v>
      </c>
      <c r="E942" s="324">
        <f t="shared" si="14"/>
        <v>47796.560000000005</v>
      </c>
    </row>
    <row r="943" spans="1:5" x14ac:dyDescent="0.25">
      <c r="A943" s="323" t="s">
        <v>3559</v>
      </c>
      <c r="B943" s="323" t="s">
        <v>805</v>
      </c>
      <c r="C943" s="323">
        <v>38910</v>
      </c>
      <c r="D943" s="323">
        <v>418</v>
      </c>
      <c r="E943" s="324">
        <f t="shared" si="14"/>
        <v>101933.48000000001</v>
      </c>
    </row>
    <row r="944" spans="1:5" x14ac:dyDescent="0.25">
      <c r="A944" s="323" t="s">
        <v>3817</v>
      </c>
      <c r="B944" s="323" t="s">
        <v>805</v>
      </c>
      <c r="C944" s="323">
        <v>38910</v>
      </c>
      <c r="D944" s="323">
        <v>229</v>
      </c>
      <c r="E944" s="324">
        <f t="shared" si="14"/>
        <v>55843.94</v>
      </c>
    </row>
    <row r="945" spans="1:5" x14ac:dyDescent="0.25">
      <c r="A945" s="323" t="s">
        <v>1572</v>
      </c>
      <c r="B945" s="323" t="s">
        <v>805</v>
      </c>
      <c r="C945" s="323">
        <v>39001</v>
      </c>
      <c r="D945" s="323">
        <v>98</v>
      </c>
      <c r="E945" s="324">
        <f t="shared" si="14"/>
        <v>23898.280000000002</v>
      </c>
    </row>
    <row r="946" spans="1:5" x14ac:dyDescent="0.25">
      <c r="A946" s="323" t="s">
        <v>1183</v>
      </c>
      <c r="B946" s="323" t="s">
        <v>805</v>
      </c>
      <c r="C946" s="323">
        <v>39275</v>
      </c>
      <c r="D946" s="323">
        <v>537</v>
      </c>
      <c r="E946" s="324">
        <f t="shared" si="14"/>
        <v>130952.82</v>
      </c>
    </row>
    <row r="947" spans="1:5" x14ac:dyDescent="0.25">
      <c r="A947" s="323" t="s">
        <v>1575</v>
      </c>
      <c r="B947" s="323" t="s">
        <v>805</v>
      </c>
      <c r="C947" s="323">
        <v>39352</v>
      </c>
      <c r="D947" s="323">
        <v>305</v>
      </c>
      <c r="E947" s="324">
        <f t="shared" si="14"/>
        <v>74377.3</v>
      </c>
    </row>
    <row r="948" spans="1:5" x14ac:dyDescent="0.25">
      <c r="A948" s="323" t="s">
        <v>2724</v>
      </c>
      <c r="B948" s="323" t="s">
        <v>805</v>
      </c>
      <c r="C948" s="323">
        <v>39352</v>
      </c>
      <c r="D948" s="323">
        <v>181</v>
      </c>
      <c r="E948" s="324">
        <f t="shared" si="14"/>
        <v>44138.66</v>
      </c>
    </row>
    <row r="949" spans="1:5" x14ac:dyDescent="0.25">
      <c r="A949" s="323" t="s">
        <v>3241</v>
      </c>
      <c r="B949" s="323" t="s">
        <v>805</v>
      </c>
      <c r="C949" s="323">
        <v>39352</v>
      </c>
      <c r="D949" s="323">
        <v>263</v>
      </c>
      <c r="E949" s="324">
        <f t="shared" si="14"/>
        <v>64135.18</v>
      </c>
    </row>
    <row r="950" spans="1:5" x14ac:dyDescent="0.25">
      <c r="A950" s="323" t="s">
        <v>1579</v>
      </c>
      <c r="B950" s="323" t="s">
        <v>805</v>
      </c>
      <c r="C950" s="323">
        <v>39534</v>
      </c>
      <c r="D950" s="323">
        <v>185</v>
      </c>
      <c r="E950" s="324">
        <f t="shared" si="14"/>
        <v>45114.100000000006</v>
      </c>
    </row>
    <row r="951" spans="1:5" x14ac:dyDescent="0.25">
      <c r="A951" s="323" t="s">
        <v>1706</v>
      </c>
      <c r="B951" s="323" t="s">
        <v>805</v>
      </c>
      <c r="C951" s="323">
        <v>39600</v>
      </c>
      <c r="D951" s="323">
        <v>233</v>
      </c>
      <c r="E951" s="324">
        <f t="shared" si="14"/>
        <v>56819.380000000005</v>
      </c>
    </row>
    <row r="952" spans="1:5" x14ac:dyDescent="0.25">
      <c r="A952" s="323" t="s">
        <v>2622</v>
      </c>
      <c r="B952" s="323" t="s">
        <v>805</v>
      </c>
      <c r="C952" s="323">
        <v>39600</v>
      </c>
      <c r="D952" s="323">
        <v>93</v>
      </c>
      <c r="E952" s="324">
        <f t="shared" si="14"/>
        <v>22678.98</v>
      </c>
    </row>
    <row r="953" spans="1:5" x14ac:dyDescent="0.25">
      <c r="A953" s="323" t="s">
        <v>3462</v>
      </c>
      <c r="B953" s="323" t="s">
        <v>805</v>
      </c>
      <c r="C953" s="323">
        <v>39600</v>
      </c>
      <c r="D953" s="323">
        <v>429</v>
      </c>
      <c r="E953" s="324">
        <f t="shared" si="14"/>
        <v>104615.94</v>
      </c>
    </row>
    <row r="954" spans="1:5" x14ac:dyDescent="0.25">
      <c r="A954" s="323" t="s">
        <v>3626</v>
      </c>
      <c r="B954" s="323" t="s">
        <v>805</v>
      </c>
      <c r="C954" s="323">
        <v>39600</v>
      </c>
      <c r="D954" s="323">
        <v>183</v>
      </c>
      <c r="E954" s="324">
        <f t="shared" si="14"/>
        <v>44626.380000000005</v>
      </c>
    </row>
    <row r="955" spans="1:5" x14ac:dyDescent="0.25">
      <c r="A955" s="323" t="s">
        <v>5216</v>
      </c>
      <c r="B955" s="323" t="s">
        <v>805</v>
      </c>
      <c r="C955" s="323">
        <v>39600</v>
      </c>
      <c r="D955" s="323">
        <v>436</v>
      </c>
      <c r="E955" s="324">
        <f t="shared" si="14"/>
        <v>106322.96</v>
      </c>
    </row>
    <row r="956" spans="1:5" x14ac:dyDescent="0.25">
      <c r="A956" s="323" t="s">
        <v>5217</v>
      </c>
      <c r="B956" s="323" t="s">
        <v>805</v>
      </c>
      <c r="C956" s="323">
        <v>39600</v>
      </c>
      <c r="D956" s="323">
        <v>298</v>
      </c>
      <c r="E956" s="324">
        <f t="shared" si="14"/>
        <v>72670.28</v>
      </c>
    </row>
    <row r="957" spans="1:5" x14ac:dyDescent="0.25">
      <c r="A957" s="323" t="s">
        <v>6765</v>
      </c>
      <c r="B957" s="323" t="s">
        <v>805</v>
      </c>
      <c r="C957" s="323">
        <v>39600</v>
      </c>
      <c r="D957" s="323">
        <v>187</v>
      </c>
      <c r="E957" s="324">
        <f t="shared" si="14"/>
        <v>45601.82</v>
      </c>
    </row>
    <row r="958" spans="1:5" x14ac:dyDescent="0.25">
      <c r="A958" s="323" t="s">
        <v>6765</v>
      </c>
      <c r="B958" s="323" t="s">
        <v>805</v>
      </c>
      <c r="C958" s="323">
        <v>39600</v>
      </c>
      <c r="D958" s="323">
        <v>118</v>
      </c>
      <c r="E958" s="324">
        <f t="shared" si="14"/>
        <v>28775.480000000003</v>
      </c>
    </row>
    <row r="959" spans="1:5" x14ac:dyDescent="0.25">
      <c r="A959" s="323" t="s">
        <v>1583</v>
      </c>
      <c r="B959" s="323" t="s">
        <v>805</v>
      </c>
      <c r="C959" s="323">
        <v>39859</v>
      </c>
      <c r="D959" s="323">
        <v>241</v>
      </c>
      <c r="E959" s="324">
        <f t="shared" si="14"/>
        <v>58770.26</v>
      </c>
    </row>
    <row r="960" spans="1:5" x14ac:dyDescent="0.25">
      <c r="A960" s="323" t="s">
        <v>1190</v>
      </c>
      <c r="B960" s="323" t="s">
        <v>805</v>
      </c>
      <c r="C960" s="323">
        <v>39912</v>
      </c>
      <c r="D960" s="323">
        <v>328</v>
      </c>
      <c r="E960" s="324">
        <f t="shared" si="14"/>
        <v>79986.080000000002</v>
      </c>
    </row>
    <row r="961" spans="1:5" x14ac:dyDescent="0.25">
      <c r="A961" s="323" t="s">
        <v>1783</v>
      </c>
      <c r="B961" s="323" t="s">
        <v>805</v>
      </c>
      <c r="C961" s="323">
        <v>40020</v>
      </c>
      <c r="D961" s="323">
        <v>201</v>
      </c>
      <c r="E961" s="324">
        <f t="shared" si="14"/>
        <v>49015.86</v>
      </c>
    </row>
    <row r="962" spans="1:5" x14ac:dyDescent="0.25">
      <c r="A962" s="323" t="s">
        <v>2655</v>
      </c>
      <c r="B962" s="323" t="s">
        <v>805</v>
      </c>
      <c r="C962" s="323">
        <v>40020</v>
      </c>
      <c r="D962" s="323">
        <v>632</v>
      </c>
      <c r="E962" s="324">
        <f t="shared" ref="E962:E1025" si="15">D962*IF(B962=$G$9,WerkdrukbedragPerLeerlingBo,IF(B962=$G$10,WerkdrukbedragPerLeerlingSbo,IF(B962=$G$11,WerkdrukbedragPerLeerlingSo,IF(B962=$G$12,WerkdrukbedragPerLeerlingVso,0))))</f>
        <v>154119.52000000002</v>
      </c>
    </row>
    <row r="963" spans="1:5" x14ac:dyDescent="0.25">
      <c r="A963" s="323" t="s">
        <v>3508</v>
      </c>
      <c r="B963" s="323" t="s">
        <v>805</v>
      </c>
      <c r="C963" s="323">
        <v>40020</v>
      </c>
      <c r="D963" s="323">
        <v>205</v>
      </c>
      <c r="E963" s="324">
        <f t="shared" si="15"/>
        <v>49991.3</v>
      </c>
    </row>
    <row r="964" spans="1:5" x14ac:dyDescent="0.25">
      <c r="A964" s="323" t="s">
        <v>3726</v>
      </c>
      <c r="B964" s="323" t="s">
        <v>805</v>
      </c>
      <c r="C964" s="323">
        <v>40020</v>
      </c>
      <c r="D964" s="323">
        <v>257</v>
      </c>
      <c r="E964" s="324">
        <f t="shared" si="15"/>
        <v>62672.020000000004</v>
      </c>
    </row>
    <row r="965" spans="1:5" x14ac:dyDescent="0.25">
      <c r="A965" s="323" t="s">
        <v>3784</v>
      </c>
      <c r="B965" s="323" t="s">
        <v>805</v>
      </c>
      <c r="C965" s="323">
        <v>40020</v>
      </c>
      <c r="D965" s="323">
        <v>201</v>
      </c>
      <c r="E965" s="324">
        <f t="shared" si="15"/>
        <v>49015.86</v>
      </c>
    </row>
    <row r="966" spans="1:5" x14ac:dyDescent="0.25">
      <c r="A966" s="323" t="s">
        <v>3935</v>
      </c>
      <c r="B966" s="323" t="s">
        <v>805</v>
      </c>
      <c r="C966" s="323">
        <v>40020</v>
      </c>
      <c r="D966" s="323">
        <v>392</v>
      </c>
      <c r="E966" s="324">
        <f t="shared" si="15"/>
        <v>95593.12000000001</v>
      </c>
    </row>
    <row r="967" spans="1:5" x14ac:dyDescent="0.25">
      <c r="A967" s="323" t="s">
        <v>4588</v>
      </c>
      <c r="B967" s="323" t="s">
        <v>805</v>
      </c>
      <c r="C967" s="323">
        <v>40020</v>
      </c>
      <c r="D967" s="323">
        <v>207</v>
      </c>
      <c r="E967" s="324">
        <f t="shared" si="15"/>
        <v>50479.020000000004</v>
      </c>
    </row>
    <row r="968" spans="1:5" x14ac:dyDescent="0.25">
      <c r="A968" s="323" t="s">
        <v>4675</v>
      </c>
      <c r="B968" s="323" t="s">
        <v>805</v>
      </c>
      <c r="C968" s="323">
        <v>40020</v>
      </c>
      <c r="D968" s="323">
        <v>430</v>
      </c>
      <c r="E968" s="324">
        <f t="shared" si="15"/>
        <v>104859.8</v>
      </c>
    </row>
    <row r="969" spans="1:5" x14ac:dyDescent="0.25">
      <c r="A969" s="323" t="s">
        <v>6986</v>
      </c>
      <c r="B969" s="323" t="s">
        <v>805</v>
      </c>
      <c r="C969" s="323">
        <v>40020</v>
      </c>
      <c r="D969" s="323">
        <v>723</v>
      </c>
      <c r="E969" s="324">
        <f t="shared" si="15"/>
        <v>176310.78</v>
      </c>
    </row>
    <row r="970" spans="1:5" x14ac:dyDescent="0.25">
      <c r="A970" s="323" t="s">
        <v>7035</v>
      </c>
      <c r="B970" s="323" t="s">
        <v>805</v>
      </c>
      <c r="C970" s="323">
        <v>40020</v>
      </c>
      <c r="D970" s="323">
        <v>633</v>
      </c>
      <c r="E970" s="324">
        <f t="shared" si="15"/>
        <v>154363.38</v>
      </c>
    </row>
    <row r="971" spans="1:5" x14ac:dyDescent="0.25">
      <c r="A971" s="323" t="s">
        <v>7452</v>
      </c>
      <c r="B971" s="323" t="s">
        <v>805</v>
      </c>
      <c r="C971" s="323">
        <v>40020</v>
      </c>
      <c r="D971" s="323">
        <v>457</v>
      </c>
      <c r="E971" s="324">
        <f t="shared" si="15"/>
        <v>111444.02</v>
      </c>
    </row>
    <row r="972" spans="1:5" x14ac:dyDescent="0.25">
      <c r="A972" s="323" t="s">
        <v>7052</v>
      </c>
      <c r="B972" s="323" t="s">
        <v>805</v>
      </c>
      <c r="C972" s="323">
        <v>40048</v>
      </c>
      <c r="D972" s="323">
        <v>89</v>
      </c>
      <c r="E972" s="324">
        <f t="shared" si="15"/>
        <v>21703.54</v>
      </c>
    </row>
    <row r="973" spans="1:5" x14ac:dyDescent="0.25">
      <c r="A973" s="323" t="s">
        <v>7062</v>
      </c>
      <c r="B973" s="323" t="s">
        <v>805</v>
      </c>
      <c r="C973" s="323">
        <v>40077</v>
      </c>
      <c r="D973" s="323">
        <v>339</v>
      </c>
      <c r="E973" s="324">
        <f t="shared" si="15"/>
        <v>82668.540000000008</v>
      </c>
    </row>
    <row r="974" spans="1:5" x14ac:dyDescent="0.25">
      <c r="A974" s="323" t="s">
        <v>7062</v>
      </c>
      <c r="B974" s="323" t="s">
        <v>805</v>
      </c>
      <c r="C974" s="323">
        <v>40077</v>
      </c>
      <c r="D974" s="323">
        <v>183</v>
      </c>
      <c r="E974" s="324">
        <f t="shared" si="15"/>
        <v>44626.380000000005</v>
      </c>
    </row>
    <row r="975" spans="1:5" x14ac:dyDescent="0.25">
      <c r="A975" s="323" t="s">
        <v>7062</v>
      </c>
      <c r="B975" s="323" t="s">
        <v>805</v>
      </c>
      <c r="C975" s="323">
        <v>40077</v>
      </c>
      <c r="D975" s="323">
        <v>285</v>
      </c>
      <c r="E975" s="324">
        <f t="shared" si="15"/>
        <v>69500.100000000006</v>
      </c>
    </row>
    <row r="976" spans="1:5" x14ac:dyDescent="0.25">
      <c r="A976" s="323" t="s">
        <v>7343</v>
      </c>
      <c r="B976" s="323" t="s">
        <v>805</v>
      </c>
      <c r="C976" s="323">
        <v>40077</v>
      </c>
      <c r="D976" s="323">
        <v>216</v>
      </c>
      <c r="E976" s="324">
        <f t="shared" si="15"/>
        <v>52673.760000000002</v>
      </c>
    </row>
    <row r="977" spans="1:5" x14ac:dyDescent="0.25">
      <c r="A977" s="323" t="s">
        <v>4477</v>
      </c>
      <c r="B977" s="323" t="s">
        <v>805</v>
      </c>
      <c r="C977" s="323">
        <v>40114</v>
      </c>
      <c r="D977" s="323">
        <v>170</v>
      </c>
      <c r="E977" s="324">
        <f t="shared" si="15"/>
        <v>41456.200000000004</v>
      </c>
    </row>
    <row r="978" spans="1:5" x14ac:dyDescent="0.25">
      <c r="A978" s="323" t="s">
        <v>4582</v>
      </c>
      <c r="B978" s="323" t="s">
        <v>805</v>
      </c>
      <c r="C978" s="323">
        <v>40114</v>
      </c>
      <c r="D978" s="323">
        <v>120</v>
      </c>
      <c r="E978" s="324">
        <f t="shared" si="15"/>
        <v>29263.200000000001</v>
      </c>
    </row>
    <row r="979" spans="1:5" x14ac:dyDescent="0.25">
      <c r="A979" s="323" t="s">
        <v>4671</v>
      </c>
      <c r="B979" s="323" t="s">
        <v>805</v>
      </c>
      <c r="C979" s="323">
        <v>40114</v>
      </c>
      <c r="D979" s="323">
        <v>158</v>
      </c>
      <c r="E979" s="324">
        <f t="shared" si="15"/>
        <v>38529.880000000005</v>
      </c>
    </row>
    <row r="980" spans="1:5" x14ac:dyDescent="0.25">
      <c r="A980" s="323" t="s">
        <v>4728</v>
      </c>
      <c r="B980" s="323" t="s">
        <v>805</v>
      </c>
      <c r="C980" s="323">
        <v>40114</v>
      </c>
      <c r="D980" s="323">
        <v>100</v>
      </c>
      <c r="E980" s="324">
        <f t="shared" si="15"/>
        <v>24386</v>
      </c>
    </row>
    <row r="981" spans="1:5" x14ac:dyDescent="0.25">
      <c r="A981" s="323" t="s">
        <v>4800</v>
      </c>
      <c r="B981" s="323" t="s">
        <v>805</v>
      </c>
      <c r="C981" s="323">
        <v>40114</v>
      </c>
      <c r="D981" s="323">
        <v>419</v>
      </c>
      <c r="E981" s="324">
        <f t="shared" si="15"/>
        <v>102177.34000000001</v>
      </c>
    </row>
    <row r="982" spans="1:5" x14ac:dyDescent="0.25">
      <c r="A982" s="323" t="s">
        <v>6914</v>
      </c>
      <c r="B982" s="323" t="s">
        <v>805</v>
      </c>
      <c r="C982" s="323">
        <v>40114</v>
      </c>
      <c r="D982" s="323">
        <v>201</v>
      </c>
      <c r="E982" s="324">
        <f t="shared" si="15"/>
        <v>49015.86</v>
      </c>
    </row>
    <row r="983" spans="1:5" x14ac:dyDescent="0.25">
      <c r="A983" s="323" t="s">
        <v>7018</v>
      </c>
      <c r="B983" s="323" t="s">
        <v>805</v>
      </c>
      <c r="C983" s="323">
        <v>40114</v>
      </c>
      <c r="D983" s="323">
        <v>155</v>
      </c>
      <c r="E983" s="324">
        <f t="shared" si="15"/>
        <v>37798.300000000003</v>
      </c>
    </row>
    <row r="984" spans="1:5" x14ac:dyDescent="0.25">
      <c r="A984" s="323" t="s">
        <v>7019</v>
      </c>
      <c r="B984" s="323" t="s">
        <v>805</v>
      </c>
      <c r="C984" s="323">
        <v>40114</v>
      </c>
      <c r="D984" s="323">
        <v>418</v>
      </c>
      <c r="E984" s="324">
        <f t="shared" si="15"/>
        <v>101933.48000000001</v>
      </c>
    </row>
    <row r="985" spans="1:5" x14ac:dyDescent="0.25">
      <c r="A985" s="323" t="s">
        <v>7070</v>
      </c>
      <c r="B985" s="323" t="s">
        <v>816</v>
      </c>
      <c r="C985" s="323">
        <v>40114</v>
      </c>
      <c r="D985" s="323">
        <v>207</v>
      </c>
      <c r="E985" s="324">
        <f t="shared" si="15"/>
        <v>75718.53</v>
      </c>
    </row>
    <row r="986" spans="1:5" x14ac:dyDescent="0.25">
      <c r="A986" s="323" t="s">
        <v>7144</v>
      </c>
      <c r="B986" s="323" t="s">
        <v>805</v>
      </c>
      <c r="C986" s="323">
        <v>40114</v>
      </c>
      <c r="D986" s="323">
        <v>341</v>
      </c>
      <c r="E986" s="324">
        <f t="shared" si="15"/>
        <v>83156.260000000009</v>
      </c>
    </row>
    <row r="987" spans="1:5" x14ac:dyDescent="0.25">
      <c r="A987" s="323" t="s">
        <v>7149</v>
      </c>
      <c r="B987" s="323" t="s">
        <v>805</v>
      </c>
      <c r="C987" s="323">
        <v>40114</v>
      </c>
      <c r="D987" s="323">
        <v>531</v>
      </c>
      <c r="E987" s="324">
        <f t="shared" si="15"/>
        <v>129489.66</v>
      </c>
    </row>
    <row r="988" spans="1:5" x14ac:dyDescent="0.25">
      <c r="A988" s="323" t="s">
        <v>7150</v>
      </c>
      <c r="B988" s="323" t="s">
        <v>805</v>
      </c>
      <c r="C988" s="323">
        <v>40114</v>
      </c>
      <c r="D988" s="323">
        <v>416</v>
      </c>
      <c r="E988" s="324">
        <f t="shared" si="15"/>
        <v>101445.76000000001</v>
      </c>
    </row>
    <row r="989" spans="1:5" x14ac:dyDescent="0.25">
      <c r="A989" s="323" t="s">
        <v>7207</v>
      </c>
      <c r="B989" s="323" t="s">
        <v>805</v>
      </c>
      <c r="C989" s="323">
        <v>40114</v>
      </c>
      <c r="D989" s="323">
        <v>298</v>
      </c>
      <c r="E989" s="324">
        <f t="shared" si="15"/>
        <v>72670.28</v>
      </c>
    </row>
    <row r="990" spans="1:5" x14ac:dyDescent="0.25">
      <c r="A990" s="323" t="s">
        <v>7306</v>
      </c>
      <c r="B990" s="323" t="s">
        <v>805</v>
      </c>
      <c r="C990" s="323">
        <v>40114</v>
      </c>
      <c r="D990" s="323">
        <v>274</v>
      </c>
      <c r="E990" s="324">
        <f t="shared" si="15"/>
        <v>66817.64</v>
      </c>
    </row>
    <row r="991" spans="1:5" x14ac:dyDescent="0.25">
      <c r="A991" s="323" t="s">
        <v>7307</v>
      </c>
      <c r="B991" s="323" t="s">
        <v>805</v>
      </c>
      <c r="C991" s="323">
        <v>40114</v>
      </c>
      <c r="D991" s="323">
        <v>796</v>
      </c>
      <c r="E991" s="324">
        <f t="shared" si="15"/>
        <v>194112.56</v>
      </c>
    </row>
    <row r="992" spans="1:5" x14ac:dyDescent="0.25">
      <c r="A992" s="323" t="s">
        <v>7369</v>
      </c>
      <c r="B992" s="323" t="s">
        <v>805</v>
      </c>
      <c r="C992" s="323">
        <v>40114</v>
      </c>
      <c r="D992" s="323">
        <v>67</v>
      </c>
      <c r="E992" s="324">
        <f t="shared" si="15"/>
        <v>16338.62</v>
      </c>
    </row>
    <row r="993" spans="1:5" x14ac:dyDescent="0.25">
      <c r="A993" s="323" t="s">
        <v>7418</v>
      </c>
      <c r="B993" s="323" t="s">
        <v>805</v>
      </c>
      <c r="C993" s="323">
        <v>40114</v>
      </c>
      <c r="D993" s="323">
        <v>426</v>
      </c>
      <c r="E993" s="324">
        <f t="shared" si="15"/>
        <v>103884.36</v>
      </c>
    </row>
    <row r="994" spans="1:5" x14ac:dyDescent="0.25">
      <c r="A994" s="323" t="s">
        <v>7497</v>
      </c>
      <c r="B994" s="323" t="s">
        <v>805</v>
      </c>
      <c r="C994" s="323">
        <v>40114</v>
      </c>
      <c r="D994" s="323">
        <v>83</v>
      </c>
      <c r="E994" s="324">
        <f t="shared" si="15"/>
        <v>20240.38</v>
      </c>
    </row>
    <row r="995" spans="1:5" x14ac:dyDescent="0.25">
      <c r="A995" s="323" t="s">
        <v>990</v>
      </c>
      <c r="B995" s="323" t="s">
        <v>803</v>
      </c>
      <c r="C995" s="323">
        <v>40132</v>
      </c>
      <c r="D995" s="323">
        <v>112</v>
      </c>
      <c r="E995" s="324">
        <f t="shared" si="15"/>
        <v>54624.639999999999</v>
      </c>
    </row>
    <row r="996" spans="1:5" x14ac:dyDescent="0.25">
      <c r="A996" s="323" t="s">
        <v>990</v>
      </c>
      <c r="B996" s="323" t="s">
        <v>803</v>
      </c>
      <c r="C996" s="323">
        <v>40132</v>
      </c>
      <c r="D996" s="323">
        <v>13</v>
      </c>
      <c r="E996" s="324">
        <f t="shared" si="15"/>
        <v>6340.3600000000006</v>
      </c>
    </row>
    <row r="997" spans="1:5" x14ac:dyDescent="0.25">
      <c r="A997" s="323" t="s">
        <v>5548</v>
      </c>
      <c r="B997" s="323" t="s">
        <v>805</v>
      </c>
      <c r="C997" s="323">
        <v>40144</v>
      </c>
      <c r="D997" s="323">
        <v>242</v>
      </c>
      <c r="E997" s="324">
        <f t="shared" si="15"/>
        <v>59014.12</v>
      </c>
    </row>
    <row r="998" spans="1:5" x14ac:dyDescent="0.25">
      <c r="A998" s="323" t="s">
        <v>7122</v>
      </c>
      <c r="B998" s="323" t="s">
        <v>805</v>
      </c>
      <c r="C998" s="323">
        <v>40189</v>
      </c>
      <c r="D998" s="323">
        <v>350</v>
      </c>
      <c r="E998" s="324">
        <f t="shared" si="15"/>
        <v>85351</v>
      </c>
    </row>
    <row r="999" spans="1:5" x14ac:dyDescent="0.25">
      <c r="A999" s="323" t="s">
        <v>6845</v>
      </c>
      <c r="B999" s="323" t="s">
        <v>805</v>
      </c>
      <c r="C999" s="323">
        <v>40207</v>
      </c>
      <c r="D999" s="323">
        <v>268</v>
      </c>
      <c r="E999" s="324">
        <f t="shared" si="15"/>
        <v>65354.48</v>
      </c>
    </row>
    <row r="1000" spans="1:5" x14ac:dyDescent="0.25">
      <c r="A1000" s="323" t="s">
        <v>953</v>
      </c>
      <c r="B1000" s="323" t="s">
        <v>805</v>
      </c>
      <c r="C1000" s="323">
        <v>40257</v>
      </c>
      <c r="D1000" s="323">
        <v>475</v>
      </c>
      <c r="E1000" s="324">
        <f t="shared" si="15"/>
        <v>115833.5</v>
      </c>
    </row>
    <row r="1001" spans="1:5" x14ac:dyDescent="0.25">
      <c r="A1001" s="323" t="s">
        <v>1760</v>
      </c>
      <c r="B1001" s="323" t="s">
        <v>805</v>
      </c>
      <c r="C1001" s="323">
        <v>40257</v>
      </c>
      <c r="D1001" s="323">
        <v>274</v>
      </c>
      <c r="E1001" s="324">
        <f t="shared" si="15"/>
        <v>66817.64</v>
      </c>
    </row>
    <row r="1002" spans="1:5" x14ac:dyDescent="0.25">
      <c r="A1002" s="323" t="s">
        <v>1761</v>
      </c>
      <c r="B1002" s="323" t="s">
        <v>805</v>
      </c>
      <c r="C1002" s="323">
        <v>40257</v>
      </c>
      <c r="D1002" s="323">
        <v>336</v>
      </c>
      <c r="E1002" s="324">
        <f t="shared" si="15"/>
        <v>81936.960000000006</v>
      </c>
    </row>
    <row r="1003" spans="1:5" x14ac:dyDescent="0.25">
      <c r="A1003" s="323" t="s">
        <v>1781</v>
      </c>
      <c r="B1003" s="323" t="s">
        <v>805</v>
      </c>
      <c r="C1003" s="323">
        <v>40257</v>
      </c>
      <c r="D1003" s="323">
        <v>457</v>
      </c>
      <c r="E1003" s="324">
        <f t="shared" si="15"/>
        <v>111444.02</v>
      </c>
    </row>
    <row r="1004" spans="1:5" x14ac:dyDescent="0.25">
      <c r="A1004" s="323" t="s">
        <v>2817</v>
      </c>
      <c r="B1004" s="323" t="s">
        <v>805</v>
      </c>
      <c r="C1004" s="323">
        <v>40257</v>
      </c>
      <c r="D1004" s="323">
        <v>226</v>
      </c>
      <c r="E1004" s="324">
        <f t="shared" si="15"/>
        <v>55112.36</v>
      </c>
    </row>
    <row r="1005" spans="1:5" x14ac:dyDescent="0.25">
      <c r="A1005" s="323" t="s">
        <v>4488</v>
      </c>
      <c r="B1005" s="323" t="s">
        <v>805</v>
      </c>
      <c r="C1005" s="323">
        <v>40257</v>
      </c>
      <c r="D1005" s="323">
        <v>494</v>
      </c>
      <c r="E1005" s="324">
        <f t="shared" si="15"/>
        <v>120466.84000000001</v>
      </c>
    </row>
    <row r="1006" spans="1:5" x14ac:dyDescent="0.25">
      <c r="A1006" s="323" t="s">
        <v>4591</v>
      </c>
      <c r="B1006" s="323" t="s">
        <v>805</v>
      </c>
      <c r="C1006" s="323">
        <v>40257</v>
      </c>
      <c r="D1006" s="323">
        <v>363</v>
      </c>
      <c r="E1006" s="324">
        <f t="shared" si="15"/>
        <v>88521.180000000008</v>
      </c>
    </row>
    <row r="1007" spans="1:5" x14ac:dyDescent="0.25">
      <c r="A1007" s="323" t="s">
        <v>6979</v>
      </c>
      <c r="B1007" s="323" t="s">
        <v>805</v>
      </c>
      <c r="C1007" s="323">
        <v>40257</v>
      </c>
      <c r="D1007" s="323">
        <v>216</v>
      </c>
      <c r="E1007" s="324">
        <f t="shared" si="15"/>
        <v>52673.760000000002</v>
      </c>
    </row>
    <row r="1008" spans="1:5" x14ac:dyDescent="0.25">
      <c r="A1008" s="323" t="s">
        <v>7094</v>
      </c>
      <c r="B1008" s="323" t="s">
        <v>805</v>
      </c>
      <c r="C1008" s="323">
        <v>40269</v>
      </c>
      <c r="D1008" s="323">
        <v>366</v>
      </c>
      <c r="E1008" s="324">
        <f t="shared" si="15"/>
        <v>89252.760000000009</v>
      </c>
    </row>
    <row r="1009" spans="1:5" x14ac:dyDescent="0.25">
      <c r="A1009" s="323" t="s">
        <v>6933</v>
      </c>
      <c r="B1009" s="323" t="s">
        <v>805</v>
      </c>
      <c r="C1009" s="323">
        <v>40272</v>
      </c>
      <c r="D1009" s="323">
        <v>970</v>
      </c>
      <c r="E1009" s="324">
        <f t="shared" si="15"/>
        <v>236544.2</v>
      </c>
    </row>
    <row r="1010" spans="1:5" x14ac:dyDescent="0.25">
      <c r="A1010" s="323" t="s">
        <v>7459</v>
      </c>
      <c r="B1010" s="323" t="s">
        <v>805</v>
      </c>
      <c r="C1010" s="323">
        <v>40272</v>
      </c>
      <c r="D1010" s="323">
        <v>278</v>
      </c>
      <c r="E1010" s="324">
        <f t="shared" si="15"/>
        <v>67793.08</v>
      </c>
    </row>
    <row r="1011" spans="1:5" x14ac:dyDescent="0.25">
      <c r="A1011" s="323" t="s">
        <v>1301</v>
      </c>
      <c r="B1011" s="323" t="s">
        <v>805</v>
      </c>
      <c r="C1011" s="323">
        <v>40278</v>
      </c>
      <c r="D1011" s="323">
        <v>116</v>
      </c>
      <c r="E1011" s="324">
        <f t="shared" si="15"/>
        <v>28287.760000000002</v>
      </c>
    </row>
    <row r="1012" spans="1:5" x14ac:dyDescent="0.25">
      <c r="A1012" s="323" t="s">
        <v>1326</v>
      </c>
      <c r="B1012" s="323" t="s">
        <v>805</v>
      </c>
      <c r="C1012" s="323">
        <v>40278</v>
      </c>
      <c r="D1012" s="323">
        <v>131</v>
      </c>
      <c r="E1012" s="324">
        <f t="shared" si="15"/>
        <v>31945.660000000003</v>
      </c>
    </row>
    <row r="1013" spans="1:5" x14ac:dyDescent="0.25">
      <c r="A1013" s="323" t="s">
        <v>1607</v>
      </c>
      <c r="B1013" s="323" t="s">
        <v>805</v>
      </c>
      <c r="C1013" s="323">
        <v>40278</v>
      </c>
      <c r="D1013" s="323">
        <v>173</v>
      </c>
      <c r="E1013" s="324">
        <f t="shared" si="15"/>
        <v>42187.78</v>
      </c>
    </row>
    <row r="1014" spans="1:5" x14ac:dyDescent="0.25">
      <c r="A1014" s="323" t="s">
        <v>2186</v>
      </c>
      <c r="B1014" s="323" t="s">
        <v>805</v>
      </c>
      <c r="C1014" s="323">
        <v>40278</v>
      </c>
      <c r="D1014" s="323">
        <v>227</v>
      </c>
      <c r="E1014" s="324">
        <f t="shared" si="15"/>
        <v>55356.22</v>
      </c>
    </row>
    <row r="1015" spans="1:5" x14ac:dyDescent="0.25">
      <c r="A1015" s="323" t="s">
        <v>2301</v>
      </c>
      <c r="B1015" s="323" t="s">
        <v>805</v>
      </c>
      <c r="C1015" s="323">
        <v>40278</v>
      </c>
      <c r="D1015" s="323">
        <v>104</v>
      </c>
      <c r="E1015" s="324">
        <f t="shared" si="15"/>
        <v>25361.440000000002</v>
      </c>
    </row>
    <row r="1016" spans="1:5" x14ac:dyDescent="0.25">
      <c r="A1016" s="323" t="s">
        <v>2592</v>
      </c>
      <c r="B1016" s="323" t="s">
        <v>805</v>
      </c>
      <c r="C1016" s="323">
        <v>40278</v>
      </c>
      <c r="D1016" s="323">
        <v>67</v>
      </c>
      <c r="E1016" s="324">
        <f t="shared" si="15"/>
        <v>16338.62</v>
      </c>
    </row>
    <row r="1017" spans="1:5" x14ac:dyDescent="0.25">
      <c r="A1017" s="323" t="s">
        <v>3245</v>
      </c>
      <c r="B1017" s="323" t="s">
        <v>805</v>
      </c>
      <c r="C1017" s="323">
        <v>40278</v>
      </c>
      <c r="D1017" s="323">
        <v>180</v>
      </c>
      <c r="E1017" s="324">
        <f t="shared" si="15"/>
        <v>43894.8</v>
      </c>
    </row>
    <row r="1018" spans="1:5" x14ac:dyDescent="0.25">
      <c r="A1018" s="323" t="s">
        <v>3245</v>
      </c>
      <c r="B1018" s="323" t="s">
        <v>805</v>
      </c>
      <c r="C1018" s="323">
        <v>40278</v>
      </c>
      <c r="D1018" s="323">
        <v>124</v>
      </c>
      <c r="E1018" s="324">
        <f t="shared" si="15"/>
        <v>30238.640000000003</v>
      </c>
    </row>
    <row r="1019" spans="1:5" x14ac:dyDescent="0.25">
      <c r="A1019" s="323" t="s">
        <v>3423</v>
      </c>
      <c r="B1019" s="323" t="s">
        <v>805</v>
      </c>
      <c r="C1019" s="323">
        <v>40278</v>
      </c>
      <c r="D1019" s="323">
        <v>474</v>
      </c>
      <c r="E1019" s="324">
        <f t="shared" si="15"/>
        <v>115589.64</v>
      </c>
    </row>
    <row r="1020" spans="1:5" x14ac:dyDescent="0.25">
      <c r="A1020" s="323" t="s">
        <v>3708</v>
      </c>
      <c r="B1020" s="323" t="s">
        <v>805</v>
      </c>
      <c r="C1020" s="323">
        <v>40278</v>
      </c>
      <c r="D1020" s="323">
        <v>214</v>
      </c>
      <c r="E1020" s="324">
        <f t="shared" si="15"/>
        <v>52186.04</v>
      </c>
    </row>
    <row r="1021" spans="1:5" x14ac:dyDescent="0.25">
      <c r="A1021" s="323" t="s">
        <v>4091</v>
      </c>
      <c r="B1021" s="323" t="s">
        <v>805</v>
      </c>
      <c r="C1021" s="323">
        <v>40278</v>
      </c>
      <c r="D1021" s="323">
        <v>66</v>
      </c>
      <c r="E1021" s="324">
        <f t="shared" si="15"/>
        <v>16094.76</v>
      </c>
    </row>
    <row r="1022" spans="1:5" x14ac:dyDescent="0.25">
      <c r="A1022" s="323" t="s">
        <v>4593</v>
      </c>
      <c r="B1022" s="323" t="s">
        <v>816</v>
      </c>
      <c r="C1022" s="323">
        <v>40278</v>
      </c>
      <c r="D1022" s="323">
        <v>243</v>
      </c>
      <c r="E1022" s="324">
        <f t="shared" si="15"/>
        <v>88886.97</v>
      </c>
    </row>
    <row r="1023" spans="1:5" x14ac:dyDescent="0.25">
      <c r="A1023" s="323" t="s">
        <v>5513</v>
      </c>
      <c r="B1023" s="323" t="s">
        <v>805</v>
      </c>
      <c r="C1023" s="323">
        <v>40278</v>
      </c>
      <c r="D1023" s="323">
        <v>439</v>
      </c>
      <c r="E1023" s="324">
        <f t="shared" si="15"/>
        <v>107054.54000000001</v>
      </c>
    </row>
    <row r="1024" spans="1:5" x14ac:dyDescent="0.25">
      <c r="A1024" s="323" t="s">
        <v>5574</v>
      </c>
      <c r="B1024" s="323" t="s">
        <v>805</v>
      </c>
      <c r="C1024" s="323">
        <v>40278</v>
      </c>
      <c r="D1024" s="323">
        <v>317</v>
      </c>
      <c r="E1024" s="324">
        <f t="shared" si="15"/>
        <v>77303.62000000001</v>
      </c>
    </row>
    <row r="1025" spans="1:5" x14ac:dyDescent="0.25">
      <c r="A1025" s="323" t="s">
        <v>5592</v>
      </c>
      <c r="B1025" s="323" t="s">
        <v>805</v>
      </c>
      <c r="C1025" s="323">
        <v>40278</v>
      </c>
      <c r="D1025" s="323">
        <v>80</v>
      </c>
      <c r="E1025" s="324">
        <f t="shared" si="15"/>
        <v>19508.800000000003</v>
      </c>
    </row>
    <row r="1026" spans="1:5" x14ac:dyDescent="0.25">
      <c r="A1026" s="323" t="s">
        <v>6778</v>
      </c>
      <c r="B1026" s="323" t="s">
        <v>805</v>
      </c>
      <c r="C1026" s="323">
        <v>40278</v>
      </c>
      <c r="D1026" s="323">
        <v>265</v>
      </c>
      <c r="E1026" s="324">
        <f t="shared" ref="E1026:E1089" si="16">D1026*IF(B1026=$G$9,WerkdrukbedragPerLeerlingBo,IF(B1026=$G$10,WerkdrukbedragPerLeerlingSbo,IF(B1026=$G$11,WerkdrukbedragPerLeerlingSo,IF(B1026=$G$12,WerkdrukbedragPerLeerlingVso,0))))</f>
        <v>64622.9</v>
      </c>
    </row>
    <row r="1027" spans="1:5" x14ac:dyDescent="0.25">
      <c r="A1027" s="323" t="s">
        <v>7086</v>
      </c>
      <c r="B1027" s="323" t="s">
        <v>805</v>
      </c>
      <c r="C1027" s="323">
        <v>40278</v>
      </c>
      <c r="D1027" s="323">
        <v>351</v>
      </c>
      <c r="E1027" s="324">
        <f t="shared" si="16"/>
        <v>85594.86</v>
      </c>
    </row>
    <row r="1028" spans="1:5" x14ac:dyDescent="0.25">
      <c r="A1028" s="323" t="s">
        <v>7087</v>
      </c>
      <c r="B1028" s="323" t="s">
        <v>805</v>
      </c>
      <c r="C1028" s="323">
        <v>40278</v>
      </c>
      <c r="D1028" s="323">
        <v>399</v>
      </c>
      <c r="E1028" s="324">
        <f t="shared" si="16"/>
        <v>97300.14</v>
      </c>
    </row>
    <row r="1029" spans="1:5" x14ac:dyDescent="0.25">
      <c r="A1029" s="323" t="s">
        <v>7097</v>
      </c>
      <c r="B1029" s="323" t="s">
        <v>805</v>
      </c>
      <c r="C1029" s="323">
        <v>40281</v>
      </c>
      <c r="D1029" s="323">
        <v>229</v>
      </c>
      <c r="E1029" s="324">
        <f t="shared" si="16"/>
        <v>55843.94</v>
      </c>
    </row>
    <row r="1030" spans="1:5" x14ac:dyDescent="0.25">
      <c r="A1030" s="323" t="s">
        <v>7099</v>
      </c>
      <c r="B1030" s="323" t="s">
        <v>805</v>
      </c>
      <c r="C1030" s="323">
        <v>40284</v>
      </c>
      <c r="D1030" s="323">
        <v>236</v>
      </c>
      <c r="E1030" s="324">
        <f t="shared" si="16"/>
        <v>57550.960000000006</v>
      </c>
    </row>
    <row r="1031" spans="1:5" x14ac:dyDescent="0.25">
      <c r="A1031" s="323" t="s">
        <v>7109</v>
      </c>
      <c r="B1031" s="323" t="s">
        <v>805</v>
      </c>
      <c r="C1031" s="323">
        <v>40294</v>
      </c>
      <c r="D1031" s="323">
        <v>406</v>
      </c>
      <c r="E1031" s="324">
        <f t="shared" si="16"/>
        <v>99007.16</v>
      </c>
    </row>
    <row r="1032" spans="1:5" x14ac:dyDescent="0.25">
      <c r="A1032" s="323" t="s">
        <v>7251</v>
      </c>
      <c r="B1032" s="323" t="s">
        <v>805</v>
      </c>
      <c r="C1032" s="323">
        <v>40294</v>
      </c>
      <c r="D1032" s="323">
        <v>304</v>
      </c>
      <c r="E1032" s="324">
        <f t="shared" si="16"/>
        <v>74133.440000000002</v>
      </c>
    </row>
    <row r="1033" spans="1:5" x14ac:dyDescent="0.25">
      <c r="A1033" s="323" t="s">
        <v>2726</v>
      </c>
      <c r="B1033" s="323" t="s">
        <v>805</v>
      </c>
      <c r="C1033" s="323">
        <v>40301</v>
      </c>
      <c r="D1033" s="323">
        <v>403</v>
      </c>
      <c r="E1033" s="324">
        <f t="shared" si="16"/>
        <v>98275.58</v>
      </c>
    </row>
    <row r="1034" spans="1:5" x14ac:dyDescent="0.25">
      <c r="A1034" s="323" t="s">
        <v>7454</v>
      </c>
      <c r="B1034" s="323" t="s">
        <v>805</v>
      </c>
      <c r="C1034" s="323">
        <v>40306</v>
      </c>
      <c r="D1034" s="323">
        <v>361</v>
      </c>
      <c r="E1034" s="324">
        <f t="shared" si="16"/>
        <v>88033.46</v>
      </c>
    </row>
    <row r="1035" spans="1:5" x14ac:dyDescent="0.25">
      <c r="A1035" s="323" t="s">
        <v>7473</v>
      </c>
      <c r="B1035" s="323" t="s">
        <v>805</v>
      </c>
      <c r="C1035" s="323">
        <v>40306</v>
      </c>
      <c r="D1035" s="323">
        <v>115</v>
      </c>
      <c r="E1035" s="324">
        <f t="shared" si="16"/>
        <v>28043.9</v>
      </c>
    </row>
    <row r="1036" spans="1:5" x14ac:dyDescent="0.25">
      <c r="A1036" s="323" t="s">
        <v>7114</v>
      </c>
      <c r="B1036" s="323" t="s">
        <v>805</v>
      </c>
      <c r="C1036" s="323">
        <v>40307</v>
      </c>
      <c r="D1036" s="323">
        <v>196</v>
      </c>
      <c r="E1036" s="324">
        <f t="shared" si="16"/>
        <v>47796.560000000005</v>
      </c>
    </row>
    <row r="1037" spans="1:5" x14ac:dyDescent="0.25">
      <c r="A1037" s="323" t="s">
        <v>3562</v>
      </c>
      <c r="B1037" s="323" t="s">
        <v>805</v>
      </c>
      <c r="C1037" s="323">
        <v>40327</v>
      </c>
      <c r="D1037" s="323">
        <v>264</v>
      </c>
      <c r="E1037" s="324">
        <f t="shared" si="16"/>
        <v>64379.040000000001</v>
      </c>
    </row>
    <row r="1038" spans="1:5" x14ac:dyDescent="0.25">
      <c r="A1038" s="323" t="s">
        <v>6879</v>
      </c>
      <c r="B1038" s="323" t="s">
        <v>805</v>
      </c>
      <c r="C1038" s="323">
        <v>40329</v>
      </c>
      <c r="D1038" s="323">
        <v>170</v>
      </c>
      <c r="E1038" s="324">
        <f t="shared" si="16"/>
        <v>41456.200000000004</v>
      </c>
    </row>
    <row r="1039" spans="1:5" x14ac:dyDescent="0.25">
      <c r="A1039" s="323" t="s">
        <v>1588</v>
      </c>
      <c r="B1039" s="323" t="s">
        <v>805</v>
      </c>
      <c r="C1039" s="323">
        <v>40340</v>
      </c>
      <c r="D1039" s="323">
        <v>227</v>
      </c>
      <c r="E1039" s="324">
        <f t="shared" si="16"/>
        <v>55356.22</v>
      </c>
    </row>
    <row r="1040" spans="1:5" x14ac:dyDescent="0.25">
      <c r="A1040" s="323" t="s">
        <v>1937</v>
      </c>
      <c r="B1040" s="323" t="s">
        <v>805</v>
      </c>
      <c r="C1040" s="323">
        <v>40342</v>
      </c>
      <c r="D1040" s="323">
        <v>87</v>
      </c>
      <c r="E1040" s="324">
        <f t="shared" si="16"/>
        <v>21215.82</v>
      </c>
    </row>
    <row r="1041" spans="1:5" x14ac:dyDescent="0.25">
      <c r="A1041" s="323" t="s">
        <v>2322</v>
      </c>
      <c r="B1041" s="323" t="s">
        <v>805</v>
      </c>
      <c r="C1041" s="323">
        <v>40342</v>
      </c>
      <c r="D1041" s="323">
        <v>85</v>
      </c>
      <c r="E1041" s="324">
        <f t="shared" si="16"/>
        <v>20728.100000000002</v>
      </c>
    </row>
    <row r="1042" spans="1:5" x14ac:dyDescent="0.25">
      <c r="A1042" s="323" t="s">
        <v>2367</v>
      </c>
      <c r="B1042" s="323" t="s">
        <v>805</v>
      </c>
      <c r="C1042" s="323">
        <v>40342</v>
      </c>
      <c r="D1042" s="323">
        <v>154</v>
      </c>
      <c r="E1042" s="324">
        <f t="shared" si="16"/>
        <v>37554.44</v>
      </c>
    </row>
    <row r="1043" spans="1:5" x14ac:dyDescent="0.25">
      <c r="A1043" s="323" t="s">
        <v>2404</v>
      </c>
      <c r="B1043" s="323" t="s">
        <v>805</v>
      </c>
      <c r="C1043" s="323">
        <v>40342</v>
      </c>
      <c r="D1043" s="323">
        <v>109</v>
      </c>
      <c r="E1043" s="324">
        <f t="shared" si="16"/>
        <v>26580.74</v>
      </c>
    </row>
    <row r="1044" spans="1:5" x14ac:dyDescent="0.25">
      <c r="A1044" s="323" t="s">
        <v>2669</v>
      </c>
      <c r="B1044" s="323" t="s">
        <v>805</v>
      </c>
      <c r="C1044" s="323">
        <v>40342</v>
      </c>
      <c r="D1044" s="323">
        <v>149</v>
      </c>
      <c r="E1044" s="324">
        <f t="shared" si="16"/>
        <v>36335.14</v>
      </c>
    </row>
    <row r="1045" spans="1:5" x14ac:dyDescent="0.25">
      <c r="A1045" s="323" t="s">
        <v>5140</v>
      </c>
      <c r="B1045" s="323" t="s">
        <v>816</v>
      </c>
      <c r="C1045" s="323">
        <v>40342</v>
      </c>
      <c r="D1045" s="323">
        <v>187</v>
      </c>
      <c r="E1045" s="324">
        <f t="shared" si="16"/>
        <v>68402.73000000001</v>
      </c>
    </row>
    <row r="1046" spans="1:5" x14ac:dyDescent="0.25">
      <c r="A1046" s="323" t="s">
        <v>5430</v>
      </c>
      <c r="B1046" s="323" t="s">
        <v>805</v>
      </c>
      <c r="C1046" s="323">
        <v>40342</v>
      </c>
      <c r="D1046" s="323">
        <v>223</v>
      </c>
      <c r="E1046" s="324">
        <f t="shared" si="16"/>
        <v>54380.780000000006</v>
      </c>
    </row>
    <row r="1047" spans="1:5" x14ac:dyDescent="0.25">
      <c r="A1047" s="323" t="s">
        <v>5460</v>
      </c>
      <c r="B1047" s="323" t="s">
        <v>805</v>
      </c>
      <c r="C1047" s="323">
        <v>40342</v>
      </c>
      <c r="D1047" s="323">
        <v>238</v>
      </c>
      <c r="E1047" s="324">
        <f t="shared" si="16"/>
        <v>58038.68</v>
      </c>
    </row>
    <row r="1048" spans="1:5" x14ac:dyDescent="0.25">
      <c r="A1048" s="323" t="s">
        <v>5487</v>
      </c>
      <c r="B1048" s="323" t="s">
        <v>805</v>
      </c>
      <c r="C1048" s="323">
        <v>40342</v>
      </c>
      <c r="D1048" s="323">
        <v>223</v>
      </c>
      <c r="E1048" s="324">
        <f t="shared" si="16"/>
        <v>54380.780000000006</v>
      </c>
    </row>
    <row r="1049" spans="1:5" x14ac:dyDescent="0.25">
      <c r="A1049" s="323" t="s">
        <v>5508</v>
      </c>
      <c r="B1049" s="323" t="s">
        <v>805</v>
      </c>
      <c r="C1049" s="323">
        <v>40342</v>
      </c>
      <c r="D1049" s="323">
        <v>141</v>
      </c>
      <c r="E1049" s="324">
        <f t="shared" si="16"/>
        <v>34384.26</v>
      </c>
    </row>
    <row r="1050" spans="1:5" x14ac:dyDescent="0.25">
      <c r="A1050" s="323" t="s">
        <v>5544</v>
      </c>
      <c r="B1050" s="323" t="s">
        <v>805</v>
      </c>
      <c r="C1050" s="323">
        <v>40342</v>
      </c>
      <c r="D1050" s="323">
        <v>326</v>
      </c>
      <c r="E1050" s="324">
        <f t="shared" si="16"/>
        <v>79498.36</v>
      </c>
    </row>
    <row r="1051" spans="1:5" x14ac:dyDescent="0.25">
      <c r="A1051" s="323" t="s">
        <v>5605</v>
      </c>
      <c r="B1051" s="323" t="s">
        <v>805</v>
      </c>
      <c r="C1051" s="323">
        <v>40342</v>
      </c>
      <c r="D1051" s="323">
        <v>164</v>
      </c>
      <c r="E1051" s="324">
        <f t="shared" si="16"/>
        <v>39993.040000000001</v>
      </c>
    </row>
    <row r="1052" spans="1:5" x14ac:dyDescent="0.25">
      <c r="A1052" s="323" t="s">
        <v>5261</v>
      </c>
      <c r="B1052" s="323" t="s">
        <v>805</v>
      </c>
      <c r="C1052" s="323">
        <v>40350</v>
      </c>
      <c r="D1052" s="323">
        <v>330</v>
      </c>
      <c r="E1052" s="324">
        <f t="shared" si="16"/>
        <v>80473.8</v>
      </c>
    </row>
    <row r="1053" spans="1:5" x14ac:dyDescent="0.25">
      <c r="A1053" s="323" t="s">
        <v>6831</v>
      </c>
      <c r="B1053" s="323" t="s">
        <v>805</v>
      </c>
      <c r="C1053" s="323">
        <v>40355</v>
      </c>
      <c r="D1053" s="323">
        <v>77</v>
      </c>
      <c r="E1053" s="324">
        <f t="shared" si="16"/>
        <v>18777.22</v>
      </c>
    </row>
    <row r="1054" spans="1:5" x14ac:dyDescent="0.25">
      <c r="A1054" s="323" t="s">
        <v>5436</v>
      </c>
      <c r="B1054" s="323" t="s">
        <v>805</v>
      </c>
      <c r="C1054" s="323">
        <v>40363</v>
      </c>
      <c r="D1054" s="323">
        <v>101</v>
      </c>
      <c r="E1054" s="324">
        <f t="shared" si="16"/>
        <v>24629.86</v>
      </c>
    </row>
    <row r="1055" spans="1:5" x14ac:dyDescent="0.25">
      <c r="A1055" s="323" t="s">
        <v>5436</v>
      </c>
      <c r="B1055" s="323" t="s">
        <v>805</v>
      </c>
      <c r="C1055" s="323">
        <v>40363</v>
      </c>
      <c r="D1055" s="323">
        <v>211</v>
      </c>
      <c r="E1055" s="324">
        <f t="shared" si="16"/>
        <v>51454.460000000006</v>
      </c>
    </row>
    <row r="1056" spans="1:5" x14ac:dyDescent="0.25">
      <c r="A1056" s="323" t="s">
        <v>5662</v>
      </c>
      <c r="B1056" s="323" t="s">
        <v>803</v>
      </c>
      <c r="C1056" s="323">
        <v>40367</v>
      </c>
      <c r="D1056" s="323">
        <v>364</v>
      </c>
      <c r="E1056" s="324">
        <f t="shared" si="16"/>
        <v>177530.08000000002</v>
      </c>
    </row>
    <row r="1057" spans="1:5" x14ac:dyDescent="0.25">
      <c r="A1057" s="323" t="s">
        <v>5662</v>
      </c>
      <c r="B1057" s="323" t="s">
        <v>803</v>
      </c>
      <c r="C1057" s="323">
        <v>40367</v>
      </c>
      <c r="D1057" s="323">
        <v>57</v>
      </c>
      <c r="E1057" s="324">
        <f t="shared" si="16"/>
        <v>27800.04</v>
      </c>
    </row>
    <row r="1058" spans="1:5" x14ac:dyDescent="0.25">
      <c r="A1058" s="323" t="s">
        <v>4718</v>
      </c>
      <c r="B1058" s="323" t="s">
        <v>816</v>
      </c>
      <c r="C1058" s="323">
        <v>40377</v>
      </c>
      <c r="D1058" s="323">
        <v>113</v>
      </c>
      <c r="E1058" s="324">
        <f t="shared" si="16"/>
        <v>41334.270000000004</v>
      </c>
    </row>
    <row r="1059" spans="1:5" x14ac:dyDescent="0.25">
      <c r="A1059" s="323" t="s">
        <v>4789</v>
      </c>
      <c r="B1059" s="323" t="s">
        <v>805</v>
      </c>
      <c r="C1059" s="323">
        <v>40377</v>
      </c>
      <c r="D1059" s="323">
        <v>150</v>
      </c>
      <c r="E1059" s="324">
        <f t="shared" si="16"/>
        <v>36579</v>
      </c>
    </row>
    <row r="1060" spans="1:5" x14ac:dyDescent="0.25">
      <c r="A1060" s="323" t="s">
        <v>5162</v>
      </c>
      <c r="B1060" s="323" t="s">
        <v>805</v>
      </c>
      <c r="C1060" s="323">
        <v>40377</v>
      </c>
      <c r="D1060" s="323">
        <v>186</v>
      </c>
      <c r="E1060" s="324">
        <f t="shared" si="16"/>
        <v>45357.96</v>
      </c>
    </row>
    <row r="1061" spans="1:5" x14ac:dyDescent="0.25">
      <c r="A1061" s="323" t="s">
        <v>5252</v>
      </c>
      <c r="B1061" s="323" t="s">
        <v>805</v>
      </c>
      <c r="C1061" s="323">
        <v>40377</v>
      </c>
      <c r="D1061" s="323">
        <v>250</v>
      </c>
      <c r="E1061" s="324">
        <f t="shared" si="16"/>
        <v>60965</v>
      </c>
    </row>
    <row r="1062" spans="1:5" x14ac:dyDescent="0.25">
      <c r="A1062" s="323" t="s">
        <v>5330</v>
      </c>
      <c r="B1062" s="323" t="s">
        <v>805</v>
      </c>
      <c r="C1062" s="323">
        <v>40377</v>
      </c>
      <c r="D1062" s="323">
        <v>203</v>
      </c>
      <c r="E1062" s="324">
        <f t="shared" si="16"/>
        <v>49503.58</v>
      </c>
    </row>
    <row r="1063" spans="1:5" x14ac:dyDescent="0.25">
      <c r="A1063" s="323" t="s">
        <v>5356</v>
      </c>
      <c r="B1063" s="323" t="s">
        <v>805</v>
      </c>
      <c r="C1063" s="323">
        <v>40377</v>
      </c>
      <c r="D1063" s="323">
        <v>160</v>
      </c>
      <c r="E1063" s="324">
        <f t="shared" si="16"/>
        <v>39017.600000000006</v>
      </c>
    </row>
    <row r="1064" spans="1:5" x14ac:dyDescent="0.25">
      <c r="A1064" s="323" t="s">
        <v>5356</v>
      </c>
      <c r="B1064" s="323" t="s">
        <v>805</v>
      </c>
      <c r="C1064" s="323">
        <v>40377</v>
      </c>
      <c r="D1064" s="323">
        <v>289</v>
      </c>
      <c r="E1064" s="324">
        <f t="shared" si="16"/>
        <v>70475.540000000008</v>
      </c>
    </row>
    <row r="1065" spans="1:5" x14ac:dyDescent="0.25">
      <c r="A1065" s="323" t="s">
        <v>5373</v>
      </c>
      <c r="B1065" s="323" t="s">
        <v>805</v>
      </c>
      <c r="C1065" s="323">
        <v>40377</v>
      </c>
      <c r="D1065" s="323">
        <v>166</v>
      </c>
      <c r="E1065" s="324">
        <f t="shared" si="16"/>
        <v>40480.76</v>
      </c>
    </row>
    <row r="1066" spans="1:5" x14ac:dyDescent="0.25">
      <c r="A1066" s="323" t="s">
        <v>5395</v>
      </c>
      <c r="B1066" s="323" t="s">
        <v>805</v>
      </c>
      <c r="C1066" s="323">
        <v>40377</v>
      </c>
      <c r="D1066" s="323">
        <v>117</v>
      </c>
      <c r="E1066" s="324">
        <f t="shared" si="16"/>
        <v>28531.620000000003</v>
      </c>
    </row>
    <row r="1067" spans="1:5" x14ac:dyDescent="0.25">
      <c r="A1067" s="323" t="s">
        <v>5428</v>
      </c>
      <c r="B1067" s="323" t="s">
        <v>805</v>
      </c>
      <c r="C1067" s="323">
        <v>40377</v>
      </c>
      <c r="D1067" s="323">
        <v>240</v>
      </c>
      <c r="E1067" s="324">
        <f t="shared" si="16"/>
        <v>58526.400000000001</v>
      </c>
    </row>
    <row r="1068" spans="1:5" x14ac:dyDescent="0.25">
      <c r="A1068" s="323" t="s">
        <v>5447</v>
      </c>
      <c r="B1068" s="323" t="s">
        <v>805</v>
      </c>
      <c r="C1068" s="323">
        <v>40377</v>
      </c>
      <c r="D1068" s="323">
        <v>207</v>
      </c>
      <c r="E1068" s="324">
        <f t="shared" si="16"/>
        <v>50479.020000000004</v>
      </c>
    </row>
    <row r="1069" spans="1:5" x14ac:dyDescent="0.25">
      <c r="A1069" s="323" t="s">
        <v>5458</v>
      </c>
      <c r="B1069" s="323" t="s">
        <v>805</v>
      </c>
      <c r="C1069" s="323">
        <v>40377</v>
      </c>
      <c r="D1069" s="323">
        <v>368</v>
      </c>
      <c r="E1069" s="324">
        <f t="shared" si="16"/>
        <v>89740.48000000001</v>
      </c>
    </row>
    <row r="1070" spans="1:5" x14ac:dyDescent="0.25">
      <c r="A1070" s="323" t="s">
        <v>5478</v>
      </c>
      <c r="B1070" s="323" t="s">
        <v>805</v>
      </c>
      <c r="C1070" s="323">
        <v>40377</v>
      </c>
      <c r="D1070" s="323">
        <v>180</v>
      </c>
      <c r="E1070" s="324">
        <f t="shared" si="16"/>
        <v>43894.8</v>
      </c>
    </row>
    <row r="1071" spans="1:5" x14ac:dyDescent="0.25">
      <c r="A1071" s="323" t="s">
        <v>5486</v>
      </c>
      <c r="B1071" s="323" t="s">
        <v>805</v>
      </c>
      <c r="C1071" s="323">
        <v>40377</v>
      </c>
      <c r="D1071" s="323">
        <v>98</v>
      </c>
      <c r="E1071" s="324">
        <f t="shared" si="16"/>
        <v>23898.280000000002</v>
      </c>
    </row>
    <row r="1072" spans="1:5" x14ac:dyDescent="0.25">
      <c r="A1072" s="323" t="s">
        <v>5538</v>
      </c>
      <c r="B1072" s="323" t="s">
        <v>805</v>
      </c>
      <c r="C1072" s="323">
        <v>40377</v>
      </c>
      <c r="D1072" s="323">
        <v>172</v>
      </c>
      <c r="E1072" s="324">
        <f t="shared" si="16"/>
        <v>41943.920000000006</v>
      </c>
    </row>
    <row r="1073" spans="1:5" x14ac:dyDescent="0.25">
      <c r="A1073" s="323" t="s">
        <v>5600</v>
      </c>
      <c r="B1073" s="323" t="s">
        <v>805</v>
      </c>
      <c r="C1073" s="323">
        <v>40377</v>
      </c>
      <c r="D1073" s="323">
        <v>190</v>
      </c>
      <c r="E1073" s="324">
        <f t="shared" si="16"/>
        <v>46333.4</v>
      </c>
    </row>
    <row r="1074" spans="1:5" x14ac:dyDescent="0.25">
      <c r="A1074" s="323" t="s">
        <v>5609</v>
      </c>
      <c r="B1074" s="323" t="s">
        <v>805</v>
      </c>
      <c r="C1074" s="323">
        <v>40377</v>
      </c>
      <c r="D1074" s="323">
        <v>224</v>
      </c>
      <c r="E1074" s="324">
        <f t="shared" si="16"/>
        <v>54624.639999999999</v>
      </c>
    </row>
    <row r="1075" spans="1:5" x14ac:dyDescent="0.25">
      <c r="A1075" s="323" t="s">
        <v>6854</v>
      </c>
      <c r="B1075" s="323" t="s">
        <v>805</v>
      </c>
      <c r="C1075" s="323">
        <v>40377</v>
      </c>
      <c r="D1075" s="323">
        <v>363</v>
      </c>
      <c r="E1075" s="324">
        <f t="shared" si="16"/>
        <v>88521.180000000008</v>
      </c>
    </row>
    <row r="1076" spans="1:5" x14ac:dyDescent="0.25">
      <c r="A1076" s="323" t="s">
        <v>7045</v>
      </c>
      <c r="B1076" s="323" t="s">
        <v>805</v>
      </c>
      <c r="C1076" s="323">
        <v>40377</v>
      </c>
      <c r="D1076" s="323">
        <v>310</v>
      </c>
      <c r="E1076" s="324">
        <f t="shared" si="16"/>
        <v>75596.600000000006</v>
      </c>
    </row>
    <row r="1077" spans="1:5" x14ac:dyDescent="0.25">
      <c r="A1077" s="323" t="s">
        <v>7046</v>
      </c>
      <c r="B1077" s="323" t="s">
        <v>805</v>
      </c>
      <c r="C1077" s="323">
        <v>40377</v>
      </c>
      <c r="D1077" s="323">
        <v>195</v>
      </c>
      <c r="E1077" s="324">
        <f t="shared" si="16"/>
        <v>47552.700000000004</v>
      </c>
    </row>
    <row r="1078" spans="1:5" x14ac:dyDescent="0.25">
      <c r="A1078" s="323" t="s">
        <v>7252</v>
      </c>
      <c r="B1078" s="323" t="s">
        <v>805</v>
      </c>
      <c r="C1078" s="323">
        <v>40377</v>
      </c>
      <c r="D1078" s="323">
        <v>462</v>
      </c>
      <c r="E1078" s="324">
        <f t="shared" si="16"/>
        <v>112663.32</v>
      </c>
    </row>
    <row r="1079" spans="1:5" x14ac:dyDescent="0.25">
      <c r="A1079" s="323" t="s">
        <v>7253</v>
      </c>
      <c r="B1079" s="323" t="s">
        <v>805</v>
      </c>
      <c r="C1079" s="323">
        <v>40377</v>
      </c>
      <c r="D1079" s="323">
        <v>968</v>
      </c>
      <c r="E1079" s="324">
        <f t="shared" si="16"/>
        <v>236056.48</v>
      </c>
    </row>
    <row r="1080" spans="1:5" x14ac:dyDescent="0.25">
      <c r="A1080" s="323" t="s">
        <v>7356</v>
      </c>
      <c r="B1080" s="323" t="s">
        <v>805</v>
      </c>
      <c r="C1080" s="323">
        <v>40377</v>
      </c>
      <c r="D1080" s="323">
        <v>536</v>
      </c>
      <c r="E1080" s="324">
        <f t="shared" si="16"/>
        <v>130708.96</v>
      </c>
    </row>
    <row r="1081" spans="1:5" x14ac:dyDescent="0.25">
      <c r="A1081" s="323" t="s">
        <v>1871</v>
      </c>
      <c r="B1081" s="323" t="s">
        <v>805</v>
      </c>
      <c r="C1081" s="323">
        <v>40378</v>
      </c>
      <c r="D1081" s="323">
        <v>431</v>
      </c>
      <c r="E1081" s="324">
        <f t="shared" si="16"/>
        <v>105103.66</v>
      </c>
    </row>
    <row r="1082" spans="1:5" x14ac:dyDescent="0.25">
      <c r="A1082" s="323" t="s">
        <v>2241</v>
      </c>
      <c r="B1082" s="323" t="s">
        <v>805</v>
      </c>
      <c r="C1082" s="323">
        <v>40378</v>
      </c>
      <c r="D1082" s="323">
        <v>206</v>
      </c>
      <c r="E1082" s="324">
        <f t="shared" si="16"/>
        <v>50235.16</v>
      </c>
    </row>
    <row r="1083" spans="1:5" x14ac:dyDescent="0.25">
      <c r="A1083" s="323" t="s">
        <v>3476</v>
      </c>
      <c r="B1083" s="323" t="s">
        <v>805</v>
      </c>
      <c r="C1083" s="323">
        <v>40378</v>
      </c>
      <c r="D1083" s="323">
        <v>307</v>
      </c>
      <c r="E1083" s="324">
        <f t="shared" si="16"/>
        <v>74865.02</v>
      </c>
    </row>
    <row r="1084" spans="1:5" x14ac:dyDescent="0.25">
      <c r="A1084" s="323" t="s">
        <v>4868</v>
      </c>
      <c r="B1084" s="323" t="s">
        <v>805</v>
      </c>
      <c r="C1084" s="323">
        <v>40378</v>
      </c>
      <c r="D1084" s="323">
        <v>179</v>
      </c>
      <c r="E1084" s="324">
        <f t="shared" si="16"/>
        <v>43650.94</v>
      </c>
    </row>
    <row r="1085" spans="1:5" x14ac:dyDescent="0.25">
      <c r="A1085" s="323" t="s">
        <v>4994</v>
      </c>
      <c r="B1085" s="323" t="s">
        <v>805</v>
      </c>
      <c r="C1085" s="323">
        <v>40378</v>
      </c>
      <c r="D1085" s="323">
        <v>309</v>
      </c>
      <c r="E1085" s="324">
        <f t="shared" si="16"/>
        <v>75352.740000000005</v>
      </c>
    </row>
    <row r="1086" spans="1:5" x14ac:dyDescent="0.25">
      <c r="A1086" s="323" t="s">
        <v>5132</v>
      </c>
      <c r="B1086" s="323" t="s">
        <v>816</v>
      </c>
      <c r="C1086" s="323">
        <v>40378</v>
      </c>
      <c r="D1086" s="323">
        <v>143</v>
      </c>
      <c r="E1086" s="324">
        <f t="shared" si="16"/>
        <v>52307.97</v>
      </c>
    </row>
    <row r="1087" spans="1:5" x14ac:dyDescent="0.25">
      <c r="A1087" s="323" t="s">
        <v>5416</v>
      </c>
      <c r="B1087" s="323" t="s">
        <v>805</v>
      </c>
      <c r="C1087" s="323">
        <v>40378</v>
      </c>
      <c r="D1087" s="323">
        <v>244</v>
      </c>
      <c r="E1087" s="324">
        <f t="shared" si="16"/>
        <v>59501.840000000004</v>
      </c>
    </row>
    <row r="1088" spans="1:5" x14ac:dyDescent="0.25">
      <c r="A1088" s="323" t="s">
        <v>5900</v>
      </c>
      <c r="B1088" s="323" t="s">
        <v>805</v>
      </c>
      <c r="C1088" s="323">
        <v>40378</v>
      </c>
      <c r="D1088" s="323">
        <v>282</v>
      </c>
      <c r="E1088" s="324">
        <f t="shared" si="16"/>
        <v>68768.52</v>
      </c>
    </row>
    <row r="1089" spans="1:5" x14ac:dyDescent="0.25">
      <c r="A1089" s="323" t="s">
        <v>5909</v>
      </c>
      <c r="B1089" s="323" t="s">
        <v>805</v>
      </c>
      <c r="C1089" s="323">
        <v>40378</v>
      </c>
      <c r="D1089" s="323">
        <v>190</v>
      </c>
      <c r="E1089" s="324">
        <f t="shared" si="16"/>
        <v>46333.4</v>
      </c>
    </row>
    <row r="1090" spans="1:5" x14ac:dyDescent="0.25">
      <c r="A1090" s="323" t="s">
        <v>5917</v>
      </c>
      <c r="B1090" s="323" t="s">
        <v>805</v>
      </c>
      <c r="C1090" s="323">
        <v>40378</v>
      </c>
      <c r="D1090" s="323">
        <v>192</v>
      </c>
      <c r="E1090" s="324">
        <f t="shared" ref="E1090:E1153" si="17">D1090*IF(B1090=$G$9,WerkdrukbedragPerLeerlingBo,IF(B1090=$G$10,WerkdrukbedragPerLeerlingSbo,IF(B1090=$G$11,WerkdrukbedragPerLeerlingSo,IF(B1090=$G$12,WerkdrukbedragPerLeerlingVso,0))))</f>
        <v>46821.120000000003</v>
      </c>
    </row>
    <row r="1091" spans="1:5" x14ac:dyDescent="0.25">
      <c r="A1091" s="323" t="s">
        <v>5926</v>
      </c>
      <c r="B1091" s="323" t="s">
        <v>805</v>
      </c>
      <c r="C1091" s="323">
        <v>40378</v>
      </c>
      <c r="D1091" s="323">
        <v>355</v>
      </c>
      <c r="E1091" s="324">
        <f t="shared" si="17"/>
        <v>86570.3</v>
      </c>
    </row>
    <row r="1092" spans="1:5" x14ac:dyDescent="0.25">
      <c r="A1092" s="323" t="s">
        <v>5941</v>
      </c>
      <c r="B1092" s="323" t="s">
        <v>805</v>
      </c>
      <c r="C1092" s="323">
        <v>40378</v>
      </c>
      <c r="D1092" s="323">
        <v>193</v>
      </c>
      <c r="E1092" s="324">
        <f t="shared" si="17"/>
        <v>47064.98</v>
      </c>
    </row>
    <row r="1093" spans="1:5" x14ac:dyDescent="0.25">
      <c r="A1093" s="323" t="s">
        <v>5948</v>
      </c>
      <c r="B1093" s="323" t="s">
        <v>805</v>
      </c>
      <c r="C1093" s="323">
        <v>40378</v>
      </c>
      <c r="D1093" s="323">
        <v>306</v>
      </c>
      <c r="E1093" s="324">
        <f t="shared" si="17"/>
        <v>74621.16</v>
      </c>
    </row>
    <row r="1094" spans="1:5" x14ac:dyDescent="0.25">
      <c r="A1094" s="323" t="s">
        <v>5959</v>
      </c>
      <c r="B1094" s="323" t="s">
        <v>805</v>
      </c>
      <c r="C1094" s="323">
        <v>40378</v>
      </c>
      <c r="D1094" s="323">
        <v>364</v>
      </c>
      <c r="E1094" s="324">
        <f t="shared" si="17"/>
        <v>88765.040000000008</v>
      </c>
    </row>
    <row r="1095" spans="1:5" x14ac:dyDescent="0.25">
      <c r="A1095" s="323" t="s">
        <v>5965</v>
      </c>
      <c r="B1095" s="323" t="s">
        <v>805</v>
      </c>
      <c r="C1095" s="323">
        <v>40378</v>
      </c>
      <c r="D1095" s="323">
        <v>234</v>
      </c>
      <c r="E1095" s="324">
        <f t="shared" si="17"/>
        <v>57063.240000000005</v>
      </c>
    </row>
    <row r="1096" spans="1:5" x14ac:dyDescent="0.25">
      <c r="A1096" s="323" t="s">
        <v>5971</v>
      </c>
      <c r="B1096" s="323" t="s">
        <v>805</v>
      </c>
      <c r="C1096" s="323">
        <v>40378</v>
      </c>
      <c r="D1096" s="323">
        <v>274</v>
      </c>
      <c r="E1096" s="324">
        <f t="shared" si="17"/>
        <v>66817.64</v>
      </c>
    </row>
    <row r="1097" spans="1:5" x14ac:dyDescent="0.25">
      <c r="A1097" s="323" t="s">
        <v>5978</v>
      </c>
      <c r="B1097" s="323" t="s">
        <v>805</v>
      </c>
      <c r="C1097" s="323">
        <v>40378</v>
      </c>
      <c r="D1097" s="323">
        <v>353</v>
      </c>
      <c r="E1097" s="324">
        <f t="shared" si="17"/>
        <v>86082.58</v>
      </c>
    </row>
    <row r="1098" spans="1:5" x14ac:dyDescent="0.25">
      <c r="A1098" s="323" t="s">
        <v>6019</v>
      </c>
      <c r="B1098" s="323" t="s">
        <v>805</v>
      </c>
      <c r="C1098" s="323">
        <v>40378</v>
      </c>
      <c r="D1098" s="323">
        <v>158</v>
      </c>
      <c r="E1098" s="324">
        <f t="shared" si="17"/>
        <v>38529.880000000005</v>
      </c>
    </row>
    <row r="1099" spans="1:5" x14ac:dyDescent="0.25">
      <c r="A1099" s="323" t="s">
        <v>6024</v>
      </c>
      <c r="B1099" s="323" t="s">
        <v>805</v>
      </c>
      <c r="C1099" s="323">
        <v>40378</v>
      </c>
      <c r="D1099" s="323">
        <v>310</v>
      </c>
      <c r="E1099" s="324">
        <f t="shared" si="17"/>
        <v>75596.600000000006</v>
      </c>
    </row>
    <row r="1100" spans="1:5" x14ac:dyDescent="0.25">
      <c r="A1100" s="323" t="s">
        <v>6028</v>
      </c>
      <c r="B1100" s="323" t="s">
        <v>805</v>
      </c>
      <c r="C1100" s="323">
        <v>40378</v>
      </c>
      <c r="D1100" s="323">
        <v>179</v>
      </c>
      <c r="E1100" s="324">
        <f t="shared" si="17"/>
        <v>43650.94</v>
      </c>
    </row>
    <row r="1101" spans="1:5" x14ac:dyDescent="0.25">
      <c r="A1101" s="323" t="s">
        <v>6030</v>
      </c>
      <c r="B1101" s="323" t="s">
        <v>805</v>
      </c>
      <c r="C1101" s="323">
        <v>40378</v>
      </c>
      <c r="D1101" s="323">
        <v>325</v>
      </c>
      <c r="E1101" s="324">
        <f t="shared" si="17"/>
        <v>79254.5</v>
      </c>
    </row>
    <row r="1102" spans="1:5" x14ac:dyDescent="0.25">
      <c r="A1102" s="323" t="s">
        <v>6035</v>
      </c>
      <c r="B1102" s="323" t="s">
        <v>805</v>
      </c>
      <c r="C1102" s="323">
        <v>40378</v>
      </c>
      <c r="D1102" s="323">
        <v>236</v>
      </c>
      <c r="E1102" s="324">
        <f t="shared" si="17"/>
        <v>57550.960000000006</v>
      </c>
    </row>
    <row r="1103" spans="1:5" x14ac:dyDescent="0.25">
      <c r="A1103" s="323" t="s">
        <v>6045</v>
      </c>
      <c r="B1103" s="323" t="s">
        <v>805</v>
      </c>
      <c r="C1103" s="323">
        <v>40378</v>
      </c>
      <c r="D1103" s="323">
        <v>249</v>
      </c>
      <c r="E1103" s="324">
        <f t="shared" si="17"/>
        <v>60721.140000000007</v>
      </c>
    </row>
    <row r="1104" spans="1:5" x14ac:dyDescent="0.25">
      <c r="A1104" s="323" t="s">
        <v>6048</v>
      </c>
      <c r="B1104" s="323" t="s">
        <v>805</v>
      </c>
      <c r="C1104" s="323">
        <v>40378</v>
      </c>
      <c r="D1104" s="323">
        <v>237</v>
      </c>
      <c r="E1104" s="324">
        <f t="shared" si="17"/>
        <v>57794.82</v>
      </c>
    </row>
    <row r="1105" spans="1:5" x14ac:dyDescent="0.25">
      <c r="A1105" s="323" t="s">
        <v>6141</v>
      </c>
      <c r="B1105" s="323" t="s">
        <v>805</v>
      </c>
      <c r="C1105" s="323">
        <v>40378</v>
      </c>
      <c r="D1105" s="323">
        <v>590</v>
      </c>
      <c r="E1105" s="324">
        <f t="shared" si="17"/>
        <v>143877.4</v>
      </c>
    </row>
    <row r="1106" spans="1:5" x14ac:dyDescent="0.25">
      <c r="A1106" s="323" t="s">
        <v>6210</v>
      </c>
      <c r="B1106" s="323" t="s">
        <v>805</v>
      </c>
      <c r="C1106" s="323">
        <v>40378</v>
      </c>
      <c r="D1106" s="323">
        <v>407</v>
      </c>
      <c r="E1106" s="324">
        <f t="shared" si="17"/>
        <v>99251.02</v>
      </c>
    </row>
    <row r="1107" spans="1:5" x14ac:dyDescent="0.25">
      <c r="A1107" s="323" t="s">
        <v>6363</v>
      </c>
      <c r="B1107" s="323" t="s">
        <v>805</v>
      </c>
      <c r="C1107" s="323">
        <v>40378</v>
      </c>
      <c r="D1107" s="323">
        <v>282</v>
      </c>
      <c r="E1107" s="324">
        <f t="shared" si="17"/>
        <v>68768.52</v>
      </c>
    </row>
    <row r="1108" spans="1:5" x14ac:dyDescent="0.25">
      <c r="A1108" s="323" t="s">
        <v>6369</v>
      </c>
      <c r="B1108" s="323" t="s">
        <v>805</v>
      </c>
      <c r="C1108" s="323">
        <v>40378</v>
      </c>
      <c r="D1108" s="323">
        <v>176</v>
      </c>
      <c r="E1108" s="324">
        <f t="shared" si="17"/>
        <v>42919.360000000001</v>
      </c>
    </row>
    <row r="1109" spans="1:5" x14ac:dyDescent="0.25">
      <c r="A1109" s="323" t="s">
        <v>6374</v>
      </c>
      <c r="B1109" s="323" t="s">
        <v>805</v>
      </c>
      <c r="C1109" s="323">
        <v>40378</v>
      </c>
      <c r="D1109" s="323">
        <v>122</v>
      </c>
      <c r="E1109" s="324">
        <f t="shared" si="17"/>
        <v>29750.920000000002</v>
      </c>
    </row>
    <row r="1110" spans="1:5" x14ac:dyDescent="0.25">
      <c r="A1110" s="323" t="s">
        <v>6377</v>
      </c>
      <c r="B1110" s="323" t="s">
        <v>805</v>
      </c>
      <c r="C1110" s="323">
        <v>40378</v>
      </c>
      <c r="D1110" s="323">
        <v>330</v>
      </c>
      <c r="E1110" s="324">
        <f t="shared" si="17"/>
        <v>80473.8</v>
      </c>
    </row>
    <row r="1111" spans="1:5" x14ac:dyDescent="0.25">
      <c r="A1111" s="323" t="s">
        <v>6474</v>
      </c>
      <c r="B1111" s="323" t="s">
        <v>816</v>
      </c>
      <c r="C1111" s="323">
        <v>40378</v>
      </c>
      <c r="D1111" s="323">
        <v>138</v>
      </c>
      <c r="E1111" s="324">
        <f t="shared" si="17"/>
        <v>50479.020000000004</v>
      </c>
    </row>
    <row r="1112" spans="1:5" x14ac:dyDescent="0.25">
      <c r="A1112" s="323" t="s">
        <v>6597</v>
      </c>
      <c r="B1112" s="323" t="s">
        <v>805</v>
      </c>
      <c r="C1112" s="323">
        <v>40378</v>
      </c>
      <c r="D1112" s="323">
        <v>178</v>
      </c>
      <c r="E1112" s="324">
        <f t="shared" si="17"/>
        <v>43407.08</v>
      </c>
    </row>
    <row r="1113" spans="1:5" x14ac:dyDescent="0.25">
      <c r="A1113" s="323" t="s">
        <v>6598</v>
      </c>
      <c r="B1113" s="323" t="s">
        <v>805</v>
      </c>
      <c r="C1113" s="323">
        <v>40378</v>
      </c>
      <c r="D1113" s="323">
        <v>440</v>
      </c>
      <c r="E1113" s="324">
        <f t="shared" si="17"/>
        <v>107298.40000000001</v>
      </c>
    </row>
    <row r="1114" spans="1:5" x14ac:dyDescent="0.25">
      <c r="A1114" s="323" t="s">
        <v>7025</v>
      </c>
      <c r="B1114" s="323" t="s">
        <v>805</v>
      </c>
      <c r="C1114" s="323">
        <v>40378</v>
      </c>
      <c r="D1114" s="323">
        <v>614</v>
      </c>
      <c r="E1114" s="324">
        <f t="shared" si="17"/>
        <v>149730.04</v>
      </c>
    </row>
    <row r="1115" spans="1:5" x14ac:dyDescent="0.25">
      <c r="A1115" s="323" t="s">
        <v>7193</v>
      </c>
      <c r="B1115" s="323" t="s">
        <v>805</v>
      </c>
      <c r="C1115" s="323">
        <v>40378</v>
      </c>
      <c r="D1115" s="323">
        <v>924</v>
      </c>
      <c r="E1115" s="324">
        <f t="shared" si="17"/>
        <v>225326.64</v>
      </c>
    </row>
    <row r="1116" spans="1:5" x14ac:dyDescent="0.25">
      <c r="A1116" s="323" t="s">
        <v>7120</v>
      </c>
      <c r="B1116" s="323" t="s">
        <v>805</v>
      </c>
      <c r="C1116" s="323">
        <v>40389</v>
      </c>
      <c r="D1116" s="323">
        <v>253</v>
      </c>
      <c r="E1116" s="324">
        <f t="shared" si="17"/>
        <v>61696.58</v>
      </c>
    </row>
    <row r="1117" spans="1:5" x14ac:dyDescent="0.25">
      <c r="A1117" s="323" t="s">
        <v>7271</v>
      </c>
      <c r="B1117" s="323" t="s">
        <v>805</v>
      </c>
      <c r="C1117" s="323">
        <v>40389</v>
      </c>
      <c r="D1117" s="323">
        <v>247</v>
      </c>
      <c r="E1117" s="324">
        <f t="shared" si="17"/>
        <v>60233.420000000006</v>
      </c>
    </row>
    <row r="1118" spans="1:5" x14ac:dyDescent="0.25">
      <c r="A1118" s="323" t="s">
        <v>7121</v>
      </c>
      <c r="B1118" s="323" t="s">
        <v>805</v>
      </c>
      <c r="C1118" s="323">
        <v>40390</v>
      </c>
      <c r="D1118" s="323">
        <v>388</v>
      </c>
      <c r="E1118" s="324">
        <f t="shared" si="17"/>
        <v>94617.680000000008</v>
      </c>
    </row>
    <row r="1119" spans="1:5" x14ac:dyDescent="0.25">
      <c r="A1119" s="323" t="s">
        <v>7486</v>
      </c>
      <c r="B1119" s="323" t="s">
        <v>805</v>
      </c>
      <c r="C1119" s="323">
        <v>40390</v>
      </c>
      <c r="D1119" s="323">
        <v>153</v>
      </c>
      <c r="E1119" s="324">
        <f t="shared" si="17"/>
        <v>37310.58</v>
      </c>
    </row>
    <row r="1120" spans="1:5" x14ac:dyDescent="0.25">
      <c r="A1120" s="323" t="s">
        <v>7079</v>
      </c>
      <c r="B1120" s="323" t="s">
        <v>805</v>
      </c>
      <c r="C1120" s="323">
        <v>40400</v>
      </c>
      <c r="D1120" s="323">
        <v>496</v>
      </c>
      <c r="E1120" s="324">
        <f t="shared" si="17"/>
        <v>120954.56000000001</v>
      </c>
    </row>
    <row r="1121" spans="1:5" x14ac:dyDescent="0.25">
      <c r="A1121" s="323" t="s">
        <v>7079</v>
      </c>
      <c r="B1121" s="323" t="s">
        <v>805</v>
      </c>
      <c r="C1121" s="323">
        <v>40400</v>
      </c>
      <c r="D1121" s="323">
        <v>57</v>
      </c>
      <c r="E1121" s="324">
        <f t="shared" si="17"/>
        <v>13900.02</v>
      </c>
    </row>
    <row r="1122" spans="1:5" x14ac:dyDescent="0.25">
      <c r="A1122" s="323" t="s">
        <v>7279</v>
      </c>
      <c r="B1122" s="323" t="s">
        <v>805</v>
      </c>
      <c r="C1122" s="323">
        <v>40400</v>
      </c>
      <c r="D1122" s="323">
        <v>347</v>
      </c>
      <c r="E1122" s="324">
        <f t="shared" si="17"/>
        <v>84619.42</v>
      </c>
    </row>
    <row r="1123" spans="1:5" x14ac:dyDescent="0.25">
      <c r="A1123" s="323" t="s">
        <v>7279</v>
      </c>
      <c r="B1123" s="323" t="s">
        <v>805</v>
      </c>
      <c r="C1123" s="323">
        <v>40400</v>
      </c>
      <c r="D1123" s="323">
        <v>123</v>
      </c>
      <c r="E1123" s="324">
        <f t="shared" si="17"/>
        <v>29994.780000000002</v>
      </c>
    </row>
    <row r="1124" spans="1:5" x14ac:dyDescent="0.25">
      <c r="A1124" s="323" t="s">
        <v>7490</v>
      </c>
      <c r="B1124" s="323" t="s">
        <v>805</v>
      </c>
      <c r="C1124" s="323">
        <v>40400</v>
      </c>
      <c r="D1124" s="323">
        <v>359</v>
      </c>
      <c r="E1124" s="324">
        <f t="shared" si="17"/>
        <v>87545.74</v>
      </c>
    </row>
    <row r="1125" spans="1:5" x14ac:dyDescent="0.25">
      <c r="A1125" s="323" t="s">
        <v>2244</v>
      </c>
      <c r="B1125" s="323" t="s">
        <v>805</v>
      </c>
      <c r="C1125" s="323">
        <v>40419</v>
      </c>
      <c r="D1125" s="323">
        <v>704</v>
      </c>
      <c r="E1125" s="324">
        <f t="shared" si="17"/>
        <v>171677.44</v>
      </c>
    </row>
    <row r="1126" spans="1:5" x14ac:dyDescent="0.25">
      <c r="A1126" s="323" t="s">
        <v>1534</v>
      </c>
      <c r="B1126" s="323" t="s">
        <v>805</v>
      </c>
      <c r="C1126" s="323">
        <v>40508</v>
      </c>
      <c r="D1126" s="323">
        <v>169</v>
      </c>
      <c r="E1126" s="324">
        <f t="shared" si="17"/>
        <v>41212.340000000004</v>
      </c>
    </row>
    <row r="1127" spans="1:5" x14ac:dyDescent="0.25">
      <c r="A1127" s="323" t="s">
        <v>1626</v>
      </c>
      <c r="B1127" s="323" t="s">
        <v>805</v>
      </c>
      <c r="C1127" s="323">
        <v>40508</v>
      </c>
      <c r="D1127" s="323">
        <v>253</v>
      </c>
      <c r="E1127" s="324">
        <f t="shared" si="17"/>
        <v>61696.58</v>
      </c>
    </row>
    <row r="1128" spans="1:5" x14ac:dyDescent="0.25">
      <c r="A1128" s="323" t="s">
        <v>2698</v>
      </c>
      <c r="B1128" s="323" t="s">
        <v>805</v>
      </c>
      <c r="C1128" s="323">
        <v>40508</v>
      </c>
      <c r="D1128" s="323">
        <v>206</v>
      </c>
      <c r="E1128" s="324">
        <f t="shared" si="17"/>
        <v>50235.16</v>
      </c>
    </row>
    <row r="1129" spans="1:5" x14ac:dyDescent="0.25">
      <c r="A1129" s="323" t="s">
        <v>2707</v>
      </c>
      <c r="B1129" s="323" t="s">
        <v>805</v>
      </c>
      <c r="C1129" s="323">
        <v>40508</v>
      </c>
      <c r="D1129" s="323">
        <v>430</v>
      </c>
      <c r="E1129" s="324">
        <f t="shared" si="17"/>
        <v>104859.8</v>
      </c>
    </row>
    <row r="1130" spans="1:5" x14ac:dyDescent="0.25">
      <c r="A1130" s="323" t="s">
        <v>3227</v>
      </c>
      <c r="B1130" s="323" t="s">
        <v>805</v>
      </c>
      <c r="C1130" s="323">
        <v>40508</v>
      </c>
      <c r="D1130" s="323">
        <v>276</v>
      </c>
      <c r="E1130" s="324">
        <f t="shared" si="17"/>
        <v>67305.36</v>
      </c>
    </row>
    <row r="1131" spans="1:5" x14ac:dyDescent="0.25">
      <c r="A1131" s="323" t="s">
        <v>3250</v>
      </c>
      <c r="B1131" s="323" t="s">
        <v>805</v>
      </c>
      <c r="C1131" s="323">
        <v>40508</v>
      </c>
      <c r="D1131" s="323">
        <v>221</v>
      </c>
      <c r="E1131" s="324">
        <f t="shared" si="17"/>
        <v>53893.060000000005</v>
      </c>
    </row>
    <row r="1132" spans="1:5" x14ac:dyDescent="0.25">
      <c r="A1132" s="323" t="s">
        <v>3822</v>
      </c>
      <c r="B1132" s="323" t="s">
        <v>805</v>
      </c>
      <c r="C1132" s="323">
        <v>40508</v>
      </c>
      <c r="D1132" s="323">
        <v>203</v>
      </c>
      <c r="E1132" s="324">
        <f t="shared" si="17"/>
        <v>49503.58</v>
      </c>
    </row>
    <row r="1133" spans="1:5" x14ac:dyDescent="0.25">
      <c r="A1133" s="323" t="s">
        <v>4013</v>
      </c>
      <c r="B1133" s="323" t="s">
        <v>805</v>
      </c>
      <c r="C1133" s="323">
        <v>40508</v>
      </c>
      <c r="D1133" s="323">
        <v>507</v>
      </c>
      <c r="E1133" s="324">
        <f t="shared" si="17"/>
        <v>123637.02</v>
      </c>
    </row>
    <row r="1134" spans="1:5" x14ac:dyDescent="0.25">
      <c r="A1134" s="323" t="s">
        <v>4159</v>
      </c>
      <c r="B1134" s="323" t="s">
        <v>805</v>
      </c>
      <c r="C1134" s="323">
        <v>40508</v>
      </c>
      <c r="D1134" s="323">
        <v>316</v>
      </c>
      <c r="E1134" s="324">
        <f t="shared" si="17"/>
        <v>77059.760000000009</v>
      </c>
    </row>
    <row r="1135" spans="1:5" x14ac:dyDescent="0.25">
      <c r="A1135" s="323" t="s">
        <v>4473</v>
      </c>
      <c r="B1135" s="323" t="s">
        <v>805</v>
      </c>
      <c r="C1135" s="323">
        <v>40508</v>
      </c>
      <c r="D1135" s="323">
        <v>414</v>
      </c>
      <c r="E1135" s="324">
        <f t="shared" si="17"/>
        <v>100958.04000000001</v>
      </c>
    </row>
    <row r="1136" spans="1:5" x14ac:dyDescent="0.25">
      <c r="A1136" s="323" t="s">
        <v>4473</v>
      </c>
      <c r="B1136" s="323" t="s">
        <v>805</v>
      </c>
      <c r="C1136" s="323">
        <v>40508</v>
      </c>
      <c r="D1136" s="323">
        <v>107</v>
      </c>
      <c r="E1136" s="324">
        <f t="shared" si="17"/>
        <v>26093.02</v>
      </c>
    </row>
    <row r="1137" spans="1:5" x14ac:dyDescent="0.25">
      <c r="A1137" s="323" t="s">
        <v>4669</v>
      </c>
      <c r="B1137" s="323" t="s">
        <v>805</v>
      </c>
      <c r="C1137" s="323">
        <v>40508</v>
      </c>
      <c r="D1137" s="323">
        <v>217</v>
      </c>
      <c r="E1137" s="324">
        <f t="shared" si="17"/>
        <v>52917.62</v>
      </c>
    </row>
    <row r="1138" spans="1:5" x14ac:dyDescent="0.25">
      <c r="A1138" s="323" t="s">
        <v>4726</v>
      </c>
      <c r="B1138" s="323" t="s">
        <v>805</v>
      </c>
      <c r="C1138" s="323">
        <v>40508</v>
      </c>
      <c r="D1138" s="323">
        <v>127</v>
      </c>
      <c r="E1138" s="324">
        <f t="shared" si="17"/>
        <v>30970.22</v>
      </c>
    </row>
    <row r="1139" spans="1:5" x14ac:dyDescent="0.25">
      <c r="A1139" s="323" t="s">
        <v>6808</v>
      </c>
      <c r="B1139" s="323" t="s">
        <v>805</v>
      </c>
      <c r="C1139" s="323">
        <v>40514</v>
      </c>
      <c r="D1139" s="323">
        <v>338</v>
      </c>
      <c r="E1139" s="324">
        <f t="shared" si="17"/>
        <v>82424.680000000008</v>
      </c>
    </row>
    <row r="1140" spans="1:5" x14ac:dyDescent="0.25">
      <c r="A1140" s="323" t="s">
        <v>985</v>
      </c>
      <c r="B1140" s="323" t="s">
        <v>816</v>
      </c>
      <c r="C1140" s="323">
        <v>40517</v>
      </c>
      <c r="D1140" s="323">
        <v>180</v>
      </c>
      <c r="E1140" s="324">
        <f t="shared" si="17"/>
        <v>65842.2</v>
      </c>
    </row>
    <row r="1141" spans="1:5" x14ac:dyDescent="0.25">
      <c r="A1141" s="323" t="s">
        <v>1075</v>
      </c>
      <c r="B1141" s="323" t="s">
        <v>805</v>
      </c>
      <c r="C1141" s="323">
        <v>40517</v>
      </c>
      <c r="D1141" s="323">
        <v>34</v>
      </c>
      <c r="E1141" s="324">
        <f t="shared" si="17"/>
        <v>8291.24</v>
      </c>
    </row>
    <row r="1142" spans="1:5" x14ac:dyDescent="0.25">
      <c r="A1142" s="323" t="s">
        <v>1157</v>
      </c>
      <c r="B1142" s="323" t="s">
        <v>805</v>
      </c>
      <c r="C1142" s="323">
        <v>40517</v>
      </c>
      <c r="D1142" s="323">
        <v>118</v>
      </c>
      <c r="E1142" s="324">
        <f t="shared" si="17"/>
        <v>28775.480000000003</v>
      </c>
    </row>
    <row r="1143" spans="1:5" x14ac:dyDescent="0.25">
      <c r="A1143" s="323" t="s">
        <v>1161</v>
      </c>
      <c r="B1143" s="323" t="s">
        <v>805</v>
      </c>
      <c r="C1143" s="323">
        <v>40517</v>
      </c>
      <c r="D1143" s="323">
        <v>108</v>
      </c>
      <c r="E1143" s="324">
        <f t="shared" si="17"/>
        <v>26336.880000000001</v>
      </c>
    </row>
    <row r="1144" spans="1:5" x14ac:dyDescent="0.25">
      <c r="A1144" s="323" t="s">
        <v>1211</v>
      </c>
      <c r="B1144" s="323" t="s">
        <v>805</v>
      </c>
      <c r="C1144" s="323">
        <v>40517</v>
      </c>
      <c r="D1144" s="323">
        <v>77</v>
      </c>
      <c r="E1144" s="324">
        <f t="shared" si="17"/>
        <v>18777.22</v>
      </c>
    </row>
    <row r="1145" spans="1:5" x14ac:dyDescent="0.25">
      <c r="A1145" s="323" t="s">
        <v>1225</v>
      </c>
      <c r="B1145" s="323" t="s">
        <v>805</v>
      </c>
      <c r="C1145" s="323">
        <v>40517</v>
      </c>
      <c r="D1145" s="323">
        <v>128</v>
      </c>
      <c r="E1145" s="324">
        <f t="shared" si="17"/>
        <v>31214.080000000002</v>
      </c>
    </row>
    <row r="1146" spans="1:5" x14ac:dyDescent="0.25">
      <c r="A1146" s="323" t="s">
        <v>1327</v>
      </c>
      <c r="B1146" s="323" t="s">
        <v>805</v>
      </c>
      <c r="C1146" s="323">
        <v>40517</v>
      </c>
      <c r="D1146" s="323">
        <v>91</v>
      </c>
      <c r="E1146" s="324">
        <f t="shared" si="17"/>
        <v>22191.260000000002</v>
      </c>
    </row>
    <row r="1147" spans="1:5" x14ac:dyDescent="0.25">
      <c r="A1147" s="323" t="s">
        <v>1349</v>
      </c>
      <c r="B1147" s="323" t="s">
        <v>805</v>
      </c>
      <c r="C1147" s="323">
        <v>40517</v>
      </c>
      <c r="D1147" s="323">
        <v>123</v>
      </c>
      <c r="E1147" s="324">
        <f t="shared" si="17"/>
        <v>29994.780000000002</v>
      </c>
    </row>
    <row r="1148" spans="1:5" x14ac:dyDescent="0.25">
      <c r="A1148" s="323" t="s">
        <v>1520</v>
      </c>
      <c r="B1148" s="323" t="s">
        <v>805</v>
      </c>
      <c r="C1148" s="323">
        <v>40517</v>
      </c>
      <c r="D1148" s="323">
        <v>180</v>
      </c>
      <c r="E1148" s="324">
        <f t="shared" si="17"/>
        <v>43894.8</v>
      </c>
    </row>
    <row r="1149" spans="1:5" x14ac:dyDescent="0.25">
      <c r="A1149" s="323" t="s">
        <v>1601</v>
      </c>
      <c r="B1149" s="323" t="s">
        <v>805</v>
      </c>
      <c r="C1149" s="323">
        <v>40517</v>
      </c>
      <c r="D1149" s="323">
        <v>377</v>
      </c>
      <c r="E1149" s="324">
        <f t="shared" si="17"/>
        <v>91935.22</v>
      </c>
    </row>
    <row r="1150" spans="1:5" x14ac:dyDescent="0.25">
      <c r="A1150" s="323" t="s">
        <v>1698</v>
      </c>
      <c r="B1150" s="323" t="s">
        <v>805</v>
      </c>
      <c r="C1150" s="323">
        <v>40517</v>
      </c>
      <c r="D1150" s="323">
        <v>167</v>
      </c>
      <c r="E1150" s="324">
        <f t="shared" si="17"/>
        <v>40724.620000000003</v>
      </c>
    </row>
    <row r="1151" spans="1:5" x14ac:dyDescent="0.25">
      <c r="A1151" s="323" t="s">
        <v>1863</v>
      </c>
      <c r="B1151" s="323" t="s">
        <v>805</v>
      </c>
      <c r="C1151" s="323">
        <v>40517</v>
      </c>
      <c r="D1151" s="323">
        <v>87</v>
      </c>
      <c r="E1151" s="324">
        <f t="shared" si="17"/>
        <v>21215.82</v>
      </c>
    </row>
    <row r="1152" spans="1:5" x14ac:dyDescent="0.25">
      <c r="A1152" s="323" t="s">
        <v>2212</v>
      </c>
      <c r="B1152" s="323" t="s">
        <v>805</v>
      </c>
      <c r="C1152" s="323">
        <v>40517</v>
      </c>
      <c r="D1152" s="323">
        <v>193</v>
      </c>
      <c r="E1152" s="324">
        <f t="shared" si="17"/>
        <v>47064.98</v>
      </c>
    </row>
    <row r="1153" spans="1:5" x14ac:dyDescent="0.25">
      <c r="A1153" s="323" t="s">
        <v>2223</v>
      </c>
      <c r="B1153" s="323" t="s">
        <v>805</v>
      </c>
      <c r="C1153" s="323">
        <v>40517</v>
      </c>
      <c r="D1153" s="323">
        <v>288</v>
      </c>
      <c r="E1153" s="324">
        <f t="shared" si="17"/>
        <v>70231.680000000008</v>
      </c>
    </row>
    <row r="1154" spans="1:5" x14ac:dyDescent="0.25">
      <c r="A1154" s="323" t="s">
        <v>2560</v>
      </c>
      <c r="B1154" s="323" t="s">
        <v>805</v>
      </c>
      <c r="C1154" s="323">
        <v>40517</v>
      </c>
      <c r="D1154" s="323">
        <v>81</v>
      </c>
      <c r="E1154" s="324">
        <f t="shared" ref="E1154:E1217" si="18">D1154*IF(B1154=$G$9,WerkdrukbedragPerLeerlingBo,IF(B1154=$G$10,WerkdrukbedragPerLeerlingSbo,IF(B1154=$G$11,WerkdrukbedragPerLeerlingSo,IF(B1154=$G$12,WerkdrukbedragPerLeerlingVso,0))))</f>
        <v>19752.66</v>
      </c>
    </row>
    <row r="1155" spans="1:5" x14ac:dyDescent="0.25">
      <c r="A1155" s="323" t="s">
        <v>2729</v>
      </c>
      <c r="B1155" s="323" t="s">
        <v>805</v>
      </c>
      <c r="C1155" s="323">
        <v>40517</v>
      </c>
      <c r="D1155" s="323">
        <v>346</v>
      </c>
      <c r="E1155" s="324">
        <f t="shared" si="18"/>
        <v>84375.56</v>
      </c>
    </row>
    <row r="1156" spans="1:5" x14ac:dyDescent="0.25">
      <c r="A1156" s="323" t="s">
        <v>2834</v>
      </c>
      <c r="B1156" s="323" t="s">
        <v>805</v>
      </c>
      <c r="C1156" s="323">
        <v>40517</v>
      </c>
      <c r="D1156" s="323">
        <v>306</v>
      </c>
      <c r="E1156" s="324">
        <f t="shared" si="18"/>
        <v>74621.16</v>
      </c>
    </row>
    <row r="1157" spans="1:5" x14ac:dyDescent="0.25">
      <c r="A1157" s="323" t="s">
        <v>2899</v>
      </c>
      <c r="B1157" s="323" t="s">
        <v>805</v>
      </c>
      <c r="C1157" s="323">
        <v>40517</v>
      </c>
      <c r="D1157" s="323">
        <v>183</v>
      </c>
      <c r="E1157" s="324">
        <f t="shared" si="18"/>
        <v>44626.380000000005</v>
      </c>
    </row>
    <row r="1158" spans="1:5" x14ac:dyDescent="0.25">
      <c r="A1158" s="323" t="s">
        <v>3255</v>
      </c>
      <c r="B1158" s="323" t="s">
        <v>805</v>
      </c>
      <c r="C1158" s="323">
        <v>40517</v>
      </c>
      <c r="D1158" s="323">
        <v>355</v>
      </c>
      <c r="E1158" s="324">
        <f t="shared" si="18"/>
        <v>86570.3</v>
      </c>
    </row>
    <row r="1159" spans="1:5" x14ac:dyDescent="0.25">
      <c r="A1159" s="323" t="s">
        <v>3327</v>
      </c>
      <c r="B1159" s="323" t="s">
        <v>805</v>
      </c>
      <c r="C1159" s="323">
        <v>40517</v>
      </c>
      <c r="D1159" s="323">
        <v>226</v>
      </c>
      <c r="E1159" s="324">
        <f t="shared" si="18"/>
        <v>55112.36</v>
      </c>
    </row>
    <row r="1160" spans="1:5" x14ac:dyDescent="0.25">
      <c r="A1160" s="323" t="s">
        <v>3452</v>
      </c>
      <c r="B1160" s="323" t="s">
        <v>805</v>
      </c>
      <c r="C1160" s="323">
        <v>40517</v>
      </c>
      <c r="D1160" s="323">
        <v>90</v>
      </c>
      <c r="E1160" s="324">
        <f t="shared" si="18"/>
        <v>21947.4</v>
      </c>
    </row>
    <row r="1161" spans="1:5" x14ac:dyDescent="0.25">
      <c r="A1161" s="323" t="s">
        <v>3574</v>
      </c>
      <c r="B1161" s="323" t="s">
        <v>805</v>
      </c>
      <c r="C1161" s="323">
        <v>40517</v>
      </c>
      <c r="D1161" s="323">
        <v>327</v>
      </c>
      <c r="E1161" s="324">
        <f t="shared" si="18"/>
        <v>79742.22</v>
      </c>
    </row>
    <row r="1162" spans="1:5" x14ac:dyDescent="0.25">
      <c r="A1162" s="323" t="s">
        <v>3727</v>
      </c>
      <c r="B1162" s="323" t="s">
        <v>805</v>
      </c>
      <c r="C1162" s="323">
        <v>40517</v>
      </c>
      <c r="D1162" s="323">
        <v>328</v>
      </c>
      <c r="E1162" s="324">
        <f t="shared" si="18"/>
        <v>79986.080000000002</v>
      </c>
    </row>
    <row r="1163" spans="1:5" x14ac:dyDescent="0.25">
      <c r="A1163" s="323" t="s">
        <v>3825</v>
      </c>
      <c r="B1163" s="323" t="s">
        <v>805</v>
      </c>
      <c r="C1163" s="323">
        <v>40517</v>
      </c>
      <c r="D1163" s="323">
        <v>105</v>
      </c>
      <c r="E1163" s="324">
        <f t="shared" si="18"/>
        <v>25605.300000000003</v>
      </c>
    </row>
    <row r="1164" spans="1:5" x14ac:dyDescent="0.25">
      <c r="A1164" s="323" t="s">
        <v>3846</v>
      </c>
      <c r="B1164" s="323" t="s">
        <v>805</v>
      </c>
      <c r="C1164" s="323">
        <v>40517</v>
      </c>
      <c r="D1164" s="323">
        <v>64</v>
      </c>
      <c r="E1164" s="324">
        <f t="shared" si="18"/>
        <v>15607.04</v>
      </c>
    </row>
    <row r="1165" spans="1:5" x14ac:dyDescent="0.25">
      <c r="A1165" s="323" t="s">
        <v>5549</v>
      </c>
      <c r="B1165" s="323" t="s">
        <v>805</v>
      </c>
      <c r="C1165" s="323">
        <v>40517</v>
      </c>
      <c r="D1165" s="323">
        <v>287</v>
      </c>
      <c r="E1165" s="324">
        <f t="shared" si="18"/>
        <v>69987.820000000007</v>
      </c>
    </row>
    <row r="1166" spans="1:5" x14ac:dyDescent="0.25">
      <c r="A1166" s="323" t="s">
        <v>5560</v>
      </c>
      <c r="B1166" s="323" t="s">
        <v>805</v>
      </c>
      <c r="C1166" s="323">
        <v>40517</v>
      </c>
      <c r="D1166" s="323">
        <v>106</v>
      </c>
      <c r="E1166" s="324">
        <f t="shared" si="18"/>
        <v>25849.16</v>
      </c>
    </row>
    <row r="1167" spans="1:5" x14ac:dyDescent="0.25">
      <c r="A1167" s="323" t="s">
        <v>5995</v>
      </c>
      <c r="B1167" s="323" t="s">
        <v>805</v>
      </c>
      <c r="C1167" s="323">
        <v>40517</v>
      </c>
      <c r="D1167" s="323">
        <v>231</v>
      </c>
      <c r="E1167" s="324">
        <f t="shared" si="18"/>
        <v>56331.66</v>
      </c>
    </row>
    <row r="1168" spans="1:5" x14ac:dyDescent="0.25">
      <c r="A1168" s="323" t="s">
        <v>6003</v>
      </c>
      <c r="B1168" s="323" t="s">
        <v>805</v>
      </c>
      <c r="C1168" s="323">
        <v>40517</v>
      </c>
      <c r="D1168" s="323">
        <v>218</v>
      </c>
      <c r="E1168" s="324">
        <f t="shared" si="18"/>
        <v>53161.48</v>
      </c>
    </row>
    <row r="1169" spans="1:5" x14ac:dyDescent="0.25">
      <c r="A1169" s="323" t="s">
        <v>7027</v>
      </c>
      <c r="B1169" s="323" t="s">
        <v>805</v>
      </c>
      <c r="C1169" s="323">
        <v>40517</v>
      </c>
      <c r="D1169" s="323">
        <v>624</v>
      </c>
      <c r="E1169" s="324">
        <f t="shared" si="18"/>
        <v>152168.64000000001</v>
      </c>
    </row>
    <row r="1170" spans="1:5" x14ac:dyDescent="0.25">
      <c r="A1170" s="323" t="s">
        <v>2594</v>
      </c>
      <c r="B1170" s="323" t="s">
        <v>805</v>
      </c>
      <c r="C1170" s="323">
        <v>40524</v>
      </c>
      <c r="D1170" s="323">
        <v>302</v>
      </c>
      <c r="E1170" s="324">
        <f t="shared" si="18"/>
        <v>73645.72</v>
      </c>
    </row>
    <row r="1171" spans="1:5" x14ac:dyDescent="0.25">
      <c r="A1171" s="323" t="s">
        <v>2733</v>
      </c>
      <c r="B1171" s="323" t="s">
        <v>805</v>
      </c>
      <c r="C1171" s="323">
        <v>40524</v>
      </c>
      <c r="D1171" s="323">
        <v>304</v>
      </c>
      <c r="E1171" s="324">
        <f t="shared" si="18"/>
        <v>74133.440000000002</v>
      </c>
    </row>
    <row r="1172" spans="1:5" x14ac:dyDescent="0.25">
      <c r="A1172" s="323" t="s">
        <v>3483</v>
      </c>
      <c r="B1172" s="323" t="s">
        <v>805</v>
      </c>
      <c r="C1172" s="323">
        <v>40524</v>
      </c>
      <c r="D1172" s="323">
        <v>169</v>
      </c>
      <c r="E1172" s="324">
        <f t="shared" si="18"/>
        <v>41212.340000000004</v>
      </c>
    </row>
    <row r="1173" spans="1:5" x14ac:dyDescent="0.25">
      <c r="A1173" s="323" t="s">
        <v>3750</v>
      </c>
      <c r="B1173" s="323" t="s">
        <v>805</v>
      </c>
      <c r="C1173" s="323">
        <v>40524</v>
      </c>
      <c r="D1173" s="323">
        <v>178</v>
      </c>
      <c r="E1173" s="324">
        <f t="shared" si="18"/>
        <v>43407.08</v>
      </c>
    </row>
    <row r="1174" spans="1:5" x14ac:dyDescent="0.25">
      <c r="A1174" s="323" t="s">
        <v>5179</v>
      </c>
      <c r="B1174" s="323" t="s">
        <v>805</v>
      </c>
      <c r="C1174" s="323">
        <v>40524</v>
      </c>
      <c r="D1174" s="323">
        <v>184</v>
      </c>
      <c r="E1174" s="324">
        <f t="shared" si="18"/>
        <v>44870.240000000005</v>
      </c>
    </row>
    <row r="1175" spans="1:5" x14ac:dyDescent="0.25">
      <c r="A1175" s="323" t="s">
        <v>1405</v>
      </c>
      <c r="B1175" s="323" t="s">
        <v>809</v>
      </c>
      <c r="C1175" s="323">
        <v>40530</v>
      </c>
      <c r="D1175" s="323">
        <v>82</v>
      </c>
      <c r="E1175" s="324">
        <f t="shared" si="18"/>
        <v>39993.040000000001</v>
      </c>
    </row>
    <row r="1176" spans="1:5" x14ac:dyDescent="0.25">
      <c r="A1176" s="323" t="s">
        <v>1405</v>
      </c>
      <c r="B1176" s="323" t="s">
        <v>803</v>
      </c>
      <c r="C1176" s="323">
        <v>40530</v>
      </c>
      <c r="D1176" s="323">
        <v>84</v>
      </c>
      <c r="E1176" s="324">
        <f t="shared" si="18"/>
        <v>40968.480000000003</v>
      </c>
    </row>
    <row r="1177" spans="1:5" x14ac:dyDescent="0.25">
      <c r="A1177" s="323" t="s">
        <v>2380</v>
      </c>
      <c r="B1177" s="323" t="s">
        <v>805</v>
      </c>
      <c r="C1177" s="323">
        <v>40530</v>
      </c>
      <c r="D1177" s="323">
        <v>107</v>
      </c>
      <c r="E1177" s="324">
        <f t="shared" si="18"/>
        <v>26093.02</v>
      </c>
    </row>
    <row r="1178" spans="1:5" x14ac:dyDescent="0.25">
      <c r="A1178" s="323" t="s">
        <v>5191</v>
      </c>
      <c r="B1178" s="323" t="s">
        <v>805</v>
      </c>
      <c r="C1178" s="323">
        <v>40530</v>
      </c>
      <c r="D1178" s="323">
        <v>436</v>
      </c>
      <c r="E1178" s="324">
        <f t="shared" si="18"/>
        <v>106322.96</v>
      </c>
    </row>
    <row r="1179" spans="1:5" x14ac:dyDescent="0.25">
      <c r="A1179" s="323" t="s">
        <v>5269</v>
      </c>
      <c r="B1179" s="323" t="s">
        <v>805</v>
      </c>
      <c r="C1179" s="323">
        <v>40530</v>
      </c>
      <c r="D1179" s="323">
        <v>103</v>
      </c>
      <c r="E1179" s="324">
        <f t="shared" si="18"/>
        <v>25117.58</v>
      </c>
    </row>
    <row r="1180" spans="1:5" x14ac:dyDescent="0.25">
      <c r="A1180" s="323" t="s">
        <v>5307</v>
      </c>
      <c r="B1180" s="323" t="s">
        <v>805</v>
      </c>
      <c r="C1180" s="323">
        <v>40530</v>
      </c>
      <c r="D1180" s="323">
        <v>159</v>
      </c>
      <c r="E1180" s="324">
        <f t="shared" si="18"/>
        <v>38773.740000000005</v>
      </c>
    </row>
    <row r="1181" spans="1:5" x14ac:dyDescent="0.25">
      <c r="A1181" s="323" t="s">
        <v>5368</v>
      </c>
      <c r="B1181" s="323" t="s">
        <v>805</v>
      </c>
      <c r="C1181" s="323">
        <v>40530</v>
      </c>
      <c r="D1181" s="323">
        <v>155</v>
      </c>
      <c r="E1181" s="324">
        <f t="shared" si="18"/>
        <v>37798.300000000003</v>
      </c>
    </row>
    <row r="1182" spans="1:5" x14ac:dyDescent="0.25">
      <c r="A1182" s="323" t="s">
        <v>5473</v>
      </c>
      <c r="B1182" s="323" t="s">
        <v>805</v>
      </c>
      <c r="C1182" s="323">
        <v>40530</v>
      </c>
      <c r="D1182" s="323">
        <v>187</v>
      </c>
      <c r="E1182" s="324">
        <f t="shared" si="18"/>
        <v>45601.82</v>
      </c>
    </row>
    <row r="1183" spans="1:5" x14ac:dyDescent="0.25">
      <c r="A1183" s="323" t="s">
        <v>5498</v>
      </c>
      <c r="B1183" s="323" t="s">
        <v>805</v>
      </c>
      <c r="C1183" s="323">
        <v>40530</v>
      </c>
      <c r="D1183" s="323">
        <v>335</v>
      </c>
      <c r="E1183" s="324">
        <f t="shared" si="18"/>
        <v>81693.100000000006</v>
      </c>
    </row>
    <row r="1184" spans="1:5" x14ac:dyDescent="0.25">
      <c r="A1184" s="323" t="s">
        <v>5498</v>
      </c>
      <c r="B1184" s="323" t="s">
        <v>805</v>
      </c>
      <c r="C1184" s="323">
        <v>40530</v>
      </c>
      <c r="D1184" s="323">
        <v>77</v>
      </c>
      <c r="E1184" s="324">
        <f t="shared" si="18"/>
        <v>18777.22</v>
      </c>
    </row>
    <row r="1185" spans="1:5" x14ac:dyDescent="0.25">
      <c r="A1185" s="323" t="s">
        <v>5533</v>
      </c>
      <c r="B1185" s="323" t="s">
        <v>805</v>
      </c>
      <c r="C1185" s="323">
        <v>40530</v>
      </c>
      <c r="D1185" s="323">
        <v>343</v>
      </c>
      <c r="E1185" s="324">
        <f t="shared" si="18"/>
        <v>83643.98000000001</v>
      </c>
    </row>
    <row r="1186" spans="1:5" x14ac:dyDescent="0.25">
      <c r="A1186" s="323" t="s">
        <v>5553</v>
      </c>
      <c r="B1186" s="323" t="s">
        <v>805</v>
      </c>
      <c r="C1186" s="323">
        <v>40530</v>
      </c>
      <c r="D1186" s="323">
        <v>293</v>
      </c>
      <c r="E1186" s="324">
        <f t="shared" si="18"/>
        <v>71450.98000000001</v>
      </c>
    </row>
    <row r="1187" spans="1:5" x14ac:dyDescent="0.25">
      <c r="A1187" s="323" t="s">
        <v>6966</v>
      </c>
      <c r="B1187" s="323" t="s">
        <v>805</v>
      </c>
      <c r="C1187" s="323">
        <v>40530</v>
      </c>
      <c r="D1187" s="323">
        <v>163</v>
      </c>
      <c r="E1187" s="324">
        <f t="shared" si="18"/>
        <v>39749.18</v>
      </c>
    </row>
    <row r="1188" spans="1:5" x14ac:dyDescent="0.25">
      <c r="A1188" s="323" t="s">
        <v>7246</v>
      </c>
      <c r="B1188" s="323" t="s">
        <v>805</v>
      </c>
      <c r="C1188" s="323">
        <v>40530</v>
      </c>
      <c r="D1188" s="323">
        <v>464</v>
      </c>
      <c r="E1188" s="324">
        <f t="shared" si="18"/>
        <v>113151.04000000001</v>
      </c>
    </row>
    <row r="1189" spans="1:5" x14ac:dyDescent="0.25">
      <c r="A1189" s="323" t="s">
        <v>1589</v>
      </c>
      <c r="B1189" s="323" t="s">
        <v>805</v>
      </c>
      <c r="C1189" s="323">
        <v>40535</v>
      </c>
      <c r="D1189" s="323">
        <v>181</v>
      </c>
      <c r="E1189" s="324">
        <f t="shared" si="18"/>
        <v>44138.66</v>
      </c>
    </row>
    <row r="1190" spans="1:5" x14ac:dyDescent="0.25">
      <c r="A1190" s="323" t="s">
        <v>4254</v>
      </c>
      <c r="B1190" s="323" t="s">
        <v>805</v>
      </c>
      <c r="C1190" s="323">
        <v>40540</v>
      </c>
      <c r="D1190" s="323">
        <v>428</v>
      </c>
      <c r="E1190" s="324">
        <f t="shared" si="18"/>
        <v>104372.08</v>
      </c>
    </row>
    <row r="1191" spans="1:5" x14ac:dyDescent="0.25">
      <c r="A1191" s="323" t="s">
        <v>4471</v>
      </c>
      <c r="B1191" s="323" t="s">
        <v>805</v>
      </c>
      <c r="C1191" s="323">
        <v>40540</v>
      </c>
      <c r="D1191" s="323">
        <v>216</v>
      </c>
      <c r="E1191" s="324">
        <f t="shared" si="18"/>
        <v>52673.760000000002</v>
      </c>
    </row>
    <row r="1192" spans="1:5" x14ac:dyDescent="0.25">
      <c r="A1192" s="323" t="s">
        <v>4579</v>
      </c>
      <c r="B1192" s="323" t="s">
        <v>805</v>
      </c>
      <c r="C1192" s="323">
        <v>40540</v>
      </c>
      <c r="D1192" s="323">
        <v>215</v>
      </c>
      <c r="E1192" s="324">
        <f t="shared" si="18"/>
        <v>52429.9</v>
      </c>
    </row>
    <row r="1193" spans="1:5" x14ac:dyDescent="0.25">
      <c r="A1193" s="323" t="s">
        <v>1202</v>
      </c>
      <c r="B1193" s="323" t="s">
        <v>805</v>
      </c>
      <c r="C1193" s="323">
        <v>40557</v>
      </c>
      <c r="D1193" s="323">
        <v>166</v>
      </c>
      <c r="E1193" s="324">
        <f t="shared" si="18"/>
        <v>40480.76</v>
      </c>
    </row>
    <row r="1194" spans="1:5" x14ac:dyDescent="0.25">
      <c r="A1194" s="323" t="s">
        <v>1254</v>
      </c>
      <c r="B1194" s="323" t="s">
        <v>805</v>
      </c>
      <c r="C1194" s="323">
        <v>40557</v>
      </c>
      <c r="D1194" s="323">
        <v>170</v>
      </c>
      <c r="E1194" s="324">
        <f t="shared" si="18"/>
        <v>41456.200000000004</v>
      </c>
    </row>
    <row r="1195" spans="1:5" x14ac:dyDescent="0.25">
      <c r="A1195" s="323" t="s">
        <v>1463</v>
      </c>
      <c r="B1195" s="323" t="s">
        <v>805</v>
      </c>
      <c r="C1195" s="323">
        <v>40557</v>
      </c>
      <c r="D1195" s="323">
        <v>445</v>
      </c>
      <c r="E1195" s="324">
        <f t="shared" si="18"/>
        <v>108517.70000000001</v>
      </c>
    </row>
    <row r="1196" spans="1:5" x14ac:dyDescent="0.25">
      <c r="A1196" s="323" t="s">
        <v>1801</v>
      </c>
      <c r="B1196" s="323" t="s">
        <v>816</v>
      </c>
      <c r="C1196" s="323">
        <v>40557</v>
      </c>
      <c r="D1196" s="323">
        <v>157</v>
      </c>
      <c r="E1196" s="324">
        <f t="shared" si="18"/>
        <v>57429.030000000006</v>
      </c>
    </row>
    <row r="1197" spans="1:5" x14ac:dyDescent="0.25">
      <c r="A1197" s="323" t="s">
        <v>1802</v>
      </c>
      <c r="B1197" s="323" t="s">
        <v>805</v>
      </c>
      <c r="C1197" s="323">
        <v>40557</v>
      </c>
      <c r="D1197" s="323">
        <v>211</v>
      </c>
      <c r="E1197" s="324">
        <f t="shared" si="18"/>
        <v>51454.460000000006</v>
      </c>
    </row>
    <row r="1198" spans="1:5" x14ac:dyDescent="0.25">
      <c r="A1198" s="323" t="s">
        <v>2210</v>
      </c>
      <c r="B1198" s="323" t="s">
        <v>805</v>
      </c>
      <c r="C1198" s="323">
        <v>40557</v>
      </c>
      <c r="D1198" s="323">
        <v>222</v>
      </c>
      <c r="E1198" s="324">
        <f t="shared" si="18"/>
        <v>54136.920000000006</v>
      </c>
    </row>
    <row r="1199" spans="1:5" x14ac:dyDescent="0.25">
      <c r="A1199" s="323" t="s">
        <v>2274</v>
      </c>
      <c r="B1199" s="323" t="s">
        <v>805</v>
      </c>
      <c r="C1199" s="323">
        <v>40557</v>
      </c>
      <c r="D1199" s="323">
        <v>155</v>
      </c>
      <c r="E1199" s="324">
        <f t="shared" si="18"/>
        <v>37798.300000000003</v>
      </c>
    </row>
    <row r="1200" spans="1:5" x14ac:dyDescent="0.25">
      <c r="A1200" s="323" t="s">
        <v>2465</v>
      </c>
      <c r="B1200" s="323" t="s">
        <v>805</v>
      </c>
      <c r="C1200" s="323">
        <v>40557</v>
      </c>
      <c r="D1200" s="323">
        <v>302</v>
      </c>
      <c r="E1200" s="324">
        <f t="shared" si="18"/>
        <v>73645.72</v>
      </c>
    </row>
    <row r="1201" spans="1:5" x14ac:dyDescent="0.25">
      <c r="A1201" s="323" t="s">
        <v>2748</v>
      </c>
      <c r="B1201" s="323" t="s">
        <v>805</v>
      </c>
      <c r="C1201" s="323">
        <v>40557</v>
      </c>
      <c r="D1201" s="323">
        <v>104</v>
      </c>
      <c r="E1201" s="324">
        <f t="shared" si="18"/>
        <v>25361.440000000002</v>
      </c>
    </row>
    <row r="1202" spans="1:5" x14ac:dyDescent="0.25">
      <c r="A1202" s="323" t="s">
        <v>2780</v>
      </c>
      <c r="B1202" s="323" t="s">
        <v>805</v>
      </c>
      <c r="C1202" s="323">
        <v>40557</v>
      </c>
      <c r="D1202" s="323">
        <v>216</v>
      </c>
      <c r="E1202" s="324">
        <f t="shared" si="18"/>
        <v>52673.760000000002</v>
      </c>
    </row>
    <row r="1203" spans="1:5" x14ac:dyDescent="0.25">
      <c r="A1203" s="323" t="s">
        <v>3088</v>
      </c>
      <c r="B1203" s="323" t="s">
        <v>805</v>
      </c>
      <c r="C1203" s="323">
        <v>40557</v>
      </c>
      <c r="D1203" s="323">
        <v>109</v>
      </c>
      <c r="E1203" s="324">
        <f t="shared" si="18"/>
        <v>26580.74</v>
      </c>
    </row>
    <row r="1204" spans="1:5" x14ac:dyDescent="0.25">
      <c r="A1204" s="323" t="s">
        <v>3256</v>
      </c>
      <c r="B1204" s="323" t="s">
        <v>805</v>
      </c>
      <c r="C1204" s="323">
        <v>40557</v>
      </c>
      <c r="D1204" s="323">
        <v>147</v>
      </c>
      <c r="E1204" s="324">
        <f t="shared" si="18"/>
        <v>35847.420000000006</v>
      </c>
    </row>
    <row r="1205" spans="1:5" x14ac:dyDescent="0.25">
      <c r="A1205" s="323" t="s">
        <v>3268</v>
      </c>
      <c r="B1205" s="323" t="s">
        <v>805</v>
      </c>
      <c r="C1205" s="323">
        <v>40557</v>
      </c>
      <c r="D1205" s="323">
        <v>208</v>
      </c>
      <c r="E1205" s="324">
        <f t="shared" si="18"/>
        <v>50722.880000000005</v>
      </c>
    </row>
    <row r="1206" spans="1:5" x14ac:dyDescent="0.25">
      <c r="A1206" s="323" t="s">
        <v>3290</v>
      </c>
      <c r="B1206" s="323" t="s">
        <v>805</v>
      </c>
      <c r="C1206" s="323">
        <v>40557</v>
      </c>
      <c r="D1206" s="323">
        <v>165</v>
      </c>
      <c r="E1206" s="324">
        <f t="shared" si="18"/>
        <v>40236.9</v>
      </c>
    </row>
    <row r="1207" spans="1:5" x14ac:dyDescent="0.25">
      <c r="A1207" s="323" t="s">
        <v>3301</v>
      </c>
      <c r="B1207" s="323" t="s">
        <v>805</v>
      </c>
      <c r="C1207" s="323">
        <v>40557</v>
      </c>
      <c r="D1207" s="323">
        <v>195</v>
      </c>
      <c r="E1207" s="324">
        <f t="shared" si="18"/>
        <v>47552.700000000004</v>
      </c>
    </row>
    <row r="1208" spans="1:5" x14ac:dyDescent="0.25">
      <c r="A1208" s="323" t="s">
        <v>3451</v>
      </c>
      <c r="B1208" s="323" t="s">
        <v>805</v>
      </c>
      <c r="C1208" s="323">
        <v>40557</v>
      </c>
      <c r="D1208" s="323">
        <v>53</v>
      </c>
      <c r="E1208" s="324">
        <f t="shared" si="18"/>
        <v>12924.58</v>
      </c>
    </row>
    <row r="1209" spans="1:5" x14ac:dyDescent="0.25">
      <c r="A1209" s="323" t="s">
        <v>3604</v>
      </c>
      <c r="B1209" s="323" t="s">
        <v>805</v>
      </c>
      <c r="C1209" s="323">
        <v>40557</v>
      </c>
      <c r="D1209" s="323">
        <v>143</v>
      </c>
      <c r="E1209" s="324">
        <f t="shared" si="18"/>
        <v>34871.980000000003</v>
      </c>
    </row>
    <row r="1210" spans="1:5" x14ac:dyDescent="0.25">
      <c r="A1210" s="323" t="s">
        <v>3845</v>
      </c>
      <c r="B1210" s="323" t="s">
        <v>805</v>
      </c>
      <c r="C1210" s="323">
        <v>40557</v>
      </c>
      <c r="D1210" s="323">
        <v>244</v>
      </c>
      <c r="E1210" s="324">
        <f t="shared" si="18"/>
        <v>59501.840000000004</v>
      </c>
    </row>
    <row r="1211" spans="1:5" x14ac:dyDescent="0.25">
      <c r="A1211" s="323" t="s">
        <v>3849</v>
      </c>
      <c r="B1211" s="323" t="s">
        <v>805</v>
      </c>
      <c r="C1211" s="323">
        <v>40557</v>
      </c>
      <c r="D1211" s="323">
        <v>188</v>
      </c>
      <c r="E1211" s="324">
        <f t="shared" si="18"/>
        <v>45845.68</v>
      </c>
    </row>
    <row r="1212" spans="1:5" x14ac:dyDescent="0.25">
      <c r="A1212" s="323" t="s">
        <v>3936</v>
      </c>
      <c r="B1212" s="323" t="s">
        <v>805</v>
      </c>
      <c r="C1212" s="323">
        <v>40557</v>
      </c>
      <c r="D1212" s="323">
        <v>369</v>
      </c>
      <c r="E1212" s="324">
        <f t="shared" si="18"/>
        <v>89984.340000000011</v>
      </c>
    </row>
    <row r="1213" spans="1:5" x14ac:dyDescent="0.25">
      <c r="A1213" s="323" t="s">
        <v>4028</v>
      </c>
      <c r="B1213" s="323" t="s">
        <v>805</v>
      </c>
      <c r="C1213" s="323">
        <v>40557</v>
      </c>
      <c r="D1213" s="323">
        <v>229</v>
      </c>
      <c r="E1213" s="324">
        <f t="shared" si="18"/>
        <v>55843.94</v>
      </c>
    </row>
    <row r="1214" spans="1:5" x14ac:dyDescent="0.25">
      <c r="A1214" s="323" t="s">
        <v>4099</v>
      </c>
      <c r="B1214" s="323" t="s">
        <v>805</v>
      </c>
      <c r="C1214" s="323">
        <v>40557</v>
      </c>
      <c r="D1214" s="323">
        <v>265</v>
      </c>
      <c r="E1214" s="324">
        <f t="shared" si="18"/>
        <v>64622.9</v>
      </c>
    </row>
    <row r="1215" spans="1:5" x14ac:dyDescent="0.25">
      <c r="A1215" s="323" t="s">
        <v>4265</v>
      </c>
      <c r="B1215" s="323" t="s">
        <v>805</v>
      </c>
      <c r="C1215" s="323">
        <v>40557</v>
      </c>
      <c r="D1215" s="323">
        <v>218</v>
      </c>
      <c r="E1215" s="324">
        <f t="shared" si="18"/>
        <v>53161.48</v>
      </c>
    </row>
    <row r="1216" spans="1:5" x14ac:dyDescent="0.25">
      <c r="A1216" s="323" t="s">
        <v>4351</v>
      </c>
      <c r="B1216" s="323" t="s">
        <v>805</v>
      </c>
      <c r="C1216" s="323">
        <v>40557</v>
      </c>
      <c r="D1216" s="323">
        <v>163</v>
      </c>
      <c r="E1216" s="324">
        <f t="shared" si="18"/>
        <v>39749.18</v>
      </c>
    </row>
    <row r="1217" spans="1:5" x14ac:dyDescent="0.25">
      <c r="A1217" s="323" t="s">
        <v>4372</v>
      </c>
      <c r="B1217" s="323" t="s">
        <v>805</v>
      </c>
      <c r="C1217" s="323">
        <v>40557</v>
      </c>
      <c r="D1217" s="323">
        <v>141</v>
      </c>
      <c r="E1217" s="324">
        <f t="shared" si="18"/>
        <v>34384.26</v>
      </c>
    </row>
    <row r="1218" spans="1:5" x14ac:dyDescent="0.25">
      <c r="A1218" s="323" t="s">
        <v>4583</v>
      </c>
      <c r="B1218" s="323" t="s">
        <v>805</v>
      </c>
      <c r="C1218" s="323">
        <v>40557</v>
      </c>
      <c r="D1218" s="323">
        <v>130</v>
      </c>
      <c r="E1218" s="324">
        <f t="shared" ref="E1218:E1281" si="19">D1218*IF(B1218=$G$9,WerkdrukbedragPerLeerlingBo,IF(B1218=$G$10,WerkdrukbedragPerLeerlingSbo,IF(B1218=$G$11,WerkdrukbedragPerLeerlingSo,IF(B1218=$G$12,WerkdrukbedragPerLeerlingVso,0))))</f>
        <v>31701.800000000003</v>
      </c>
    </row>
    <row r="1219" spans="1:5" x14ac:dyDescent="0.25">
      <c r="A1219" s="323" t="s">
        <v>5512</v>
      </c>
      <c r="B1219" s="323" t="s">
        <v>805</v>
      </c>
      <c r="C1219" s="323">
        <v>40558</v>
      </c>
      <c r="D1219" s="323">
        <v>91</v>
      </c>
      <c r="E1219" s="324">
        <f t="shared" si="19"/>
        <v>22191.260000000002</v>
      </c>
    </row>
    <row r="1220" spans="1:5" x14ac:dyDescent="0.25">
      <c r="A1220" s="323" t="s">
        <v>823</v>
      </c>
      <c r="B1220" s="323" t="s">
        <v>805</v>
      </c>
      <c r="C1220" s="323">
        <v>40581</v>
      </c>
      <c r="D1220" s="323">
        <v>238</v>
      </c>
      <c r="E1220" s="324">
        <f t="shared" si="19"/>
        <v>58038.68</v>
      </c>
    </row>
    <row r="1221" spans="1:5" x14ac:dyDescent="0.25">
      <c r="A1221" s="323" t="s">
        <v>1846</v>
      </c>
      <c r="B1221" s="323" t="s">
        <v>805</v>
      </c>
      <c r="C1221" s="323">
        <v>40581</v>
      </c>
      <c r="D1221" s="323">
        <v>307</v>
      </c>
      <c r="E1221" s="324">
        <f t="shared" si="19"/>
        <v>74865.02</v>
      </c>
    </row>
    <row r="1222" spans="1:5" x14ac:dyDescent="0.25">
      <c r="A1222" s="323" t="s">
        <v>3759</v>
      </c>
      <c r="B1222" s="323" t="s">
        <v>805</v>
      </c>
      <c r="C1222" s="323">
        <v>40581</v>
      </c>
      <c r="D1222" s="323">
        <v>175</v>
      </c>
      <c r="E1222" s="324">
        <f t="shared" si="19"/>
        <v>42675.5</v>
      </c>
    </row>
    <row r="1223" spans="1:5" x14ac:dyDescent="0.25">
      <c r="A1223" s="323" t="s">
        <v>4417</v>
      </c>
      <c r="B1223" s="323" t="s">
        <v>805</v>
      </c>
      <c r="C1223" s="323">
        <v>40581</v>
      </c>
      <c r="D1223" s="323">
        <v>610</v>
      </c>
      <c r="E1223" s="324">
        <f t="shared" si="19"/>
        <v>148754.6</v>
      </c>
    </row>
    <row r="1224" spans="1:5" x14ac:dyDescent="0.25">
      <c r="A1224" s="323" t="s">
        <v>4523</v>
      </c>
      <c r="B1224" s="323" t="s">
        <v>805</v>
      </c>
      <c r="C1224" s="323">
        <v>40581</v>
      </c>
      <c r="D1224" s="323">
        <v>406</v>
      </c>
      <c r="E1224" s="324">
        <f t="shared" si="19"/>
        <v>99007.16</v>
      </c>
    </row>
    <row r="1225" spans="1:5" x14ac:dyDescent="0.25">
      <c r="A1225" s="323" t="s">
        <v>6774</v>
      </c>
      <c r="B1225" s="323" t="s">
        <v>805</v>
      </c>
      <c r="C1225" s="323">
        <v>40581</v>
      </c>
      <c r="D1225" s="323">
        <v>399</v>
      </c>
      <c r="E1225" s="324">
        <f t="shared" si="19"/>
        <v>97300.14</v>
      </c>
    </row>
    <row r="1226" spans="1:5" x14ac:dyDescent="0.25">
      <c r="A1226" s="323" t="s">
        <v>1204</v>
      </c>
      <c r="B1226" s="323" t="s">
        <v>805</v>
      </c>
      <c r="C1226" s="323">
        <v>40586</v>
      </c>
      <c r="D1226" s="323">
        <v>221</v>
      </c>
      <c r="E1226" s="324">
        <f t="shared" si="19"/>
        <v>53893.060000000005</v>
      </c>
    </row>
    <row r="1227" spans="1:5" x14ac:dyDescent="0.25">
      <c r="A1227" s="323" t="s">
        <v>2970</v>
      </c>
      <c r="B1227" s="323" t="s">
        <v>805</v>
      </c>
      <c r="C1227" s="323">
        <v>40586</v>
      </c>
      <c r="D1227" s="323">
        <v>427</v>
      </c>
      <c r="E1227" s="324">
        <f t="shared" si="19"/>
        <v>104128.22</v>
      </c>
    </row>
    <row r="1228" spans="1:5" x14ac:dyDescent="0.25">
      <c r="A1228" s="323" t="s">
        <v>7088</v>
      </c>
      <c r="B1228" s="323" t="s">
        <v>805</v>
      </c>
      <c r="C1228" s="323">
        <v>40586</v>
      </c>
      <c r="D1228" s="323">
        <v>255</v>
      </c>
      <c r="E1228" s="324">
        <f t="shared" si="19"/>
        <v>62184.3</v>
      </c>
    </row>
    <row r="1229" spans="1:5" x14ac:dyDescent="0.25">
      <c r="A1229" s="323" t="s">
        <v>7110</v>
      </c>
      <c r="B1229" s="323" t="s">
        <v>805</v>
      </c>
      <c r="C1229" s="323">
        <v>40586</v>
      </c>
      <c r="D1229" s="323">
        <v>1280</v>
      </c>
      <c r="E1229" s="324">
        <f t="shared" si="19"/>
        <v>312140.80000000005</v>
      </c>
    </row>
    <row r="1230" spans="1:5" x14ac:dyDescent="0.25">
      <c r="A1230" s="323" t="s">
        <v>7446</v>
      </c>
      <c r="B1230" s="323" t="s">
        <v>805</v>
      </c>
      <c r="C1230" s="323">
        <v>40586</v>
      </c>
      <c r="D1230" s="323">
        <v>109</v>
      </c>
      <c r="E1230" s="324">
        <f t="shared" si="19"/>
        <v>26580.74</v>
      </c>
    </row>
    <row r="1231" spans="1:5" x14ac:dyDescent="0.25">
      <c r="A1231" s="323" t="s">
        <v>7494</v>
      </c>
      <c r="B1231" s="323" t="s">
        <v>805</v>
      </c>
      <c r="C1231" s="323">
        <v>40586</v>
      </c>
      <c r="D1231" s="323">
        <v>195</v>
      </c>
      <c r="E1231" s="324">
        <f t="shared" si="19"/>
        <v>47552.700000000004</v>
      </c>
    </row>
    <row r="1232" spans="1:5" x14ac:dyDescent="0.25">
      <c r="A1232" s="323" t="s">
        <v>884</v>
      </c>
      <c r="B1232" s="323" t="s">
        <v>809</v>
      </c>
      <c r="C1232" s="323">
        <v>40631</v>
      </c>
      <c r="D1232" s="323">
        <v>30</v>
      </c>
      <c r="E1232" s="324">
        <f t="shared" si="19"/>
        <v>14631.6</v>
      </c>
    </row>
    <row r="1233" spans="1:5" x14ac:dyDescent="0.25">
      <c r="A1233" s="323" t="s">
        <v>915</v>
      </c>
      <c r="B1233" s="323" t="s">
        <v>816</v>
      </c>
      <c r="C1233" s="323">
        <v>40631</v>
      </c>
      <c r="D1233" s="323">
        <v>113</v>
      </c>
      <c r="E1233" s="324">
        <f t="shared" si="19"/>
        <v>41334.270000000004</v>
      </c>
    </row>
    <row r="1234" spans="1:5" x14ac:dyDescent="0.25">
      <c r="A1234" s="323" t="s">
        <v>941</v>
      </c>
      <c r="B1234" s="323" t="s">
        <v>809</v>
      </c>
      <c r="C1234" s="323">
        <v>40631</v>
      </c>
      <c r="D1234" s="323">
        <v>67</v>
      </c>
      <c r="E1234" s="324">
        <f t="shared" si="19"/>
        <v>32677.24</v>
      </c>
    </row>
    <row r="1235" spans="1:5" x14ac:dyDescent="0.25">
      <c r="A1235" s="323" t="s">
        <v>1028</v>
      </c>
      <c r="B1235" s="323" t="s">
        <v>809</v>
      </c>
      <c r="C1235" s="323">
        <v>40631</v>
      </c>
      <c r="D1235" s="323">
        <v>85</v>
      </c>
      <c r="E1235" s="324">
        <f t="shared" si="19"/>
        <v>41456.200000000004</v>
      </c>
    </row>
    <row r="1236" spans="1:5" x14ac:dyDescent="0.25">
      <c r="A1236" s="323" t="s">
        <v>1028</v>
      </c>
      <c r="B1236" s="323" t="s">
        <v>803</v>
      </c>
      <c r="C1236" s="323">
        <v>40631</v>
      </c>
      <c r="D1236" s="323">
        <v>25</v>
      </c>
      <c r="E1236" s="324">
        <f t="shared" si="19"/>
        <v>12193</v>
      </c>
    </row>
    <row r="1237" spans="1:5" x14ac:dyDescent="0.25">
      <c r="A1237" s="323" t="s">
        <v>1236</v>
      </c>
      <c r="B1237" s="323" t="s">
        <v>803</v>
      </c>
      <c r="C1237" s="323">
        <v>40631</v>
      </c>
      <c r="D1237" s="323">
        <v>215</v>
      </c>
      <c r="E1237" s="324">
        <f t="shared" si="19"/>
        <v>104859.8</v>
      </c>
    </row>
    <row r="1238" spans="1:5" x14ac:dyDescent="0.25">
      <c r="A1238" s="323" t="s">
        <v>1385</v>
      </c>
      <c r="B1238" s="323" t="s">
        <v>803</v>
      </c>
      <c r="C1238" s="323">
        <v>40631</v>
      </c>
      <c r="D1238" s="323">
        <v>120</v>
      </c>
      <c r="E1238" s="324">
        <f t="shared" si="19"/>
        <v>58526.400000000001</v>
      </c>
    </row>
    <row r="1239" spans="1:5" x14ac:dyDescent="0.25">
      <c r="A1239" s="323" t="s">
        <v>1879</v>
      </c>
      <c r="B1239" s="323" t="s">
        <v>809</v>
      </c>
      <c r="C1239" s="323">
        <v>40631</v>
      </c>
      <c r="D1239" s="323">
        <v>120</v>
      </c>
      <c r="E1239" s="324">
        <f t="shared" si="19"/>
        <v>58526.400000000001</v>
      </c>
    </row>
    <row r="1240" spans="1:5" x14ac:dyDescent="0.25">
      <c r="A1240" s="323" t="s">
        <v>1887</v>
      </c>
      <c r="B1240" s="323" t="s">
        <v>803</v>
      </c>
      <c r="C1240" s="323">
        <v>40631</v>
      </c>
      <c r="D1240" s="323">
        <v>106</v>
      </c>
      <c r="E1240" s="324">
        <f t="shared" si="19"/>
        <v>51698.32</v>
      </c>
    </row>
    <row r="1241" spans="1:5" x14ac:dyDescent="0.25">
      <c r="A1241" s="323" t="s">
        <v>5107</v>
      </c>
      <c r="B1241" s="323" t="s">
        <v>809</v>
      </c>
      <c r="C1241" s="323">
        <v>40631</v>
      </c>
      <c r="D1241" s="323">
        <v>74</v>
      </c>
      <c r="E1241" s="324">
        <f t="shared" si="19"/>
        <v>36091.279999999999</v>
      </c>
    </row>
    <row r="1242" spans="1:5" x14ac:dyDescent="0.25">
      <c r="A1242" s="323" t="s">
        <v>5107</v>
      </c>
      <c r="B1242" s="323" t="s">
        <v>803</v>
      </c>
      <c r="C1242" s="323">
        <v>40631</v>
      </c>
      <c r="D1242" s="323">
        <v>61</v>
      </c>
      <c r="E1242" s="324">
        <f t="shared" si="19"/>
        <v>29750.920000000002</v>
      </c>
    </row>
    <row r="1243" spans="1:5" x14ac:dyDescent="0.25">
      <c r="A1243" s="323" t="s">
        <v>5114</v>
      </c>
      <c r="B1243" s="323" t="s">
        <v>803</v>
      </c>
      <c r="C1243" s="323">
        <v>40631</v>
      </c>
      <c r="D1243" s="323">
        <v>308</v>
      </c>
      <c r="E1243" s="324">
        <f t="shared" si="19"/>
        <v>150217.76</v>
      </c>
    </row>
    <row r="1244" spans="1:5" x14ac:dyDescent="0.25">
      <c r="A1244" s="323" t="s">
        <v>5660</v>
      </c>
      <c r="B1244" s="323" t="s">
        <v>803</v>
      </c>
      <c r="C1244" s="323">
        <v>40631</v>
      </c>
      <c r="D1244" s="323">
        <v>136</v>
      </c>
      <c r="E1244" s="324">
        <f t="shared" si="19"/>
        <v>66329.919999999998</v>
      </c>
    </row>
    <row r="1245" spans="1:5" x14ac:dyDescent="0.25">
      <c r="A1245" s="323" t="s">
        <v>6472</v>
      </c>
      <c r="B1245" s="323" t="s">
        <v>816</v>
      </c>
      <c r="C1245" s="323">
        <v>40631</v>
      </c>
      <c r="D1245" s="323">
        <v>95</v>
      </c>
      <c r="E1245" s="324">
        <f t="shared" si="19"/>
        <v>34750.050000000003</v>
      </c>
    </row>
    <row r="1246" spans="1:5" x14ac:dyDescent="0.25">
      <c r="A1246" s="323" t="s">
        <v>6511</v>
      </c>
      <c r="B1246" s="323" t="s">
        <v>809</v>
      </c>
      <c r="C1246" s="323">
        <v>40631</v>
      </c>
      <c r="D1246" s="323">
        <v>85</v>
      </c>
      <c r="E1246" s="324">
        <f t="shared" si="19"/>
        <v>41456.200000000004</v>
      </c>
    </row>
    <row r="1247" spans="1:5" x14ac:dyDescent="0.25">
      <c r="A1247" s="323" t="s">
        <v>6511</v>
      </c>
      <c r="B1247" s="323" t="s">
        <v>803</v>
      </c>
      <c r="C1247" s="323">
        <v>40631</v>
      </c>
      <c r="D1247" s="323">
        <v>94</v>
      </c>
      <c r="E1247" s="324">
        <f t="shared" si="19"/>
        <v>45845.68</v>
      </c>
    </row>
    <row r="1248" spans="1:5" x14ac:dyDescent="0.25">
      <c r="A1248" s="323" t="s">
        <v>6516</v>
      </c>
      <c r="B1248" s="323" t="s">
        <v>809</v>
      </c>
      <c r="C1248" s="323">
        <v>40631</v>
      </c>
      <c r="D1248" s="323">
        <v>47</v>
      </c>
      <c r="E1248" s="324">
        <f t="shared" si="19"/>
        <v>22922.84</v>
      </c>
    </row>
    <row r="1249" spans="1:5" x14ac:dyDescent="0.25">
      <c r="A1249" s="323" t="s">
        <v>6516</v>
      </c>
      <c r="B1249" s="323" t="s">
        <v>803</v>
      </c>
      <c r="C1249" s="323">
        <v>40631</v>
      </c>
      <c r="D1249" s="323">
        <v>65</v>
      </c>
      <c r="E1249" s="324">
        <f t="shared" si="19"/>
        <v>31701.800000000003</v>
      </c>
    </row>
    <row r="1250" spans="1:5" x14ac:dyDescent="0.25">
      <c r="A1250" s="323" t="s">
        <v>6635</v>
      </c>
      <c r="B1250" s="323" t="s">
        <v>803</v>
      </c>
      <c r="C1250" s="323">
        <v>40631</v>
      </c>
      <c r="D1250" s="323">
        <v>31</v>
      </c>
      <c r="E1250" s="324">
        <f t="shared" si="19"/>
        <v>15119.320000000002</v>
      </c>
    </row>
    <row r="1251" spans="1:5" x14ac:dyDescent="0.25">
      <c r="A1251" s="323" t="s">
        <v>6865</v>
      </c>
      <c r="B1251" s="323" t="s">
        <v>809</v>
      </c>
      <c r="C1251" s="323">
        <v>40631</v>
      </c>
      <c r="D1251" s="323">
        <v>89</v>
      </c>
      <c r="E1251" s="324">
        <f t="shared" si="19"/>
        <v>43407.08</v>
      </c>
    </row>
    <row r="1252" spans="1:5" x14ac:dyDescent="0.25">
      <c r="A1252" s="323" t="s">
        <v>6865</v>
      </c>
      <c r="B1252" s="323" t="s">
        <v>809</v>
      </c>
      <c r="C1252" s="323">
        <v>40631</v>
      </c>
      <c r="D1252" s="323">
        <v>7</v>
      </c>
      <c r="E1252" s="324">
        <f t="shared" si="19"/>
        <v>3414.04</v>
      </c>
    </row>
    <row r="1253" spans="1:5" x14ac:dyDescent="0.25">
      <c r="A1253" s="323" t="s">
        <v>7071</v>
      </c>
      <c r="B1253" s="323" t="s">
        <v>809</v>
      </c>
      <c r="C1253" s="323">
        <v>40631</v>
      </c>
      <c r="D1253" s="323">
        <v>337</v>
      </c>
      <c r="E1253" s="324">
        <f t="shared" si="19"/>
        <v>164361.64000000001</v>
      </c>
    </row>
    <row r="1254" spans="1:5" x14ac:dyDescent="0.25">
      <c r="A1254" s="323" t="s">
        <v>7071</v>
      </c>
      <c r="B1254" s="323" t="s">
        <v>809</v>
      </c>
      <c r="C1254" s="323">
        <v>40631</v>
      </c>
      <c r="D1254" s="323">
        <v>34</v>
      </c>
      <c r="E1254" s="324">
        <f t="shared" si="19"/>
        <v>16582.48</v>
      </c>
    </row>
    <row r="1255" spans="1:5" x14ac:dyDescent="0.25">
      <c r="A1255" s="323" t="s">
        <v>965</v>
      </c>
      <c r="B1255" s="323" t="s">
        <v>816</v>
      </c>
      <c r="C1255" s="323">
        <v>40636</v>
      </c>
      <c r="D1255" s="323">
        <v>293</v>
      </c>
      <c r="E1255" s="324">
        <f t="shared" si="19"/>
        <v>107176.47</v>
      </c>
    </row>
    <row r="1256" spans="1:5" x14ac:dyDescent="0.25">
      <c r="A1256" s="323" t="s">
        <v>3362</v>
      </c>
      <c r="B1256" s="323" t="s">
        <v>805</v>
      </c>
      <c r="C1256" s="323">
        <v>40637</v>
      </c>
      <c r="D1256" s="323">
        <v>220</v>
      </c>
      <c r="E1256" s="324">
        <f t="shared" si="19"/>
        <v>53649.200000000004</v>
      </c>
    </row>
    <row r="1257" spans="1:5" x14ac:dyDescent="0.25">
      <c r="A1257" s="323" t="s">
        <v>3640</v>
      </c>
      <c r="B1257" s="323" t="s">
        <v>805</v>
      </c>
      <c r="C1257" s="323">
        <v>40637</v>
      </c>
      <c r="D1257" s="323">
        <v>417</v>
      </c>
      <c r="E1257" s="324">
        <f t="shared" si="19"/>
        <v>101689.62000000001</v>
      </c>
    </row>
    <row r="1258" spans="1:5" x14ac:dyDescent="0.25">
      <c r="A1258" s="323" t="s">
        <v>3882</v>
      </c>
      <c r="B1258" s="323" t="s">
        <v>805</v>
      </c>
      <c r="C1258" s="323">
        <v>40637</v>
      </c>
      <c r="D1258" s="323">
        <v>550</v>
      </c>
      <c r="E1258" s="324">
        <f t="shared" si="19"/>
        <v>134123</v>
      </c>
    </row>
    <row r="1259" spans="1:5" x14ac:dyDescent="0.25">
      <c r="A1259" s="323" t="s">
        <v>6784</v>
      </c>
      <c r="B1259" s="323" t="s">
        <v>805</v>
      </c>
      <c r="C1259" s="323">
        <v>40637</v>
      </c>
      <c r="D1259" s="323">
        <v>467</v>
      </c>
      <c r="E1259" s="324">
        <f t="shared" si="19"/>
        <v>113882.62000000001</v>
      </c>
    </row>
    <row r="1260" spans="1:5" x14ac:dyDescent="0.25">
      <c r="A1260" s="323" t="s">
        <v>7399</v>
      </c>
      <c r="B1260" s="323" t="s">
        <v>805</v>
      </c>
      <c r="C1260" s="323">
        <v>40637</v>
      </c>
      <c r="D1260" s="323">
        <v>188</v>
      </c>
      <c r="E1260" s="324">
        <f t="shared" si="19"/>
        <v>45845.68</v>
      </c>
    </row>
    <row r="1261" spans="1:5" x14ac:dyDescent="0.25">
      <c r="A1261" s="323" t="s">
        <v>1076</v>
      </c>
      <c r="B1261" s="323" t="s">
        <v>805</v>
      </c>
      <c r="C1261" s="323">
        <v>40655</v>
      </c>
      <c r="D1261" s="323">
        <v>243</v>
      </c>
      <c r="E1261" s="324">
        <f t="shared" si="19"/>
        <v>59257.98</v>
      </c>
    </row>
    <row r="1262" spans="1:5" x14ac:dyDescent="0.25">
      <c r="A1262" s="323" t="s">
        <v>1076</v>
      </c>
      <c r="B1262" s="323" t="s">
        <v>805</v>
      </c>
      <c r="C1262" s="323">
        <v>40655</v>
      </c>
      <c r="D1262" s="323">
        <v>50</v>
      </c>
      <c r="E1262" s="324">
        <f t="shared" si="19"/>
        <v>12193</v>
      </c>
    </row>
    <row r="1263" spans="1:5" x14ac:dyDescent="0.25">
      <c r="A1263" s="323" t="s">
        <v>1220</v>
      </c>
      <c r="B1263" s="323" t="s">
        <v>805</v>
      </c>
      <c r="C1263" s="323">
        <v>40662</v>
      </c>
      <c r="D1263" s="323">
        <v>83</v>
      </c>
      <c r="E1263" s="324">
        <f t="shared" si="19"/>
        <v>20240.38</v>
      </c>
    </row>
    <row r="1264" spans="1:5" x14ac:dyDescent="0.25">
      <c r="A1264" s="323" t="s">
        <v>1228</v>
      </c>
      <c r="B1264" s="323" t="s">
        <v>805</v>
      </c>
      <c r="C1264" s="323">
        <v>40662</v>
      </c>
      <c r="D1264" s="323">
        <v>116</v>
      </c>
      <c r="E1264" s="324">
        <f t="shared" si="19"/>
        <v>28287.760000000002</v>
      </c>
    </row>
    <row r="1265" spans="1:5" x14ac:dyDescent="0.25">
      <c r="A1265" s="323" t="s">
        <v>1697</v>
      </c>
      <c r="B1265" s="323" t="s">
        <v>805</v>
      </c>
      <c r="C1265" s="323">
        <v>40662</v>
      </c>
      <c r="D1265" s="323">
        <v>104</v>
      </c>
      <c r="E1265" s="324">
        <f t="shared" si="19"/>
        <v>25361.440000000002</v>
      </c>
    </row>
    <row r="1266" spans="1:5" x14ac:dyDescent="0.25">
      <c r="A1266" s="323" t="s">
        <v>1707</v>
      </c>
      <c r="B1266" s="323" t="s">
        <v>805</v>
      </c>
      <c r="C1266" s="323">
        <v>40662</v>
      </c>
      <c r="D1266" s="323">
        <v>95</v>
      </c>
      <c r="E1266" s="324">
        <f t="shared" si="19"/>
        <v>23166.7</v>
      </c>
    </row>
    <row r="1267" spans="1:5" x14ac:dyDescent="0.25">
      <c r="A1267" s="323" t="s">
        <v>1745</v>
      </c>
      <c r="B1267" s="323" t="s">
        <v>805</v>
      </c>
      <c r="C1267" s="323">
        <v>40662</v>
      </c>
      <c r="D1267" s="323">
        <v>99</v>
      </c>
      <c r="E1267" s="324">
        <f t="shared" si="19"/>
        <v>24142.140000000003</v>
      </c>
    </row>
    <row r="1268" spans="1:5" x14ac:dyDescent="0.25">
      <c r="A1268" s="323" t="s">
        <v>1813</v>
      </c>
      <c r="B1268" s="323" t="s">
        <v>805</v>
      </c>
      <c r="C1268" s="323">
        <v>40662</v>
      </c>
      <c r="D1268" s="323">
        <v>183</v>
      </c>
      <c r="E1268" s="324">
        <f t="shared" si="19"/>
        <v>44626.380000000005</v>
      </c>
    </row>
    <row r="1269" spans="1:5" x14ac:dyDescent="0.25">
      <c r="A1269" s="323" t="s">
        <v>1859</v>
      </c>
      <c r="B1269" s="323" t="s">
        <v>805</v>
      </c>
      <c r="C1269" s="323">
        <v>40662</v>
      </c>
      <c r="D1269" s="323">
        <v>129</v>
      </c>
      <c r="E1269" s="324">
        <f t="shared" si="19"/>
        <v>31457.940000000002</v>
      </c>
    </row>
    <row r="1270" spans="1:5" x14ac:dyDescent="0.25">
      <c r="A1270" s="323" t="s">
        <v>2504</v>
      </c>
      <c r="B1270" s="323" t="s">
        <v>805</v>
      </c>
      <c r="C1270" s="323">
        <v>40662</v>
      </c>
      <c r="D1270" s="323">
        <v>117</v>
      </c>
      <c r="E1270" s="324">
        <f t="shared" si="19"/>
        <v>28531.620000000003</v>
      </c>
    </row>
    <row r="1271" spans="1:5" x14ac:dyDescent="0.25">
      <c r="A1271" s="323" t="s">
        <v>2856</v>
      </c>
      <c r="B1271" s="323" t="s">
        <v>805</v>
      </c>
      <c r="C1271" s="323">
        <v>40662</v>
      </c>
      <c r="D1271" s="323">
        <v>175</v>
      </c>
      <c r="E1271" s="324">
        <f t="shared" si="19"/>
        <v>42675.5</v>
      </c>
    </row>
    <row r="1272" spans="1:5" x14ac:dyDescent="0.25">
      <c r="A1272" s="323" t="s">
        <v>3064</v>
      </c>
      <c r="B1272" s="323" t="s">
        <v>805</v>
      </c>
      <c r="C1272" s="323">
        <v>40662</v>
      </c>
      <c r="D1272" s="323">
        <v>314</v>
      </c>
      <c r="E1272" s="324">
        <f t="shared" si="19"/>
        <v>76572.040000000008</v>
      </c>
    </row>
    <row r="1273" spans="1:5" x14ac:dyDescent="0.25">
      <c r="A1273" s="323" t="s">
        <v>3438</v>
      </c>
      <c r="B1273" s="323" t="s">
        <v>805</v>
      </c>
      <c r="C1273" s="323">
        <v>40662</v>
      </c>
      <c r="D1273" s="323">
        <v>236</v>
      </c>
      <c r="E1273" s="324">
        <f t="shared" si="19"/>
        <v>57550.960000000006</v>
      </c>
    </row>
    <row r="1274" spans="1:5" x14ac:dyDescent="0.25">
      <c r="A1274" s="323" t="s">
        <v>3833</v>
      </c>
      <c r="B1274" s="323" t="s">
        <v>805</v>
      </c>
      <c r="C1274" s="323">
        <v>40662</v>
      </c>
      <c r="D1274" s="323">
        <v>247</v>
      </c>
      <c r="E1274" s="324">
        <f t="shared" si="19"/>
        <v>60233.420000000006</v>
      </c>
    </row>
    <row r="1275" spans="1:5" x14ac:dyDescent="0.25">
      <c r="A1275" s="323" t="s">
        <v>4167</v>
      </c>
      <c r="B1275" s="323" t="s">
        <v>805</v>
      </c>
      <c r="C1275" s="323">
        <v>40662</v>
      </c>
      <c r="D1275" s="323">
        <v>150</v>
      </c>
      <c r="E1275" s="324">
        <f t="shared" si="19"/>
        <v>36579</v>
      </c>
    </row>
    <row r="1276" spans="1:5" x14ac:dyDescent="0.25">
      <c r="A1276" s="323" t="s">
        <v>4173</v>
      </c>
      <c r="B1276" s="323" t="s">
        <v>805</v>
      </c>
      <c r="C1276" s="323">
        <v>40662</v>
      </c>
      <c r="D1276" s="323">
        <v>77</v>
      </c>
      <c r="E1276" s="324">
        <f t="shared" si="19"/>
        <v>18777.22</v>
      </c>
    </row>
    <row r="1277" spans="1:5" x14ac:dyDescent="0.25">
      <c r="A1277" s="323" t="s">
        <v>4408</v>
      </c>
      <c r="B1277" s="323" t="s">
        <v>805</v>
      </c>
      <c r="C1277" s="323">
        <v>40662</v>
      </c>
      <c r="D1277" s="323">
        <v>297</v>
      </c>
      <c r="E1277" s="324">
        <f t="shared" si="19"/>
        <v>72426.42</v>
      </c>
    </row>
    <row r="1278" spans="1:5" x14ac:dyDescent="0.25">
      <c r="A1278" s="323" t="s">
        <v>4516</v>
      </c>
      <c r="B1278" s="323" t="s">
        <v>805</v>
      </c>
      <c r="C1278" s="323">
        <v>40662</v>
      </c>
      <c r="D1278" s="323">
        <v>229</v>
      </c>
      <c r="E1278" s="324">
        <f t="shared" si="19"/>
        <v>55843.94</v>
      </c>
    </row>
    <row r="1279" spans="1:5" x14ac:dyDescent="0.25">
      <c r="A1279" s="323" t="s">
        <v>4612</v>
      </c>
      <c r="B1279" s="323" t="s">
        <v>805</v>
      </c>
      <c r="C1279" s="323">
        <v>40662</v>
      </c>
      <c r="D1279" s="323">
        <v>73</v>
      </c>
      <c r="E1279" s="324">
        <f t="shared" si="19"/>
        <v>17801.780000000002</v>
      </c>
    </row>
    <row r="1280" spans="1:5" x14ac:dyDescent="0.25">
      <c r="A1280" s="323" t="s">
        <v>4757</v>
      </c>
      <c r="B1280" s="323" t="s">
        <v>805</v>
      </c>
      <c r="C1280" s="323">
        <v>40662</v>
      </c>
      <c r="D1280" s="323">
        <v>57</v>
      </c>
      <c r="E1280" s="324">
        <f t="shared" si="19"/>
        <v>13900.02</v>
      </c>
    </row>
    <row r="1281" spans="1:5" x14ac:dyDescent="0.25">
      <c r="A1281" s="323" t="s">
        <v>4865</v>
      </c>
      <c r="B1281" s="323" t="s">
        <v>805</v>
      </c>
      <c r="C1281" s="323">
        <v>40662</v>
      </c>
      <c r="D1281" s="323">
        <v>145</v>
      </c>
      <c r="E1281" s="324">
        <f t="shared" si="19"/>
        <v>35359.700000000004</v>
      </c>
    </row>
    <row r="1282" spans="1:5" x14ac:dyDescent="0.25">
      <c r="A1282" s="323" t="s">
        <v>4905</v>
      </c>
      <c r="B1282" s="323" t="s">
        <v>805</v>
      </c>
      <c r="C1282" s="323">
        <v>40662</v>
      </c>
      <c r="D1282" s="323">
        <v>34</v>
      </c>
      <c r="E1282" s="324">
        <f t="shared" ref="E1282:E1345" si="20">D1282*IF(B1282=$G$9,WerkdrukbedragPerLeerlingBo,IF(B1282=$G$10,WerkdrukbedragPerLeerlingSbo,IF(B1282=$G$11,WerkdrukbedragPerLeerlingSo,IF(B1282=$G$12,WerkdrukbedragPerLeerlingVso,0))))</f>
        <v>8291.24</v>
      </c>
    </row>
    <row r="1283" spans="1:5" x14ac:dyDescent="0.25">
      <c r="A1283" s="323" t="s">
        <v>4956</v>
      </c>
      <c r="B1283" s="323" t="s">
        <v>805</v>
      </c>
      <c r="C1283" s="323">
        <v>40662</v>
      </c>
      <c r="D1283" s="323">
        <v>50</v>
      </c>
      <c r="E1283" s="324">
        <f t="shared" si="20"/>
        <v>12193</v>
      </c>
    </row>
    <row r="1284" spans="1:5" x14ac:dyDescent="0.25">
      <c r="A1284" s="323" t="s">
        <v>4978</v>
      </c>
      <c r="B1284" s="323" t="s">
        <v>805</v>
      </c>
      <c r="C1284" s="323">
        <v>40662</v>
      </c>
      <c r="D1284" s="323">
        <v>71</v>
      </c>
      <c r="E1284" s="324">
        <f t="shared" si="20"/>
        <v>17314.060000000001</v>
      </c>
    </row>
    <row r="1285" spans="1:5" x14ac:dyDescent="0.25">
      <c r="A1285" s="323" t="s">
        <v>4993</v>
      </c>
      <c r="B1285" s="323" t="s">
        <v>805</v>
      </c>
      <c r="C1285" s="323">
        <v>40662</v>
      </c>
      <c r="D1285" s="323">
        <v>105</v>
      </c>
      <c r="E1285" s="324">
        <f t="shared" si="20"/>
        <v>25605.300000000003</v>
      </c>
    </row>
    <row r="1286" spans="1:5" x14ac:dyDescent="0.25">
      <c r="A1286" s="323" t="s">
        <v>5032</v>
      </c>
      <c r="B1286" s="323" t="s">
        <v>805</v>
      </c>
      <c r="C1286" s="323">
        <v>40662</v>
      </c>
      <c r="D1286" s="323">
        <v>87</v>
      </c>
      <c r="E1286" s="324">
        <f t="shared" si="20"/>
        <v>21215.82</v>
      </c>
    </row>
    <row r="1287" spans="1:5" x14ac:dyDescent="0.25">
      <c r="A1287" s="323" t="s">
        <v>5052</v>
      </c>
      <c r="B1287" s="323" t="s">
        <v>805</v>
      </c>
      <c r="C1287" s="323">
        <v>40662</v>
      </c>
      <c r="D1287" s="323">
        <v>63</v>
      </c>
      <c r="E1287" s="324">
        <f t="shared" si="20"/>
        <v>15363.18</v>
      </c>
    </row>
    <row r="1288" spans="1:5" x14ac:dyDescent="0.25">
      <c r="A1288" s="323" t="s">
        <v>5074</v>
      </c>
      <c r="B1288" s="323" t="s">
        <v>805</v>
      </c>
      <c r="C1288" s="323">
        <v>40662</v>
      </c>
      <c r="D1288" s="323">
        <v>144</v>
      </c>
      <c r="E1288" s="324">
        <f t="shared" si="20"/>
        <v>35115.840000000004</v>
      </c>
    </row>
    <row r="1289" spans="1:5" x14ac:dyDescent="0.25">
      <c r="A1289" s="323" t="s">
        <v>5105</v>
      </c>
      <c r="B1289" s="323" t="s">
        <v>805</v>
      </c>
      <c r="C1289" s="323">
        <v>40662</v>
      </c>
      <c r="D1289" s="323">
        <v>74</v>
      </c>
      <c r="E1289" s="324">
        <f t="shared" si="20"/>
        <v>18045.64</v>
      </c>
    </row>
    <row r="1290" spans="1:5" x14ac:dyDescent="0.25">
      <c r="A1290" s="323" t="s">
        <v>5158</v>
      </c>
      <c r="B1290" s="323" t="s">
        <v>805</v>
      </c>
      <c r="C1290" s="323">
        <v>40662</v>
      </c>
      <c r="D1290" s="323">
        <v>326</v>
      </c>
      <c r="E1290" s="324">
        <f t="shared" si="20"/>
        <v>79498.36</v>
      </c>
    </row>
    <row r="1291" spans="1:5" x14ac:dyDescent="0.25">
      <c r="A1291" s="323" t="s">
        <v>5251</v>
      </c>
      <c r="B1291" s="323" t="s">
        <v>805</v>
      </c>
      <c r="C1291" s="323">
        <v>40662</v>
      </c>
      <c r="D1291" s="323">
        <v>113</v>
      </c>
      <c r="E1291" s="324">
        <f t="shared" si="20"/>
        <v>27556.18</v>
      </c>
    </row>
    <row r="1292" spans="1:5" x14ac:dyDescent="0.25">
      <c r="A1292" s="323" t="s">
        <v>5292</v>
      </c>
      <c r="B1292" s="323" t="s">
        <v>805</v>
      </c>
      <c r="C1292" s="323">
        <v>40662</v>
      </c>
      <c r="D1292" s="323">
        <v>46</v>
      </c>
      <c r="E1292" s="324">
        <f t="shared" si="20"/>
        <v>11217.560000000001</v>
      </c>
    </row>
    <row r="1293" spans="1:5" x14ac:dyDescent="0.25">
      <c r="A1293" s="323" t="s">
        <v>5384</v>
      </c>
      <c r="B1293" s="323" t="s">
        <v>805</v>
      </c>
      <c r="C1293" s="323">
        <v>40662</v>
      </c>
      <c r="D1293" s="323">
        <v>156</v>
      </c>
      <c r="E1293" s="324">
        <f t="shared" si="20"/>
        <v>38042.160000000003</v>
      </c>
    </row>
    <row r="1294" spans="1:5" x14ac:dyDescent="0.25">
      <c r="A1294" s="323" t="s">
        <v>5406</v>
      </c>
      <c r="B1294" s="323" t="s">
        <v>805</v>
      </c>
      <c r="C1294" s="323">
        <v>40662</v>
      </c>
      <c r="D1294" s="323">
        <v>77</v>
      </c>
      <c r="E1294" s="324">
        <f t="shared" si="20"/>
        <v>18777.22</v>
      </c>
    </row>
    <row r="1295" spans="1:5" x14ac:dyDescent="0.25">
      <c r="A1295" s="323" t="s">
        <v>5457</v>
      </c>
      <c r="B1295" s="323" t="s">
        <v>805</v>
      </c>
      <c r="C1295" s="323">
        <v>40662</v>
      </c>
      <c r="D1295" s="323">
        <v>155</v>
      </c>
      <c r="E1295" s="324">
        <f t="shared" si="20"/>
        <v>37798.300000000003</v>
      </c>
    </row>
    <row r="1296" spans="1:5" x14ac:dyDescent="0.25">
      <c r="A1296" s="323" t="s">
        <v>5485</v>
      </c>
      <c r="B1296" s="323" t="s">
        <v>805</v>
      </c>
      <c r="C1296" s="323">
        <v>40662</v>
      </c>
      <c r="D1296" s="323">
        <v>108</v>
      </c>
      <c r="E1296" s="324">
        <f t="shared" si="20"/>
        <v>26336.880000000001</v>
      </c>
    </row>
    <row r="1297" spans="1:5" x14ac:dyDescent="0.25">
      <c r="A1297" s="323" t="s">
        <v>5667</v>
      </c>
      <c r="B1297" s="323" t="s">
        <v>816</v>
      </c>
      <c r="C1297" s="323">
        <v>40662</v>
      </c>
      <c r="D1297" s="323">
        <v>120</v>
      </c>
      <c r="E1297" s="324">
        <f t="shared" si="20"/>
        <v>43894.8</v>
      </c>
    </row>
    <row r="1298" spans="1:5" x14ac:dyDescent="0.25">
      <c r="A1298" s="323" t="s">
        <v>1198</v>
      </c>
      <c r="B1298" s="323" t="s">
        <v>805</v>
      </c>
      <c r="C1298" s="323">
        <v>40672</v>
      </c>
      <c r="D1298" s="323">
        <v>90</v>
      </c>
      <c r="E1298" s="324">
        <f t="shared" si="20"/>
        <v>21947.4</v>
      </c>
    </row>
    <row r="1299" spans="1:5" x14ac:dyDescent="0.25">
      <c r="A1299" s="323" t="s">
        <v>1797</v>
      </c>
      <c r="B1299" s="323" t="s">
        <v>805</v>
      </c>
      <c r="C1299" s="323">
        <v>40672</v>
      </c>
      <c r="D1299" s="323">
        <v>165</v>
      </c>
      <c r="E1299" s="324">
        <f t="shared" si="20"/>
        <v>40236.9</v>
      </c>
    </row>
    <row r="1300" spans="1:5" x14ac:dyDescent="0.25">
      <c r="A1300" s="323" t="s">
        <v>1798</v>
      </c>
      <c r="B1300" s="323" t="s">
        <v>805</v>
      </c>
      <c r="C1300" s="323">
        <v>40672</v>
      </c>
      <c r="D1300" s="323">
        <v>285</v>
      </c>
      <c r="E1300" s="324">
        <f t="shared" si="20"/>
        <v>69500.100000000006</v>
      </c>
    </row>
    <row r="1301" spans="1:5" x14ac:dyDescent="0.25">
      <c r="A1301" s="323" t="s">
        <v>2842</v>
      </c>
      <c r="B1301" s="323" t="s">
        <v>805</v>
      </c>
      <c r="C1301" s="323">
        <v>40672</v>
      </c>
      <c r="D1301" s="323">
        <v>217</v>
      </c>
      <c r="E1301" s="324">
        <f t="shared" si="20"/>
        <v>52917.62</v>
      </c>
    </row>
    <row r="1302" spans="1:5" x14ac:dyDescent="0.25">
      <c r="A1302" s="323" t="s">
        <v>3776</v>
      </c>
      <c r="B1302" s="323" t="s">
        <v>805</v>
      </c>
      <c r="C1302" s="323">
        <v>40672</v>
      </c>
      <c r="D1302" s="323">
        <v>389</v>
      </c>
      <c r="E1302" s="324">
        <f t="shared" si="20"/>
        <v>94861.540000000008</v>
      </c>
    </row>
    <row r="1303" spans="1:5" x14ac:dyDescent="0.25">
      <c r="A1303" s="323" t="s">
        <v>3968</v>
      </c>
      <c r="B1303" s="323" t="s">
        <v>805</v>
      </c>
      <c r="C1303" s="323">
        <v>40672</v>
      </c>
      <c r="D1303" s="323">
        <v>143</v>
      </c>
      <c r="E1303" s="324">
        <f t="shared" si="20"/>
        <v>34871.980000000003</v>
      </c>
    </row>
    <row r="1304" spans="1:5" x14ac:dyDescent="0.25">
      <c r="A1304" s="323" t="s">
        <v>1253</v>
      </c>
      <c r="B1304" s="323" t="s">
        <v>805</v>
      </c>
      <c r="C1304" s="323">
        <v>40676</v>
      </c>
      <c r="D1304" s="323">
        <v>214</v>
      </c>
      <c r="E1304" s="324">
        <f t="shared" si="20"/>
        <v>52186.04</v>
      </c>
    </row>
    <row r="1305" spans="1:5" x14ac:dyDescent="0.25">
      <c r="A1305" s="323" t="s">
        <v>1328</v>
      </c>
      <c r="B1305" s="323" t="s">
        <v>805</v>
      </c>
      <c r="C1305" s="323">
        <v>40676</v>
      </c>
      <c r="D1305" s="323">
        <v>256</v>
      </c>
      <c r="E1305" s="324">
        <f t="shared" si="20"/>
        <v>62428.160000000003</v>
      </c>
    </row>
    <row r="1306" spans="1:5" x14ac:dyDescent="0.25">
      <c r="A1306" s="323" t="s">
        <v>1696</v>
      </c>
      <c r="B1306" s="323" t="s">
        <v>805</v>
      </c>
      <c r="C1306" s="323">
        <v>40676</v>
      </c>
      <c r="D1306" s="323">
        <v>677</v>
      </c>
      <c r="E1306" s="324">
        <f t="shared" si="20"/>
        <v>165093.22</v>
      </c>
    </row>
    <row r="1307" spans="1:5" x14ac:dyDescent="0.25">
      <c r="A1307" s="323" t="s">
        <v>1701</v>
      </c>
      <c r="B1307" s="323" t="s">
        <v>805</v>
      </c>
      <c r="C1307" s="323">
        <v>40676</v>
      </c>
      <c r="D1307" s="323">
        <v>383</v>
      </c>
      <c r="E1307" s="324">
        <f t="shared" si="20"/>
        <v>93398.38</v>
      </c>
    </row>
    <row r="1308" spans="1:5" x14ac:dyDescent="0.25">
      <c r="A1308" s="323" t="s">
        <v>2535</v>
      </c>
      <c r="B1308" s="323" t="s">
        <v>805</v>
      </c>
      <c r="C1308" s="323">
        <v>40676</v>
      </c>
      <c r="D1308" s="323">
        <v>79</v>
      </c>
      <c r="E1308" s="324">
        <f t="shared" si="20"/>
        <v>19264.940000000002</v>
      </c>
    </row>
    <row r="1309" spans="1:5" x14ac:dyDescent="0.25">
      <c r="A1309" s="323" t="s">
        <v>2602</v>
      </c>
      <c r="B1309" s="323" t="s">
        <v>805</v>
      </c>
      <c r="C1309" s="323">
        <v>40676</v>
      </c>
      <c r="D1309" s="323">
        <v>459</v>
      </c>
      <c r="E1309" s="324">
        <f t="shared" si="20"/>
        <v>111931.74</v>
      </c>
    </row>
    <row r="1310" spans="1:5" x14ac:dyDescent="0.25">
      <c r="A1310" s="323" t="s">
        <v>2789</v>
      </c>
      <c r="B1310" s="323" t="s">
        <v>805</v>
      </c>
      <c r="C1310" s="323">
        <v>40676</v>
      </c>
      <c r="D1310" s="323">
        <v>143</v>
      </c>
      <c r="E1310" s="324">
        <f t="shared" si="20"/>
        <v>34871.980000000003</v>
      </c>
    </row>
    <row r="1311" spans="1:5" x14ac:dyDescent="0.25">
      <c r="A1311" s="323" t="s">
        <v>3273</v>
      </c>
      <c r="B1311" s="323" t="s">
        <v>805</v>
      </c>
      <c r="C1311" s="323">
        <v>40676</v>
      </c>
      <c r="D1311" s="323">
        <v>206</v>
      </c>
      <c r="E1311" s="324">
        <f t="shared" si="20"/>
        <v>50235.16</v>
      </c>
    </row>
    <row r="1312" spans="1:5" x14ac:dyDescent="0.25">
      <c r="A1312" s="323" t="s">
        <v>4734</v>
      </c>
      <c r="B1312" s="323" t="s">
        <v>816</v>
      </c>
      <c r="C1312" s="323">
        <v>40676</v>
      </c>
      <c r="D1312" s="323">
        <v>94</v>
      </c>
      <c r="E1312" s="324">
        <f t="shared" si="20"/>
        <v>34384.26</v>
      </c>
    </row>
    <row r="1313" spans="1:5" x14ac:dyDescent="0.25">
      <c r="A1313" s="323" t="s">
        <v>5181</v>
      </c>
      <c r="B1313" s="323" t="s">
        <v>805</v>
      </c>
      <c r="C1313" s="323">
        <v>40676</v>
      </c>
      <c r="D1313" s="323">
        <v>107</v>
      </c>
      <c r="E1313" s="324">
        <f t="shared" si="20"/>
        <v>26093.02</v>
      </c>
    </row>
    <row r="1314" spans="1:5" x14ac:dyDescent="0.25">
      <c r="A1314" s="323" t="s">
        <v>5259</v>
      </c>
      <c r="B1314" s="323" t="s">
        <v>805</v>
      </c>
      <c r="C1314" s="323">
        <v>40676</v>
      </c>
      <c r="D1314" s="323">
        <v>143</v>
      </c>
      <c r="E1314" s="324">
        <f t="shared" si="20"/>
        <v>34871.980000000003</v>
      </c>
    </row>
    <row r="1315" spans="1:5" x14ac:dyDescent="0.25">
      <c r="A1315" s="323" t="s">
        <v>5333</v>
      </c>
      <c r="B1315" s="323" t="s">
        <v>805</v>
      </c>
      <c r="C1315" s="323">
        <v>40676</v>
      </c>
      <c r="D1315" s="323">
        <v>232</v>
      </c>
      <c r="E1315" s="324">
        <f t="shared" si="20"/>
        <v>56575.520000000004</v>
      </c>
    </row>
    <row r="1316" spans="1:5" x14ac:dyDescent="0.25">
      <c r="A1316" s="323" t="s">
        <v>7319</v>
      </c>
      <c r="B1316" s="323" t="s">
        <v>805</v>
      </c>
      <c r="C1316" s="323">
        <v>40676</v>
      </c>
      <c r="D1316" s="323">
        <v>333</v>
      </c>
      <c r="E1316" s="324">
        <f t="shared" si="20"/>
        <v>81205.38</v>
      </c>
    </row>
    <row r="1317" spans="1:5" x14ac:dyDescent="0.25">
      <c r="A1317" s="323" t="s">
        <v>1899</v>
      </c>
      <c r="B1317" s="323" t="s">
        <v>805</v>
      </c>
      <c r="C1317" s="323">
        <v>40681</v>
      </c>
      <c r="D1317" s="323">
        <v>61</v>
      </c>
      <c r="E1317" s="324">
        <f t="shared" si="20"/>
        <v>14875.460000000001</v>
      </c>
    </row>
    <row r="1318" spans="1:5" x14ac:dyDescent="0.25">
      <c r="A1318" s="323" t="s">
        <v>2165</v>
      </c>
      <c r="B1318" s="323" t="s">
        <v>805</v>
      </c>
      <c r="C1318" s="323">
        <v>40681</v>
      </c>
      <c r="D1318" s="323">
        <v>162</v>
      </c>
      <c r="E1318" s="324">
        <f t="shared" si="20"/>
        <v>39505.32</v>
      </c>
    </row>
    <row r="1319" spans="1:5" x14ac:dyDescent="0.25">
      <c r="A1319" s="323" t="s">
        <v>3877</v>
      </c>
      <c r="B1319" s="323" t="s">
        <v>805</v>
      </c>
      <c r="C1319" s="323">
        <v>40681</v>
      </c>
      <c r="D1319" s="323">
        <v>364</v>
      </c>
      <c r="E1319" s="324">
        <f t="shared" si="20"/>
        <v>88765.040000000008</v>
      </c>
    </row>
    <row r="1320" spans="1:5" x14ac:dyDescent="0.25">
      <c r="A1320" s="323" t="s">
        <v>6892</v>
      </c>
      <c r="B1320" s="323" t="s">
        <v>816</v>
      </c>
      <c r="C1320" s="323">
        <v>40681</v>
      </c>
      <c r="D1320" s="323">
        <v>92</v>
      </c>
      <c r="E1320" s="324">
        <f t="shared" si="20"/>
        <v>33652.68</v>
      </c>
    </row>
    <row r="1321" spans="1:5" x14ac:dyDescent="0.25">
      <c r="A1321" s="323" t="s">
        <v>987</v>
      </c>
      <c r="B1321" s="323" t="s">
        <v>816</v>
      </c>
      <c r="C1321" s="323">
        <v>40706</v>
      </c>
      <c r="D1321" s="323">
        <v>38</v>
      </c>
      <c r="E1321" s="324">
        <f t="shared" si="20"/>
        <v>13900.02</v>
      </c>
    </row>
    <row r="1322" spans="1:5" x14ac:dyDescent="0.25">
      <c r="A1322" s="323" t="s">
        <v>1507</v>
      </c>
      <c r="B1322" s="323" t="s">
        <v>805</v>
      </c>
      <c r="C1322" s="323">
        <v>40706</v>
      </c>
      <c r="D1322" s="323">
        <v>189</v>
      </c>
      <c r="E1322" s="324">
        <f t="shared" si="20"/>
        <v>46089.54</v>
      </c>
    </row>
    <row r="1323" spans="1:5" x14ac:dyDescent="0.25">
      <c r="A1323" s="323" t="s">
        <v>1686</v>
      </c>
      <c r="B1323" s="323" t="s">
        <v>805</v>
      </c>
      <c r="C1323" s="323">
        <v>40706</v>
      </c>
      <c r="D1323" s="323">
        <v>145</v>
      </c>
      <c r="E1323" s="324">
        <f t="shared" si="20"/>
        <v>35359.700000000004</v>
      </c>
    </row>
    <row r="1324" spans="1:5" x14ac:dyDescent="0.25">
      <c r="A1324" s="323" t="s">
        <v>1687</v>
      </c>
      <c r="B1324" s="323" t="s">
        <v>805</v>
      </c>
      <c r="C1324" s="323">
        <v>40706</v>
      </c>
      <c r="D1324" s="323">
        <v>81</v>
      </c>
      <c r="E1324" s="324">
        <f t="shared" si="20"/>
        <v>19752.66</v>
      </c>
    </row>
    <row r="1325" spans="1:5" x14ac:dyDescent="0.25">
      <c r="A1325" s="323" t="s">
        <v>6410</v>
      </c>
      <c r="B1325" s="323" t="s">
        <v>805</v>
      </c>
      <c r="C1325" s="323">
        <v>40706</v>
      </c>
      <c r="D1325" s="323">
        <v>226</v>
      </c>
      <c r="E1325" s="324">
        <f t="shared" si="20"/>
        <v>55112.36</v>
      </c>
    </row>
    <row r="1326" spans="1:5" x14ac:dyDescent="0.25">
      <c r="A1326" s="323" t="s">
        <v>6420</v>
      </c>
      <c r="B1326" s="323" t="s">
        <v>805</v>
      </c>
      <c r="C1326" s="323">
        <v>40706</v>
      </c>
      <c r="D1326" s="323">
        <v>136</v>
      </c>
      <c r="E1326" s="324">
        <f t="shared" si="20"/>
        <v>33164.959999999999</v>
      </c>
    </row>
    <row r="1327" spans="1:5" x14ac:dyDescent="0.25">
      <c r="A1327" s="323" t="s">
        <v>6428</v>
      </c>
      <c r="B1327" s="323" t="s">
        <v>805</v>
      </c>
      <c r="C1327" s="323">
        <v>40706</v>
      </c>
      <c r="D1327" s="323">
        <v>333</v>
      </c>
      <c r="E1327" s="324">
        <f t="shared" si="20"/>
        <v>81205.38</v>
      </c>
    </row>
    <row r="1328" spans="1:5" x14ac:dyDescent="0.25">
      <c r="A1328" s="323" t="s">
        <v>6435</v>
      </c>
      <c r="B1328" s="323" t="s">
        <v>805</v>
      </c>
      <c r="C1328" s="323">
        <v>40706</v>
      </c>
      <c r="D1328" s="323">
        <v>192</v>
      </c>
      <c r="E1328" s="324">
        <f t="shared" si="20"/>
        <v>46821.120000000003</v>
      </c>
    </row>
    <row r="1329" spans="1:5" x14ac:dyDescent="0.25">
      <c r="A1329" s="323" t="s">
        <v>1290</v>
      </c>
      <c r="B1329" s="323" t="s">
        <v>805</v>
      </c>
      <c r="C1329" s="323">
        <v>40712</v>
      </c>
      <c r="D1329" s="323">
        <v>143</v>
      </c>
      <c r="E1329" s="324">
        <f t="shared" si="20"/>
        <v>34871.980000000003</v>
      </c>
    </row>
    <row r="1330" spans="1:5" x14ac:dyDescent="0.25">
      <c r="A1330" s="323" t="s">
        <v>1355</v>
      </c>
      <c r="B1330" s="323" t="s">
        <v>805</v>
      </c>
      <c r="C1330" s="323">
        <v>40712</v>
      </c>
      <c r="D1330" s="323">
        <v>155</v>
      </c>
      <c r="E1330" s="324">
        <f t="shared" si="20"/>
        <v>37798.300000000003</v>
      </c>
    </row>
    <row r="1331" spans="1:5" x14ac:dyDescent="0.25">
      <c r="A1331" s="323" t="s">
        <v>1710</v>
      </c>
      <c r="B1331" s="323" t="s">
        <v>805</v>
      </c>
      <c r="C1331" s="323">
        <v>40712</v>
      </c>
      <c r="D1331" s="323">
        <v>159</v>
      </c>
      <c r="E1331" s="324">
        <f t="shared" si="20"/>
        <v>38773.740000000005</v>
      </c>
    </row>
    <row r="1332" spans="1:5" x14ac:dyDescent="0.25">
      <c r="A1332" s="323" t="s">
        <v>1808</v>
      </c>
      <c r="B1332" s="323" t="s">
        <v>805</v>
      </c>
      <c r="C1332" s="323">
        <v>40712</v>
      </c>
      <c r="D1332" s="323">
        <v>204</v>
      </c>
      <c r="E1332" s="324">
        <f t="shared" si="20"/>
        <v>49747.44</v>
      </c>
    </row>
    <row r="1333" spans="1:5" x14ac:dyDescent="0.25">
      <c r="A1333" s="323" t="s">
        <v>1844</v>
      </c>
      <c r="B1333" s="323" t="s">
        <v>805</v>
      </c>
      <c r="C1333" s="323">
        <v>40712</v>
      </c>
      <c r="D1333" s="323">
        <v>186</v>
      </c>
      <c r="E1333" s="324">
        <f t="shared" si="20"/>
        <v>45357.96</v>
      </c>
    </row>
    <row r="1334" spans="1:5" x14ac:dyDescent="0.25">
      <c r="A1334" s="323" t="s">
        <v>1890</v>
      </c>
      <c r="B1334" s="323" t="s">
        <v>805</v>
      </c>
      <c r="C1334" s="323">
        <v>40712</v>
      </c>
      <c r="D1334" s="323">
        <v>179</v>
      </c>
      <c r="E1334" s="324">
        <f t="shared" si="20"/>
        <v>43650.94</v>
      </c>
    </row>
    <row r="1335" spans="1:5" x14ac:dyDescent="0.25">
      <c r="A1335" s="323" t="s">
        <v>1984</v>
      </c>
      <c r="B1335" s="323" t="s">
        <v>805</v>
      </c>
      <c r="C1335" s="323">
        <v>40712</v>
      </c>
      <c r="D1335" s="323">
        <v>268</v>
      </c>
      <c r="E1335" s="324">
        <f t="shared" si="20"/>
        <v>65354.48</v>
      </c>
    </row>
    <row r="1336" spans="1:5" x14ac:dyDescent="0.25">
      <c r="A1336" s="323" t="s">
        <v>2739</v>
      </c>
      <c r="B1336" s="323" t="s">
        <v>805</v>
      </c>
      <c r="C1336" s="323">
        <v>40712</v>
      </c>
      <c r="D1336" s="323">
        <v>209</v>
      </c>
      <c r="E1336" s="324">
        <f t="shared" si="20"/>
        <v>50966.740000000005</v>
      </c>
    </row>
    <row r="1337" spans="1:5" x14ac:dyDescent="0.25">
      <c r="A1337" s="323" t="s">
        <v>2788</v>
      </c>
      <c r="B1337" s="323" t="s">
        <v>805</v>
      </c>
      <c r="C1337" s="323">
        <v>40712</v>
      </c>
      <c r="D1337" s="323">
        <v>300</v>
      </c>
      <c r="E1337" s="324">
        <f t="shared" si="20"/>
        <v>73158</v>
      </c>
    </row>
    <row r="1338" spans="1:5" x14ac:dyDescent="0.25">
      <c r="A1338" s="323" t="s">
        <v>2851</v>
      </c>
      <c r="B1338" s="323" t="s">
        <v>805</v>
      </c>
      <c r="C1338" s="323">
        <v>40712</v>
      </c>
      <c r="D1338" s="323">
        <v>279</v>
      </c>
      <c r="E1338" s="324">
        <f t="shared" si="20"/>
        <v>68036.94</v>
      </c>
    </row>
    <row r="1339" spans="1:5" x14ac:dyDescent="0.25">
      <c r="A1339" s="323" t="s">
        <v>2869</v>
      </c>
      <c r="B1339" s="323" t="s">
        <v>805</v>
      </c>
      <c r="C1339" s="323">
        <v>40712</v>
      </c>
      <c r="D1339" s="323">
        <v>165</v>
      </c>
      <c r="E1339" s="324">
        <f t="shared" si="20"/>
        <v>40236.9</v>
      </c>
    </row>
    <row r="1340" spans="1:5" x14ac:dyDescent="0.25">
      <c r="A1340" s="323" t="s">
        <v>3160</v>
      </c>
      <c r="B1340" s="323" t="s">
        <v>805</v>
      </c>
      <c r="C1340" s="323">
        <v>40712</v>
      </c>
      <c r="D1340" s="323">
        <v>214</v>
      </c>
      <c r="E1340" s="324">
        <f t="shared" si="20"/>
        <v>52186.04</v>
      </c>
    </row>
    <row r="1341" spans="1:5" x14ac:dyDescent="0.25">
      <c r="A1341" s="323" t="s">
        <v>3239</v>
      </c>
      <c r="B1341" s="323" t="s">
        <v>805</v>
      </c>
      <c r="C1341" s="323">
        <v>40712</v>
      </c>
      <c r="D1341" s="323">
        <v>215</v>
      </c>
      <c r="E1341" s="324">
        <f t="shared" si="20"/>
        <v>52429.9</v>
      </c>
    </row>
    <row r="1342" spans="1:5" x14ac:dyDescent="0.25">
      <c r="A1342" s="323" t="s">
        <v>3300</v>
      </c>
      <c r="B1342" s="323" t="s">
        <v>805</v>
      </c>
      <c r="C1342" s="323">
        <v>40712</v>
      </c>
      <c r="D1342" s="323">
        <v>267</v>
      </c>
      <c r="E1342" s="324">
        <f t="shared" si="20"/>
        <v>65110.62</v>
      </c>
    </row>
    <row r="1343" spans="1:5" x14ac:dyDescent="0.25">
      <c r="A1343" s="323" t="s">
        <v>3316</v>
      </c>
      <c r="B1343" s="323" t="s">
        <v>805</v>
      </c>
      <c r="C1343" s="323">
        <v>40712</v>
      </c>
      <c r="D1343" s="323">
        <v>106</v>
      </c>
      <c r="E1343" s="324">
        <f t="shared" si="20"/>
        <v>25849.16</v>
      </c>
    </row>
    <row r="1344" spans="1:5" x14ac:dyDescent="0.25">
      <c r="A1344" s="323" t="s">
        <v>3583</v>
      </c>
      <c r="B1344" s="323" t="s">
        <v>805</v>
      </c>
      <c r="C1344" s="323">
        <v>40712</v>
      </c>
      <c r="D1344" s="323">
        <v>332</v>
      </c>
      <c r="E1344" s="324">
        <f t="shared" si="20"/>
        <v>80961.52</v>
      </c>
    </row>
    <row r="1345" spans="1:5" x14ac:dyDescent="0.25">
      <c r="A1345" s="323" t="s">
        <v>3613</v>
      </c>
      <c r="B1345" s="323" t="s">
        <v>805</v>
      </c>
      <c r="C1345" s="323">
        <v>40712</v>
      </c>
      <c r="D1345" s="323">
        <v>277</v>
      </c>
      <c r="E1345" s="324">
        <f t="shared" si="20"/>
        <v>67549.22</v>
      </c>
    </row>
    <row r="1346" spans="1:5" x14ac:dyDescent="0.25">
      <c r="A1346" s="323" t="s">
        <v>3836</v>
      </c>
      <c r="B1346" s="323" t="s">
        <v>805</v>
      </c>
      <c r="C1346" s="323">
        <v>40712</v>
      </c>
      <c r="D1346" s="323">
        <v>412</v>
      </c>
      <c r="E1346" s="324">
        <f t="shared" ref="E1346:E1409" si="21">D1346*IF(B1346=$G$9,WerkdrukbedragPerLeerlingBo,IF(B1346=$G$10,WerkdrukbedragPerLeerlingSbo,IF(B1346=$G$11,WerkdrukbedragPerLeerlingSo,IF(B1346=$G$12,WerkdrukbedragPerLeerlingVso,0))))</f>
        <v>100470.32</v>
      </c>
    </row>
    <row r="1347" spans="1:5" x14ac:dyDescent="0.25">
      <c r="A1347" s="323" t="s">
        <v>4029</v>
      </c>
      <c r="B1347" s="323" t="s">
        <v>805</v>
      </c>
      <c r="C1347" s="323">
        <v>40712</v>
      </c>
      <c r="D1347" s="323">
        <v>376</v>
      </c>
      <c r="E1347" s="324">
        <f t="shared" si="21"/>
        <v>91691.36</v>
      </c>
    </row>
    <row r="1348" spans="1:5" x14ac:dyDescent="0.25">
      <c r="A1348" s="323" t="s">
        <v>5022</v>
      </c>
      <c r="B1348" s="323" t="s">
        <v>805</v>
      </c>
      <c r="C1348" s="323">
        <v>40712</v>
      </c>
      <c r="D1348" s="323">
        <v>316</v>
      </c>
      <c r="E1348" s="324">
        <f t="shared" si="21"/>
        <v>77059.760000000009</v>
      </c>
    </row>
    <row r="1349" spans="1:5" x14ac:dyDescent="0.25">
      <c r="A1349" s="323" t="s">
        <v>7310</v>
      </c>
      <c r="B1349" s="323" t="s">
        <v>805</v>
      </c>
      <c r="C1349" s="323">
        <v>40712</v>
      </c>
      <c r="D1349" s="323">
        <v>529</v>
      </c>
      <c r="E1349" s="324">
        <f t="shared" si="21"/>
        <v>129001.94</v>
      </c>
    </row>
    <row r="1350" spans="1:5" x14ac:dyDescent="0.25">
      <c r="A1350" s="323" t="s">
        <v>7332</v>
      </c>
      <c r="B1350" s="323" t="s">
        <v>805</v>
      </c>
      <c r="C1350" s="323">
        <v>40712</v>
      </c>
      <c r="D1350" s="323">
        <v>432</v>
      </c>
      <c r="E1350" s="324">
        <f t="shared" si="21"/>
        <v>105347.52</v>
      </c>
    </row>
    <row r="1351" spans="1:5" x14ac:dyDescent="0.25">
      <c r="A1351" s="323" t="s">
        <v>1559</v>
      </c>
      <c r="B1351" s="323" t="s">
        <v>805</v>
      </c>
      <c r="C1351" s="323">
        <v>40714</v>
      </c>
      <c r="D1351" s="323">
        <v>404</v>
      </c>
      <c r="E1351" s="324">
        <f t="shared" si="21"/>
        <v>98519.44</v>
      </c>
    </row>
    <row r="1352" spans="1:5" x14ac:dyDescent="0.25">
      <c r="A1352" s="323" t="s">
        <v>5196</v>
      </c>
      <c r="B1352" s="323" t="s">
        <v>805</v>
      </c>
      <c r="C1352" s="323">
        <v>40717</v>
      </c>
      <c r="D1352" s="323">
        <v>66</v>
      </c>
      <c r="E1352" s="324">
        <f t="shared" si="21"/>
        <v>16094.76</v>
      </c>
    </row>
    <row r="1353" spans="1:5" x14ac:dyDescent="0.25">
      <c r="A1353" s="323" t="s">
        <v>5196</v>
      </c>
      <c r="B1353" s="323" t="s">
        <v>805</v>
      </c>
      <c r="C1353" s="323">
        <v>40717</v>
      </c>
      <c r="D1353" s="323">
        <v>89</v>
      </c>
      <c r="E1353" s="324">
        <f t="shared" si="21"/>
        <v>21703.54</v>
      </c>
    </row>
    <row r="1354" spans="1:5" x14ac:dyDescent="0.25">
      <c r="A1354" s="323" t="s">
        <v>3633</v>
      </c>
      <c r="B1354" s="323" t="s">
        <v>805</v>
      </c>
      <c r="C1354" s="323">
        <v>40720</v>
      </c>
      <c r="D1354" s="323">
        <v>235</v>
      </c>
      <c r="E1354" s="324">
        <f t="shared" si="21"/>
        <v>57307.100000000006</v>
      </c>
    </row>
    <row r="1355" spans="1:5" x14ac:dyDescent="0.25">
      <c r="A1355" s="323" t="s">
        <v>7124</v>
      </c>
      <c r="B1355" s="323" t="s">
        <v>805</v>
      </c>
      <c r="C1355" s="323">
        <v>40740</v>
      </c>
      <c r="D1355" s="323">
        <v>353</v>
      </c>
      <c r="E1355" s="324">
        <f t="shared" si="21"/>
        <v>86082.58</v>
      </c>
    </row>
    <row r="1356" spans="1:5" x14ac:dyDescent="0.25">
      <c r="A1356" s="323" t="s">
        <v>2233</v>
      </c>
      <c r="B1356" s="323" t="s">
        <v>805</v>
      </c>
      <c r="C1356" s="323">
        <v>40745</v>
      </c>
      <c r="D1356" s="323">
        <v>230</v>
      </c>
      <c r="E1356" s="324">
        <f t="shared" si="21"/>
        <v>56087.8</v>
      </c>
    </row>
    <row r="1357" spans="1:5" x14ac:dyDescent="0.25">
      <c r="A1357" s="323" t="s">
        <v>6994</v>
      </c>
      <c r="B1357" s="323" t="s">
        <v>805</v>
      </c>
      <c r="C1357" s="323">
        <v>40753</v>
      </c>
      <c r="D1357" s="323">
        <v>256</v>
      </c>
      <c r="E1357" s="324">
        <f t="shared" si="21"/>
        <v>62428.160000000003</v>
      </c>
    </row>
    <row r="1358" spans="1:5" x14ac:dyDescent="0.25">
      <c r="A1358" s="323" t="s">
        <v>1179</v>
      </c>
      <c r="B1358" s="323" t="s">
        <v>805</v>
      </c>
      <c r="C1358" s="323">
        <v>40765</v>
      </c>
      <c r="D1358" s="323">
        <v>96</v>
      </c>
      <c r="E1358" s="324">
        <f t="shared" si="21"/>
        <v>23410.560000000001</v>
      </c>
    </row>
    <row r="1359" spans="1:5" x14ac:dyDescent="0.25">
      <c r="A1359" s="323" t="s">
        <v>1681</v>
      </c>
      <c r="B1359" s="323" t="s">
        <v>805</v>
      </c>
      <c r="C1359" s="323">
        <v>40765</v>
      </c>
      <c r="D1359" s="323">
        <v>201</v>
      </c>
      <c r="E1359" s="324">
        <f t="shared" si="21"/>
        <v>49015.86</v>
      </c>
    </row>
    <row r="1360" spans="1:5" x14ac:dyDescent="0.25">
      <c r="A1360" s="323" t="s">
        <v>1718</v>
      </c>
      <c r="B1360" s="323" t="s">
        <v>805</v>
      </c>
      <c r="C1360" s="323">
        <v>40765</v>
      </c>
      <c r="D1360" s="323">
        <v>147</v>
      </c>
      <c r="E1360" s="324">
        <f t="shared" si="21"/>
        <v>35847.420000000006</v>
      </c>
    </row>
    <row r="1361" spans="1:5" x14ac:dyDescent="0.25">
      <c r="A1361" s="323" t="s">
        <v>1723</v>
      </c>
      <c r="B1361" s="323" t="s">
        <v>805</v>
      </c>
      <c r="C1361" s="323">
        <v>40765</v>
      </c>
      <c r="D1361" s="323">
        <v>156</v>
      </c>
      <c r="E1361" s="324">
        <f t="shared" si="21"/>
        <v>38042.160000000003</v>
      </c>
    </row>
    <row r="1362" spans="1:5" x14ac:dyDescent="0.25">
      <c r="A1362" s="323" t="s">
        <v>2190</v>
      </c>
      <c r="B1362" s="323" t="s">
        <v>805</v>
      </c>
      <c r="C1362" s="323">
        <v>40765</v>
      </c>
      <c r="D1362" s="323">
        <v>304</v>
      </c>
      <c r="E1362" s="324">
        <f t="shared" si="21"/>
        <v>74133.440000000002</v>
      </c>
    </row>
    <row r="1363" spans="1:5" x14ac:dyDescent="0.25">
      <c r="A1363" s="323" t="s">
        <v>2240</v>
      </c>
      <c r="B1363" s="323" t="s">
        <v>805</v>
      </c>
      <c r="C1363" s="323">
        <v>40765</v>
      </c>
      <c r="D1363" s="323">
        <v>165</v>
      </c>
      <c r="E1363" s="324">
        <f t="shared" si="21"/>
        <v>40236.9</v>
      </c>
    </row>
    <row r="1364" spans="1:5" x14ac:dyDescent="0.25">
      <c r="A1364" s="323" t="s">
        <v>2774</v>
      </c>
      <c r="B1364" s="323" t="s">
        <v>805</v>
      </c>
      <c r="C1364" s="323">
        <v>40765</v>
      </c>
      <c r="D1364" s="323">
        <v>144</v>
      </c>
      <c r="E1364" s="324">
        <f t="shared" si="21"/>
        <v>35115.840000000004</v>
      </c>
    </row>
    <row r="1365" spans="1:5" x14ac:dyDescent="0.25">
      <c r="A1365" s="323" t="s">
        <v>2820</v>
      </c>
      <c r="B1365" s="323" t="s">
        <v>805</v>
      </c>
      <c r="C1365" s="323">
        <v>40765</v>
      </c>
      <c r="D1365" s="323">
        <v>232</v>
      </c>
      <c r="E1365" s="324">
        <f t="shared" si="21"/>
        <v>56575.520000000004</v>
      </c>
    </row>
    <row r="1366" spans="1:5" x14ac:dyDescent="0.25">
      <c r="A1366" s="323" t="s">
        <v>3071</v>
      </c>
      <c r="B1366" s="323" t="s">
        <v>805</v>
      </c>
      <c r="C1366" s="323">
        <v>40765</v>
      </c>
      <c r="D1366" s="323">
        <v>136</v>
      </c>
      <c r="E1366" s="324">
        <f t="shared" si="21"/>
        <v>33164.959999999999</v>
      </c>
    </row>
    <row r="1367" spans="1:5" x14ac:dyDescent="0.25">
      <c r="A1367" s="323" t="s">
        <v>3292</v>
      </c>
      <c r="B1367" s="323" t="s">
        <v>805</v>
      </c>
      <c r="C1367" s="323">
        <v>40765</v>
      </c>
      <c r="D1367" s="323">
        <v>237</v>
      </c>
      <c r="E1367" s="324">
        <f t="shared" si="21"/>
        <v>57794.82</v>
      </c>
    </row>
    <row r="1368" spans="1:5" x14ac:dyDescent="0.25">
      <c r="A1368" s="323" t="s">
        <v>3594</v>
      </c>
      <c r="B1368" s="323" t="s">
        <v>805</v>
      </c>
      <c r="C1368" s="323">
        <v>40765</v>
      </c>
      <c r="D1368" s="323">
        <v>272</v>
      </c>
      <c r="E1368" s="324">
        <f t="shared" si="21"/>
        <v>66329.919999999998</v>
      </c>
    </row>
    <row r="1369" spans="1:5" x14ac:dyDescent="0.25">
      <c r="A1369" s="323" t="s">
        <v>3598</v>
      </c>
      <c r="B1369" s="323" t="s">
        <v>805</v>
      </c>
      <c r="C1369" s="323">
        <v>40765</v>
      </c>
      <c r="D1369" s="323">
        <v>197</v>
      </c>
      <c r="E1369" s="324">
        <f t="shared" si="21"/>
        <v>48040.420000000006</v>
      </c>
    </row>
    <row r="1370" spans="1:5" x14ac:dyDescent="0.25">
      <c r="A1370" s="323" t="s">
        <v>3847</v>
      </c>
      <c r="B1370" s="323" t="s">
        <v>805</v>
      </c>
      <c r="C1370" s="323">
        <v>40765</v>
      </c>
      <c r="D1370" s="323">
        <v>297</v>
      </c>
      <c r="E1370" s="324">
        <f t="shared" si="21"/>
        <v>72426.42</v>
      </c>
    </row>
    <row r="1371" spans="1:5" x14ac:dyDescent="0.25">
      <c r="A1371" s="323" t="s">
        <v>3847</v>
      </c>
      <c r="B1371" s="323" t="s">
        <v>805</v>
      </c>
      <c r="C1371" s="323">
        <v>40765</v>
      </c>
      <c r="D1371" s="323">
        <v>61</v>
      </c>
      <c r="E1371" s="324">
        <f t="shared" si="21"/>
        <v>14875.460000000001</v>
      </c>
    </row>
    <row r="1372" spans="1:5" x14ac:dyDescent="0.25">
      <c r="A1372" s="323" t="s">
        <v>3966</v>
      </c>
      <c r="B1372" s="323" t="s">
        <v>805</v>
      </c>
      <c r="C1372" s="323">
        <v>40765</v>
      </c>
      <c r="D1372" s="323">
        <v>240</v>
      </c>
      <c r="E1372" s="324">
        <f t="shared" si="21"/>
        <v>58526.400000000001</v>
      </c>
    </row>
    <row r="1373" spans="1:5" x14ac:dyDescent="0.25">
      <c r="A1373" s="323" t="s">
        <v>4097</v>
      </c>
      <c r="B1373" s="323" t="s">
        <v>805</v>
      </c>
      <c r="C1373" s="323">
        <v>40765</v>
      </c>
      <c r="D1373" s="323">
        <v>186</v>
      </c>
      <c r="E1373" s="324">
        <f t="shared" si="21"/>
        <v>45357.96</v>
      </c>
    </row>
    <row r="1374" spans="1:5" x14ac:dyDescent="0.25">
      <c r="A1374" s="323" t="s">
        <v>4128</v>
      </c>
      <c r="B1374" s="323" t="s">
        <v>805</v>
      </c>
      <c r="C1374" s="323">
        <v>40765</v>
      </c>
      <c r="D1374" s="323">
        <v>174</v>
      </c>
      <c r="E1374" s="324">
        <f t="shared" si="21"/>
        <v>42431.64</v>
      </c>
    </row>
    <row r="1375" spans="1:5" x14ac:dyDescent="0.25">
      <c r="A1375" s="323" t="s">
        <v>4240</v>
      </c>
      <c r="B1375" s="323" t="s">
        <v>805</v>
      </c>
      <c r="C1375" s="323">
        <v>40765</v>
      </c>
      <c r="D1375" s="323">
        <v>337</v>
      </c>
      <c r="E1375" s="324">
        <f t="shared" si="21"/>
        <v>82180.820000000007</v>
      </c>
    </row>
    <row r="1376" spans="1:5" x14ac:dyDescent="0.25">
      <c r="A1376" s="323" t="s">
        <v>4349</v>
      </c>
      <c r="B1376" s="323" t="s">
        <v>816</v>
      </c>
      <c r="C1376" s="323">
        <v>40765</v>
      </c>
      <c r="D1376" s="323">
        <v>103</v>
      </c>
      <c r="E1376" s="324">
        <f t="shared" si="21"/>
        <v>37676.370000000003</v>
      </c>
    </row>
    <row r="1377" spans="1:5" x14ac:dyDescent="0.25">
      <c r="A1377" s="323" t="s">
        <v>5176</v>
      </c>
      <c r="B1377" s="323" t="s">
        <v>805</v>
      </c>
      <c r="C1377" s="323">
        <v>40765</v>
      </c>
      <c r="D1377" s="323">
        <v>224</v>
      </c>
      <c r="E1377" s="324">
        <f t="shared" si="21"/>
        <v>54624.639999999999</v>
      </c>
    </row>
    <row r="1378" spans="1:5" x14ac:dyDescent="0.25">
      <c r="A1378" s="323" t="s">
        <v>6828</v>
      </c>
      <c r="B1378" s="323" t="s">
        <v>805</v>
      </c>
      <c r="C1378" s="323">
        <v>40765</v>
      </c>
      <c r="D1378" s="323">
        <v>393</v>
      </c>
      <c r="E1378" s="324">
        <f t="shared" si="21"/>
        <v>95836.98000000001</v>
      </c>
    </row>
    <row r="1379" spans="1:5" x14ac:dyDescent="0.25">
      <c r="A1379" s="323" t="s">
        <v>7329</v>
      </c>
      <c r="B1379" s="323" t="s">
        <v>805</v>
      </c>
      <c r="C1379" s="323">
        <v>40765</v>
      </c>
      <c r="D1379" s="323">
        <v>416</v>
      </c>
      <c r="E1379" s="324">
        <f t="shared" si="21"/>
        <v>101445.76000000001</v>
      </c>
    </row>
    <row r="1380" spans="1:5" x14ac:dyDescent="0.25">
      <c r="A1380" s="323" t="s">
        <v>961</v>
      </c>
      <c r="B1380" s="323" t="s">
        <v>805</v>
      </c>
      <c r="C1380" s="323">
        <v>40774</v>
      </c>
      <c r="D1380" s="323">
        <v>415</v>
      </c>
      <c r="E1380" s="324">
        <f t="shared" si="21"/>
        <v>101201.90000000001</v>
      </c>
    </row>
    <row r="1381" spans="1:5" x14ac:dyDescent="0.25">
      <c r="A1381" s="323" t="s">
        <v>1616</v>
      </c>
      <c r="B1381" s="323" t="s">
        <v>805</v>
      </c>
      <c r="C1381" s="323">
        <v>40774</v>
      </c>
      <c r="D1381" s="323">
        <v>390</v>
      </c>
      <c r="E1381" s="324">
        <f t="shared" si="21"/>
        <v>95105.400000000009</v>
      </c>
    </row>
    <row r="1382" spans="1:5" x14ac:dyDescent="0.25">
      <c r="A1382" s="323" t="s">
        <v>3814</v>
      </c>
      <c r="B1382" s="323" t="s">
        <v>805</v>
      </c>
      <c r="C1382" s="323">
        <v>40774</v>
      </c>
      <c r="D1382" s="323">
        <v>481</v>
      </c>
      <c r="E1382" s="324">
        <f t="shared" si="21"/>
        <v>117296.66</v>
      </c>
    </row>
    <row r="1383" spans="1:5" x14ac:dyDescent="0.25">
      <c r="A1383" s="323" t="s">
        <v>4005</v>
      </c>
      <c r="B1383" s="323" t="s">
        <v>805</v>
      </c>
      <c r="C1383" s="323">
        <v>40774</v>
      </c>
      <c r="D1383" s="323">
        <v>243</v>
      </c>
      <c r="E1383" s="324">
        <f t="shared" si="21"/>
        <v>59257.98</v>
      </c>
    </row>
    <row r="1384" spans="1:5" x14ac:dyDescent="0.25">
      <c r="A1384" s="323" t="s">
        <v>1169</v>
      </c>
      <c r="B1384" s="323" t="s">
        <v>805</v>
      </c>
      <c r="C1384" s="323">
        <v>40775</v>
      </c>
      <c r="D1384" s="323">
        <v>310</v>
      </c>
      <c r="E1384" s="324">
        <f t="shared" si="21"/>
        <v>75596.600000000006</v>
      </c>
    </row>
    <row r="1385" spans="1:5" x14ac:dyDescent="0.25">
      <c r="A1385" s="323" t="s">
        <v>1170</v>
      </c>
      <c r="B1385" s="323" t="s">
        <v>805</v>
      </c>
      <c r="C1385" s="323">
        <v>40775</v>
      </c>
      <c r="D1385" s="323">
        <v>220</v>
      </c>
      <c r="E1385" s="324">
        <f t="shared" si="21"/>
        <v>53649.200000000004</v>
      </c>
    </row>
    <row r="1386" spans="1:5" x14ac:dyDescent="0.25">
      <c r="A1386" s="323" t="s">
        <v>1276</v>
      </c>
      <c r="B1386" s="323" t="s">
        <v>805</v>
      </c>
      <c r="C1386" s="323">
        <v>40775</v>
      </c>
      <c r="D1386" s="323">
        <v>129</v>
      </c>
      <c r="E1386" s="324">
        <f t="shared" si="21"/>
        <v>31457.940000000002</v>
      </c>
    </row>
    <row r="1387" spans="1:5" x14ac:dyDescent="0.25">
      <c r="A1387" s="323" t="s">
        <v>1318</v>
      </c>
      <c r="B1387" s="323" t="s">
        <v>805</v>
      </c>
      <c r="C1387" s="323">
        <v>40775</v>
      </c>
      <c r="D1387" s="323">
        <v>199</v>
      </c>
      <c r="E1387" s="324">
        <f t="shared" si="21"/>
        <v>48528.14</v>
      </c>
    </row>
    <row r="1388" spans="1:5" x14ac:dyDescent="0.25">
      <c r="A1388" s="323" t="s">
        <v>1734</v>
      </c>
      <c r="B1388" s="323" t="s">
        <v>805</v>
      </c>
      <c r="C1388" s="323">
        <v>40775</v>
      </c>
      <c r="D1388" s="323">
        <v>124</v>
      </c>
      <c r="E1388" s="324">
        <f t="shared" si="21"/>
        <v>30238.640000000003</v>
      </c>
    </row>
    <row r="1389" spans="1:5" x14ac:dyDescent="0.25">
      <c r="A1389" s="323" t="s">
        <v>1872</v>
      </c>
      <c r="B1389" s="323" t="s">
        <v>805</v>
      </c>
      <c r="C1389" s="323">
        <v>40775</v>
      </c>
      <c r="D1389" s="323">
        <v>271</v>
      </c>
      <c r="E1389" s="324">
        <f t="shared" si="21"/>
        <v>66086.06</v>
      </c>
    </row>
    <row r="1390" spans="1:5" x14ac:dyDescent="0.25">
      <c r="A1390" s="323" t="s">
        <v>2225</v>
      </c>
      <c r="B1390" s="323" t="s">
        <v>805</v>
      </c>
      <c r="C1390" s="323">
        <v>40775</v>
      </c>
      <c r="D1390" s="323">
        <v>199</v>
      </c>
      <c r="E1390" s="324">
        <f t="shared" si="21"/>
        <v>48528.14</v>
      </c>
    </row>
    <row r="1391" spans="1:5" x14ac:dyDescent="0.25">
      <c r="A1391" s="323" t="s">
        <v>2791</v>
      </c>
      <c r="B1391" s="323" t="s">
        <v>805</v>
      </c>
      <c r="C1391" s="323">
        <v>40775</v>
      </c>
      <c r="D1391" s="323">
        <v>289</v>
      </c>
      <c r="E1391" s="324">
        <f t="shared" si="21"/>
        <v>70475.540000000008</v>
      </c>
    </row>
    <row r="1392" spans="1:5" x14ac:dyDescent="0.25">
      <c r="A1392" s="323" t="s">
        <v>2795</v>
      </c>
      <c r="B1392" s="323" t="s">
        <v>805</v>
      </c>
      <c r="C1392" s="323">
        <v>40775</v>
      </c>
      <c r="D1392" s="323">
        <v>75</v>
      </c>
      <c r="E1392" s="324">
        <f t="shared" si="21"/>
        <v>18289.5</v>
      </c>
    </row>
    <row r="1393" spans="1:5" x14ac:dyDescent="0.25">
      <c r="A1393" s="323" t="s">
        <v>2796</v>
      </c>
      <c r="B1393" s="323" t="s">
        <v>805</v>
      </c>
      <c r="C1393" s="323">
        <v>40775</v>
      </c>
      <c r="D1393" s="323">
        <v>278</v>
      </c>
      <c r="E1393" s="324">
        <f t="shared" si="21"/>
        <v>67793.08</v>
      </c>
    </row>
    <row r="1394" spans="1:5" x14ac:dyDescent="0.25">
      <c r="A1394" s="323" t="s">
        <v>2797</v>
      </c>
      <c r="B1394" s="323" t="s">
        <v>805</v>
      </c>
      <c r="C1394" s="323">
        <v>40775</v>
      </c>
      <c r="D1394" s="323">
        <v>177</v>
      </c>
      <c r="E1394" s="324">
        <f t="shared" si="21"/>
        <v>43163.22</v>
      </c>
    </row>
    <row r="1395" spans="1:5" x14ac:dyDescent="0.25">
      <c r="A1395" s="323" t="s">
        <v>3229</v>
      </c>
      <c r="B1395" s="323" t="s">
        <v>805</v>
      </c>
      <c r="C1395" s="323">
        <v>40775</v>
      </c>
      <c r="D1395" s="323">
        <v>249</v>
      </c>
      <c r="E1395" s="324">
        <f t="shared" si="21"/>
        <v>60721.140000000007</v>
      </c>
    </row>
    <row r="1396" spans="1:5" x14ac:dyDescent="0.25">
      <c r="A1396" s="323" t="s">
        <v>3275</v>
      </c>
      <c r="B1396" s="323" t="s">
        <v>805</v>
      </c>
      <c r="C1396" s="323">
        <v>40775</v>
      </c>
      <c r="D1396" s="323">
        <v>400</v>
      </c>
      <c r="E1396" s="324">
        <f t="shared" si="21"/>
        <v>97544</v>
      </c>
    </row>
    <row r="1397" spans="1:5" x14ac:dyDescent="0.25">
      <c r="A1397" s="323" t="s">
        <v>3329</v>
      </c>
      <c r="B1397" s="323" t="s">
        <v>805</v>
      </c>
      <c r="C1397" s="323">
        <v>40775</v>
      </c>
      <c r="D1397" s="323">
        <v>120</v>
      </c>
      <c r="E1397" s="324">
        <f t="shared" si="21"/>
        <v>29263.200000000001</v>
      </c>
    </row>
    <row r="1398" spans="1:5" x14ac:dyDescent="0.25">
      <c r="A1398" s="323" t="s">
        <v>3617</v>
      </c>
      <c r="B1398" s="323" t="s">
        <v>805</v>
      </c>
      <c r="C1398" s="323">
        <v>40775</v>
      </c>
      <c r="D1398" s="323">
        <v>192</v>
      </c>
      <c r="E1398" s="324">
        <f t="shared" si="21"/>
        <v>46821.120000000003</v>
      </c>
    </row>
    <row r="1399" spans="1:5" x14ac:dyDescent="0.25">
      <c r="A1399" s="323" t="s">
        <v>3837</v>
      </c>
      <c r="B1399" s="323" t="s">
        <v>805</v>
      </c>
      <c r="C1399" s="323">
        <v>40775</v>
      </c>
      <c r="D1399" s="323">
        <v>193</v>
      </c>
      <c r="E1399" s="324">
        <f t="shared" si="21"/>
        <v>47064.98</v>
      </c>
    </row>
    <row r="1400" spans="1:5" x14ac:dyDescent="0.25">
      <c r="A1400" s="323" t="s">
        <v>3862</v>
      </c>
      <c r="B1400" s="323" t="s">
        <v>805</v>
      </c>
      <c r="C1400" s="323">
        <v>40775</v>
      </c>
      <c r="D1400" s="323">
        <v>93</v>
      </c>
      <c r="E1400" s="324">
        <f t="shared" si="21"/>
        <v>22678.98</v>
      </c>
    </row>
    <row r="1401" spans="1:5" x14ac:dyDescent="0.25">
      <c r="A1401" s="323" t="s">
        <v>4023</v>
      </c>
      <c r="B1401" s="323" t="s">
        <v>805</v>
      </c>
      <c r="C1401" s="323">
        <v>40775</v>
      </c>
      <c r="D1401" s="323">
        <v>140</v>
      </c>
      <c r="E1401" s="324">
        <f t="shared" si="21"/>
        <v>34140.400000000001</v>
      </c>
    </row>
    <row r="1402" spans="1:5" x14ac:dyDescent="0.25">
      <c r="A1402" s="323" t="s">
        <v>4182</v>
      </c>
      <c r="B1402" s="323" t="s">
        <v>805</v>
      </c>
      <c r="C1402" s="323">
        <v>40775</v>
      </c>
      <c r="D1402" s="323">
        <v>224</v>
      </c>
      <c r="E1402" s="324">
        <f t="shared" si="21"/>
        <v>54624.639999999999</v>
      </c>
    </row>
    <row r="1403" spans="1:5" x14ac:dyDescent="0.25">
      <c r="A1403" s="323" t="s">
        <v>5838</v>
      </c>
      <c r="B1403" s="323" t="s">
        <v>805</v>
      </c>
      <c r="C1403" s="323">
        <v>40775</v>
      </c>
      <c r="D1403" s="323">
        <v>146</v>
      </c>
      <c r="E1403" s="324">
        <f t="shared" si="21"/>
        <v>35603.560000000005</v>
      </c>
    </row>
    <row r="1404" spans="1:5" x14ac:dyDescent="0.25">
      <c r="A1404" s="323" t="s">
        <v>5849</v>
      </c>
      <c r="B1404" s="323" t="s">
        <v>805</v>
      </c>
      <c r="C1404" s="323">
        <v>40775</v>
      </c>
      <c r="D1404" s="323">
        <v>122</v>
      </c>
      <c r="E1404" s="324">
        <f t="shared" si="21"/>
        <v>29750.920000000002</v>
      </c>
    </row>
    <row r="1405" spans="1:5" x14ac:dyDescent="0.25">
      <c r="A1405" s="323" t="s">
        <v>7198</v>
      </c>
      <c r="B1405" s="323" t="s">
        <v>805</v>
      </c>
      <c r="C1405" s="323">
        <v>40775</v>
      </c>
      <c r="D1405" s="323">
        <v>239</v>
      </c>
      <c r="E1405" s="324">
        <f t="shared" si="21"/>
        <v>58282.54</v>
      </c>
    </row>
    <row r="1406" spans="1:5" x14ac:dyDescent="0.25">
      <c r="A1406" s="323" t="s">
        <v>7199</v>
      </c>
      <c r="B1406" s="323" t="s">
        <v>805</v>
      </c>
      <c r="C1406" s="323">
        <v>40775</v>
      </c>
      <c r="D1406" s="323">
        <v>223</v>
      </c>
      <c r="E1406" s="324">
        <f t="shared" si="21"/>
        <v>54380.780000000006</v>
      </c>
    </row>
    <row r="1407" spans="1:5" x14ac:dyDescent="0.25">
      <c r="A1407" s="323" t="s">
        <v>7273</v>
      </c>
      <c r="B1407" s="323" t="s">
        <v>805</v>
      </c>
      <c r="C1407" s="323">
        <v>40775</v>
      </c>
      <c r="D1407" s="323">
        <v>219</v>
      </c>
      <c r="E1407" s="324">
        <f t="shared" si="21"/>
        <v>53405.340000000004</v>
      </c>
    </row>
    <row r="1408" spans="1:5" x14ac:dyDescent="0.25">
      <c r="A1408" s="323" t="s">
        <v>7274</v>
      </c>
      <c r="B1408" s="323" t="s">
        <v>805</v>
      </c>
      <c r="C1408" s="323">
        <v>40775</v>
      </c>
      <c r="D1408" s="323">
        <v>464</v>
      </c>
      <c r="E1408" s="324">
        <f t="shared" si="21"/>
        <v>113151.04000000001</v>
      </c>
    </row>
    <row r="1409" spans="1:5" x14ac:dyDescent="0.25">
      <c r="A1409" s="323" t="s">
        <v>910</v>
      </c>
      <c r="B1409" s="323" t="s">
        <v>816</v>
      </c>
      <c r="C1409" s="323">
        <v>40788</v>
      </c>
      <c r="D1409" s="323">
        <v>218</v>
      </c>
      <c r="E1409" s="324">
        <f t="shared" si="21"/>
        <v>79742.22</v>
      </c>
    </row>
    <row r="1410" spans="1:5" x14ac:dyDescent="0.25">
      <c r="A1410" s="323" t="s">
        <v>1450</v>
      </c>
      <c r="B1410" s="323" t="s">
        <v>805</v>
      </c>
      <c r="C1410" s="323">
        <v>40788</v>
      </c>
      <c r="D1410" s="323">
        <v>40</v>
      </c>
      <c r="E1410" s="324">
        <f t="shared" ref="E1410:E1473" si="22">D1410*IF(B1410=$G$9,WerkdrukbedragPerLeerlingBo,IF(B1410=$G$10,WerkdrukbedragPerLeerlingSbo,IF(B1410=$G$11,WerkdrukbedragPerLeerlingSo,IF(B1410=$G$12,WerkdrukbedragPerLeerlingVso,0))))</f>
        <v>9754.4000000000015</v>
      </c>
    </row>
    <row r="1411" spans="1:5" x14ac:dyDescent="0.25">
      <c r="A1411" s="323" t="s">
        <v>1451</v>
      </c>
      <c r="B1411" s="323" t="s">
        <v>805</v>
      </c>
      <c r="C1411" s="323">
        <v>40788</v>
      </c>
      <c r="D1411" s="323">
        <v>73</v>
      </c>
      <c r="E1411" s="324">
        <f t="shared" si="22"/>
        <v>17801.780000000002</v>
      </c>
    </row>
    <row r="1412" spans="1:5" x14ac:dyDescent="0.25">
      <c r="A1412" s="323" t="s">
        <v>1465</v>
      </c>
      <c r="B1412" s="323" t="s">
        <v>805</v>
      </c>
      <c r="C1412" s="323">
        <v>40788</v>
      </c>
      <c r="D1412" s="323">
        <v>63</v>
      </c>
      <c r="E1412" s="324">
        <f t="shared" si="22"/>
        <v>15363.18</v>
      </c>
    </row>
    <row r="1413" spans="1:5" x14ac:dyDescent="0.25">
      <c r="A1413" s="323" t="s">
        <v>1473</v>
      </c>
      <c r="B1413" s="323" t="s">
        <v>805</v>
      </c>
      <c r="C1413" s="323">
        <v>40788</v>
      </c>
      <c r="D1413" s="323">
        <v>72</v>
      </c>
      <c r="E1413" s="324">
        <f t="shared" si="22"/>
        <v>17557.920000000002</v>
      </c>
    </row>
    <row r="1414" spans="1:5" x14ac:dyDescent="0.25">
      <c r="A1414" s="323" t="s">
        <v>1925</v>
      </c>
      <c r="B1414" s="323" t="s">
        <v>805</v>
      </c>
      <c r="C1414" s="323">
        <v>40788</v>
      </c>
      <c r="D1414" s="323">
        <v>74</v>
      </c>
      <c r="E1414" s="324">
        <f t="shared" si="22"/>
        <v>18045.64</v>
      </c>
    </row>
    <row r="1415" spans="1:5" x14ac:dyDescent="0.25">
      <c r="A1415" s="323" t="s">
        <v>1962</v>
      </c>
      <c r="B1415" s="323" t="s">
        <v>805</v>
      </c>
      <c r="C1415" s="323">
        <v>40788</v>
      </c>
      <c r="D1415" s="323">
        <v>39</v>
      </c>
      <c r="E1415" s="324">
        <f t="shared" si="22"/>
        <v>9510.5400000000009</v>
      </c>
    </row>
    <row r="1416" spans="1:5" x14ac:dyDescent="0.25">
      <c r="A1416" s="323" t="s">
        <v>2021</v>
      </c>
      <c r="B1416" s="323" t="s">
        <v>805</v>
      </c>
      <c r="C1416" s="323">
        <v>40788</v>
      </c>
      <c r="D1416" s="323">
        <v>57</v>
      </c>
      <c r="E1416" s="324">
        <f t="shared" si="22"/>
        <v>13900.02</v>
      </c>
    </row>
    <row r="1417" spans="1:5" x14ac:dyDescent="0.25">
      <c r="A1417" s="323" t="s">
        <v>2639</v>
      </c>
      <c r="B1417" s="323" t="s">
        <v>805</v>
      </c>
      <c r="C1417" s="323">
        <v>40788</v>
      </c>
      <c r="D1417" s="323">
        <v>86</v>
      </c>
      <c r="E1417" s="324">
        <f t="shared" si="22"/>
        <v>20971.960000000003</v>
      </c>
    </row>
    <row r="1418" spans="1:5" x14ac:dyDescent="0.25">
      <c r="A1418" s="323" t="s">
        <v>2651</v>
      </c>
      <c r="B1418" s="323" t="s">
        <v>805</v>
      </c>
      <c r="C1418" s="323">
        <v>40788</v>
      </c>
      <c r="D1418" s="323">
        <v>127</v>
      </c>
      <c r="E1418" s="324">
        <f t="shared" si="22"/>
        <v>30970.22</v>
      </c>
    </row>
    <row r="1419" spans="1:5" x14ac:dyDescent="0.25">
      <c r="A1419" s="323" t="s">
        <v>2665</v>
      </c>
      <c r="B1419" s="323" t="s">
        <v>805</v>
      </c>
      <c r="C1419" s="323">
        <v>40788</v>
      </c>
      <c r="D1419" s="323">
        <v>154</v>
      </c>
      <c r="E1419" s="324">
        <f t="shared" si="22"/>
        <v>37554.44</v>
      </c>
    </row>
    <row r="1420" spans="1:5" x14ac:dyDescent="0.25">
      <c r="A1420" s="323" t="s">
        <v>2697</v>
      </c>
      <c r="B1420" s="323" t="s">
        <v>805</v>
      </c>
      <c r="C1420" s="323">
        <v>40788</v>
      </c>
      <c r="D1420" s="323">
        <v>90</v>
      </c>
      <c r="E1420" s="324">
        <f t="shared" si="22"/>
        <v>21947.4</v>
      </c>
    </row>
    <row r="1421" spans="1:5" x14ac:dyDescent="0.25">
      <c r="A1421" s="323" t="s">
        <v>3208</v>
      </c>
      <c r="B1421" s="323" t="s">
        <v>805</v>
      </c>
      <c r="C1421" s="323">
        <v>40788</v>
      </c>
      <c r="D1421" s="323">
        <v>35</v>
      </c>
      <c r="E1421" s="324">
        <f t="shared" si="22"/>
        <v>8535.1</v>
      </c>
    </row>
    <row r="1422" spans="1:5" x14ac:dyDescent="0.25">
      <c r="A1422" s="323" t="s">
        <v>3353</v>
      </c>
      <c r="B1422" s="323" t="s">
        <v>805</v>
      </c>
      <c r="C1422" s="323">
        <v>40788</v>
      </c>
      <c r="D1422" s="323">
        <v>134</v>
      </c>
      <c r="E1422" s="324">
        <f t="shared" si="22"/>
        <v>32677.24</v>
      </c>
    </row>
    <row r="1423" spans="1:5" x14ac:dyDescent="0.25">
      <c r="A1423" s="323" t="s">
        <v>3637</v>
      </c>
      <c r="B1423" s="323" t="s">
        <v>805</v>
      </c>
      <c r="C1423" s="323">
        <v>40788</v>
      </c>
      <c r="D1423" s="323">
        <v>128</v>
      </c>
      <c r="E1423" s="324">
        <f t="shared" si="22"/>
        <v>31214.080000000002</v>
      </c>
    </row>
    <row r="1424" spans="1:5" x14ac:dyDescent="0.25">
      <c r="A1424" s="323" t="s">
        <v>3766</v>
      </c>
      <c r="B1424" s="323" t="s">
        <v>805</v>
      </c>
      <c r="C1424" s="323">
        <v>40788</v>
      </c>
      <c r="D1424" s="323">
        <v>259</v>
      </c>
      <c r="E1424" s="324">
        <f t="shared" si="22"/>
        <v>63159.740000000005</v>
      </c>
    </row>
    <row r="1425" spans="1:5" x14ac:dyDescent="0.25">
      <c r="A1425" s="323" t="s">
        <v>4475</v>
      </c>
      <c r="B1425" s="323" t="s">
        <v>805</v>
      </c>
      <c r="C1425" s="323">
        <v>40788</v>
      </c>
      <c r="D1425" s="323">
        <v>185</v>
      </c>
      <c r="E1425" s="324">
        <f t="shared" si="22"/>
        <v>45114.100000000006</v>
      </c>
    </row>
    <row r="1426" spans="1:5" x14ac:dyDescent="0.25">
      <c r="A1426" s="323" t="s">
        <v>4580</v>
      </c>
      <c r="B1426" s="323" t="s">
        <v>805</v>
      </c>
      <c r="C1426" s="323">
        <v>40788</v>
      </c>
      <c r="D1426" s="323">
        <v>103</v>
      </c>
      <c r="E1426" s="324">
        <f t="shared" si="22"/>
        <v>25117.58</v>
      </c>
    </row>
    <row r="1427" spans="1:5" x14ac:dyDescent="0.25">
      <c r="A1427" s="323" t="s">
        <v>4670</v>
      </c>
      <c r="B1427" s="323" t="s">
        <v>805</v>
      </c>
      <c r="C1427" s="323">
        <v>40788</v>
      </c>
      <c r="D1427" s="323">
        <v>100</v>
      </c>
      <c r="E1427" s="324">
        <f t="shared" si="22"/>
        <v>24386</v>
      </c>
    </row>
    <row r="1428" spans="1:5" x14ac:dyDescent="0.25">
      <c r="A1428" s="323" t="s">
        <v>4727</v>
      </c>
      <c r="B1428" s="323" t="s">
        <v>805</v>
      </c>
      <c r="C1428" s="323">
        <v>40788</v>
      </c>
      <c r="D1428" s="323">
        <v>207</v>
      </c>
      <c r="E1428" s="324">
        <f t="shared" si="22"/>
        <v>50479.020000000004</v>
      </c>
    </row>
    <row r="1429" spans="1:5" x14ac:dyDescent="0.25">
      <c r="A1429" s="323" t="s">
        <v>4799</v>
      </c>
      <c r="B1429" s="323" t="s">
        <v>805</v>
      </c>
      <c r="C1429" s="323">
        <v>40788</v>
      </c>
      <c r="D1429" s="323">
        <v>110</v>
      </c>
      <c r="E1429" s="324">
        <f t="shared" si="22"/>
        <v>26824.600000000002</v>
      </c>
    </row>
    <row r="1430" spans="1:5" x14ac:dyDescent="0.25">
      <c r="A1430" s="323" t="s">
        <v>5194</v>
      </c>
      <c r="B1430" s="323" t="s">
        <v>805</v>
      </c>
      <c r="C1430" s="323">
        <v>40788</v>
      </c>
      <c r="D1430" s="323">
        <v>44</v>
      </c>
      <c r="E1430" s="324">
        <f t="shared" si="22"/>
        <v>10729.84</v>
      </c>
    </row>
    <row r="1431" spans="1:5" x14ac:dyDescent="0.25">
      <c r="A1431" s="323" t="s">
        <v>1924</v>
      </c>
      <c r="B1431" s="323" t="s">
        <v>805</v>
      </c>
      <c r="C1431" s="323">
        <v>40789</v>
      </c>
      <c r="D1431" s="323">
        <v>243</v>
      </c>
      <c r="E1431" s="324">
        <f t="shared" si="22"/>
        <v>59257.98</v>
      </c>
    </row>
    <row r="1432" spans="1:5" x14ac:dyDescent="0.25">
      <c r="A1432" s="323" t="s">
        <v>2371</v>
      </c>
      <c r="B1432" s="323" t="s">
        <v>805</v>
      </c>
      <c r="C1432" s="323">
        <v>40789</v>
      </c>
      <c r="D1432" s="323">
        <v>68</v>
      </c>
      <c r="E1432" s="324">
        <f t="shared" si="22"/>
        <v>16582.48</v>
      </c>
    </row>
    <row r="1433" spans="1:5" x14ac:dyDescent="0.25">
      <c r="A1433" s="323" t="s">
        <v>2717</v>
      </c>
      <c r="B1433" s="323" t="s">
        <v>805</v>
      </c>
      <c r="C1433" s="323">
        <v>40789</v>
      </c>
      <c r="D1433" s="323">
        <v>94</v>
      </c>
      <c r="E1433" s="324">
        <f t="shared" si="22"/>
        <v>22922.84</v>
      </c>
    </row>
    <row r="1434" spans="1:5" x14ac:dyDescent="0.25">
      <c r="A1434" s="323" t="s">
        <v>2956</v>
      </c>
      <c r="B1434" s="323" t="s">
        <v>805</v>
      </c>
      <c r="C1434" s="323">
        <v>40789</v>
      </c>
      <c r="D1434" s="323">
        <v>131</v>
      </c>
      <c r="E1434" s="324">
        <f t="shared" si="22"/>
        <v>31945.660000000003</v>
      </c>
    </row>
    <row r="1435" spans="1:5" x14ac:dyDescent="0.25">
      <c r="A1435" s="323" t="s">
        <v>3101</v>
      </c>
      <c r="B1435" s="323" t="s">
        <v>805</v>
      </c>
      <c r="C1435" s="323">
        <v>40789</v>
      </c>
      <c r="D1435" s="323">
        <v>133</v>
      </c>
      <c r="E1435" s="324">
        <f t="shared" si="22"/>
        <v>32433.38</v>
      </c>
    </row>
    <row r="1436" spans="1:5" x14ac:dyDescent="0.25">
      <c r="A1436" s="323" t="s">
        <v>1458</v>
      </c>
      <c r="B1436" s="323" t="s">
        <v>805</v>
      </c>
      <c r="C1436" s="323">
        <v>40794</v>
      </c>
      <c r="D1436" s="323">
        <v>41</v>
      </c>
      <c r="E1436" s="324">
        <f t="shared" si="22"/>
        <v>9998.26</v>
      </c>
    </row>
    <row r="1437" spans="1:5" x14ac:dyDescent="0.25">
      <c r="A1437" s="323" t="s">
        <v>1621</v>
      </c>
      <c r="B1437" s="323" t="s">
        <v>805</v>
      </c>
      <c r="C1437" s="323">
        <v>40794</v>
      </c>
      <c r="D1437" s="323">
        <v>64</v>
      </c>
      <c r="E1437" s="324">
        <f t="shared" si="22"/>
        <v>15607.04</v>
      </c>
    </row>
    <row r="1438" spans="1:5" x14ac:dyDescent="0.25">
      <c r="A1438" s="323" t="s">
        <v>2755</v>
      </c>
      <c r="B1438" s="323" t="s">
        <v>805</v>
      </c>
      <c r="C1438" s="323">
        <v>40794</v>
      </c>
      <c r="D1438" s="323">
        <v>107</v>
      </c>
      <c r="E1438" s="324">
        <f t="shared" si="22"/>
        <v>26093.02</v>
      </c>
    </row>
    <row r="1439" spans="1:5" x14ac:dyDescent="0.25">
      <c r="A1439" s="323" t="s">
        <v>3357</v>
      </c>
      <c r="B1439" s="323" t="s">
        <v>805</v>
      </c>
      <c r="C1439" s="323">
        <v>40794</v>
      </c>
      <c r="D1439" s="323">
        <v>210</v>
      </c>
      <c r="E1439" s="324">
        <f t="shared" si="22"/>
        <v>51210.600000000006</v>
      </c>
    </row>
    <row r="1440" spans="1:5" x14ac:dyDescent="0.25">
      <c r="A1440" s="323" t="s">
        <v>1059</v>
      </c>
      <c r="B1440" s="323" t="s">
        <v>805</v>
      </c>
      <c r="C1440" s="323">
        <v>40803</v>
      </c>
      <c r="D1440" s="323">
        <v>175</v>
      </c>
      <c r="E1440" s="324">
        <f t="shared" si="22"/>
        <v>42675.5</v>
      </c>
    </row>
    <row r="1441" spans="1:5" x14ac:dyDescent="0.25">
      <c r="A1441" s="323" t="s">
        <v>1174</v>
      </c>
      <c r="B1441" s="323" t="s">
        <v>805</v>
      </c>
      <c r="C1441" s="323">
        <v>40803</v>
      </c>
      <c r="D1441" s="323">
        <v>55</v>
      </c>
      <c r="E1441" s="324">
        <f t="shared" si="22"/>
        <v>13412.300000000001</v>
      </c>
    </row>
    <row r="1442" spans="1:5" x14ac:dyDescent="0.25">
      <c r="A1442" s="323" t="s">
        <v>1201</v>
      </c>
      <c r="B1442" s="323" t="s">
        <v>805</v>
      </c>
      <c r="C1442" s="323">
        <v>40803</v>
      </c>
      <c r="D1442" s="323">
        <v>41</v>
      </c>
      <c r="E1442" s="324">
        <f t="shared" si="22"/>
        <v>9998.26</v>
      </c>
    </row>
    <row r="1443" spans="1:5" x14ac:dyDescent="0.25">
      <c r="A1443" s="323" t="s">
        <v>1210</v>
      </c>
      <c r="B1443" s="323" t="s">
        <v>805</v>
      </c>
      <c r="C1443" s="323">
        <v>40803</v>
      </c>
      <c r="D1443" s="323">
        <v>80</v>
      </c>
      <c r="E1443" s="324">
        <f t="shared" si="22"/>
        <v>19508.800000000003</v>
      </c>
    </row>
    <row r="1444" spans="1:5" x14ac:dyDescent="0.25">
      <c r="A1444" s="323" t="s">
        <v>1250</v>
      </c>
      <c r="B1444" s="323" t="s">
        <v>805</v>
      </c>
      <c r="C1444" s="323">
        <v>40803</v>
      </c>
      <c r="D1444" s="323">
        <v>122</v>
      </c>
      <c r="E1444" s="324">
        <f t="shared" si="22"/>
        <v>29750.920000000002</v>
      </c>
    </row>
    <row r="1445" spans="1:5" x14ac:dyDescent="0.25">
      <c r="A1445" s="323" t="s">
        <v>1251</v>
      </c>
      <c r="B1445" s="323" t="s">
        <v>805</v>
      </c>
      <c r="C1445" s="323">
        <v>40803</v>
      </c>
      <c r="D1445" s="323">
        <v>30</v>
      </c>
      <c r="E1445" s="324">
        <f t="shared" si="22"/>
        <v>7315.8</v>
      </c>
    </row>
    <row r="1446" spans="1:5" x14ac:dyDescent="0.25">
      <c r="A1446" s="323" t="s">
        <v>1651</v>
      </c>
      <c r="B1446" s="323" t="s">
        <v>805</v>
      </c>
      <c r="C1446" s="323">
        <v>40803</v>
      </c>
      <c r="D1446" s="323">
        <v>185</v>
      </c>
      <c r="E1446" s="324">
        <f t="shared" si="22"/>
        <v>45114.100000000006</v>
      </c>
    </row>
    <row r="1447" spans="1:5" x14ac:dyDescent="0.25">
      <c r="A1447" s="323" t="s">
        <v>2275</v>
      </c>
      <c r="B1447" s="323" t="s">
        <v>805</v>
      </c>
      <c r="C1447" s="323">
        <v>40803</v>
      </c>
      <c r="D1447" s="323">
        <v>93</v>
      </c>
      <c r="E1447" s="324">
        <f t="shared" si="22"/>
        <v>22678.98</v>
      </c>
    </row>
    <row r="1448" spans="1:5" x14ac:dyDescent="0.25">
      <c r="A1448" s="323" t="s">
        <v>2484</v>
      </c>
      <c r="B1448" s="323" t="s">
        <v>805</v>
      </c>
      <c r="C1448" s="323">
        <v>40803</v>
      </c>
      <c r="D1448" s="323">
        <v>33</v>
      </c>
      <c r="E1448" s="324">
        <f t="shared" si="22"/>
        <v>8047.38</v>
      </c>
    </row>
    <row r="1449" spans="1:5" x14ac:dyDescent="0.25">
      <c r="A1449" s="323" t="s">
        <v>2520</v>
      </c>
      <c r="B1449" s="323" t="s">
        <v>805</v>
      </c>
      <c r="C1449" s="323">
        <v>40803</v>
      </c>
      <c r="D1449" s="323">
        <v>97</v>
      </c>
      <c r="E1449" s="324">
        <f t="shared" si="22"/>
        <v>23654.420000000002</v>
      </c>
    </row>
    <row r="1450" spans="1:5" x14ac:dyDescent="0.25">
      <c r="A1450" s="323" t="s">
        <v>3000</v>
      </c>
      <c r="B1450" s="323" t="s">
        <v>805</v>
      </c>
      <c r="C1450" s="323">
        <v>40803</v>
      </c>
      <c r="D1450" s="323">
        <v>151</v>
      </c>
      <c r="E1450" s="324">
        <f t="shared" si="22"/>
        <v>36822.86</v>
      </c>
    </row>
    <row r="1451" spans="1:5" x14ac:dyDescent="0.25">
      <c r="A1451" s="323" t="s">
        <v>3068</v>
      </c>
      <c r="B1451" s="323" t="s">
        <v>805</v>
      </c>
      <c r="C1451" s="323">
        <v>40803</v>
      </c>
      <c r="D1451" s="323">
        <v>169</v>
      </c>
      <c r="E1451" s="324">
        <f t="shared" si="22"/>
        <v>41212.340000000004</v>
      </c>
    </row>
    <row r="1452" spans="1:5" x14ac:dyDescent="0.25">
      <c r="A1452" s="323" t="s">
        <v>3118</v>
      </c>
      <c r="B1452" s="323" t="s">
        <v>805</v>
      </c>
      <c r="C1452" s="323">
        <v>40803</v>
      </c>
      <c r="D1452" s="323">
        <v>35</v>
      </c>
      <c r="E1452" s="324">
        <f t="shared" si="22"/>
        <v>8535.1</v>
      </c>
    </row>
    <row r="1453" spans="1:5" x14ac:dyDescent="0.25">
      <c r="A1453" s="323" t="s">
        <v>4278</v>
      </c>
      <c r="B1453" s="323" t="s">
        <v>805</v>
      </c>
      <c r="C1453" s="323">
        <v>40803</v>
      </c>
      <c r="D1453" s="323">
        <v>135</v>
      </c>
      <c r="E1453" s="324">
        <f t="shared" si="22"/>
        <v>32921.1</v>
      </c>
    </row>
    <row r="1454" spans="1:5" x14ac:dyDescent="0.25">
      <c r="A1454" s="323" t="s">
        <v>4598</v>
      </c>
      <c r="B1454" s="323" t="s">
        <v>805</v>
      </c>
      <c r="C1454" s="323">
        <v>40803</v>
      </c>
      <c r="D1454" s="323">
        <v>336</v>
      </c>
      <c r="E1454" s="324">
        <f t="shared" si="22"/>
        <v>81936.960000000006</v>
      </c>
    </row>
    <row r="1455" spans="1:5" x14ac:dyDescent="0.25">
      <c r="A1455" s="323" t="s">
        <v>4682</v>
      </c>
      <c r="B1455" s="323" t="s">
        <v>805</v>
      </c>
      <c r="C1455" s="323">
        <v>40803</v>
      </c>
      <c r="D1455" s="323">
        <v>217</v>
      </c>
      <c r="E1455" s="324">
        <f t="shared" si="22"/>
        <v>52917.62</v>
      </c>
    </row>
    <row r="1456" spans="1:5" x14ac:dyDescent="0.25">
      <c r="A1456" s="323" t="s">
        <v>4742</v>
      </c>
      <c r="B1456" s="323" t="s">
        <v>805</v>
      </c>
      <c r="C1456" s="323">
        <v>40803</v>
      </c>
      <c r="D1456" s="323">
        <v>169</v>
      </c>
      <c r="E1456" s="324">
        <f t="shared" si="22"/>
        <v>41212.340000000004</v>
      </c>
    </row>
    <row r="1457" spans="1:5" x14ac:dyDescent="0.25">
      <c r="A1457" s="323" t="s">
        <v>4860</v>
      </c>
      <c r="B1457" s="323" t="s">
        <v>805</v>
      </c>
      <c r="C1457" s="323">
        <v>40803</v>
      </c>
      <c r="D1457" s="323">
        <v>104</v>
      </c>
      <c r="E1457" s="324">
        <f t="shared" si="22"/>
        <v>25361.440000000002</v>
      </c>
    </row>
    <row r="1458" spans="1:5" x14ac:dyDescent="0.25">
      <c r="A1458" s="323" t="s">
        <v>5135</v>
      </c>
      <c r="B1458" s="323" t="s">
        <v>816</v>
      </c>
      <c r="C1458" s="323">
        <v>40803</v>
      </c>
      <c r="D1458" s="323">
        <v>78</v>
      </c>
      <c r="E1458" s="324">
        <f t="shared" si="22"/>
        <v>28531.620000000003</v>
      </c>
    </row>
    <row r="1459" spans="1:5" x14ac:dyDescent="0.25">
      <c r="A1459" s="323" t="s">
        <v>5170</v>
      </c>
      <c r="B1459" s="323" t="s">
        <v>805</v>
      </c>
      <c r="C1459" s="323">
        <v>40803</v>
      </c>
      <c r="D1459" s="323">
        <v>174</v>
      </c>
      <c r="E1459" s="324">
        <f t="shared" si="22"/>
        <v>42431.64</v>
      </c>
    </row>
    <row r="1460" spans="1:5" x14ac:dyDescent="0.25">
      <c r="A1460" s="323" t="s">
        <v>5829</v>
      </c>
      <c r="B1460" s="323" t="s">
        <v>805</v>
      </c>
      <c r="C1460" s="323">
        <v>40803</v>
      </c>
      <c r="D1460" s="323">
        <v>224</v>
      </c>
      <c r="E1460" s="324">
        <f t="shared" si="22"/>
        <v>54624.639999999999</v>
      </c>
    </row>
    <row r="1461" spans="1:5" x14ac:dyDescent="0.25">
      <c r="A1461" s="323" t="s">
        <v>6081</v>
      </c>
      <c r="B1461" s="323" t="s">
        <v>805</v>
      </c>
      <c r="C1461" s="323">
        <v>40803</v>
      </c>
      <c r="D1461" s="323">
        <v>182</v>
      </c>
      <c r="E1461" s="324">
        <f t="shared" si="22"/>
        <v>44382.520000000004</v>
      </c>
    </row>
    <row r="1462" spans="1:5" x14ac:dyDescent="0.25">
      <c r="A1462" s="323" t="s">
        <v>6097</v>
      </c>
      <c r="B1462" s="323" t="s">
        <v>805</v>
      </c>
      <c r="C1462" s="323">
        <v>40803</v>
      </c>
      <c r="D1462" s="323">
        <v>238</v>
      </c>
      <c r="E1462" s="324">
        <f t="shared" si="22"/>
        <v>58038.68</v>
      </c>
    </row>
    <row r="1463" spans="1:5" x14ac:dyDescent="0.25">
      <c r="A1463" s="323" t="s">
        <v>6113</v>
      </c>
      <c r="B1463" s="323" t="s">
        <v>805</v>
      </c>
      <c r="C1463" s="323">
        <v>40803</v>
      </c>
      <c r="D1463" s="323">
        <v>104</v>
      </c>
      <c r="E1463" s="324">
        <f t="shared" si="22"/>
        <v>25361.440000000002</v>
      </c>
    </row>
    <row r="1464" spans="1:5" x14ac:dyDescent="0.25">
      <c r="A1464" s="323" t="s">
        <v>1671</v>
      </c>
      <c r="B1464" s="323" t="s">
        <v>805</v>
      </c>
      <c r="C1464" s="323">
        <v>40804</v>
      </c>
      <c r="D1464" s="323">
        <v>92</v>
      </c>
      <c r="E1464" s="324">
        <f t="shared" si="22"/>
        <v>22435.120000000003</v>
      </c>
    </row>
    <row r="1465" spans="1:5" x14ac:dyDescent="0.25">
      <c r="A1465" s="323" t="s">
        <v>848</v>
      </c>
      <c r="B1465" s="323" t="s">
        <v>816</v>
      </c>
      <c r="C1465" s="323">
        <v>40812</v>
      </c>
      <c r="D1465" s="323">
        <v>142</v>
      </c>
      <c r="E1465" s="324">
        <f t="shared" si="22"/>
        <v>51942.18</v>
      </c>
    </row>
    <row r="1466" spans="1:5" x14ac:dyDescent="0.25">
      <c r="A1466" s="323" t="s">
        <v>1316</v>
      </c>
      <c r="B1466" s="323" t="s">
        <v>805</v>
      </c>
      <c r="C1466" s="323">
        <v>40812</v>
      </c>
      <c r="D1466" s="323">
        <v>154</v>
      </c>
      <c r="E1466" s="324">
        <f t="shared" si="22"/>
        <v>37554.44</v>
      </c>
    </row>
    <row r="1467" spans="1:5" x14ac:dyDescent="0.25">
      <c r="A1467" s="323" t="s">
        <v>1831</v>
      </c>
      <c r="B1467" s="323" t="s">
        <v>805</v>
      </c>
      <c r="C1467" s="323">
        <v>40812</v>
      </c>
      <c r="D1467" s="323">
        <v>133</v>
      </c>
      <c r="E1467" s="324">
        <f t="shared" si="22"/>
        <v>32433.38</v>
      </c>
    </row>
    <row r="1468" spans="1:5" x14ac:dyDescent="0.25">
      <c r="A1468" s="323" t="s">
        <v>1832</v>
      </c>
      <c r="B1468" s="323" t="s">
        <v>805</v>
      </c>
      <c r="C1468" s="323">
        <v>40812</v>
      </c>
      <c r="D1468" s="323">
        <v>171</v>
      </c>
      <c r="E1468" s="324">
        <f t="shared" si="22"/>
        <v>41700.060000000005</v>
      </c>
    </row>
    <row r="1469" spans="1:5" x14ac:dyDescent="0.25">
      <c r="A1469" s="323" t="s">
        <v>1878</v>
      </c>
      <c r="B1469" s="323" t="s">
        <v>805</v>
      </c>
      <c r="C1469" s="323">
        <v>40812</v>
      </c>
      <c r="D1469" s="323">
        <v>270</v>
      </c>
      <c r="E1469" s="324">
        <f t="shared" si="22"/>
        <v>65842.2</v>
      </c>
    </row>
    <row r="1470" spans="1:5" x14ac:dyDescent="0.25">
      <c r="A1470" s="323" t="s">
        <v>2830</v>
      </c>
      <c r="B1470" s="323" t="s">
        <v>805</v>
      </c>
      <c r="C1470" s="323">
        <v>40812</v>
      </c>
      <c r="D1470" s="323">
        <v>189</v>
      </c>
      <c r="E1470" s="324">
        <f t="shared" si="22"/>
        <v>46089.54</v>
      </c>
    </row>
    <row r="1471" spans="1:5" x14ac:dyDescent="0.25">
      <c r="A1471" s="323" t="s">
        <v>3074</v>
      </c>
      <c r="B1471" s="323" t="s">
        <v>805</v>
      </c>
      <c r="C1471" s="323">
        <v>40812</v>
      </c>
      <c r="D1471" s="323">
        <v>65</v>
      </c>
      <c r="E1471" s="324">
        <f t="shared" si="22"/>
        <v>15850.900000000001</v>
      </c>
    </row>
    <row r="1472" spans="1:5" x14ac:dyDescent="0.25">
      <c r="A1472" s="323" t="s">
        <v>3442</v>
      </c>
      <c r="B1472" s="323" t="s">
        <v>805</v>
      </c>
      <c r="C1472" s="323">
        <v>40812</v>
      </c>
      <c r="D1472" s="323">
        <v>157</v>
      </c>
      <c r="E1472" s="324">
        <f t="shared" si="22"/>
        <v>38286.020000000004</v>
      </c>
    </row>
    <row r="1473" spans="1:5" x14ac:dyDescent="0.25">
      <c r="A1473" s="323" t="s">
        <v>3445</v>
      </c>
      <c r="B1473" s="323" t="s">
        <v>805</v>
      </c>
      <c r="C1473" s="323">
        <v>40812</v>
      </c>
      <c r="D1473" s="323">
        <v>159</v>
      </c>
      <c r="E1473" s="324">
        <f t="shared" si="22"/>
        <v>38773.740000000005</v>
      </c>
    </row>
    <row r="1474" spans="1:5" x14ac:dyDescent="0.25">
      <c r="A1474" s="323" t="s">
        <v>3719</v>
      </c>
      <c r="B1474" s="323" t="s">
        <v>805</v>
      </c>
      <c r="C1474" s="323">
        <v>40812</v>
      </c>
      <c r="D1474" s="323">
        <v>136</v>
      </c>
      <c r="E1474" s="324">
        <f t="shared" ref="E1474:E1537" si="23">D1474*IF(B1474=$G$9,WerkdrukbedragPerLeerlingBo,IF(B1474=$G$10,WerkdrukbedragPerLeerlingSbo,IF(B1474=$G$11,WerkdrukbedragPerLeerlingSo,IF(B1474=$G$12,WerkdrukbedragPerLeerlingVso,0))))</f>
        <v>33164.959999999999</v>
      </c>
    </row>
    <row r="1475" spans="1:5" x14ac:dyDescent="0.25">
      <c r="A1475" s="323" t="s">
        <v>3932</v>
      </c>
      <c r="B1475" s="323" t="s">
        <v>805</v>
      </c>
      <c r="C1475" s="323">
        <v>40812</v>
      </c>
      <c r="D1475" s="323">
        <v>159</v>
      </c>
      <c r="E1475" s="324">
        <f t="shared" si="23"/>
        <v>38773.740000000005</v>
      </c>
    </row>
    <row r="1476" spans="1:5" x14ac:dyDescent="0.25">
      <c r="A1476" s="323" t="s">
        <v>3974</v>
      </c>
      <c r="B1476" s="323" t="s">
        <v>805</v>
      </c>
      <c r="C1476" s="323">
        <v>40812</v>
      </c>
      <c r="D1476" s="323">
        <v>235</v>
      </c>
      <c r="E1476" s="324">
        <f t="shared" si="23"/>
        <v>57307.100000000006</v>
      </c>
    </row>
    <row r="1477" spans="1:5" x14ac:dyDescent="0.25">
      <c r="A1477" s="323" t="s">
        <v>5211</v>
      </c>
      <c r="B1477" s="323" t="s">
        <v>805</v>
      </c>
      <c r="C1477" s="323">
        <v>40812</v>
      </c>
      <c r="D1477" s="323">
        <v>205</v>
      </c>
      <c r="E1477" s="324">
        <f t="shared" si="23"/>
        <v>49991.3</v>
      </c>
    </row>
    <row r="1478" spans="1:5" x14ac:dyDescent="0.25">
      <c r="A1478" s="323" t="s">
        <v>5274</v>
      </c>
      <c r="B1478" s="323" t="s">
        <v>805</v>
      </c>
      <c r="C1478" s="323">
        <v>40812</v>
      </c>
      <c r="D1478" s="323">
        <v>151</v>
      </c>
      <c r="E1478" s="324">
        <f t="shared" si="23"/>
        <v>36822.86</v>
      </c>
    </row>
    <row r="1479" spans="1:5" x14ac:dyDescent="0.25">
      <c r="A1479" s="323" t="s">
        <v>5275</v>
      </c>
      <c r="B1479" s="323" t="s">
        <v>805</v>
      </c>
      <c r="C1479" s="323">
        <v>40812</v>
      </c>
      <c r="D1479" s="323">
        <v>225</v>
      </c>
      <c r="E1479" s="324">
        <f t="shared" si="23"/>
        <v>54868.5</v>
      </c>
    </row>
    <row r="1480" spans="1:5" x14ac:dyDescent="0.25">
      <c r="A1480" s="323" t="s">
        <v>5311</v>
      </c>
      <c r="B1480" s="323" t="s">
        <v>805</v>
      </c>
      <c r="C1480" s="323">
        <v>40812</v>
      </c>
      <c r="D1480" s="323">
        <v>125</v>
      </c>
      <c r="E1480" s="324">
        <f t="shared" si="23"/>
        <v>30482.5</v>
      </c>
    </row>
    <row r="1481" spans="1:5" x14ac:dyDescent="0.25">
      <c r="A1481" s="323" t="s">
        <v>5369</v>
      </c>
      <c r="B1481" s="323" t="s">
        <v>805</v>
      </c>
      <c r="C1481" s="323">
        <v>40812</v>
      </c>
      <c r="D1481" s="323">
        <v>285</v>
      </c>
      <c r="E1481" s="324">
        <f t="shared" si="23"/>
        <v>69500.100000000006</v>
      </c>
    </row>
    <row r="1482" spans="1:5" x14ac:dyDescent="0.25">
      <c r="A1482" s="323" t="s">
        <v>5390</v>
      </c>
      <c r="B1482" s="323" t="s">
        <v>805</v>
      </c>
      <c r="C1482" s="323">
        <v>40812</v>
      </c>
      <c r="D1482" s="323">
        <v>242</v>
      </c>
      <c r="E1482" s="324">
        <f t="shared" si="23"/>
        <v>59014.12</v>
      </c>
    </row>
    <row r="1483" spans="1:5" x14ac:dyDescent="0.25">
      <c r="A1483" s="323" t="s">
        <v>5417</v>
      </c>
      <c r="B1483" s="323" t="s">
        <v>805</v>
      </c>
      <c r="C1483" s="323">
        <v>40812</v>
      </c>
      <c r="D1483" s="323">
        <v>130</v>
      </c>
      <c r="E1483" s="324">
        <f t="shared" si="23"/>
        <v>31701.800000000003</v>
      </c>
    </row>
    <row r="1484" spans="1:5" x14ac:dyDescent="0.25">
      <c r="A1484" s="323" t="s">
        <v>5443</v>
      </c>
      <c r="B1484" s="323" t="s">
        <v>805</v>
      </c>
      <c r="C1484" s="323">
        <v>40812</v>
      </c>
      <c r="D1484" s="323">
        <v>505</v>
      </c>
      <c r="E1484" s="324">
        <f t="shared" si="23"/>
        <v>123149.3</v>
      </c>
    </row>
    <row r="1485" spans="1:5" x14ac:dyDescent="0.25">
      <c r="A1485" s="323" t="s">
        <v>5499</v>
      </c>
      <c r="B1485" s="323" t="s">
        <v>805</v>
      </c>
      <c r="C1485" s="323">
        <v>40812</v>
      </c>
      <c r="D1485" s="323">
        <v>236</v>
      </c>
      <c r="E1485" s="324">
        <f t="shared" si="23"/>
        <v>57550.960000000006</v>
      </c>
    </row>
    <row r="1486" spans="1:5" x14ac:dyDescent="0.25">
      <c r="A1486" s="323" t="s">
        <v>5517</v>
      </c>
      <c r="B1486" s="323" t="s">
        <v>805</v>
      </c>
      <c r="C1486" s="323">
        <v>40812</v>
      </c>
      <c r="D1486" s="323">
        <v>190</v>
      </c>
      <c r="E1486" s="324">
        <f t="shared" si="23"/>
        <v>46333.4</v>
      </c>
    </row>
    <row r="1487" spans="1:5" x14ac:dyDescent="0.25">
      <c r="A1487" s="323" t="s">
        <v>6811</v>
      </c>
      <c r="B1487" s="323" t="s">
        <v>805</v>
      </c>
      <c r="C1487" s="323">
        <v>40812</v>
      </c>
      <c r="D1487" s="323">
        <v>444</v>
      </c>
      <c r="E1487" s="324">
        <f t="shared" si="23"/>
        <v>108273.84000000001</v>
      </c>
    </row>
    <row r="1488" spans="1:5" x14ac:dyDescent="0.25">
      <c r="A1488" s="323" t="s">
        <v>7302</v>
      </c>
      <c r="B1488" s="323" t="s">
        <v>805</v>
      </c>
      <c r="C1488" s="323">
        <v>40812</v>
      </c>
      <c r="D1488" s="323">
        <v>419</v>
      </c>
      <c r="E1488" s="324">
        <f t="shared" si="23"/>
        <v>102177.34000000001</v>
      </c>
    </row>
    <row r="1489" spans="1:5" x14ac:dyDescent="0.25">
      <c r="A1489" s="323" t="s">
        <v>7374</v>
      </c>
      <c r="B1489" s="323" t="s">
        <v>805</v>
      </c>
      <c r="C1489" s="323">
        <v>40812</v>
      </c>
      <c r="D1489" s="323">
        <v>406</v>
      </c>
      <c r="E1489" s="324">
        <f t="shared" si="23"/>
        <v>99007.16</v>
      </c>
    </row>
    <row r="1490" spans="1:5" x14ac:dyDescent="0.25">
      <c r="A1490" s="323" t="s">
        <v>1235</v>
      </c>
      <c r="B1490" s="323" t="s">
        <v>805</v>
      </c>
      <c r="C1490" s="323">
        <v>40814</v>
      </c>
      <c r="D1490" s="323">
        <v>310</v>
      </c>
      <c r="E1490" s="324">
        <f t="shared" si="23"/>
        <v>75596.600000000006</v>
      </c>
    </row>
    <row r="1491" spans="1:5" x14ac:dyDescent="0.25">
      <c r="A1491" s="323" t="s">
        <v>1244</v>
      </c>
      <c r="B1491" s="323" t="s">
        <v>805</v>
      </c>
      <c r="C1491" s="323">
        <v>40814</v>
      </c>
      <c r="D1491" s="323">
        <v>57</v>
      </c>
      <c r="E1491" s="324">
        <f t="shared" si="23"/>
        <v>13900.02</v>
      </c>
    </row>
    <row r="1492" spans="1:5" x14ac:dyDescent="0.25">
      <c r="A1492" s="323" t="s">
        <v>1748</v>
      </c>
      <c r="B1492" s="323" t="s">
        <v>805</v>
      </c>
      <c r="C1492" s="323">
        <v>40814</v>
      </c>
      <c r="D1492" s="323">
        <v>177</v>
      </c>
      <c r="E1492" s="324">
        <f t="shared" si="23"/>
        <v>43163.22</v>
      </c>
    </row>
    <row r="1493" spans="1:5" x14ac:dyDescent="0.25">
      <c r="A1493" s="323" t="s">
        <v>1757</v>
      </c>
      <c r="B1493" s="323" t="s">
        <v>805</v>
      </c>
      <c r="C1493" s="323">
        <v>40814</v>
      </c>
      <c r="D1493" s="323">
        <v>131</v>
      </c>
      <c r="E1493" s="324">
        <f t="shared" si="23"/>
        <v>31945.660000000003</v>
      </c>
    </row>
    <row r="1494" spans="1:5" x14ac:dyDescent="0.25">
      <c r="A1494" s="323" t="s">
        <v>1758</v>
      </c>
      <c r="B1494" s="323" t="s">
        <v>805</v>
      </c>
      <c r="C1494" s="323">
        <v>40814</v>
      </c>
      <c r="D1494" s="323">
        <v>166</v>
      </c>
      <c r="E1494" s="324">
        <f t="shared" si="23"/>
        <v>40480.76</v>
      </c>
    </row>
    <row r="1495" spans="1:5" x14ac:dyDescent="0.25">
      <c r="A1495" s="323" t="s">
        <v>1811</v>
      </c>
      <c r="B1495" s="323" t="s">
        <v>805</v>
      </c>
      <c r="C1495" s="323">
        <v>40814</v>
      </c>
      <c r="D1495" s="323">
        <v>112</v>
      </c>
      <c r="E1495" s="324">
        <f t="shared" si="23"/>
        <v>27312.32</v>
      </c>
    </row>
    <row r="1496" spans="1:5" x14ac:dyDescent="0.25">
      <c r="A1496" s="323" t="s">
        <v>2501</v>
      </c>
      <c r="B1496" s="323" t="s">
        <v>805</v>
      </c>
      <c r="C1496" s="323">
        <v>40814</v>
      </c>
      <c r="D1496" s="323">
        <v>55</v>
      </c>
      <c r="E1496" s="324">
        <f t="shared" si="23"/>
        <v>13412.300000000001</v>
      </c>
    </row>
    <row r="1497" spans="1:5" x14ac:dyDescent="0.25">
      <c r="A1497" s="323" t="s">
        <v>2857</v>
      </c>
      <c r="B1497" s="323" t="s">
        <v>805</v>
      </c>
      <c r="C1497" s="323">
        <v>40814</v>
      </c>
      <c r="D1497" s="323">
        <v>353</v>
      </c>
      <c r="E1497" s="324">
        <f t="shared" si="23"/>
        <v>86082.58</v>
      </c>
    </row>
    <row r="1498" spans="1:5" x14ac:dyDescent="0.25">
      <c r="A1498" s="323" t="s">
        <v>3303</v>
      </c>
      <c r="B1498" s="323" t="s">
        <v>805</v>
      </c>
      <c r="C1498" s="323">
        <v>40814</v>
      </c>
      <c r="D1498" s="323">
        <v>269</v>
      </c>
      <c r="E1498" s="324">
        <f t="shared" si="23"/>
        <v>65598.34</v>
      </c>
    </row>
    <row r="1499" spans="1:5" x14ac:dyDescent="0.25">
      <c r="A1499" s="323" t="s">
        <v>3607</v>
      </c>
      <c r="B1499" s="323" t="s">
        <v>805</v>
      </c>
      <c r="C1499" s="323">
        <v>40814</v>
      </c>
      <c r="D1499" s="323">
        <v>121</v>
      </c>
      <c r="E1499" s="324">
        <f t="shared" si="23"/>
        <v>29507.06</v>
      </c>
    </row>
    <row r="1500" spans="1:5" x14ac:dyDescent="0.25">
      <c r="A1500" s="323" t="s">
        <v>931</v>
      </c>
      <c r="B1500" s="323" t="s">
        <v>809</v>
      </c>
      <c r="C1500" s="323">
        <v>40837</v>
      </c>
      <c r="D1500" s="323">
        <v>111</v>
      </c>
      <c r="E1500" s="324">
        <f t="shared" si="23"/>
        <v>54136.920000000006</v>
      </c>
    </row>
    <row r="1501" spans="1:5" x14ac:dyDescent="0.25">
      <c r="A1501" s="323" t="s">
        <v>931</v>
      </c>
      <c r="B1501" s="323" t="s">
        <v>803</v>
      </c>
      <c r="C1501" s="323">
        <v>40837</v>
      </c>
      <c r="D1501" s="323">
        <v>28</v>
      </c>
      <c r="E1501" s="324">
        <f t="shared" si="23"/>
        <v>13656.16</v>
      </c>
    </row>
    <row r="1502" spans="1:5" x14ac:dyDescent="0.25">
      <c r="A1502" s="323" t="s">
        <v>933</v>
      </c>
      <c r="B1502" s="323" t="s">
        <v>809</v>
      </c>
      <c r="C1502" s="323">
        <v>40837</v>
      </c>
      <c r="D1502" s="323">
        <v>164</v>
      </c>
      <c r="E1502" s="324">
        <f t="shared" si="23"/>
        <v>79986.080000000002</v>
      </c>
    </row>
    <row r="1503" spans="1:5" x14ac:dyDescent="0.25">
      <c r="A1503" s="323" t="s">
        <v>933</v>
      </c>
      <c r="B1503" s="323" t="s">
        <v>803</v>
      </c>
      <c r="C1503" s="323">
        <v>40837</v>
      </c>
      <c r="D1503" s="323">
        <v>445</v>
      </c>
      <c r="E1503" s="324">
        <f t="shared" si="23"/>
        <v>217035.40000000002</v>
      </c>
    </row>
    <row r="1504" spans="1:5" x14ac:dyDescent="0.25">
      <c r="A1504" s="323" t="s">
        <v>958</v>
      </c>
      <c r="B1504" s="323" t="s">
        <v>809</v>
      </c>
      <c r="C1504" s="323">
        <v>40837</v>
      </c>
      <c r="D1504" s="323">
        <v>134</v>
      </c>
      <c r="E1504" s="324">
        <f t="shared" si="23"/>
        <v>65354.48</v>
      </c>
    </row>
    <row r="1505" spans="1:5" x14ac:dyDescent="0.25">
      <c r="A1505" s="323" t="s">
        <v>958</v>
      </c>
      <c r="B1505" s="323" t="s">
        <v>803</v>
      </c>
      <c r="C1505" s="323">
        <v>40837</v>
      </c>
      <c r="D1505" s="323">
        <v>171</v>
      </c>
      <c r="E1505" s="324">
        <f t="shared" si="23"/>
        <v>83400.12000000001</v>
      </c>
    </row>
    <row r="1506" spans="1:5" x14ac:dyDescent="0.25">
      <c r="A1506" s="323" t="s">
        <v>1592</v>
      </c>
      <c r="B1506" s="323" t="s">
        <v>805</v>
      </c>
      <c r="C1506" s="323">
        <v>40843</v>
      </c>
      <c r="D1506" s="323">
        <v>182</v>
      </c>
      <c r="E1506" s="324">
        <f t="shared" si="23"/>
        <v>44382.520000000004</v>
      </c>
    </row>
    <row r="1507" spans="1:5" x14ac:dyDescent="0.25">
      <c r="A1507" s="323" t="s">
        <v>3866</v>
      </c>
      <c r="B1507" s="323" t="s">
        <v>805</v>
      </c>
      <c r="C1507" s="323">
        <v>40843</v>
      </c>
      <c r="D1507" s="323">
        <v>165</v>
      </c>
      <c r="E1507" s="324">
        <f t="shared" si="23"/>
        <v>40236.9</v>
      </c>
    </row>
    <row r="1508" spans="1:5" x14ac:dyDescent="0.25">
      <c r="A1508" s="323" t="s">
        <v>4040</v>
      </c>
      <c r="B1508" s="323" t="s">
        <v>805</v>
      </c>
      <c r="C1508" s="323">
        <v>40843</v>
      </c>
      <c r="D1508" s="323">
        <v>177</v>
      </c>
      <c r="E1508" s="324">
        <f t="shared" si="23"/>
        <v>43163.22</v>
      </c>
    </row>
    <row r="1509" spans="1:5" x14ac:dyDescent="0.25">
      <c r="A1509" s="323" t="s">
        <v>6342</v>
      </c>
      <c r="B1509" s="323" t="s">
        <v>805</v>
      </c>
      <c r="C1509" s="323">
        <v>40843</v>
      </c>
      <c r="D1509" s="323">
        <v>204</v>
      </c>
      <c r="E1509" s="324">
        <f t="shared" si="23"/>
        <v>49747.44</v>
      </c>
    </row>
    <row r="1510" spans="1:5" x14ac:dyDescent="0.25">
      <c r="A1510" s="323" t="s">
        <v>6355</v>
      </c>
      <c r="B1510" s="323" t="s">
        <v>805</v>
      </c>
      <c r="C1510" s="323">
        <v>40843</v>
      </c>
      <c r="D1510" s="323">
        <v>223</v>
      </c>
      <c r="E1510" s="324">
        <f t="shared" si="23"/>
        <v>54380.780000000006</v>
      </c>
    </row>
    <row r="1511" spans="1:5" x14ac:dyDescent="0.25">
      <c r="A1511" s="323" t="s">
        <v>1200</v>
      </c>
      <c r="B1511" s="323" t="s">
        <v>805</v>
      </c>
      <c r="C1511" s="323">
        <v>40848</v>
      </c>
      <c r="D1511" s="323">
        <v>230</v>
      </c>
      <c r="E1511" s="324">
        <f t="shared" si="23"/>
        <v>56087.8</v>
      </c>
    </row>
    <row r="1512" spans="1:5" x14ac:dyDescent="0.25">
      <c r="A1512" s="323" t="s">
        <v>1609</v>
      </c>
      <c r="B1512" s="323" t="s">
        <v>805</v>
      </c>
      <c r="C1512" s="323">
        <v>40848</v>
      </c>
      <c r="D1512" s="323">
        <v>229</v>
      </c>
      <c r="E1512" s="324">
        <f t="shared" si="23"/>
        <v>55843.94</v>
      </c>
    </row>
    <row r="1513" spans="1:5" x14ac:dyDescent="0.25">
      <c r="A1513" s="323" t="s">
        <v>1660</v>
      </c>
      <c r="B1513" s="323" t="s">
        <v>805</v>
      </c>
      <c r="C1513" s="323">
        <v>40848</v>
      </c>
      <c r="D1513" s="323">
        <v>163</v>
      </c>
      <c r="E1513" s="324">
        <f t="shared" si="23"/>
        <v>39749.18</v>
      </c>
    </row>
    <row r="1514" spans="1:5" x14ac:dyDescent="0.25">
      <c r="A1514" s="323" t="s">
        <v>1680</v>
      </c>
      <c r="B1514" s="323" t="s">
        <v>805</v>
      </c>
      <c r="C1514" s="323">
        <v>40848</v>
      </c>
      <c r="D1514" s="323">
        <v>243</v>
      </c>
      <c r="E1514" s="324">
        <f t="shared" si="23"/>
        <v>59257.98</v>
      </c>
    </row>
    <row r="1515" spans="1:5" x14ac:dyDescent="0.25">
      <c r="A1515" s="323" t="s">
        <v>1727</v>
      </c>
      <c r="B1515" s="323" t="s">
        <v>805</v>
      </c>
      <c r="C1515" s="323">
        <v>40848</v>
      </c>
      <c r="D1515" s="323">
        <v>320</v>
      </c>
      <c r="E1515" s="324">
        <f t="shared" si="23"/>
        <v>78035.200000000012</v>
      </c>
    </row>
    <row r="1516" spans="1:5" x14ac:dyDescent="0.25">
      <c r="A1516" s="323" t="s">
        <v>1838</v>
      </c>
      <c r="B1516" s="323" t="s">
        <v>805</v>
      </c>
      <c r="C1516" s="323">
        <v>40848</v>
      </c>
      <c r="D1516" s="323">
        <v>323</v>
      </c>
      <c r="E1516" s="324">
        <f t="shared" si="23"/>
        <v>78766.78</v>
      </c>
    </row>
    <row r="1517" spans="1:5" x14ac:dyDescent="0.25">
      <c r="A1517" s="323" t="s">
        <v>2482</v>
      </c>
      <c r="B1517" s="323" t="s">
        <v>805</v>
      </c>
      <c r="C1517" s="323">
        <v>40848</v>
      </c>
      <c r="D1517" s="323">
        <v>161</v>
      </c>
      <c r="E1517" s="324">
        <f t="shared" si="23"/>
        <v>39261.46</v>
      </c>
    </row>
    <row r="1518" spans="1:5" x14ac:dyDescent="0.25">
      <c r="A1518" s="323" t="s">
        <v>2585</v>
      </c>
      <c r="B1518" s="323" t="s">
        <v>805</v>
      </c>
      <c r="C1518" s="323">
        <v>40848</v>
      </c>
      <c r="D1518" s="323">
        <v>101</v>
      </c>
      <c r="E1518" s="324">
        <f t="shared" si="23"/>
        <v>24629.86</v>
      </c>
    </row>
    <row r="1519" spans="1:5" x14ac:dyDescent="0.25">
      <c r="A1519" s="323" t="s">
        <v>2758</v>
      </c>
      <c r="B1519" s="323" t="s">
        <v>805</v>
      </c>
      <c r="C1519" s="323">
        <v>40848</v>
      </c>
      <c r="D1519" s="323">
        <v>164</v>
      </c>
      <c r="E1519" s="324">
        <f t="shared" si="23"/>
        <v>39993.040000000001</v>
      </c>
    </row>
    <row r="1520" spans="1:5" x14ac:dyDescent="0.25">
      <c r="A1520" s="323" t="s">
        <v>3105</v>
      </c>
      <c r="B1520" s="323" t="s">
        <v>805</v>
      </c>
      <c r="C1520" s="323">
        <v>40848</v>
      </c>
      <c r="D1520" s="323">
        <v>280</v>
      </c>
      <c r="E1520" s="324">
        <f t="shared" si="23"/>
        <v>68280.800000000003</v>
      </c>
    </row>
    <row r="1521" spans="1:5" x14ac:dyDescent="0.25">
      <c r="A1521" s="323" t="s">
        <v>3169</v>
      </c>
      <c r="B1521" s="323" t="s">
        <v>805</v>
      </c>
      <c r="C1521" s="323">
        <v>40848</v>
      </c>
      <c r="D1521" s="323">
        <v>161</v>
      </c>
      <c r="E1521" s="324">
        <f t="shared" si="23"/>
        <v>39261.46</v>
      </c>
    </row>
    <row r="1522" spans="1:5" x14ac:dyDescent="0.25">
      <c r="A1522" s="323" t="s">
        <v>3262</v>
      </c>
      <c r="B1522" s="323" t="s">
        <v>805</v>
      </c>
      <c r="C1522" s="323">
        <v>40848</v>
      </c>
      <c r="D1522" s="323">
        <v>480</v>
      </c>
      <c r="E1522" s="324">
        <f t="shared" si="23"/>
        <v>117052.8</v>
      </c>
    </row>
    <row r="1523" spans="1:5" x14ac:dyDescent="0.25">
      <c r="A1523" s="323" t="s">
        <v>1007</v>
      </c>
      <c r="B1523" s="323" t="s">
        <v>816</v>
      </c>
      <c r="C1523" s="323">
        <v>40851</v>
      </c>
      <c r="D1523" s="323">
        <v>197</v>
      </c>
      <c r="E1523" s="324">
        <f t="shared" si="23"/>
        <v>72060.63</v>
      </c>
    </row>
    <row r="1524" spans="1:5" x14ac:dyDescent="0.25">
      <c r="A1524" s="323" t="s">
        <v>5142</v>
      </c>
      <c r="B1524" s="323" t="s">
        <v>809</v>
      </c>
      <c r="C1524" s="323">
        <v>40851</v>
      </c>
      <c r="D1524" s="323">
        <v>65</v>
      </c>
      <c r="E1524" s="324">
        <f t="shared" si="23"/>
        <v>31701.800000000003</v>
      </c>
    </row>
    <row r="1525" spans="1:5" x14ac:dyDescent="0.25">
      <c r="A1525" s="323" t="s">
        <v>5142</v>
      </c>
      <c r="B1525" s="323" t="s">
        <v>803</v>
      </c>
      <c r="C1525" s="323">
        <v>40851</v>
      </c>
      <c r="D1525" s="323">
        <v>70</v>
      </c>
      <c r="E1525" s="324">
        <f t="shared" si="23"/>
        <v>34140.400000000001</v>
      </c>
    </row>
    <row r="1526" spans="1:5" x14ac:dyDescent="0.25">
      <c r="A1526" s="323" t="s">
        <v>5143</v>
      </c>
      <c r="B1526" s="323" t="s">
        <v>816</v>
      </c>
      <c r="C1526" s="323">
        <v>40851</v>
      </c>
      <c r="D1526" s="323">
        <v>166</v>
      </c>
      <c r="E1526" s="324">
        <f t="shared" si="23"/>
        <v>60721.140000000007</v>
      </c>
    </row>
    <row r="1527" spans="1:5" x14ac:dyDescent="0.25">
      <c r="A1527" s="323" t="s">
        <v>2953</v>
      </c>
      <c r="B1527" s="323" t="s">
        <v>805</v>
      </c>
      <c r="C1527" s="323">
        <v>40862</v>
      </c>
      <c r="D1527" s="323">
        <v>98</v>
      </c>
      <c r="E1527" s="324">
        <f t="shared" si="23"/>
        <v>23898.280000000002</v>
      </c>
    </row>
    <row r="1528" spans="1:5" x14ac:dyDescent="0.25">
      <c r="A1528" s="323" t="s">
        <v>4420</v>
      </c>
      <c r="B1528" s="323" t="s">
        <v>805</v>
      </c>
      <c r="C1528" s="323">
        <v>40862</v>
      </c>
      <c r="D1528" s="323">
        <v>144</v>
      </c>
      <c r="E1528" s="324">
        <f t="shared" si="23"/>
        <v>35115.840000000004</v>
      </c>
    </row>
    <row r="1529" spans="1:5" x14ac:dyDescent="0.25">
      <c r="A1529" s="323" t="s">
        <v>4622</v>
      </c>
      <c r="B1529" s="323" t="s">
        <v>805</v>
      </c>
      <c r="C1529" s="323">
        <v>40862</v>
      </c>
      <c r="D1529" s="323">
        <v>33</v>
      </c>
      <c r="E1529" s="324">
        <f t="shared" si="23"/>
        <v>8047.38</v>
      </c>
    </row>
    <row r="1530" spans="1:5" x14ac:dyDescent="0.25">
      <c r="A1530" s="323" t="s">
        <v>4763</v>
      </c>
      <c r="B1530" s="323" t="s">
        <v>805</v>
      </c>
      <c r="C1530" s="323">
        <v>40862</v>
      </c>
      <c r="D1530" s="323">
        <v>104</v>
      </c>
      <c r="E1530" s="324">
        <f t="shared" si="23"/>
        <v>25361.440000000002</v>
      </c>
    </row>
    <row r="1531" spans="1:5" x14ac:dyDescent="0.25">
      <c r="A1531" s="323" t="s">
        <v>4825</v>
      </c>
      <c r="B1531" s="323" t="s">
        <v>805</v>
      </c>
      <c r="C1531" s="323">
        <v>40862</v>
      </c>
      <c r="D1531" s="323">
        <v>125</v>
      </c>
      <c r="E1531" s="324">
        <f t="shared" si="23"/>
        <v>30482.5</v>
      </c>
    </row>
    <row r="1532" spans="1:5" x14ac:dyDescent="0.25">
      <c r="A1532" s="323" t="s">
        <v>4871</v>
      </c>
      <c r="B1532" s="323" t="s">
        <v>805</v>
      </c>
      <c r="C1532" s="323">
        <v>40862</v>
      </c>
      <c r="D1532" s="323">
        <v>194</v>
      </c>
      <c r="E1532" s="324">
        <f t="shared" si="23"/>
        <v>47308.840000000004</v>
      </c>
    </row>
    <row r="1533" spans="1:5" x14ac:dyDescent="0.25">
      <c r="A1533" s="323" t="s">
        <v>4911</v>
      </c>
      <c r="B1533" s="323" t="s">
        <v>805</v>
      </c>
      <c r="C1533" s="323">
        <v>40862</v>
      </c>
      <c r="D1533" s="323">
        <v>101</v>
      </c>
      <c r="E1533" s="324">
        <f t="shared" si="23"/>
        <v>24629.86</v>
      </c>
    </row>
    <row r="1534" spans="1:5" x14ac:dyDescent="0.25">
      <c r="A1534" s="323" t="s">
        <v>4959</v>
      </c>
      <c r="B1534" s="323" t="s">
        <v>805</v>
      </c>
      <c r="C1534" s="323">
        <v>40862</v>
      </c>
      <c r="D1534" s="323">
        <v>40</v>
      </c>
      <c r="E1534" s="324">
        <f t="shared" si="23"/>
        <v>9754.4000000000015</v>
      </c>
    </row>
    <row r="1535" spans="1:5" x14ac:dyDescent="0.25">
      <c r="A1535" s="323" t="s">
        <v>7022</v>
      </c>
      <c r="B1535" s="323" t="s">
        <v>805</v>
      </c>
      <c r="C1535" s="323">
        <v>40862</v>
      </c>
      <c r="D1535" s="323">
        <v>344</v>
      </c>
      <c r="E1535" s="324">
        <f t="shared" si="23"/>
        <v>83887.840000000011</v>
      </c>
    </row>
    <row r="1536" spans="1:5" x14ac:dyDescent="0.25">
      <c r="A1536" s="323" t="s">
        <v>951</v>
      </c>
      <c r="B1536" s="323" t="s">
        <v>805</v>
      </c>
      <c r="C1536" s="323">
        <v>40865</v>
      </c>
      <c r="D1536" s="323">
        <v>129</v>
      </c>
      <c r="E1536" s="324">
        <f t="shared" si="23"/>
        <v>31457.940000000002</v>
      </c>
    </row>
    <row r="1537" spans="1:5" x14ac:dyDescent="0.25">
      <c r="A1537" s="323" t="s">
        <v>951</v>
      </c>
      <c r="B1537" s="323" t="s">
        <v>805</v>
      </c>
      <c r="C1537" s="323">
        <v>40865</v>
      </c>
      <c r="D1537" s="323">
        <v>275</v>
      </c>
      <c r="E1537" s="324">
        <f t="shared" si="23"/>
        <v>67061.5</v>
      </c>
    </row>
    <row r="1538" spans="1:5" x14ac:dyDescent="0.25">
      <c r="A1538" s="323" t="s">
        <v>4469</v>
      </c>
      <c r="B1538" s="323" t="s">
        <v>805</v>
      </c>
      <c r="C1538" s="323">
        <v>40874</v>
      </c>
      <c r="D1538" s="323">
        <v>339</v>
      </c>
      <c r="E1538" s="324">
        <f t="shared" ref="E1538:E1601" si="24">D1538*IF(B1538=$G$9,WerkdrukbedragPerLeerlingBo,IF(B1538=$G$10,WerkdrukbedragPerLeerlingSbo,IF(B1538=$G$11,WerkdrukbedragPerLeerlingSo,IF(B1538=$G$12,WerkdrukbedragPerLeerlingVso,0))))</f>
        <v>82668.540000000008</v>
      </c>
    </row>
    <row r="1539" spans="1:5" x14ac:dyDescent="0.25">
      <c r="A1539" s="323" t="s">
        <v>4469</v>
      </c>
      <c r="B1539" s="323" t="s">
        <v>805</v>
      </c>
      <c r="C1539" s="323">
        <v>40874</v>
      </c>
      <c r="D1539" s="323">
        <v>147</v>
      </c>
      <c r="E1539" s="324">
        <f t="shared" si="24"/>
        <v>35847.420000000006</v>
      </c>
    </row>
    <row r="1540" spans="1:5" x14ac:dyDescent="0.25">
      <c r="A1540" s="323" t="s">
        <v>4496</v>
      </c>
      <c r="B1540" s="323" t="s">
        <v>805</v>
      </c>
      <c r="C1540" s="323">
        <v>40874</v>
      </c>
      <c r="D1540" s="323">
        <v>94</v>
      </c>
      <c r="E1540" s="324">
        <f t="shared" si="24"/>
        <v>22922.84</v>
      </c>
    </row>
    <row r="1541" spans="1:5" x14ac:dyDescent="0.25">
      <c r="A1541" s="323" t="s">
        <v>4662</v>
      </c>
      <c r="B1541" s="323" t="s">
        <v>805</v>
      </c>
      <c r="C1541" s="323">
        <v>40874</v>
      </c>
      <c r="D1541" s="323">
        <v>376</v>
      </c>
      <c r="E1541" s="324">
        <f t="shared" si="24"/>
        <v>91691.36</v>
      </c>
    </row>
    <row r="1542" spans="1:5" x14ac:dyDescent="0.25">
      <c r="A1542" s="323" t="s">
        <v>4722</v>
      </c>
      <c r="B1542" s="323" t="s">
        <v>805</v>
      </c>
      <c r="C1542" s="323">
        <v>40874</v>
      </c>
      <c r="D1542" s="323">
        <v>342</v>
      </c>
      <c r="E1542" s="324">
        <f t="shared" si="24"/>
        <v>83400.12000000001</v>
      </c>
    </row>
    <row r="1543" spans="1:5" x14ac:dyDescent="0.25">
      <c r="A1543" s="323" t="s">
        <v>4793</v>
      </c>
      <c r="B1543" s="323" t="s">
        <v>805</v>
      </c>
      <c r="C1543" s="323">
        <v>40874</v>
      </c>
      <c r="D1543" s="323">
        <v>357</v>
      </c>
      <c r="E1543" s="324">
        <f t="shared" si="24"/>
        <v>87058.02</v>
      </c>
    </row>
    <row r="1544" spans="1:5" x14ac:dyDescent="0.25">
      <c r="A1544" s="323" t="s">
        <v>4939</v>
      </c>
      <c r="B1544" s="323" t="s">
        <v>805</v>
      </c>
      <c r="C1544" s="323">
        <v>40874</v>
      </c>
      <c r="D1544" s="323">
        <v>125</v>
      </c>
      <c r="E1544" s="324">
        <f t="shared" si="24"/>
        <v>30482.5</v>
      </c>
    </row>
    <row r="1545" spans="1:5" x14ac:dyDescent="0.25">
      <c r="A1545" s="323" t="s">
        <v>6492</v>
      </c>
      <c r="B1545" s="323" t="s">
        <v>816</v>
      </c>
      <c r="C1545" s="323">
        <v>40874</v>
      </c>
      <c r="D1545" s="323">
        <v>91</v>
      </c>
      <c r="E1545" s="324">
        <f t="shared" si="24"/>
        <v>33286.89</v>
      </c>
    </row>
    <row r="1546" spans="1:5" x14ac:dyDescent="0.25">
      <c r="A1546" s="323" t="s">
        <v>866</v>
      </c>
      <c r="B1546" s="323" t="s">
        <v>816</v>
      </c>
      <c r="C1546" s="323">
        <v>40876</v>
      </c>
      <c r="D1546" s="323">
        <v>113</v>
      </c>
      <c r="E1546" s="324">
        <f t="shared" si="24"/>
        <v>41334.270000000004</v>
      </c>
    </row>
    <row r="1547" spans="1:5" x14ac:dyDescent="0.25">
      <c r="A1547" s="323" t="s">
        <v>868</v>
      </c>
      <c r="B1547" s="323" t="s">
        <v>816</v>
      </c>
      <c r="C1547" s="323">
        <v>40876</v>
      </c>
      <c r="D1547" s="323">
        <v>42</v>
      </c>
      <c r="E1547" s="324">
        <f t="shared" si="24"/>
        <v>15363.18</v>
      </c>
    </row>
    <row r="1548" spans="1:5" x14ac:dyDescent="0.25">
      <c r="A1548" s="323" t="s">
        <v>1411</v>
      </c>
      <c r="B1548" s="323" t="s">
        <v>803</v>
      </c>
      <c r="C1548" s="323">
        <v>40876</v>
      </c>
      <c r="D1548" s="323">
        <v>38</v>
      </c>
      <c r="E1548" s="324">
        <f t="shared" si="24"/>
        <v>18533.36</v>
      </c>
    </row>
    <row r="1549" spans="1:5" x14ac:dyDescent="0.25">
      <c r="A1549" s="323" t="s">
        <v>1411</v>
      </c>
      <c r="B1549" s="323" t="s">
        <v>803</v>
      </c>
      <c r="C1549" s="323">
        <v>40876</v>
      </c>
      <c r="D1549" s="323">
        <v>27</v>
      </c>
      <c r="E1549" s="324">
        <f t="shared" si="24"/>
        <v>13168.44</v>
      </c>
    </row>
    <row r="1550" spans="1:5" x14ac:dyDescent="0.25">
      <c r="A1550" s="323" t="s">
        <v>1411</v>
      </c>
      <c r="B1550" s="323" t="s">
        <v>803</v>
      </c>
      <c r="C1550" s="323">
        <v>40876</v>
      </c>
      <c r="D1550" s="323">
        <v>56</v>
      </c>
      <c r="E1550" s="324">
        <f t="shared" si="24"/>
        <v>27312.32</v>
      </c>
    </row>
    <row r="1551" spans="1:5" x14ac:dyDescent="0.25">
      <c r="A1551" s="323" t="s">
        <v>1411</v>
      </c>
      <c r="B1551" s="323" t="s">
        <v>809</v>
      </c>
      <c r="C1551" s="323">
        <v>40876</v>
      </c>
      <c r="D1551" s="323">
        <v>113</v>
      </c>
      <c r="E1551" s="324">
        <f t="shared" si="24"/>
        <v>55112.36</v>
      </c>
    </row>
    <row r="1552" spans="1:5" x14ac:dyDescent="0.25">
      <c r="A1552" s="323" t="s">
        <v>1411</v>
      </c>
      <c r="B1552" s="323" t="s">
        <v>803</v>
      </c>
      <c r="C1552" s="323">
        <v>40876</v>
      </c>
      <c r="D1552" s="323">
        <v>174</v>
      </c>
      <c r="E1552" s="324">
        <f t="shared" si="24"/>
        <v>84863.28</v>
      </c>
    </row>
    <row r="1553" spans="1:5" x14ac:dyDescent="0.25">
      <c r="A1553" s="323" t="s">
        <v>1411</v>
      </c>
      <c r="B1553" s="323" t="s">
        <v>803</v>
      </c>
      <c r="C1553" s="323">
        <v>40876</v>
      </c>
      <c r="D1553" s="323">
        <v>34</v>
      </c>
      <c r="E1553" s="324">
        <f t="shared" si="24"/>
        <v>16582.48</v>
      </c>
    </row>
    <row r="1554" spans="1:5" x14ac:dyDescent="0.25">
      <c r="A1554" s="323" t="s">
        <v>1411</v>
      </c>
      <c r="B1554" s="323" t="s">
        <v>803</v>
      </c>
      <c r="C1554" s="323">
        <v>40876</v>
      </c>
      <c r="D1554" s="323">
        <v>48</v>
      </c>
      <c r="E1554" s="324">
        <f t="shared" si="24"/>
        <v>23410.560000000001</v>
      </c>
    </row>
    <row r="1555" spans="1:5" x14ac:dyDescent="0.25">
      <c r="A1555" s="323" t="s">
        <v>1411</v>
      </c>
      <c r="B1555" s="323" t="s">
        <v>809</v>
      </c>
      <c r="C1555" s="323">
        <v>40876</v>
      </c>
      <c r="D1555" s="323">
        <v>80</v>
      </c>
      <c r="E1555" s="324">
        <f t="shared" si="24"/>
        <v>39017.600000000006</v>
      </c>
    </row>
    <row r="1556" spans="1:5" x14ac:dyDescent="0.25">
      <c r="A1556" s="323" t="s">
        <v>1411</v>
      </c>
      <c r="B1556" s="323" t="s">
        <v>809</v>
      </c>
      <c r="C1556" s="323">
        <v>40876</v>
      </c>
      <c r="D1556" s="323">
        <v>20</v>
      </c>
      <c r="E1556" s="324">
        <f t="shared" si="24"/>
        <v>9754.4000000000015</v>
      </c>
    </row>
    <row r="1557" spans="1:5" x14ac:dyDescent="0.25">
      <c r="A1557" s="323" t="s">
        <v>1411</v>
      </c>
      <c r="B1557" s="323" t="s">
        <v>803</v>
      </c>
      <c r="C1557" s="323">
        <v>40876</v>
      </c>
      <c r="D1557" s="323">
        <v>36</v>
      </c>
      <c r="E1557" s="324">
        <f t="shared" si="24"/>
        <v>17557.920000000002</v>
      </c>
    </row>
    <row r="1558" spans="1:5" x14ac:dyDescent="0.25">
      <c r="A1558" s="323" t="s">
        <v>1411</v>
      </c>
      <c r="B1558" s="323" t="s">
        <v>803</v>
      </c>
      <c r="C1558" s="323">
        <v>40876</v>
      </c>
      <c r="D1558" s="323">
        <v>15</v>
      </c>
      <c r="E1558" s="324">
        <f t="shared" si="24"/>
        <v>7315.8</v>
      </c>
    </row>
    <row r="1559" spans="1:5" x14ac:dyDescent="0.25">
      <c r="A1559" s="323" t="s">
        <v>5110</v>
      </c>
      <c r="B1559" s="323" t="s">
        <v>816</v>
      </c>
      <c r="C1559" s="323">
        <v>40876</v>
      </c>
      <c r="D1559" s="323">
        <v>220</v>
      </c>
      <c r="E1559" s="324">
        <f t="shared" si="24"/>
        <v>80473.8</v>
      </c>
    </row>
    <row r="1560" spans="1:5" x14ac:dyDescent="0.25">
      <c r="A1560" s="323" t="s">
        <v>5656</v>
      </c>
      <c r="B1560" s="323" t="s">
        <v>816</v>
      </c>
      <c r="C1560" s="323">
        <v>40876</v>
      </c>
      <c r="D1560" s="323">
        <v>129</v>
      </c>
      <c r="E1560" s="324">
        <f t="shared" si="24"/>
        <v>47186.91</v>
      </c>
    </row>
    <row r="1561" spans="1:5" x14ac:dyDescent="0.25">
      <c r="A1561" s="323" t="s">
        <v>5656</v>
      </c>
      <c r="B1561" s="323" t="s">
        <v>816</v>
      </c>
      <c r="C1561" s="323">
        <v>40876</v>
      </c>
      <c r="D1561" s="323">
        <v>22</v>
      </c>
      <c r="E1561" s="324">
        <f t="shared" si="24"/>
        <v>8047.38</v>
      </c>
    </row>
    <row r="1562" spans="1:5" x14ac:dyDescent="0.25">
      <c r="A1562" s="323" t="s">
        <v>2248</v>
      </c>
      <c r="B1562" s="323" t="s">
        <v>805</v>
      </c>
      <c r="C1562" s="323">
        <v>40887</v>
      </c>
      <c r="D1562" s="323">
        <v>199</v>
      </c>
      <c r="E1562" s="324">
        <f t="shared" si="24"/>
        <v>48528.14</v>
      </c>
    </row>
    <row r="1563" spans="1:5" x14ac:dyDescent="0.25">
      <c r="A1563" s="323" t="s">
        <v>912</v>
      </c>
      <c r="B1563" s="323" t="s">
        <v>816</v>
      </c>
      <c r="C1563" s="323">
        <v>40888</v>
      </c>
      <c r="D1563" s="323">
        <v>80</v>
      </c>
      <c r="E1563" s="324">
        <f t="shared" si="24"/>
        <v>29263.200000000001</v>
      </c>
    </row>
    <row r="1564" spans="1:5" x14ac:dyDescent="0.25">
      <c r="A1564" s="323" t="s">
        <v>1285</v>
      </c>
      <c r="B1564" s="323" t="s">
        <v>805</v>
      </c>
      <c r="C1564" s="323">
        <v>40888</v>
      </c>
      <c r="D1564" s="323">
        <v>54</v>
      </c>
      <c r="E1564" s="324">
        <f t="shared" si="24"/>
        <v>13168.44</v>
      </c>
    </row>
    <row r="1565" spans="1:5" x14ac:dyDescent="0.25">
      <c r="A1565" s="323" t="s">
        <v>1417</v>
      </c>
      <c r="B1565" s="323" t="s">
        <v>805</v>
      </c>
      <c r="C1565" s="323">
        <v>40888</v>
      </c>
      <c r="D1565" s="323">
        <v>48</v>
      </c>
      <c r="E1565" s="324">
        <f t="shared" si="24"/>
        <v>11705.28</v>
      </c>
    </row>
    <row r="1566" spans="1:5" x14ac:dyDescent="0.25">
      <c r="A1566" s="323" t="s">
        <v>1702</v>
      </c>
      <c r="B1566" s="323" t="s">
        <v>805</v>
      </c>
      <c r="C1566" s="323">
        <v>40888</v>
      </c>
      <c r="D1566" s="323">
        <v>255</v>
      </c>
      <c r="E1566" s="324">
        <f t="shared" si="24"/>
        <v>62184.3</v>
      </c>
    </row>
    <row r="1567" spans="1:5" x14ac:dyDescent="0.25">
      <c r="A1567" s="323" t="s">
        <v>1778</v>
      </c>
      <c r="B1567" s="323" t="s">
        <v>805</v>
      </c>
      <c r="C1567" s="323">
        <v>40888</v>
      </c>
      <c r="D1567" s="323">
        <v>75</v>
      </c>
      <c r="E1567" s="324">
        <f t="shared" si="24"/>
        <v>18289.5</v>
      </c>
    </row>
    <row r="1568" spans="1:5" x14ac:dyDescent="0.25">
      <c r="A1568" s="323" t="s">
        <v>1807</v>
      </c>
      <c r="B1568" s="323" t="s">
        <v>805</v>
      </c>
      <c r="C1568" s="323">
        <v>40888</v>
      </c>
      <c r="D1568" s="323">
        <v>101</v>
      </c>
      <c r="E1568" s="324">
        <f t="shared" si="24"/>
        <v>24629.86</v>
      </c>
    </row>
    <row r="1569" spans="1:5" x14ac:dyDescent="0.25">
      <c r="A1569" s="323" t="s">
        <v>1840</v>
      </c>
      <c r="B1569" s="323" t="s">
        <v>805</v>
      </c>
      <c r="C1569" s="323">
        <v>40888</v>
      </c>
      <c r="D1569" s="323">
        <v>98</v>
      </c>
      <c r="E1569" s="324">
        <f t="shared" si="24"/>
        <v>23898.280000000002</v>
      </c>
    </row>
    <row r="1570" spans="1:5" x14ac:dyDescent="0.25">
      <c r="A1570" s="323" t="s">
        <v>2199</v>
      </c>
      <c r="B1570" s="323" t="s">
        <v>805</v>
      </c>
      <c r="C1570" s="323">
        <v>40888</v>
      </c>
      <c r="D1570" s="323">
        <v>108</v>
      </c>
      <c r="E1570" s="324">
        <f t="shared" si="24"/>
        <v>26336.880000000001</v>
      </c>
    </row>
    <row r="1571" spans="1:5" x14ac:dyDescent="0.25">
      <c r="A1571" s="323" t="s">
        <v>2277</v>
      </c>
      <c r="B1571" s="323" t="s">
        <v>805</v>
      </c>
      <c r="C1571" s="323">
        <v>40888</v>
      </c>
      <c r="D1571" s="323">
        <v>83</v>
      </c>
      <c r="E1571" s="324">
        <f t="shared" si="24"/>
        <v>20240.38</v>
      </c>
    </row>
    <row r="1572" spans="1:5" x14ac:dyDescent="0.25">
      <c r="A1572" s="323" t="s">
        <v>2290</v>
      </c>
      <c r="B1572" s="323" t="s">
        <v>805</v>
      </c>
      <c r="C1572" s="323">
        <v>40888</v>
      </c>
      <c r="D1572" s="323">
        <v>136</v>
      </c>
      <c r="E1572" s="324">
        <f t="shared" si="24"/>
        <v>33164.959999999999</v>
      </c>
    </row>
    <row r="1573" spans="1:5" x14ac:dyDescent="0.25">
      <c r="A1573" s="323" t="s">
        <v>2305</v>
      </c>
      <c r="B1573" s="323" t="s">
        <v>805</v>
      </c>
      <c r="C1573" s="323">
        <v>40888</v>
      </c>
      <c r="D1573" s="323">
        <v>157</v>
      </c>
      <c r="E1573" s="324">
        <f t="shared" si="24"/>
        <v>38286.020000000004</v>
      </c>
    </row>
    <row r="1574" spans="1:5" x14ac:dyDescent="0.25">
      <c r="A1574" s="323" t="s">
        <v>2373</v>
      </c>
      <c r="B1574" s="323" t="s">
        <v>805</v>
      </c>
      <c r="C1574" s="323">
        <v>40888</v>
      </c>
      <c r="D1574" s="323">
        <v>100</v>
      </c>
      <c r="E1574" s="324">
        <f t="shared" si="24"/>
        <v>24386</v>
      </c>
    </row>
    <row r="1575" spans="1:5" x14ac:dyDescent="0.25">
      <c r="A1575" s="323" t="s">
        <v>2403</v>
      </c>
      <c r="B1575" s="323" t="s">
        <v>805</v>
      </c>
      <c r="C1575" s="323">
        <v>40888</v>
      </c>
      <c r="D1575" s="323">
        <v>102</v>
      </c>
      <c r="E1575" s="324">
        <f t="shared" si="24"/>
        <v>24873.72</v>
      </c>
    </row>
    <row r="1576" spans="1:5" x14ac:dyDescent="0.25">
      <c r="A1576" s="323" t="s">
        <v>2409</v>
      </c>
      <c r="B1576" s="323" t="s">
        <v>805</v>
      </c>
      <c r="C1576" s="323">
        <v>40888</v>
      </c>
      <c r="D1576" s="323">
        <v>95</v>
      </c>
      <c r="E1576" s="324">
        <f t="shared" si="24"/>
        <v>23166.7</v>
      </c>
    </row>
    <row r="1577" spans="1:5" x14ac:dyDescent="0.25">
      <c r="A1577" s="323" t="s">
        <v>2449</v>
      </c>
      <c r="B1577" s="323" t="s">
        <v>805</v>
      </c>
      <c r="C1577" s="323">
        <v>40888</v>
      </c>
      <c r="D1577" s="323">
        <v>58</v>
      </c>
      <c r="E1577" s="324">
        <f t="shared" si="24"/>
        <v>14143.880000000001</v>
      </c>
    </row>
    <row r="1578" spans="1:5" x14ac:dyDescent="0.25">
      <c r="A1578" s="323" t="s">
        <v>2515</v>
      </c>
      <c r="B1578" s="323" t="s">
        <v>805</v>
      </c>
      <c r="C1578" s="323">
        <v>40888</v>
      </c>
      <c r="D1578" s="323">
        <v>96</v>
      </c>
      <c r="E1578" s="324">
        <f t="shared" si="24"/>
        <v>23410.560000000001</v>
      </c>
    </row>
    <row r="1579" spans="1:5" x14ac:dyDescent="0.25">
      <c r="A1579" s="323" t="s">
        <v>2746</v>
      </c>
      <c r="B1579" s="323" t="s">
        <v>805</v>
      </c>
      <c r="C1579" s="323">
        <v>40888</v>
      </c>
      <c r="D1579" s="323">
        <v>185</v>
      </c>
      <c r="E1579" s="324">
        <f t="shared" si="24"/>
        <v>45114.100000000006</v>
      </c>
    </row>
    <row r="1580" spans="1:5" x14ac:dyDescent="0.25">
      <c r="A1580" s="323" t="s">
        <v>2785</v>
      </c>
      <c r="B1580" s="323" t="s">
        <v>805</v>
      </c>
      <c r="C1580" s="323">
        <v>40888</v>
      </c>
      <c r="D1580" s="323">
        <v>55</v>
      </c>
      <c r="E1580" s="324">
        <f t="shared" si="24"/>
        <v>13412.300000000001</v>
      </c>
    </row>
    <row r="1581" spans="1:5" x14ac:dyDescent="0.25">
      <c r="A1581" s="323" t="s">
        <v>2799</v>
      </c>
      <c r="B1581" s="323" t="s">
        <v>805</v>
      </c>
      <c r="C1581" s="323">
        <v>40888</v>
      </c>
      <c r="D1581" s="323">
        <v>170</v>
      </c>
      <c r="E1581" s="324">
        <f t="shared" si="24"/>
        <v>41456.200000000004</v>
      </c>
    </row>
    <row r="1582" spans="1:5" x14ac:dyDescent="0.25">
      <c r="A1582" s="323" t="s">
        <v>2860</v>
      </c>
      <c r="B1582" s="323" t="s">
        <v>805</v>
      </c>
      <c r="C1582" s="323">
        <v>40888</v>
      </c>
      <c r="D1582" s="323">
        <v>36</v>
      </c>
      <c r="E1582" s="324">
        <f t="shared" si="24"/>
        <v>8778.9600000000009</v>
      </c>
    </row>
    <row r="1583" spans="1:5" x14ac:dyDescent="0.25">
      <c r="A1583" s="323" t="s">
        <v>3133</v>
      </c>
      <c r="B1583" s="323" t="s">
        <v>805</v>
      </c>
      <c r="C1583" s="323">
        <v>40888</v>
      </c>
      <c r="D1583" s="323">
        <v>282</v>
      </c>
      <c r="E1583" s="324">
        <f t="shared" si="24"/>
        <v>68768.52</v>
      </c>
    </row>
    <row r="1584" spans="1:5" x14ac:dyDescent="0.25">
      <c r="A1584" s="323" t="s">
        <v>3581</v>
      </c>
      <c r="B1584" s="323" t="s">
        <v>805</v>
      </c>
      <c r="C1584" s="323">
        <v>40888</v>
      </c>
      <c r="D1584" s="323">
        <v>245</v>
      </c>
      <c r="E1584" s="324">
        <f t="shared" si="24"/>
        <v>59745.700000000004</v>
      </c>
    </row>
    <row r="1585" spans="1:5" x14ac:dyDescent="0.25">
      <c r="A1585" s="323" t="s">
        <v>3834</v>
      </c>
      <c r="B1585" s="323" t="s">
        <v>805</v>
      </c>
      <c r="C1585" s="323">
        <v>40888</v>
      </c>
      <c r="D1585" s="323">
        <v>198</v>
      </c>
      <c r="E1585" s="324">
        <f t="shared" si="24"/>
        <v>48284.280000000006</v>
      </c>
    </row>
    <row r="1586" spans="1:5" x14ac:dyDescent="0.25">
      <c r="A1586" s="323" t="s">
        <v>4518</v>
      </c>
      <c r="B1586" s="323" t="s">
        <v>805</v>
      </c>
      <c r="C1586" s="323">
        <v>40888</v>
      </c>
      <c r="D1586" s="323">
        <v>444</v>
      </c>
      <c r="E1586" s="324">
        <f t="shared" si="24"/>
        <v>108273.84000000001</v>
      </c>
    </row>
    <row r="1587" spans="1:5" x14ac:dyDescent="0.25">
      <c r="A1587" s="323" t="s">
        <v>4614</v>
      </c>
      <c r="B1587" s="323" t="s">
        <v>805</v>
      </c>
      <c r="C1587" s="323">
        <v>40888</v>
      </c>
      <c r="D1587" s="323">
        <v>71</v>
      </c>
      <c r="E1587" s="324">
        <f t="shared" si="24"/>
        <v>17314.060000000001</v>
      </c>
    </row>
    <row r="1588" spans="1:5" x14ac:dyDescent="0.25">
      <c r="A1588" s="323" t="s">
        <v>5689</v>
      </c>
      <c r="B1588" s="323" t="s">
        <v>805</v>
      </c>
      <c r="C1588" s="323">
        <v>40888</v>
      </c>
      <c r="D1588" s="323">
        <v>222</v>
      </c>
      <c r="E1588" s="324">
        <f t="shared" si="24"/>
        <v>54136.920000000006</v>
      </c>
    </row>
    <row r="1589" spans="1:5" x14ac:dyDescent="0.25">
      <c r="A1589" s="323" t="s">
        <v>6640</v>
      </c>
      <c r="B1589" s="323" t="s">
        <v>816</v>
      </c>
      <c r="C1589" s="323">
        <v>40888</v>
      </c>
      <c r="D1589" s="323">
        <v>170</v>
      </c>
      <c r="E1589" s="324">
        <f t="shared" si="24"/>
        <v>62184.3</v>
      </c>
    </row>
    <row r="1590" spans="1:5" x14ac:dyDescent="0.25">
      <c r="A1590" s="323" t="s">
        <v>6909</v>
      </c>
      <c r="B1590" s="323" t="s">
        <v>805</v>
      </c>
      <c r="C1590" s="323">
        <v>40888</v>
      </c>
      <c r="D1590" s="323">
        <v>184</v>
      </c>
      <c r="E1590" s="324">
        <f t="shared" si="24"/>
        <v>44870.240000000005</v>
      </c>
    </row>
    <row r="1591" spans="1:5" x14ac:dyDescent="0.25">
      <c r="A1591" s="323" t="s">
        <v>7202</v>
      </c>
      <c r="B1591" s="323" t="s">
        <v>805</v>
      </c>
      <c r="C1591" s="323">
        <v>40888</v>
      </c>
      <c r="D1591" s="323">
        <v>894</v>
      </c>
      <c r="E1591" s="324">
        <f t="shared" si="24"/>
        <v>218010.84000000003</v>
      </c>
    </row>
    <row r="1592" spans="1:5" x14ac:dyDescent="0.25">
      <c r="A1592" s="323" t="s">
        <v>7413</v>
      </c>
      <c r="B1592" s="323" t="s">
        <v>805</v>
      </c>
      <c r="C1592" s="323">
        <v>40888</v>
      </c>
      <c r="D1592" s="323">
        <v>81</v>
      </c>
      <c r="E1592" s="324">
        <f t="shared" si="24"/>
        <v>19752.66</v>
      </c>
    </row>
    <row r="1593" spans="1:5" x14ac:dyDescent="0.25">
      <c r="A1593" s="323" t="s">
        <v>1129</v>
      </c>
      <c r="B1593" s="323" t="s">
        <v>805</v>
      </c>
      <c r="C1593" s="323">
        <v>40894</v>
      </c>
      <c r="D1593" s="323">
        <v>131</v>
      </c>
      <c r="E1593" s="324">
        <f t="shared" si="24"/>
        <v>31945.660000000003</v>
      </c>
    </row>
    <row r="1594" spans="1:5" x14ac:dyDescent="0.25">
      <c r="A1594" s="323" t="s">
        <v>1329</v>
      </c>
      <c r="B1594" s="323" t="s">
        <v>805</v>
      </c>
      <c r="C1594" s="323">
        <v>40894</v>
      </c>
      <c r="D1594" s="323">
        <v>95</v>
      </c>
      <c r="E1594" s="324">
        <f t="shared" si="24"/>
        <v>23166.7</v>
      </c>
    </row>
    <row r="1595" spans="1:5" x14ac:dyDescent="0.25">
      <c r="A1595" s="323" t="s">
        <v>1365</v>
      </c>
      <c r="B1595" s="323" t="s">
        <v>805</v>
      </c>
      <c r="C1595" s="323">
        <v>40894</v>
      </c>
      <c r="D1595" s="323">
        <v>271</v>
      </c>
      <c r="E1595" s="324">
        <f t="shared" si="24"/>
        <v>66086.06</v>
      </c>
    </row>
    <row r="1596" spans="1:5" x14ac:dyDescent="0.25">
      <c r="A1596" s="323" t="s">
        <v>1810</v>
      </c>
      <c r="B1596" s="323" t="s">
        <v>805</v>
      </c>
      <c r="C1596" s="323">
        <v>40894</v>
      </c>
      <c r="D1596" s="323">
        <v>244</v>
      </c>
      <c r="E1596" s="324">
        <f t="shared" si="24"/>
        <v>59501.840000000004</v>
      </c>
    </row>
    <row r="1597" spans="1:5" x14ac:dyDescent="0.25">
      <c r="A1597" s="323" t="s">
        <v>1865</v>
      </c>
      <c r="B1597" s="323" t="s">
        <v>805</v>
      </c>
      <c r="C1597" s="323">
        <v>40894</v>
      </c>
      <c r="D1597" s="323">
        <v>91</v>
      </c>
      <c r="E1597" s="324">
        <f t="shared" si="24"/>
        <v>22191.260000000002</v>
      </c>
    </row>
    <row r="1598" spans="1:5" x14ac:dyDescent="0.25">
      <c r="A1598" s="323" t="s">
        <v>1991</v>
      </c>
      <c r="B1598" s="323" t="s">
        <v>805</v>
      </c>
      <c r="C1598" s="323">
        <v>40894</v>
      </c>
      <c r="D1598" s="323">
        <v>87</v>
      </c>
      <c r="E1598" s="324">
        <f t="shared" si="24"/>
        <v>21215.82</v>
      </c>
    </row>
    <row r="1599" spans="1:5" x14ac:dyDescent="0.25">
      <c r="A1599" s="323" t="s">
        <v>2250</v>
      </c>
      <c r="B1599" s="323" t="s">
        <v>805</v>
      </c>
      <c r="C1599" s="323">
        <v>40894</v>
      </c>
      <c r="D1599" s="323">
        <v>104</v>
      </c>
      <c r="E1599" s="324">
        <f t="shared" si="24"/>
        <v>25361.440000000002</v>
      </c>
    </row>
    <row r="1600" spans="1:5" x14ac:dyDescent="0.25">
      <c r="A1600" s="323" t="s">
        <v>2366</v>
      </c>
      <c r="B1600" s="323" t="s">
        <v>805</v>
      </c>
      <c r="C1600" s="323">
        <v>40894</v>
      </c>
      <c r="D1600" s="323">
        <v>77</v>
      </c>
      <c r="E1600" s="324">
        <f t="shared" si="24"/>
        <v>18777.22</v>
      </c>
    </row>
    <row r="1601" spans="1:5" x14ac:dyDescent="0.25">
      <c r="A1601" s="323" t="s">
        <v>2374</v>
      </c>
      <c r="B1601" s="323" t="s">
        <v>805</v>
      </c>
      <c r="C1601" s="323">
        <v>40894</v>
      </c>
      <c r="D1601" s="323">
        <v>99</v>
      </c>
      <c r="E1601" s="324">
        <f t="shared" si="24"/>
        <v>24142.140000000003</v>
      </c>
    </row>
    <row r="1602" spans="1:5" x14ac:dyDescent="0.25">
      <c r="A1602" s="323" t="s">
        <v>2375</v>
      </c>
      <c r="B1602" s="323" t="s">
        <v>805</v>
      </c>
      <c r="C1602" s="323">
        <v>40894</v>
      </c>
      <c r="D1602" s="323">
        <v>182</v>
      </c>
      <c r="E1602" s="324">
        <f t="shared" ref="E1602:E1665" si="25">D1602*IF(B1602=$G$9,WerkdrukbedragPerLeerlingBo,IF(B1602=$G$10,WerkdrukbedragPerLeerlingSbo,IF(B1602=$G$11,WerkdrukbedragPerLeerlingSo,IF(B1602=$G$12,WerkdrukbedragPerLeerlingVso,0))))</f>
        <v>44382.520000000004</v>
      </c>
    </row>
    <row r="1603" spans="1:5" x14ac:dyDescent="0.25">
      <c r="A1603" s="323" t="s">
        <v>2426</v>
      </c>
      <c r="B1603" s="323" t="s">
        <v>805</v>
      </c>
      <c r="C1603" s="323">
        <v>40894</v>
      </c>
      <c r="D1603" s="323">
        <v>162</v>
      </c>
      <c r="E1603" s="324">
        <f t="shared" si="25"/>
        <v>39505.32</v>
      </c>
    </row>
    <row r="1604" spans="1:5" x14ac:dyDescent="0.25">
      <c r="A1604" s="323" t="s">
        <v>2451</v>
      </c>
      <c r="B1604" s="323" t="s">
        <v>805</v>
      </c>
      <c r="C1604" s="323">
        <v>40894</v>
      </c>
      <c r="D1604" s="323">
        <v>58</v>
      </c>
      <c r="E1604" s="324">
        <f t="shared" si="25"/>
        <v>14143.880000000001</v>
      </c>
    </row>
    <row r="1605" spans="1:5" x14ac:dyDescent="0.25">
      <c r="A1605" s="323" t="s">
        <v>2516</v>
      </c>
      <c r="B1605" s="323" t="s">
        <v>805</v>
      </c>
      <c r="C1605" s="323">
        <v>40894</v>
      </c>
      <c r="D1605" s="323">
        <v>127</v>
      </c>
      <c r="E1605" s="324">
        <f t="shared" si="25"/>
        <v>30970.22</v>
      </c>
    </row>
    <row r="1606" spans="1:5" x14ac:dyDescent="0.25">
      <c r="A1606" s="323" t="s">
        <v>2529</v>
      </c>
      <c r="B1606" s="323" t="s">
        <v>805</v>
      </c>
      <c r="C1606" s="323">
        <v>40894</v>
      </c>
      <c r="D1606" s="323">
        <v>139</v>
      </c>
      <c r="E1606" s="324">
        <f t="shared" si="25"/>
        <v>33896.54</v>
      </c>
    </row>
    <row r="1607" spans="1:5" x14ac:dyDescent="0.25">
      <c r="A1607" s="323" t="s">
        <v>2555</v>
      </c>
      <c r="B1607" s="323" t="s">
        <v>805</v>
      </c>
      <c r="C1607" s="323">
        <v>40894</v>
      </c>
      <c r="D1607" s="323">
        <v>154</v>
      </c>
      <c r="E1607" s="324">
        <f t="shared" si="25"/>
        <v>37554.44</v>
      </c>
    </row>
    <row r="1608" spans="1:5" x14ac:dyDescent="0.25">
      <c r="A1608" s="323" t="s">
        <v>3119</v>
      </c>
      <c r="B1608" s="323" t="s">
        <v>805</v>
      </c>
      <c r="C1608" s="323">
        <v>40894</v>
      </c>
      <c r="D1608" s="323">
        <v>318</v>
      </c>
      <c r="E1608" s="324">
        <f t="shared" si="25"/>
        <v>77547.48000000001</v>
      </c>
    </row>
    <row r="1609" spans="1:5" x14ac:dyDescent="0.25">
      <c r="A1609" s="323" t="s">
        <v>3143</v>
      </c>
      <c r="B1609" s="323" t="s">
        <v>805</v>
      </c>
      <c r="C1609" s="323">
        <v>40894</v>
      </c>
      <c r="D1609" s="323">
        <v>119</v>
      </c>
      <c r="E1609" s="324">
        <f t="shared" si="25"/>
        <v>29019.34</v>
      </c>
    </row>
    <row r="1610" spans="1:5" x14ac:dyDescent="0.25">
      <c r="A1610" s="323" t="s">
        <v>3949</v>
      </c>
      <c r="B1610" s="323" t="s">
        <v>805</v>
      </c>
      <c r="C1610" s="323">
        <v>40894</v>
      </c>
      <c r="D1610" s="323">
        <v>336</v>
      </c>
      <c r="E1610" s="324">
        <f t="shared" si="25"/>
        <v>81936.960000000006</v>
      </c>
    </row>
    <row r="1611" spans="1:5" x14ac:dyDescent="0.25">
      <c r="A1611" s="323" t="s">
        <v>4363</v>
      </c>
      <c r="B1611" s="323" t="s">
        <v>805</v>
      </c>
      <c r="C1611" s="323">
        <v>40894</v>
      </c>
      <c r="D1611" s="323">
        <v>155</v>
      </c>
      <c r="E1611" s="324">
        <f t="shared" si="25"/>
        <v>37798.300000000003</v>
      </c>
    </row>
    <row r="1612" spans="1:5" x14ac:dyDescent="0.25">
      <c r="A1612" s="323" t="s">
        <v>6579</v>
      </c>
      <c r="B1612" s="323" t="s">
        <v>816</v>
      </c>
      <c r="C1612" s="323">
        <v>40894</v>
      </c>
      <c r="D1612" s="323">
        <v>151</v>
      </c>
      <c r="E1612" s="324">
        <f t="shared" si="25"/>
        <v>55234.29</v>
      </c>
    </row>
    <row r="1613" spans="1:5" x14ac:dyDescent="0.25">
      <c r="A1613" s="323" t="s">
        <v>7075</v>
      </c>
      <c r="B1613" s="323" t="s">
        <v>805</v>
      </c>
      <c r="C1613" s="323">
        <v>40894</v>
      </c>
      <c r="D1613" s="323">
        <v>368</v>
      </c>
      <c r="E1613" s="324">
        <f t="shared" si="25"/>
        <v>89740.48000000001</v>
      </c>
    </row>
    <row r="1614" spans="1:5" x14ac:dyDescent="0.25">
      <c r="A1614" s="323" t="s">
        <v>7184</v>
      </c>
      <c r="B1614" s="323" t="s">
        <v>809</v>
      </c>
      <c r="C1614" s="323">
        <v>40894</v>
      </c>
      <c r="D1614" s="323">
        <v>36</v>
      </c>
      <c r="E1614" s="324">
        <f t="shared" si="25"/>
        <v>17557.920000000002</v>
      </c>
    </row>
    <row r="1615" spans="1:5" x14ac:dyDescent="0.25">
      <c r="A1615" s="323" t="s">
        <v>7184</v>
      </c>
      <c r="B1615" s="323" t="s">
        <v>803</v>
      </c>
      <c r="C1615" s="323">
        <v>40894</v>
      </c>
      <c r="D1615" s="323">
        <v>58</v>
      </c>
      <c r="E1615" s="324">
        <f t="shared" si="25"/>
        <v>28287.760000000002</v>
      </c>
    </row>
    <row r="1616" spans="1:5" x14ac:dyDescent="0.25">
      <c r="A1616" s="323" t="s">
        <v>902</v>
      </c>
      <c r="B1616" s="323" t="s">
        <v>816</v>
      </c>
      <c r="C1616" s="323">
        <v>40901</v>
      </c>
      <c r="D1616" s="323">
        <v>233</v>
      </c>
      <c r="E1616" s="324">
        <f t="shared" si="25"/>
        <v>85229.07</v>
      </c>
    </row>
    <row r="1617" spans="1:5" x14ac:dyDescent="0.25">
      <c r="A1617" s="323" t="s">
        <v>1711</v>
      </c>
      <c r="B1617" s="323" t="s">
        <v>805</v>
      </c>
      <c r="C1617" s="323">
        <v>40903</v>
      </c>
      <c r="D1617" s="323">
        <v>147</v>
      </c>
      <c r="E1617" s="324">
        <f t="shared" si="25"/>
        <v>35847.420000000006</v>
      </c>
    </row>
    <row r="1618" spans="1:5" x14ac:dyDescent="0.25">
      <c r="A1618" s="323" t="s">
        <v>2234</v>
      </c>
      <c r="B1618" s="323" t="s">
        <v>805</v>
      </c>
      <c r="C1618" s="323">
        <v>40903</v>
      </c>
      <c r="D1618" s="323">
        <v>149</v>
      </c>
      <c r="E1618" s="324">
        <f t="shared" si="25"/>
        <v>36335.14</v>
      </c>
    </row>
    <row r="1619" spans="1:5" x14ac:dyDescent="0.25">
      <c r="A1619" s="323" t="s">
        <v>3099</v>
      </c>
      <c r="B1619" s="323" t="s">
        <v>805</v>
      </c>
      <c r="C1619" s="323">
        <v>40903</v>
      </c>
      <c r="D1619" s="323">
        <v>194</v>
      </c>
      <c r="E1619" s="324">
        <f t="shared" si="25"/>
        <v>47308.840000000004</v>
      </c>
    </row>
    <row r="1620" spans="1:5" x14ac:dyDescent="0.25">
      <c r="A1620" s="323" t="s">
        <v>3734</v>
      </c>
      <c r="B1620" s="323" t="s">
        <v>805</v>
      </c>
      <c r="C1620" s="323">
        <v>40903</v>
      </c>
      <c r="D1620" s="323">
        <v>235</v>
      </c>
      <c r="E1620" s="324">
        <f t="shared" si="25"/>
        <v>57307.100000000006</v>
      </c>
    </row>
    <row r="1621" spans="1:5" x14ac:dyDescent="0.25">
      <c r="A1621" s="323" t="s">
        <v>4105</v>
      </c>
      <c r="B1621" s="323" t="s">
        <v>805</v>
      </c>
      <c r="C1621" s="323">
        <v>40903</v>
      </c>
      <c r="D1621" s="323">
        <v>140</v>
      </c>
      <c r="E1621" s="324">
        <f t="shared" si="25"/>
        <v>34140.400000000001</v>
      </c>
    </row>
    <row r="1622" spans="1:5" x14ac:dyDescent="0.25">
      <c r="A1622" s="323" t="s">
        <v>986</v>
      </c>
      <c r="B1622" s="323" t="s">
        <v>809</v>
      </c>
      <c r="C1622" s="323">
        <v>40908</v>
      </c>
      <c r="D1622" s="323">
        <v>94</v>
      </c>
      <c r="E1622" s="324">
        <f t="shared" si="25"/>
        <v>45845.68</v>
      </c>
    </row>
    <row r="1623" spans="1:5" x14ac:dyDescent="0.25">
      <c r="A1623" s="323" t="s">
        <v>986</v>
      </c>
      <c r="B1623" s="323" t="s">
        <v>803</v>
      </c>
      <c r="C1623" s="323">
        <v>40908</v>
      </c>
      <c r="D1623" s="323">
        <v>225</v>
      </c>
      <c r="E1623" s="324">
        <f t="shared" si="25"/>
        <v>109737</v>
      </c>
    </row>
    <row r="1624" spans="1:5" x14ac:dyDescent="0.25">
      <c r="A1624" s="323" t="s">
        <v>986</v>
      </c>
      <c r="B1624" s="323" t="s">
        <v>809</v>
      </c>
      <c r="C1624" s="323">
        <v>40908</v>
      </c>
      <c r="D1624" s="323">
        <v>109</v>
      </c>
      <c r="E1624" s="324">
        <f t="shared" si="25"/>
        <v>53161.48</v>
      </c>
    </row>
    <row r="1625" spans="1:5" x14ac:dyDescent="0.25">
      <c r="A1625" s="323" t="s">
        <v>986</v>
      </c>
      <c r="B1625" s="323" t="s">
        <v>803</v>
      </c>
      <c r="C1625" s="323">
        <v>40908</v>
      </c>
      <c r="D1625" s="323">
        <v>195</v>
      </c>
      <c r="E1625" s="324">
        <f t="shared" si="25"/>
        <v>95105.400000000009</v>
      </c>
    </row>
    <row r="1626" spans="1:5" x14ac:dyDescent="0.25">
      <c r="A1626" s="323" t="s">
        <v>1203</v>
      </c>
      <c r="B1626" s="323" t="s">
        <v>805</v>
      </c>
      <c r="C1626" s="323">
        <v>40928</v>
      </c>
      <c r="D1626" s="323">
        <v>279</v>
      </c>
      <c r="E1626" s="324">
        <f t="shared" si="25"/>
        <v>68036.94</v>
      </c>
    </row>
    <row r="1627" spans="1:5" x14ac:dyDescent="0.25">
      <c r="A1627" s="323" t="s">
        <v>1472</v>
      </c>
      <c r="B1627" s="323" t="s">
        <v>805</v>
      </c>
      <c r="C1627" s="323">
        <v>40928</v>
      </c>
      <c r="D1627" s="323">
        <v>562</v>
      </c>
      <c r="E1627" s="324">
        <f t="shared" si="25"/>
        <v>137049.32</v>
      </c>
    </row>
    <row r="1628" spans="1:5" x14ac:dyDescent="0.25">
      <c r="A1628" s="323" t="s">
        <v>1806</v>
      </c>
      <c r="B1628" s="323" t="s">
        <v>805</v>
      </c>
      <c r="C1628" s="323">
        <v>40928</v>
      </c>
      <c r="D1628" s="323">
        <v>357</v>
      </c>
      <c r="E1628" s="324">
        <f t="shared" si="25"/>
        <v>87058.02</v>
      </c>
    </row>
    <row r="1629" spans="1:5" x14ac:dyDescent="0.25">
      <c r="A1629" s="323" t="s">
        <v>2306</v>
      </c>
      <c r="B1629" s="323" t="s">
        <v>805</v>
      </c>
      <c r="C1629" s="323">
        <v>40928</v>
      </c>
      <c r="D1629" s="323">
        <v>285</v>
      </c>
      <c r="E1629" s="324">
        <f t="shared" si="25"/>
        <v>69500.100000000006</v>
      </c>
    </row>
    <row r="1630" spans="1:5" x14ac:dyDescent="0.25">
      <c r="A1630" s="323" t="s">
        <v>2333</v>
      </c>
      <c r="B1630" s="323" t="s">
        <v>805</v>
      </c>
      <c r="C1630" s="323">
        <v>40928</v>
      </c>
      <c r="D1630" s="323">
        <v>370</v>
      </c>
      <c r="E1630" s="324">
        <f t="shared" si="25"/>
        <v>90228.200000000012</v>
      </c>
    </row>
    <row r="1631" spans="1:5" x14ac:dyDescent="0.25">
      <c r="A1631" s="323" t="s">
        <v>2542</v>
      </c>
      <c r="B1631" s="323" t="s">
        <v>805</v>
      </c>
      <c r="C1631" s="323">
        <v>40928</v>
      </c>
      <c r="D1631" s="323">
        <v>214</v>
      </c>
      <c r="E1631" s="324">
        <f t="shared" si="25"/>
        <v>52186.04</v>
      </c>
    </row>
    <row r="1632" spans="1:5" x14ac:dyDescent="0.25">
      <c r="A1632" s="323" t="s">
        <v>2848</v>
      </c>
      <c r="B1632" s="323" t="s">
        <v>805</v>
      </c>
      <c r="C1632" s="323">
        <v>40928</v>
      </c>
      <c r="D1632" s="323">
        <v>259</v>
      </c>
      <c r="E1632" s="324">
        <f t="shared" si="25"/>
        <v>63159.740000000005</v>
      </c>
    </row>
    <row r="1633" spans="1:5" x14ac:dyDescent="0.25">
      <c r="A1633" s="323" t="s">
        <v>3737</v>
      </c>
      <c r="B1633" s="323" t="s">
        <v>805</v>
      </c>
      <c r="C1633" s="323">
        <v>40928</v>
      </c>
      <c r="D1633" s="323">
        <v>359</v>
      </c>
      <c r="E1633" s="324">
        <f t="shared" si="25"/>
        <v>87545.74</v>
      </c>
    </row>
    <row r="1634" spans="1:5" x14ac:dyDescent="0.25">
      <c r="A1634" s="323" t="s">
        <v>3944</v>
      </c>
      <c r="B1634" s="323" t="s">
        <v>805</v>
      </c>
      <c r="C1634" s="323">
        <v>40928</v>
      </c>
      <c r="D1634" s="323">
        <v>202</v>
      </c>
      <c r="E1634" s="324">
        <f t="shared" si="25"/>
        <v>49259.72</v>
      </c>
    </row>
    <row r="1635" spans="1:5" x14ac:dyDescent="0.25">
      <c r="A1635" s="323" t="s">
        <v>4107</v>
      </c>
      <c r="B1635" s="323" t="s">
        <v>805</v>
      </c>
      <c r="C1635" s="323">
        <v>40928</v>
      </c>
      <c r="D1635" s="323">
        <v>347</v>
      </c>
      <c r="E1635" s="324">
        <f t="shared" si="25"/>
        <v>84619.42</v>
      </c>
    </row>
    <row r="1636" spans="1:5" x14ac:dyDescent="0.25">
      <c r="A1636" s="323" t="s">
        <v>4512</v>
      </c>
      <c r="B1636" s="323" t="s">
        <v>805</v>
      </c>
      <c r="C1636" s="323">
        <v>40928</v>
      </c>
      <c r="D1636" s="323">
        <v>423</v>
      </c>
      <c r="E1636" s="324">
        <f t="shared" si="25"/>
        <v>103152.78</v>
      </c>
    </row>
    <row r="1637" spans="1:5" x14ac:dyDescent="0.25">
      <c r="A1637" s="323" t="s">
        <v>4512</v>
      </c>
      <c r="B1637" s="323" t="s">
        <v>805</v>
      </c>
      <c r="C1637" s="323">
        <v>40928</v>
      </c>
      <c r="D1637" s="323">
        <v>173</v>
      </c>
      <c r="E1637" s="324">
        <f t="shared" si="25"/>
        <v>42187.78</v>
      </c>
    </row>
    <row r="1638" spans="1:5" x14ac:dyDescent="0.25">
      <c r="A1638" s="323" t="s">
        <v>4692</v>
      </c>
      <c r="B1638" s="323" t="s">
        <v>805</v>
      </c>
      <c r="C1638" s="323">
        <v>40928</v>
      </c>
      <c r="D1638" s="323">
        <v>217</v>
      </c>
      <c r="E1638" s="324">
        <f t="shared" si="25"/>
        <v>52917.62</v>
      </c>
    </row>
    <row r="1639" spans="1:5" x14ac:dyDescent="0.25">
      <c r="A1639" s="323" t="s">
        <v>4755</v>
      </c>
      <c r="B1639" s="323" t="s">
        <v>805</v>
      </c>
      <c r="C1639" s="323">
        <v>40928</v>
      </c>
      <c r="D1639" s="323">
        <v>127</v>
      </c>
      <c r="E1639" s="324">
        <f t="shared" si="25"/>
        <v>30970.22</v>
      </c>
    </row>
    <row r="1640" spans="1:5" x14ac:dyDescent="0.25">
      <c r="A1640" s="323" t="s">
        <v>4820</v>
      </c>
      <c r="B1640" s="323" t="s">
        <v>805</v>
      </c>
      <c r="C1640" s="323">
        <v>40928</v>
      </c>
      <c r="D1640" s="323">
        <v>250</v>
      </c>
      <c r="E1640" s="324">
        <f t="shared" si="25"/>
        <v>60965</v>
      </c>
    </row>
    <row r="1641" spans="1:5" x14ac:dyDescent="0.25">
      <c r="A1641" s="323" t="s">
        <v>4904</v>
      </c>
      <c r="B1641" s="323" t="s">
        <v>805</v>
      </c>
      <c r="C1641" s="323">
        <v>40928</v>
      </c>
      <c r="D1641" s="323">
        <v>119</v>
      </c>
      <c r="E1641" s="324">
        <f t="shared" si="25"/>
        <v>29019.34</v>
      </c>
    </row>
    <row r="1642" spans="1:5" x14ac:dyDescent="0.25">
      <c r="A1642" s="323" t="s">
        <v>4991</v>
      </c>
      <c r="B1642" s="323" t="s">
        <v>805</v>
      </c>
      <c r="C1642" s="323">
        <v>40928</v>
      </c>
      <c r="D1642" s="323">
        <v>243</v>
      </c>
      <c r="E1642" s="324">
        <f t="shared" si="25"/>
        <v>59257.98</v>
      </c>
    </row>
    <row r="1643" spans="1:5" x14ac:dyDescent="0.25">
      <c r="A1643" s="323" t="s">
        <v>5031</v>
      </c>
      <c r="B1643" s="323" t="s">
        <v>805</v>
      </c>
      <c r="C1643" s="323">
        <v>40928</v>
      </c>
      <c r="D1643" s="323">
        <v>149</v>
      </c>
      <c r="E1643" s="324">
        <f t="shared" si="25"/>
        <v>36335.14</v>
      </c>
    </row>
    <row r="1644" spans="1:5" x14ac:dyDescent="0.25">
      <c r="A1644" s="323" t="s">
        <v>5063</v>
      </c>
      <c r="B1644" s="323" t="s">
        <v>805</v>
      </c>
      <c r="C1644" s="323">
        <v>40928</v>
      </c>
      <c r="D1644" s="323">
        <v>195</v>
      </c>
      <c r="E1644" s="324">
        <f t="shared" si="25"/>
        <v>47552.700000000004</v>
      </c>
    </row>
    <row r="1645" spans="1:5" x14ac:dyDescent="0.25">
      <c r="A1645" s="323" t="s">
        <v>5084</v>
      </c>
      <c r="B1645" s="323" t="s">
        <v>805</v>
      </c>
      <c r="C1645" s="323">
        <v>40928</v>
      </c>
      <c r="D1645" s="323">
        <v>173</v>
      </c>
      <c r="E1645" s="324">
        <f t="shared" si="25"/>
        <v>42187.78</v>
      </c>
    </row>
    <row r="1646" spans="1:5" x14ac:dyDescent="0.25">
      <c r="A1646" s="323" t="s">
        <v>5310</v>
      </c>
      <c r="B1646" s="323" t="s">
        <v>805</v>
      </c>
      <c r="C1646" s="323">
        <v>40928</v>
      </c>
      <c r="D1646" s="323">
        <v>295</v>
      </c>
      <c r="E1646" s="324">
        <f t="shared" si="25"/>
        <v>71938.7</v>
      </c>
    </row>
    <row r="1647" spans="1:5" x14ac:dyDescent="0.25">
      <c r="A1647" s="323" t="s">
        <v>5341</v>
      </c>
      <c r="B1647" s="323" t="s">
        <v>805</v>
      </c>
      <c r="C1647" s="323">
        <v>40928</v>
      </c>
      <c r="D1647" s="323">
        <v>410</v>
      </c>
      <c r="E1647" s="324">
        <f t="shared" si="25"/>
        <v>99982.6</v>
      </c>
    </row>
    <row r="1648" spans="1:5" x14ac:dyDescent="0.25">
      <c r="A1648" s="323" t="s">
        <v>5837</v>
      </c>
      <c r="B1648" s="323" t="s">
        <v>805</v>
      </c>
      <c r="C1648" s="323">
        <v>40928</v>
      </c>
      <c r="D1648" s="323">
        <v>665</v>
      </c>
      <c r="E1648" s="324">
        <f t="shared" si="25"/>
        <v>162166.90000000002</v>
      </c>
    </row>
    <row r="1649" spans="1:5" x14ac:dyDescent="0.25">
      <c r="A1649" s="323" t="s">
        <v>6738</v>
      </c>
      <c r="B1649" s="323" t="s">
        <v>816</v>
      </c>
      <c r="C1649" s="323">
        <v>40928</v>
      </c>
      <c r="D1649" s="323">
        <v>128</v>
      </c>
      <c r="E1649" s="324">
        <f t="shared" si="25"/>
        <v>46821.120000000003</v>
      </c>
    </row>
    <row r="1650" spans="1:5" x14ac:dyDescent="0.25">
      <c r="A1650" s="323" t="s">
        <v>7142</v>
      </c>
      <c r="B1650" s="323" t="s">
        <v>805</v>
      </c>
      <c r="C1650" s="323">
        <v>40928</v>
      </c>
      <c r="D1650" s="323">
        <v>336</v>
      </c>
      <c r="E1650" s="324">
        <f t="shared" si="25"/>
        <v>81936.960000000006</v>
      </c>
    </row>
    <row r="1651" spans="1:5" x14ac:dyDescent="0.25">
      <c r="A1651" s="323" t="s">
        <v>7163</v>
      </c>
      <c r="B1651" s="323" t="s">
        <v>805</v>
      </c>
      <c r="C1651" s="323">
        <v>40928</v>
      </c>
      <c r="D1651" s="323">
        <v>477</v>
      </c>
      <c r="E1651" s="324">
        <f t="shared" si="25"/>
        <v>116321.22</v>
      </c>
    </row>
    <row r="1652" spans="1:5" x14ac:dyDescent="0.25">
      <c r="A1652" s="323" t="s">
        <v>7248</v>
      </c>
      <c r="B1652" s="323" t="s">
        <v>805</v>
      </c>
      <c r="C1652" s="323">
        <v>40928</v>
      </c>
      <c r="D1652" s="323">
        <v>601</v>
      </c>
      <c r="E1652" s="324">
        <f t="shared" si="25"/>
        <v>146559.86000000002</v>
      </c>
    </row>
    <row r="1653" spans="1:5" x14ac:dyDescent="0.25">
      <c r="A1653" s="323" t="s">
        <v>7347</v>
      </c>
      <c r="B1653" s="323" t="s">
        <v>805</v>
      </c>
      <c r="C1653" s="323">
        <v>40928</v>
      </c>
      <c r="D1653" s="323">
        <v>559</v>
      </c>
      <c r="E1653" s="324">
        <f t="shared" si="25"/>
        <v>136317.74000000002</v>
      </c>
    </row>
    <row r="1654" spans="1:5" x14ac:dyDescent="0.25">
      <c r="A1654" s="323" t="s">
        <v>1015</v>
      </c>
      <c r="B1654" s="323" t="s">
        <v>816</v>
      </c>
      <c r="C1654" s="323">
        <v>40934</v>
      </c>
      <c r="D1654" s="323">
        <v>143</v>
      </c>
      <c r="E1654" s="324">
        <f t="shared" si="25"/>
        <v>52307.97</v>
      </c>
    </row>
    <row r="1655" spans="1:5" x14ac:dyDescent="0.25">
      <c r="A1655" s="323" t="s">
        <v>1892</v>
      </c>
      <c r="B1655" s="323" t="s">
        <v>805</v>
      </c>
      <c r="C1655" s="323">
        <v>40934</v>
      </c>
      <c r="D1655" s="323">
        <v>106</v>
      </c>
      <c r="E1655" s="324">
        <f t="shared" si="25"/>
        <v>25849.16</v>
      </c>
    </row>
    <row r="1656" spans="1:5" x14ac:dyDescent="0.25">
      <c r="A1656" s="323" t="s">
        <v>3571</v>
      </c>
      <c r="B1656" s="323" t="s">
        <v>805</v>
      </c>
      <c r="C1656" s="323">
        <v>40934</v>
      </c>
      <c r="D1656" s="323">
        <v>364</v>
      </c>
      <c r="E1656" s="324">
        <f t="shared" si="25"/>
        <v>88765.040000000008</v>
      </c>
    </row>
    <row r="1657" spans="1:5" x14ac:dyDescent="0.25">
      <c r="A1657" s="323" t="s">
        <v>3823</v>
      </c>
      <c r="B1657" s="323" t="s">
        <v>805</v>
      </c>
      <c r="C1657" s="323">
        <v>40934</v>
      </c>
      <c r="D1657" s="323">
        <v>112</v>
      </c>
      <c r="E1657" s="324">
        <f t="shared" si="25"/>
        <v>27312.32</v>
      </c>
    </row>
    <row r="1658" spans="1:5" x14ac:dyDescent="0.25">
      <c r="A1658" s="323" t="s">
        <v>4160</v>
      </c>
      <c r="B1658" s="323" t="s">
        <v>805</v>
      </c>
      <c r="C1658" s="323">
        <v>40934</v>
      </c>
      <c r="D1658" s="323">
        <v>256</v>
      </c>
      <c r="E1658" s="324">
        <f t="shared" si="25"/>
        <v>62428.160000000003</v>
      </c>
    </row>
    <row r="1659" spans="1:5" x14ac:dyDescent="0.25">
      <c r="A1659" s="323" t="s">
        <v>4353</v>
      </c>
      <c r="B1659" s="323" t="s">
        <v>805</v>
      </c>
      <c r="C1659" s="323">
        <v>40934</v>
      </c>
      <c r="D1659" s="323">
        <v>206</v>
      </c>
      <c r="E1659" s="324">
        <f t="shared" si="25"/>
        <v>50235.16</v>
      </c>
    </row>
    <row r="1660" spans="1:5" x14ac:dyDescent="0.25">
      <c r="A1660" s="323" t="s">
        <v>4573</v>
      </c>
      <c r="B1660" s="323" t="s">
        <v>805</v>
      </c>
      <c r="C1660" s="323">
        <v>40934</v>
      </c>
      <c r="D1660" s="323">
        <v>220</v>
      </c>
      <c r="E1660" s="324">
        <f t="shared" si="25"/>
        <v>53649.200000000004</v>
      </c>
    </row>
    <row r="1661" spans="1:5" x14ac:dyDescent="0.25">
      <c r="A1661" s="323" t="s">
        <v>4659</v>
      </c>
      <c r="B1661" s="323" t="s">
        <v>805</v>
      </c>
      <c r="C1661" s="323">
        <v>40934</v>
      </c>
      <c r="D1661" s="323">
        <v>412</v>
      </c>
      <c r="E1661" s="324">
        <f t="shared" si="25"/>
        <v>100470.32</v>
      </c>
    </row>
    <row r="1662" spans="1:5" x14ac:dyDescent="0.25">
      <c r="A1662" s="323" t="s">
        <v>4792</v>
      </c>
      <c r="B1662" s="323" t="s">
        <v>805</v>
      </c>
      <c r="C1662" s="323">
        <v>40934</v>
      </c>
      <c r="D1662" s="323">
        <v>229</v>
      </c>
      <c r="E1662" s="324">
        <f t="shared" si="25"/>
        <v>55843.94</v>
      </c>
    </row>
    <row r="1663" spans="1:5" x14ac:dyDescent="0.25">
      <c r="A1663" s="323" t="s">
        <v>4891</v>
      </c>
      <c r="B1663" s="323" t="s">
        <v>805</v>
      </c>
      <c r="C1663" s="323">
        <v>40934</v>
      </c>
      <c r="D1663" s="323">
        <v>124</v>
      </c>
      <c r="E1663" s="324">
        <f t="shared" si="25"/>
        <v>30238.640000000003</v>
      </c>
    </row>
    <row r="1664" spans="1:5" x14ac:dyDescent="0.25">
      <c r="A1664" s="323" t="s">
        <v>4938</v>
      </c>
      <c r="B1664" s="323" t="s">
        <v>805</v>
      </c>
      <c r="C1664" s="323">
        <v>40934</v>
      </c>
      <c r="D1664" s="323">
        <v>341</v>
      </c>
      <c r="E1664" s="324">
        <f t="shared" si="25"/>
        <v>83156.260000000009</v>
      </c>
    </row>
    <row r="1665" spans="1:5" x14ac:dyDescent="0.25">
      <c r="A1665" s="323" t="s">
        <v>7073</v>
      </c>
      <c r="B1665" s="323" t="s">
        <v>805</v>
      </c>
      <c r="C1665" s="323">
        <v>40934</v>
      </c>
      <c r="D1665" s="323">
        <v>77</v>
      </c>
      <c r="E1665" s="324">
        <f t="shared" si="25"/>
        <v>18777.22</v>
      </c>
    </row>
    <row r="1666" spans="1:5" x14ac:dyDescent="0.25">
      <c r="A1666" s="323" t="s">
        <v>7171</v>
      </c>
      <c r="B1666" s="323" t="s">
        <v>805</v>
      </c>
      <c r="C1666" s="323">
        <v>40934</v>
      </c>
      <c r="D1666" s="323">
        <v>457</v>
      </c>
      <c r="E1666" s="324">
        <f t="shared" ref="E1666:E1729" si="26">D1666*IF(B1666=$G$9,WerkdrukbedragPerLeerlingBo,IF(B1666=$G$10,WerkdrukbedragPerLeerlingSbo,IF(B1666=$G$11,WerkdrukbedragPerLeerlingSo,IF(B1666=$G$12,WerkdrukbedragPerLeerlingVso,0))))</f>
        <v>111444.02</v>
      </c>
    </row>
    <row r="1667" spans="1:5" x14ac:dyDescent="0.25">
      <c r="A1667" s="323" t="s">
        <v>7276</v>
      </c>
      <c r="B1667" s="323" t="s">
        <v>805</v>
      </c>
      <c r="C1667" s="323">
        <v>40934</v>
      </c>
      <c r="D1667" s="323">
        <v>587</v>
      </c>
      <c r="E1667" s="324">
        <f t="shared" si="26"/>
        <v>143145.82</v>
      </c>
    </row>
    <row r="1668" spans="1:5" x14ac:dyDescent="0.25">
      <c r="A1668" s="323" t="s">
        <v>1357</v>
      </c>
      <c r="B1668" s="323" t="s">
        <v>805</v>
      </c>
      <c r="C1668" s="323">
        <v>40941</v>
      </c>
      <c r="D1668" s="323">
        <v>86</v>
      </c>
      <c r="E1668" s="324">
        <f t="shared" si="26"/>
        <v>20971.960000000003</v>
      </c>
    </row>
    <row r="1669" spans="1:5" x14ac:dyDescent="0.25">
      <c r="A1669" s="323" t="s">
        <v>3258</v>
      </c>
      <c r="B1669" s="323" t="s">
        <v>805</v>
      </c>
      <c r="C1669" s="323">
        <v>40941</v>
      </c>
      <c r="D1669" s="323">
        <v>324</v>
      </c>
      <c r="E1669" s="324">
        <f t="shared" si="26"/>
        <v>79010.64</v>
      </c>
    </row>
    <row r="1670" spans="1:5" x14ac:dyDescent="0.25">
      <c r="A1670" s="323" t="s">
        <v>4016</v>
      </c>
      <c r="B1670" s="323" t="s">
        <v>805</v>
      </c>
      <c r="C1670" s="323">
        <v>40941</v>
      </c>
      <c r="D1670" s="323">
        <v>104</v>
      </c>
      <c r="E1670" s="324">
        <f t="shared" si="26"/>
        <v>25361.440000000002</v>
      </c>
    </row>
    <row r="1671" spans="1:5" x14ac:dyDescent="0.25">
      <c r="A1671" s="323" t="s">
        <v>4162</v>
      </c>
      <c r="B1671" s="323" t="s">
        <v>805</v>
      </c>
      <c r="C1671" s="323">
        <v>40941</v>
      </c>
      <c r="D1671" s="323">
        <v>193</v>
      </c>
      <c r="E1671" s="324">
        <f t="shared" si="26"/>
        <v>47064.98</v>
      </c>
    </row>
    <row r="1672" spans="1:5" x14ac:dyDescent="0.25">
      <c r="A1672" s="323" t="s">
        <v>5209</v>
      </c>
      <c r="B1672" s="323" t="s">
        <v>805</v>
      </c>
      <c r="C1672" s="323">
        <v>40941</v>
      </c>
      <c r="D1672" s="323">
        <v>58</v>
      </c>
      <c r="E1672" s="324">
        <f t="shared" si="26"/>
        <v>14143.880000000001</v>
      </c>
    </row>
    <row r="1673" spans="1:5" x14ac:dyDescent="0.25">
      <c r="A1673" s="323" t="s">
        <v>5688</v>
      </c>
      <c r="B1673" s="323" t="s">
        <v>805</v>
      </c>
      <c r="C1673" s="323">
        <v>40941</v>
      </c>
      <c r="D1673" s="323">
        <v>244</v>
      </c>
      <c r="E1673" s="324">
        <f t="shared" si="26"/>
        <v>59501.840000000004</v>
      </c>
    </row>
    <row r="1674" spans="1:5" x14ac:dyDescent="0.25">
      <c r="A1674" s="323" t="s">
        <v>949</v>
      </c>
      <c r="B1674" s="323" t="s">
        <v>805</v>
      </c>
      <c r="C1674" s="323">
        <v>40945</v>
      </c>
      <c r="D1674" s="323">
        <v>121</v>
      </c>
      <c r="E1674" s="324">
        <f t="shared" si="26"/>
        <v>29507.06</v>
      </c>
    </row>
    <row r="1675" spans="1:5" x14ac:dyDescent="0.25">
      <c r="A1675" s="323" t="s">
        <v>1025</v>
      </c>
      <c r="B1675" s="323" t="s">
        <v>805</v>
      </c>
      <c r="C1675" s="323">
        <v>40945</v>
      </c>
      <c r="D1675" s="323">
        <v>226</v>
      </c>
      <c r="E1675" s="324">
        <f t="shared" si="26"/>
        <v>55112.36</v>
      </c>
    </row>
    <row r="1676" spans="1:5" x14ac:dyDescent="0.25">
      <c r="A1676" s="323" t="s">
        <v>1115</v>
      </c>
      <c r="B1676" s="323" t="s">
        <v>805</v>
      </c>
      <c r="C1676" s="323">
        <v>40945</v>
      </c>
      <c r="D1676" s="323">
        <v>223</v>
      </c>
      <c r="E1676" s="324">
        <f t="shared" si="26"/>
        <v>54380.780000000006</v>
      </c>
    </row>
    <row r="1677" spans="1:5" x14ac:dyDescent="0.25">
      <c r="A1677" s="323" t="s">
        <v>1373</v>
      </c>
      <c r="B1677" s="323" t="s">
        <v>805</v>
      </c>
      <c r="C1677" s="323">
        <v>40945</v>
      </c>
      <c r="D1677" s="323">
        <v>121</v>
      </c>
      <c r="E1677" s="324">
        <f t="shared" si="26"/>
        <v>29507.06</v>
      </c>
    </row>
    <row r="1678" spans="1:5" x14ac:dyDescent="0.25">
      <c r="A1678" s="323" t="s">
        <v>1394</v>
      </c>
      <c r="B1678" s="323" t="s">
        <v>805</v>
      </c>
      <c r="C1678" s="323">
        <v>40945</v>
      </c>
      <c r="D1678" s="323">
        <v>148</v>
      </c>
      <c r="E1678" s="324">
        <f t="shared" si="26"/>
        <v>36091.279999999999</v>
      </c>
    </row>
    <row r="1679" spans="1:5" x14ac:dyDescent="0.25">
      <c r="A1679" s="323" t="s">
        <v>1400</v>
      </c>
      <c r="B1679" s="323" t="s">
        <v>805</v>
      </c>
      <c r="C1679" s="323">
        <v>40945</v>
      </c>
      <c r="D1679" s="323">
        <v>137</v>
      </c>
      <c r="E1679" s="324">
        <f t="shared" si="26"/>
        <v>33408.82</v>
      </c>
    </row>
    <row r="1680" spans="1:5" x14ac:dyDescent="0.25">
      <c r="A1680" s="323" t="s">
        <v>1468</v>
      </c>
      <c r="B1680" s="323" t="s">
        <v>805</v>
      </c>
      <c r="C1680" s="323">
        <v>40945</v>
      </c>
      <c r="D1680" s="323">
        <v>355</v>
      </c>
      <c r="E1680" s="324">
        <f t="shared" si="26"/>
        <v>86570.3</v>
      </c>
    </row>
    <row r="1681" spans="1:5" x14ac:dyDescent="0.25">
      <c r="A1681" s="323" t="s">
        <v>1468</v>
      </c>
      <c r="B1681" s="323" t="s">
        <v>805</v>
      </c>
      <c r="C1681" s="323">
        <v>40945</v>
      </c>
      <c r="D1681" s="323">
        <v>114</v>
      </c>
      <c r="E1681" s="324">
        <f t="shared" si="26"/>
        <v>27800.04</v>
      </c>
    </row>
    <row r="1682" spans="1:5" x14ac:dyDescent="0.25">
      <c r="A1682" s="323" t="s">
        <v>2200</v>
      </c>
      <c r="B1682" s="323" t="s">
        <v>805</v>
      </c>
      <c r="C1682" s="323">
        <v>40945</v>
      </c>
      <c r="D1682" s="323">
        <v>167</v>
      </c>
      <c r="E1682" s="324">
        <f t="shared" si="26"/>
        <v>40724.620000000003</v>
      </c>
    </row>
    <row r="1683" spans="1:5" x14ac:dyDescent="0.25">
      <c r="A1683" s="323" t="s">
        <v>2315</v>
      </c>
      <c r="B1683" s="323" t="s">
        <v>805</v>
      </c>
      <c r="C1683" s="323">
        <v>40945</v>
      </c>
      <c r="D1683" s="323">
        <v>141</v>
      </c>
      <c r="E1683" s="324">
        <f t="shared" si="26"/>
        <v>34384.26</v>
      </c>
    </row>
    <row r="1684" spans="1:5" x14ac:dyDescent="0.25">
      <c r="A1684" s="323" t="s">
        <v>2654</v>
      </c>
      <c r="B1684" s="323" t="s">
        <v>805</v>
      </c>
      <c r="C1684" s="323">
        <v>40945</v>
      </c>
      <c r="D1684" s="323">
        <v>381</v>
      </c>
      <c r="E1684" s="324">
        <f t="shared" si="26"/>
        <v>92910.66</v>
      </c>
    </row>
    <row r="1685" spans="1:5" x14ac:dyDescent="0.25">
      <c r="A1685" s="323" t="s">
        <v>6797</v>
      </c>
      <c r="B1685" s="323" t="s">
        <v>805</v>
      </c>
      <c r="C1685" s="323">
        <v>40945</v>
      </c>
      <c r="D1685" s="323">
        <v>131</v>
      </c>
      <c r="E1685" s="324">
        <f t="shared" si="26"/>
        <v>31945.660000000003</v>
      </c>
    </row>
    <row r="1686" spans="1:5" x14ac:dyDescent="0.25">
      <c r="A1686" s="323" t="s">
        <v>6841</v>
      </c>
      <c r="B1686" s="323" t="s">
        <v>805</v>
      </c>
      <c r="C1686" s="323">
        <v>40945</v>
      </c>
      <c r="D1686" s="323">
        <v>208</v>
      </c>
      <c r="E1686" s="324">
        <f t="shared" si="26"/>
        <v>50722.880000000005</v>
      </c>
    </row>
    <row r="1687" spans="1:5" x14ac:dyDescent="0.25">
      <c r="A1687" s="323" t="s">
        <v>7006</v>
      </c>
      <c r="B1687" s="323" t="s">
        <v>816</v>
      </c>
      <c r="C1687" s="323">
        <v>40945</v>
      </c>
      <c r="D1687" s="323">
        <v>105</v>
      </c>
      <c r="E1687" s="324">
        <f t="shared" si="26"/>
        <v>38407.950000000004</v>
      </c>
    </row>
    <row r="1688" spans="1:5" x14ac:dyDescent="0.25">
      <c r="A1688" s="323" t="s">
        <v>7031</v>
      </c>
      <c r="B1688" s="323" t="s">
        <v>805</v>
      </c>
      <c r="C1688" s="323">
        <v>40945</v>
      </c>
      <c r="D1688" s="323">
        <v>248</v>
      </c>
      <c r="E1688" s="324">
        <f t="shared" si="26"/>
        <v>60477.280000000006</v>
      </c>
    </row>
    <row r="1689" spans="1:5" x14ac:dyDescent="0.25">
      <c r="A1689" s="323" t="s">
        <v>7103</v>
      </c>
      <c r="B1689" s="323" t="s">
        <v>805</v>
      </c>
      <c r="C1689" s="323">
        <v>40945</v>
      </c>
      <c r="D1689" s="323">
        <v>179</v>
      </c>
      <c r="E1689" s="324">
        <f t="shared" si="26"/>
        <v>43650.94</v>
      </c>
    </row>
    <row r="1690" spans="1:5" x14ac:dyDescent="0.25">
      <c r="A1690" s="323" t="s">
        <v>7112</v>
      </c>
      <c r="B1690" s="323" t="s">
        <v>805</v>
      </c>
      <c r="C1690" s="323">
        <v>40945</v>
      </c>
      <c r="D1690" s="323">
        <v>181</v>
      </c>
      <c r="E1690" s="324">
        <f t="shared" si="26"/>
        <v>44138.66</v>
      </c>
    </row>
    <row r="1691" spans="1:5" x14ac:dyDescent="0.25">
      <c r="A1691" s="323" t="s">
        <v>864</v>
      </c>
      <c r="B1691" s="323" t="s">
        <v>816</v>
      </c>
      <c r="C1691" s="323">
        <v>40946</v>
      </c>
      <c r="D1691" s="323">
        <v>138</v>
      </c>
      <c r="E1691" s="324">
        <f t="shared" si="26"/>
        <v>50479.020000000004</v>
      </c>
    </row>
    <row r="1692" spans="1:5" x14ac:dyDescent="0.25">
      <c r="A1692" s="323" t="s">
        <v>1557</v>
      </c>
      <c r="B1692" s="323" t="s">
        <v>805</v>
      </c>
      <c r="C1692" s="323">
        <v>40946</v>
      </c>
      <c r="D1692" s="323">
        <v>219</v>
      </c>
      <c r="E1692" s="324">
        <f t="shared" si="26"/>
        <v>53405.340000000004</v>
      </c>
    </row>
    <row r="1693" spans="1:5" x14ac:dyDescent="0.25">
      <c r="A1693" s="323" t="s">
        <v>1874</v>
      </c>
      <c r="B1693" s="323" t="s">
        <v>805</v>
      </c>
      <c r="C1693" s="323">
        <v>40946</v>
      </c>
      <c r="D1693" s="323">
        <v>130</v>
      </c>
      <c r="E1693" s="324">
        <f t="shared" si="26"/>
        <v>31701.800000000003</v>
      </c>
    </row>
    <row r="1694" spans="1:5" x14ac:dyDescent="0.25">
      <c r="A1694" s="323" t="s">
        <v>1881</v>
      </c>
      <c r="B1694" s="323" t="s">
        <v>805</v>
      </c>
      <c r="C1694" s="323">
        <v>40946</v>
      </c>
      <c r="D1694" s="323">
        <v>64</v>
      </c>
      <c r="E1694" s="324">
        <f t="shared" si="26"/>
        <v>15607.04</v>
      </c>
    </row>
    <row r="1695" spans="1:5" x14ac:dyDescent="0.25">
      <c r="A1695" s="323" t="s">
        <v>2446</v>
      </c>
      <c r="B1695" s="323" t="s">
        <v>805</v>
      </c>
      <c r="C1695" s="323">
        <v>40946</v>
      </c>
      <c r="D1695" s="323">
        <v>195</v>
      </c>
      <c r="E1695" s="324">
        <f t="shared" si="26"/>
        <v>47552.700000000004</v>
      </c>
    </row>
    <row r="1696" spans="1:5" x14ac:dyDescent="0.25">
      <c r="A1696" s="323" t="s">
        <v>2941</v>
      </c>
      <c r="B1696" s="323" t="s">
        <v>805</v>
      </c>
      <c r="C1696" s="323">
        <v>40946</v>
      </c>
      <c r="D1696" s="323">
        <v>44</v>
      </c>
      <c r="E1696" s="324">
        <f t="shared" si="26"/>
        <v>10729.84</v>
      </c>
    </row>
    <row r="1697" spans="1:5" x14ac:dyDescent="0.25">
      <c r="A1697" s="323" t="s">
        <v>3150</v>
      </c>
      <c r="B1697" s="323" t="s">
        <v>805</v>
      </c>
      <c r="C1697" s="323">
        <v>40946</v>
      </c>
      <c r="D1697" s="323">
        <v>169</v>
      </c>
      <c r="E1697" s="324">
        <f t="shared" si="26"/>
        <v>41212.340000000004</v>
      </c>
    </row>
    <row r="1698" spans="1:5" x14ac:dyDescent="0.25">
      <c r="A1698" s="323" t="s">
        <v>3764</v>
      </c>
      <c r="B1698" s="323" t="s">
        <v>805</v>
      </c>
      <c r="C1698" s="323">
        <v>40946</v>
      </c>
      <c r="D1698" s="323">
        <v>187</v>
      </c>
      <c r="E1698" s="324">
        <f t="shared" si="26"/>
        <v>45601.82</v>
      </c>
    </row>
    <row r="1699" spans="1:5" x14ac:dyDescent="0.25">
      <c r="A1699" s="323" t="s">
        <v>3816</v>
      </c>
      <c r="B1699" s="323" t="s">
        <v>805</v>
      </c>
      <c r="C1699" s="323">
        <v>40946</v>
      </c>
      <c r="D1699" s="323">
        <v>232</v>
      </c>
      <c r="E1699" s="324">
        <f t="shared" si="26"/>
        <v>56575.520000000004</v>
      </c>
    </row>
    <row r="1700" spans="1:5" x14ac:dyDescent="0.25">
      <c r="A1700" s="323" t="s">
        <v>3961</v>
      </c>
      <c r="B1700" s="323" t="s">
        <v>805</v>
      </c>
      <c r="C1700" s="323">
        <v>40946</v>
      </c>
      <c r="D1700" s="323">
        <v>436</v>
      </c>
      <c r="E1700" s="324">
        <f t="shared" si="26"/>
        <v>106322.96</v>
      </c>
    </row>
    <row r="1701" spans="1:5" x14ac:dyDescent="0.25">
      <c r="A1701" s="323" t="s">
        <v>4257</v>
      </c>
      <c r="B1701" s="323" t="s">
        <v>805</v>
      </c>
      <c r="C1701" s="323">
        <v>40946</v>
      </c>
      <c r="D1701" s="323">
        <v>255</v>
      </c>
      <c r="E1701" s="324">
        <f t="shared" si="26"/>
        <v>62184.3</v>
      </c>
    </row>
    <row r="1702" spans="1:5" x14ac:dyDescent="0.25">
      <c r="A1702" s="323" t="s">
        <v>4476</v>
      </c>
      <c r="B1702" s="323" t="s">
        <v>805</v>
      </c>
      <c r="C1702" s="323">
        <v>40946</v>
      </c>
      <c r="D1702" s="323">
        <v>163</v>
      </c>
      <c r="E1702" s="324">
        <f t="shared" si="26"/>
        <v>39749.18</v>
      </c>
    </row>
    <row r="1703" spans="1:5" x14ac:dyDescent="0.25">
      <c r="A1703" s="323" t="s">
        <v>4581</v>
      </c>
      <c r="B1703" s="323" t="s">
        <v>805</v>
      </c>
      <c r="C1703" s="323">
        <v>40946</v>
      </c>
      <c r="D1703" s="323">
        <v>236</v>
      </c>
      <c r="E1703" s="324">
        <f t="shared" si="26"/>
        <v>57550.960000000006</v>
      </c>
    </row>
    <row r="1704" spans="1:5" x14ac:dyDescent="0.25">
      <c r="A1704" s="323" t="s">
        <v>6968</v>
      </c>
      <c r="B1704" s="323" t="s">
        <v>805</v>
      </c>
      <c r="C1704" s="323">
        <v>40946</v>
      </c>
      <c r="D1704" s="323">
        <v>316</v>
      </c>
      <c r="E1704" s="324">
        <f t="shared" si="26"/>
        <v>77059.760000000009</v>
      </c>
    </row>
    <row r="1705" spans="1:5" x14ac:dyDescent="0.25">
      <c r="A1705" s="323" t="s">
        <v>1013</v>
      </c>
      <c r="B1705" s="323" t="s">
        <v>816</v>
      </c>
      <c r="C1705" s="323">
        <v>40947</v>
      </c>
      <c r="D1705" s="323">
        <v>101</v>
      </c>
      <c r="E1705" s="324">
        <f t="shared" si="26"/>
        <v>36944.79</v>
      </c>
    </row>
    <row r="1706" spans="1:5" x14ac:dyDescent="0.25">
      <c r="A1706" s="323" t="s">
        <v>1640</v>
      </c>
      <c r="B1706" s="323" t="s">
        <v>805</v>
      </c>
      <c r="C1706" s="323">
        <v>40947</v>
      </c>
      <c r="D1706" s="323">
        <v>332</v>
      </c>
      <c r="E1706" s="324">
        <f t="shared" si="26"/>
        <v>80961.52</v>
      </c>
    </row>
    <row r="1707" spans="1:5" x14ac:dyDescent="0.25">
      <c r="A1707" s="323" t="s">
        <v>2745</v>
      </c>
      <c r="B1707" s="323" t="s">
        <v>805</v>
      </c>
      <c r="C1707" s="323">
        <v>40947</v>
      </c>
      <c r="D1707" s="323">
        <v>294</v>
      </c>
      <c r="E1707" s="324">
        <f t="shared" si="26"/>
        <v>71694.840000000011</v>
      </c>
    </row>
    <row r="1708" spans="1:5" x14ac:dyDescent="0.25">
      <c r="A1708" s="323" t="s">
        <v>4354</v>
      </c>
      <c r="B1708" s="323" t="s">
        <v>805</v>
      </c>
      <c r="C1708" s="323">
        <v>40947</v>
      </c>
      <c r="D1708" s="323">
        <v>376</v>
      </c>
      <c r="E1708" s="324">
        <f t="shared" si="26"/>
        <v>91691.36</v>
      </c>
    </row>
    <row r="1709" spans="1:5" x14ac:dyDescent="0.25">
      <c r="A1709" s="323" t="s">
        <v>4574</v>
      </c>
      <c r="B1709" s="323" t="s">
        <v>805</v>
      </c>
      <c r="C1709" s="323">
        <v>40947</v>
      </c>
      <c r="D1709" s="323">
        <v>180</v>
      </c>
      <c r="E1709" s="324">
        <f t="shared" si="26"/>
        <v>43894.8</v>
      </c>
    </row>
    <row r="1710" spans="1:5" x14ac:dyDescent="0.25">
      <c r="A1710" s="323" t="s">
        <v>4660</v>
      </c>
      <c r="B1710" s="323" t="s">
        <v>805</v>
      </c>
      <c r="C1710" s="323">
        <v>40947</v>
      </c>
      <c r="D1710" s="323">
        <v>147</v>
      </c>
      <c r="E1710" s="324">
        <f t="shared" si="26"/>
        <v>35847.420000000006</v>
      </c>
    </row>
    <row r="1711" spans="1:5" x14ac:dyDescent="0.25">
      <c r="A1711" s="323" t="s">
        <v>6878</v>
      </c>
      <c r="B1711" s="323" t="s">
        <v>805</v>
      </c>
      <c r="C1711" s="323">
        <v>40947</v>
      </c>
      <c r="D1711" s="323">
        <v>211</v>
      </c>
      <c r="E1711" s="324">
        <f t="shared" si="26"/>
        <v>51454.460000000006</v>
      </c>
    </row>
    <row r="1712" spans="1:5" x14ac:dyDescent="0.25">
      <c r="A1712" s="323" t="s">
        <v>830</v>
      </c>
      <c r="B1712" s="323" t="s">
        <v>805</v>
      </c>
      <c r="C1712" s="323">
        <v>40950</v>
      </c>
      <c r="D1712" s="323">
        <v>165</v>
      </c>
      <c r="E1712" s="324">
        <f t="shared" si="26"/>
        <v>40236.9</v>
      </c>
    </row>
    <row r="1713" spans="1:5" x14ac:dyDescent="0.25">
      <c r="A1713" s="323" t="s">
        <v>1532</v>
      </c>
      <c r="B1713" s="323" t="s">
        <v>805</v>
      </c>
      <c r="C1713" s="323">
        <v>40950</v>
      </c>
      <c r="D1713" s="323">
        <v>131</v>
      </c>
      <c r="E1713" s="324">
        <f t="shared" si="26"/>
        <v>31945.660000000003</v>
      </c>
    </row>
    <row r="1714" spans="1:5" x14ac:dyDescent="0.25">
      <c r="A1714" s="323" t="s">
        <v>2362</v>
      </c>
      <c r="B1714" s="323" t="s">
        <v>805</v>
      </c>
      <c r="C1714" s="323">
        <v>40950</v>
      </c>
      <c r="D1714" s="323">
        <v>307</v>
      </c>
      <c r="E1714" s="324">
        <f t="shared" si="26"/>
        <v>74865.02</v>
      </c>
    </row>
    <row r="1715" spans="1:5" x14ac:dyDescent="0.25">
      <c r="A1715" s="323" t="s">
        <v>2844</v>
      </c>
      <c r="B1715" s="323" t="s">
        <v>805</v>
      </c>
      <c r="C1715" s="323">
        <v>40950</v>
      </c>
      <c r="D1715" s="323">
        <v>192</v>
      </c>
      <c r="E1715" s="324">
        <f t="shared" si="26"/>
        <v>46821.120000000003</v>
      </c>
    </row>
    <row r="1716" spans="1:5" x14ac:dyDescent="0.25">
      <c r="A1716" s="323" t="s">
        <v>3477</v>
      </c>
      <c r="B1716" s="323" t="s">
        <v>805</v>
      </c>
      <c r="C1716" s="323">
        <v>40950</v>
      </c>
      <c r="D1716" s="323">
        <v>333</v>
      </c>
      <c r="E1716" s="324">
        <f t="shared" si="26"/>
        <v>81205.38</v>
      </c>
    </row>
    <row r="1717" spans="1:5" x14ac:dyDescent="0.25">
      <c r="A1717" s="323" t="s">
        <v>3610</v>
      </c>
      <c r="B1717" s="323" t="s">
        <v>805</v>
      </c>
      <c r="C1717" s="323">
        <v>40950</v>
      </c>
      <c r="D1717" s="323">
        <v>90</v>
      </c>
      <c r="E1717" s="324">
        <f t="shared" si="26"/>
        <v>21947.4</v>
      </c>
    </row>
    <row r="1718" spans="1:5" x14ac:dyDescent="0.25">
      <c r="A1718" s="323" t="s">
        <v>3746</v>
      </c>
      <c r="B1718" s="323" t="s">
        <v>805</v>
      </c>
      <c r="C1718" s="323">
        <v>40950</v>
      </c>
      <c r="D1718" s="323">
        <v>339</v>
      </c>
      <c r="E1718" s="324">
        <f t="shared" si="26"/>
        <v>82668.540000000008</v>
      </c>
    </row>
    <row r="1719" spans="1:5" x14ac:dyDescent="0.25">
      <c r="A1719" s="323" t="s">
        <v>3853</v>
      </c>
      <c r="B1719" s="323" t="s">
        <v>805</v>
      </c>
      <c r="C1719" s="323">
        <v>40950</v>
      </c>
      <c r="D1719" s="323">
        <v>219</v>
      </c>
      <c r="E1719" s="324">
        <f t="shared" si="26"/>
        <v>53405.340000000004</v>
      </c>
    </row>
    <row r="1720" spans="1:5" x14ac:dyDescent="0.25">
      <c r="A1720" s="323" t="s">
        <v>4033</v>
      </c>
      <c r="B1720" s="323" t="s">
        <v>805</v>
      </c>
      <c r="C1720" s="323">
        <v>40950</v>
      </c>
      <c r="D1720" s="323">
        <v>201</v>
      </c>
      <c r="E1720" s="324">
        <f t="shared" si="26"/>
        <v>49015.86</v>
      </c>
    </row>
    <row r="1721" spans="1:5" x14ac:dyDescent="0.25">
      <c r="A1721" s="323" t="s">
        <v>4381</v>
      </c>
      <c r="B1721" s="323" t="s">
        <v>805</v>
      </c>
      <c r="C1721" s="323">
        <v>40950</v>
      </c>
      <c r="D1721" s="323">
        <v>82</v>
      </c>
      <c r="E1721" s="324">
        <f t="shared" si="26"/>
        <v>19996.52</v>
      </c>
    </row>
    <row r="1722" spans="1:5" x14ac:dyDescent="0.25">
      <c r="A1722" s="323" t="s">
        <v>4482</v>
      </c>
      <c r="B1722" s="323" t="s">
        <v>805</v>
      </c>
      <c r="C1722" s="323">
        <v>40950</v>
      </c>
      <c r="D1722" s="323">
        <v>180</v>
      </c>
      <c r="E1722" s="324">
        <f t="shared" si="26"/>
        <v>43894.8</v>
      </c>
    </row>
    <row r="1723" spans="1:5" x14ac:dyDescent="0.25">
      <c r="A1723" s="323" t="s">
        <v>4489</v>
      </c>
      <c r="B1723" s="323" t="s">
        <v>805</v>
      </c>
      <c r="C1723" s="323">
        <v>40950</v>
      </c>
      <c r="D1723" s="323">
        <v>246</v>
      </c>
      <c r="E1723" s="324">
        <f t="shared" si="26"/>
        <v>59989.560000000005</v>
      </c>
    </row>
    <row r="1724" spans="1:5" x14ac:dyDescent="0.25">
      <c r="A1724" s="323" t="s">
        <v>4587</v>
      </c>
      <c r="B1724" s="323" t="s">
        <v>805</v>
      </c>
      <c r="C1724" s="323">
        <v>40950</v>
      </c>
      <c r="D1724" s="323">
        <v>373</v>
      </c>
      <c r="E1724" s="324">
        <f t="shared" si="26"/>
        <v>90959.78</v>
      </c>
    </row>
    <row r="1725" spans="1:5" x14ac:dyDescent="0.25">
      <c r="A1725" s="323" t="s">
        <v>4674</v>
      </c>
      <c r="B1725" s="323" t="s">
        <v>805</v>
      </c>
      <c r="C1725" s="323">
        <v>40950</v>
      </c>
      <c r="D1725" s="323">
        <v>303</v>
      </c>
      <c r="E1725" s="324">
        <f t="shared" si="26"/>
        <v>73889.58</v>
      </c>
    </row>
    <row r="1726" spans="1:5" x14ac:dyDescent="0.25">
      <c r="A1726" s="323" t="s">
        <v>4731</v>
      </c>
      <c r="B1726" s="323" t="s">
        <v>805</v>
      </c>
      <c r="C1726" s="323">
        <v>40950</v>
      </c>
      <c r="D1726" s="323">
        <v>236</v>
      </c>
      <c r="E1726" s="324">
        <f t="shared" si="26"/>
        <v>57550.960000000006</v>
      </c>
    </row>
    <row r="1727" spans="1:5" x14ac:dyDescent="0.25">
      <c r="A1727" s="323" t="s">
        <v>4735</v>
      </c>
      <c r="B1727" s="323" t="s">
        <v>805</v>
      </c>
      <c r="C1727" s="323">
        <v>40950</v>
      </c>
      <c r="D1727" s="323">
        <v>169</v>
      </c>
      <c r="E1727" s="324">
        <f t="shared" si="26"/>
        <v>41212.340000000004</v>
      </c>
    </row>
    <row r="1728" spans="1:5" x14ac:dyDescent="0.25">
      <c r="A1728" s="323" t="s">
        <v>4803</v>
      </c>
      <c r="B1728" s="323" t="s">
        <v>805</v>
      </c>
      <c r="C1728" s="323">
        <v>40950</v>
      </c>
      <c r="D1728" s="323">
        <v>82</v>
      </c>
      <c r="E1728" s="324">
        <f t="shared" si="26"/>
        <v>19996.52</v>
      </c>
    </row>
    <row r="1729" spans="1:5" x14ac:dyDescent="0.25">
      <c r="A1729" s="323" t="s">
        <v>6877</v>
      </c>
      <c r="B1729" s="323" t="s">
        <v>805</v>
      </c>
      <c r="C1729" s="323">
        <v>40950</v>
      </c>
      <c r="D1729" s="323">
        <v>141</v>
      </c>
      <c r="E1729" s="324">
        <f t="shared" si="26"/>
        <v>34384.26</v>
      </c>
    </row>
    <row r="1730" spans="1:5" x14ac:dyDescent="0.25">
      <c r="A1730" s="323" t="s">
        <v>6917</v>
      </c>
      <c r="B1730" s="323" t="s">
        <v>805</v>
      </c>
      <c r="C1730" s="323">
        <v>40950</v>
      </c>
      <c r="D1730" s="323">
        <v>248</v>
      </c>
      <c r="E1730" s="324">
        <f t="shared" ref="E1730:E1793" si="27">D1730*IF(B1730=$G$9,WerkdrukbedragPerLeerlingBo,IF(B1730=$G$10,WerkdrukbedragPerLeerlingSbo,IF(B1730=$G$11,WerkdrukbedragPerLeerlingSo,IF(B1730=$G$12,WerkdrukbedragPerLeerlingVso,0))))</f>
        <v>60477.280000000006</v>
      </c>
    </row>
    <row r="1731" spans="1:5" x14ac:dyDescent="0.25">
      <c r="A1731" s="323" t="s">
        <v>7017</v>
      </c>
      <c r="B1731" s="323" t="s">
        <v>805</v>
      </c>
      <c r="C1731" s="323">
        <v>40950</v>
      </c>
      <c r="D1731" s="323">
        <v>588</v>
      </c>
      <c r="E1731" s="324">
        <f t="shared" si="27"/>
        <v>143389.68000000002</v>
      </c>
    </row>
    <row r="1732" spans="1:5" x14ac:dyDescent="0.25">
      <c r="A1732" s="323" t="s">
        <v>7115</v>
      </c>
      <c r="B1732" s="323" t="s">
        <v>805</v>
      </c>
      <c r="C1732" s="323">
        <v>40950</v>
      </c>
      <c r="D1732" s="323">
        <v>151</v>
      </c>
      <c r="E1732" s="324">
        <f t="shared" si="27"/>
        <v>36822.86</v>
      </c>
    </row>
    <row r="1733" spans="1:5" x14ac:dyDescent="0.25">
      <c r="A1733" s="323" t="s">
        <v>7135</v>
      </c>
      <c r="B1733" s="323" t="s">
        <v>805</v>
      </c>
      <c r="C1733" s="323">
        <v>40950</v>
      </c>
      <c r="D1733" s="323">
        <v>286</v>
      </c>
      <c r="E1733" s="324">
        <f t="shared" si="27"/>
        <v>69743.960000000006</v>
      </c>
    </row>
    <row r="1734" spans="1:5" x14ac:dyDescent="0.25">
      <c r="A1734" s="323" t="s">
        <v>7145</v>
      </c>
      <c r="B1734" s="323" t="s">
        <v>805</v>
      </c>
      <c r="C1734" s="323">
        <v>40950</v>
      </c>
      <c r="D1734" s="323">
        <v>265</v>
      </c>
      <c r="E1734" s="324">
        <f t="shared" si="27"/>
        <v>64622.9</v>
      </c>
    </row>
    <row r="1735" spans="1:5" x14ac:dyDescent="0.25">
      <c r="A1735" s="323" t="s">
        <v>7200</v>
      </c>
      <c r="B1735" s="323" t="s">
        <v>805</v>
      </c>
      <c r="C1735" s="323">
        <v>40950</v>
      </c>
      <c r="D1735" s="323">
        <v>267</v>
      </c>
      <c r="E1735" s="324">
        <f t="shared" si="27"/>
        <v>65110.62</v>
      </c>
    </row>
    <row r="1736" spans="1:5" x14ac:dyDescent="0.25">
      <c r="A1736" s="323" t="s">
        <v>7291</v>
      </c>
      <c r="B1736" s="323" t="s">
        <v>805</v>
      </c>
      <c r="C1736" s="323">
        <v>40950</v>
      </c>
      <c r="D1736" s="323">
        <v>254</v>
      </c>
      <c r="E1736" s="324">
        <f t="shared" si="27"/>
        <v>61940.44</v>
      </c>
    </row>
    <row r="1737" spans="1:5" x14ac:dyDescent="0.25">
      <c r="A1737" s="323" t="s">
        <v>7363</v>
      </c>
      <c r="B1737" s="323" t="s">
        <v>805</v>
      </c>
      <c r="C1737" s="323">
        <v>40950</v>
      </c>
      <c r="D1737" s="323">
        <v>453</v>
      </c>
      <c r="E1737" s="324">
        <f t="shared" si="27"/>
        <v>110468.58</v>
      </c>
    </row>
    <row r="1738" spans="1:5" x14ac:dyDescent="0.25">
      <c r="A1738" s="323" t="s">
        <v>7466</v>
      </c>
      <c r="B1738" s="323" t="s">
        <v>805</v>
      </c>
      <c r="C1738" s="323">
        <v>40950</v>
      </c>
      <c r="D1738" s="323">
        <v>176</v>
      </c>
      <c r="E1738" s="324">
        <f t="shared" si="27"/>
        <v>42919.360000000001</v>
      </c>
    </row>
    <row r="1739" spans="1:5" x14ac:dyDescent="0.25">
      <c r="A1739" s="323" t="s">
        <v>7476</v>
      </c>
      <c r="B1739" s="323" t="s">
        <v>805</v>
      </c>
      <c r="C1739" s="323">
        <v>40950</v>
      </c>
      <c r="D1739" s="323">
        <v>307</v>
      </c>
      <c r="E1739" s="324">
        <f t="shared" si="27"/>
        <v>74865.02</v>
      </c>
    </row>
    <row r="1740" spans="1:5" x14ac:dyDescent="0.25">
      <c r="A1740" s="323" t="s">
        <v>1336</v>
      </c>
      <c r="B1740" s="323" t="s">
        <v>805</v>
      </c>
      <c r="C1740" s="323">
        <v>40959</v>
      </c>
      <c r="D1740" s="323">
        <v>100</v>
      </c>
      <c r="E1740" s="324">
        <f t="shared" si="27"/>
        <v>24386</v>
      </c>
    </row>
    <row r="1741" spans="1:5" x14ac:dyDescent="0.25">
      <c r="A1741" s="323" t="s">
        <v>1633</v>
      </c>
      <c r="B1741" s="323" t="s">
        <v>805</v>
      </c>
      <c r="C1741" s="323">
        <v>40959</v>
      </c>
      <c r="D1741" s="323">
        <v>53</v>
      </c>
      <c r="E1741" s="324">
        <f t="shared" si="27"/>
        <v>12924.58</v>
      </c>
    </row>
    <row r="1742" spans="1:5" x14ac:dyDescent="0.25">
      <c r="A1742" s="323" t="s">
        <v>2011</v>
      </c>
      <c r="B1742" s="323" t="s">
        <v>805</v>
      </c>
      <c r="C1742" s="323">
        <v>40959</v>
      </c>
      <c r="D1742" s="323">
        <v>75</v>
      </c>
      <c r="E1742" s="324">
        <f t="shared" si="27"/>
        <v>18289.5</v>
      </c>
    </row>
    <row r="1743" spans="1:5" x14ac:dyDescent="0.25">
      <c r="A1743" s="323" t="s">
        <v>2036</v>
      </c>
      <c r="B1743" s="323" t="s">
        <v>805</v>
      </c>
      <c r="C1743" s="323">
        <v>40959</v>
      </c>
      <c r="D1743" s="323">
        <v>116</v>
      </c>
      <c r="E1743" s="324">
        <f t="shared" si="27"/>
        <v>28287.760000000002</v>
      </c>
    </row>
    <row r="1744" spans="1:5" x14ac:dyDescent="0.25">
      <c r="A1744" s="323" t="s">
        <v>2495</v>
      </c>
      <c r="B1744" s="323" t="s">
        <v>805</v>
      </c>
      <c r="C1744" s="323">
        <v>40959</v>
      </c>
      <c r="D1744" s="323">
        <v>88</v>
      </c>
      <c r="E1744" s="324">
        <f t="shared" si="27"/>
        <v>21459.68</v>
      </c>
    </row>
    <row r="1745" spans="1:5" x14ac:dyDescent="0.25">
      <c r="A1745" s="323" t="s">
        <v>2588</v>
      </c>
      <c r="B1745" s="323" t="s">
        <v>805</v>
      </c>
      <c r="C1745" s="323">
        <v>40959</v>
      </c>
      <c r="D1745" s="323">
        <v>62</v>
      </c>
      <c r="E1745" s="324">
        <f t="shared" si="27"/>
        <v>15119.320000000002</v>
      </c>
    </row>
    <row r="1746" spans="1:5" x14ac:dyDescent="0.25">
      <c r="A1746" s="323" t="s">
        <v>2736</v>
      </c>
      <c r="B1746" s="323" t="s">
        <v>805</v>
      </c>
      <c r="C1746" s="323">
        <v>40959</v>
      </c>
      <c r="D1746" s="323">
        <v>80</v>
      </c>
      <c r="E1746" s="324">
        <f t="shared" si="27"/>
        <v>19508.800000000003</v>
      </c>
    </row>
    <row r="1747" spans="1:5" x14ac:dyDescent="0.25">
      <c r="A1747" s="323" t="s">
        <v>3226</v>
      </c>
      <c r="B1747" s="323" t="s">
        <v>805</v>
      </c>
      <c r="C1747" s="323">
        <v>40959</v>
      </c>
      <c r="D1747" s="323">
        <v>123</v>
      </c>
      <c r="E1747" s="324">
        <f t="shared" si="27"/>
        <v>29994.780000000002</v>
      </c>
    </row>
    <row r="1748" spans="1:5" x14ac:dyDescent="0.25">
      <c r="A1748" s="323" t="s">
        <v>5830</v>
      </c>
      <c r="B1748" s="323" t="s">
        <v>805</v>
      </c>
      <c r="C1748" s="323">
        <v>40959</v>
      </c>
      <c r="D1748" s="323">
        <v>156</v>
      </c>
      <c r="E1748" s="324">
        <f t="shared" si="27"/>
        <v>38042.160000000003</v>
      </c>
    </row>
    <row r="1749" spans="1:5" x14ac:dyDescent="0.25">
      <c r="A1749" s="323" t="s">
        <v>1594</v>
      </c>
      <c r="B1749" s="323" t="s">
        <v>805</v>
      </c>
      <c r="C1749" s="323">
        <v>40964</v>
      </c>
      <c r="D1749" s="323">
        <v>220</v>
      </c>
      <c r="E1749" s="324">
        <f t="shared" si="27"/>
        <v>53649.200000000004</v>
      </c>
    </row>
    <row r="1750" spans="1:5" x14ac:dyDescent="0.25">
      <c r="A1750" s="323" t="s">
        <v>1082</v>
      </c>
      <c r="B1750" s="323" t="s">
        <v>805</v>
      </c>
      <c r="C1750" s="323">
        <v>40967</v>
      </c>
      <c r="D1750" s="323">
        <v>142</v>
      </c>
      <c r="E1750" s="324">
        <f t="shared" si="27"/>
        <v>34628.120000000003</v>
      </c>
    </row>
    <row r="1751" spans="1:5" x14ac:dyDescent="0.25">
      <c r="A1751" s="323" t="s">
        <v>1449</v>
      </c>
      <c r="B1751" s="323" t="s">
        <v>805</v>
      </c>
      <c r="C1751" s="323">
        <v>40967</v>
      </c>
      <c r="D1751" s="323">
        <v>118</v>
      </c>
      <c r="E1751" s="324">
        <f t="shared" si="27"/>
        <v>28775.480000000003</v>
      </c>
    </row>
    <row r="1752" spans="1:5" x14ac:dyDescent="0.25">
      <c r="A1752" s="323" t="s">
        <v>1736</v>
      </c>
      <c r="B1752" s="323" t="s">
        <v>805</v>
      </c>
      <c r="C1752" s="323">
        <v>40967</v>
      </c>
      <c r="D1752" s="323">
        <v>232</v>
      </c>
      <c r="E1752" s="324">
        <f t="shared" si="27"/>
        <v>56575.520000000004</v>
      </c>
    </row>
    <row r="1753" spans="1:5" x14ac:dyDescent="0.25">
      <c r="A1753" s="323" t="s">
        <v>1746</v>
      </c>
      <c r="B1753" s="323" t="s">
        <v>805</v>
      </c>
      <c r="C1753" s="323">
        <v>40967</v>
      </c>
      <c r="D1753" s="323">
        <v>137</v>
      </c>
      <c r="E1753" s="324">
        <f t="shared" si="27"/>
        <v>33408.82</v>
      </c>
    </row>
    <row r="1754" spans="1:5" x14ac:dyDescent="0.25">
      <c r="A1754" s="323" t="s">
        <v>1819</v>
      </c>
      <c r="B1754" s="323" t="s">
        <v>805</v>
      </c>
      <c r="C1754" s="323">
        <v>40967</v>
      </c>
      <c r="D1754" s="323">
        <v>179</v>
      </c>
      <c r="E1754" s="324">
        <f t="shared" si="27"/>
        <v>43650.94</v>
      </c>
    </row>
    <row r="1755" spans="1:5" x14ac:dyDescent="0.25">
      <c r="A1755" s="323" t="s">
        <v>1854</v>
      </c>
      <c r="B1755" s="323" t="s">
        <v>805</v>
      </c>
      <c r="C1755" s="323">
        <v>40967</v>
      </c>
      <c r="D1755" s="323">
        <v>282</v>
      </c>
      <c r="E1755" s="324">
        <f t="shared" si="27"/>
        <v>68768.52</v>
      </c>
    </row>
    <row r="1756" spans="1:5" x14ac:dyDescent="0.25">
      <c r="A1756" s="323" t="s">
        <v>2637</v>
      </c>
      <c r="B1756" s="323" t="s">
        <v>805</v>
      </c>
      <c r="C1756" s="323">
        <v>40967</v>
      </c>
      <c r="D1756" s="323">
        <v>264</v>
      </c>
      <c r="E1756" s="324">
        <f t="shared" si="27"/>
        <v>64379.040000000001</v>
      </c>
    </row>
    <row r="1757" spans="1:5" x14ac:dyDescent="0.25">
      <c r="A1757" s="323" t="s">
        <v>2679</v>
      </c>
      <c r="B1757" s="323" t="s">
        <v>805</v>
      </c>
      <c r="C1757" s="323">
        <v>40967</v>
      </c>
      <c r="D1757" s="323">
        <v>201</v>
      </c>
      <c r="E1757" s="324">
        <f t="shared" si="27"/>
        <v>49015.86</v>
      </c>
    </row>
    <row r="1758" spans="1:5" x14ac:dyDescent="0.25">
      <c r="A1758" s="323" t="s">
        <v>2811</v>
      </c>
      <c r="B1758" s="323" t="s">
        <v>805</v>
      </c>
      <c r="C1758" s="323">
        <v>40967</v>
      </c>
      <c r="D1758" s="323">
        <v>382</v>
      </c>
      <c r="E1758" s="324">
        <f t="shared" si="27"/>
        <v>93154.52</v>
      </c>
    </row>
    <row r="1759" spans="1:5" x14ac:dyDescent="0.25">
      <c r="A1759" s="323" t="s">
        <v>3073</v>
      </c>
      <c r="B1759" s="323" t="s">
        <v>805</v>
      </c>
      <c r="C1759" s="323">
        <v>40967</v>
      </c>
      <c r="D1759" s="323">
        <v>404</v>
      </c>
      <c r="E1759" s="324">
        <f t="shared" si="27"/>
        <v>98519.44</v>
      </c>
    </row>
    <row r="1760" spans="1:5" x14ac:dyDescent="0.25">
      <c r="A1760" s="323" t="s">
        <v>3279</v>
      </c>
      <c r="B1760" s="323" t="s">
        <v>805</v>
      </c>
      <c r="C1760" s="323">
        <v>40967</v>
      </c>
      <c r="D1760" s="323">
        <v>391</v>
      </c>
      <c r="E1760" s="324">
        <f t="shared" si="27"/>
        <v>95349.260000000009</v>
      </c>
    </row>
    <row r="1761" spans="1:5" x14ac:dyDescent="0.25">
      <c r="A1761" s="323" t="s">
        <v>3444</v>
      </c>
      <c r="B1761" s="323" t="s">
        <v>805</v>
      </c>
      <c r="C1761" s="323">
        <v>40967</v>
      </c>
      <c r="D1761" s="323">
        <v>419</v>
      </c>
      <c r="E1761" s="324">
        <f t="shared" si="27"/>
        <v>102177.34000000001</v>
      </c>
    </row>
    <row r="1762" spans="1:5" x14ac:dyDescent="0.25">
      <c r="A1762" s="323" t="s">
        <v>3590</v>
      </c>
      <c r="B1762" s="323" t="s">
        <v>805</v>
      </c>
      <c r="C1762" s="323">
        <v>40967</v>
      </c>
      <c r="D1762" s="323">
        <v>308</v>
      </c>
      <c r="E1762" s="324">
        <f t="shared" si="27"/>
        <v>75108.88</v>
      </c>
    </row>
    <row r="1763" spans="1:5" x14ac:dyDescent="0.25">
      <c r="A1763" s="323" t="s">
        <v>3712</v>
      </c>
      <c r="B1763" s="323" t="s">
        <v>805</v>
      </c>
      <c r="C1763" s="323">
        <v>40967</v>
      </c>
      <c r="D1763" s="323">
        <v>125</v>
      </c>
      <c r="E1763" s="324">
        <f t="shared" si="27"/>
        <v>30482.5</v>
      </c>
    </row>
    <row r="1764" spans="1:5" x14ac:dyDescent="0.25">
      <c r="A1764" s="323" t="s">
        <v>3718</v>
      </c>
      <c r="B1764" s="323" t="s">
        <v>805</v>
      </c>
      <c r="C1764" s="323">
        <v>40967</v>
      </c>
      <c r="D1764" s="323">
        <v>276</v>
      </c>
      <c r="E1764" s="324">
        <f t="shared" si="27"/>
        <v>67305.36</v>
      </c>
    </row>
    <row r="1765" spans="1:5" x14ac:dyDescent="0.25">
      <c r="A1765" s="323" t="s">
        <v>3783</v>
      </c>
      <c r="B1765" s="323" t="s">
        <v>805</v>
      </c>
      <c r="C1765" s="323">
        <v>40967</v>
      </c>
      <c r="D1765" s="323">
        <v>162</v>
      </c>
      <c r="E1765" s="324">
        <f t="shared" si="27"/>
        <v>39505.32</v>
      </c>
    </row>
    <row r="1766" spans="1:5" x14ac:dyDescent="0.25">
      <c r="A1766" s="323" t="s">
        <v>3841</v>
      </c>
      <c r="B1766" s="323" t="s">
        <v>805</v>
      </c>
      <c r="C1766" s="323">
        <v>40967</v>
      </c>
      <c r="D1766" s="323">
        <v>236</v>
      </c>
      <c r="E1766" s="324">
        <f t="shared" si="27"/>
        <v>57550.960000000006</v>
      </c>
    </row>
    <row r="1767" spans="1:5" x14ac:dyDescent="0.25">
      <c r="A1767" s="323" t="s">
        <v>3854</v>
      </c>
      <c r="B1767" s="323" t="s">
        <v>805</v>
      </c>
      <c r="C1767" s="323">
        <v>40967</v>
      </c>
      <c r="D1767" s="323">
        <v>261</v>
      </c>
      <c r="E1767" s="324">
        <f t="shared" si="27"/>
        <v>63647.460000000006</v>
      </c>
    </row>
    <row r="1768" spans="1:5" x14ac:dyDescent="0.25">
      <c r="A1768" s="323" t="s">
        <v>3975</v>
      </c>
      <c r="B1768" s="323" t="s">
        <v>805</v>
      </c>
      <c r="C1768" s="323">
        <v>40967</v>
      </c>
      <c r="D1768" s="323">
        <v>140</v>
      </c>
      <c r="E1768" s="324">
        <f t="shared" si="27"/>
        <v>34140.400000000001</v>
      </c>
    </row>
    <row r="1769" spans="1:5" x14ac:dyDescent="0.25">
      <c r="A1769" s="323" t="s">
        <v>4034</v>
      </c>
      <c r="B1769" s="323" t="s">
        <v>805</v>
      </c>
      <c r="C1769" s="323">
        <v>40967</v>
      </c>
      <c r="D1769" s="323">
        <v>241</v>
      </c>
      <c r="E1769" s="324">
        <f t="shared" si="27"/>
        <v>58770.26</v>
      </c>
    </row>
    <row r="1770" spans="1:5" x14ac:dyDescent="0.25">
      <c r="A1770" s="323" t="s">
        <v>4179</v>
      </c>
      <c r="B1770" s="323" t="s">
        <v>805</v>
      </c>
      <c r="C1770" s="323">
        <v>40967</v>
      </c>
      <c r="D1770" s="323">
        <v>253</v>
      </c>
      <c r="E1770" s="324">
        <f t="shared" si="27"/>
        <v>61696.58</v>
      </c>
    </row>
    <row r="1771" spans="1:5" x14ac:dyDescent="0.25">
      <c r="A1771" s="323" t="s">
        <v>5192</v>
      </c>
      <c r="B1771" s="323" t="s">
        <v>805</v>
      </c>
      <c r="C1771" s="323">
        <v>40967</v>
      </c>
      <c r="D1771" s="323">
        <v>150</v>
      </c>
      <c r="E1771" s="324">
        <f t="shared" si="27"/>
        <v>36579</v>
      </c>
    </row>
    <row r="1772" spans="1:5" x14ac:dyDescent="0.25">
      <c r="A1772" s="323" t="s">
        <v>5716</v>
      </c>
      <c r="B1772" s="323" t="s">
        <v>805</v>
      </c>
      <c r="C1772" s="323">
        <v>40967</v>
      </c>
      <c r="D1772" s="323">
        <v>167</v>
      </c>
      <c r="E1772" s="324">
        <f t="shared" si="27"/>
        <v>40724.620000000003</v>
      </c>
    </row>
    <row r="1773" spans="1:5" x14ac:dyDescent="0.25">
      <c r="A1773" s="323" t="s">
        <v>5725</v>
      </c>
      <c r="B1773" s="323" t="s">
        <v>805</v>
      </c>
      <c r="C1773" s="323">
        <v>40967</v>
      </c>
      <c r="D1773" s="323">
        <v>473</v>
      </c>
      <c r="E1773" s="324">
        <f t="shared" si="27"/>
        <v>115345.78000000001</v>
      </c>
    </row>
    <row r="1774" spans="1:5" x14ac:dyDescent="0.25">
      <c r="A1774" s="323" t="s">
        <v>5734</v>
      </c>
      <c r="B1774" s="323" t="s">
        <v>805</v>
      </c>
      <c r="C1774" s="323">
        <v>40967</v>
      </c>
      <c r="D1774" s="323">
        <v>408</v>
      </c>
      <c r="E1774" s="324">
        <f t="shared" si="27"/>
        <v>99494.88</v>
      </c>
    </row>
    <row r="1775" spans="1:5" x14ac:dyDescent="0.25">
      <c r="A1775" s="323" t="s">
        <v>6795</v>
      </c>
      <c r="B1775" s="323" t="s">
        <v>805</v>
      </c>
      <c r="C1775" s="323">
        <v>40967</v>
      </c>
      <c r="D1775" s="323">
        <v>167</v>
      </c>
      <c r="E1775" s="324">
        <f t="shared" si="27"/>
        <v>40724.620000000003</v>
      </c>
    </row>
    <row r="1776" spans="1:5" x14ac:dyDescent="0.25">
      <c r="A1776" s="323" t="s">
        <v>6848</v>
      </c>
      <c r="B1776" s="323" t="s">
        <v>805</v>
      </c>
      <c r="C1776" s="323">
        <v>40967</v>
      </c>
      <c r="D1776" s="323">
        <v>216</v>
      </c>
      <c r="E1776" s="324">
        <f t="shared" si="27"/>
        <v>52673.760000000002</v>
      </c>
    </row>
    <row r="1777" spans="1:5" x14ac:dyDescent="0.25">
      <c r="A1777" s="323" t="s">
        <v>6849</v>
      </c>
      <c r="B1777" s="323" t="s">
        <v>805</v>
      </c>
      <c r="C1777" s="323">
        <v>40967</v>
      </c>
      <c r="D1777" s="323">
        <v>192</v>
      </c>
      <c r="E1777" s="324">
        <f t="shared" si="27"/>
        <v>46821.120000000003</v>
      </c>
    </row>
    <row r="1778" spans="1:5" x14ac:dyDescent="0.25">
      <c r="A1778" s="323" t="s">
        <v>1196</v>
      </c>
      <c r="B1778" s="323" t="s">
        <v>805</v>
      </c>
      <c r="C1778" s="323">
        <v>40969</v>
      </c>
      <c r="D1778" s="323">
        <v>298</v>
      </c>
      <c r="E1778" s="324">
        <f t="shared" si="27"/>
        <v>72670.28</v>
      </c>
    </row>
    <row r="1779" spans="1:5" x14ac:dyDescent="0.25">
      <c r="A1779" s="323" t="s">
        <v>1433</v>
      </c>
      <c r="B1779" s="323" t="s">
        <v>805</v>
      </c>
      <c r="C1779" s="323">
        <v>40969</v>
      </c>
      <c r="D1779" s="323">
        <v>257</v>
      </c>
      <c r="E1779" s="324">
        <f t="shared" si="27"/>
        <v>62672.020000000004</v>
      </c>
    </row>
    <row r="1780" spans="1:5" x14ac:dyDescent="0.25">
      <c r="A1780" s="323" t="s">
        <v>1655</v>
      </c>
      <c r="B1780" s="323" t="s">
        <v>805</v>
      </c>
      <c r="C1780" s="323">
        <v>40969</v>
      </c>
      <c r="D1780" s="323">
        <v>188</v>
      </c>
      <c r="E1780" s="324">
        <f t="shared" si="27"/>
        <v>45845.68</v>
      </c>
    </row>
    <row r="1781" spans="1:5" x14ac:dyDescent="0.25">
      <c r="A1781" s="323" t="s">
        <v>3760</v>
      </c>
      <c r="B1781" s="323" t="s">
        <v>805</v>
      </c>
      <c r="C1781" s="323">
        <v>40969</v>
      </c>
      <c r="D1781" s="323">
        <v>272</v>
      </c>
      <c r="E1781" s="324">
        <f t="shared" si="27"/>
        <v>66329.919999999998</v>
      </c>
    </row>
    <row r="1782" spans="1:5" x14ac:dyDescent="0.25">
      <c r="A1782" s="323" t="s">
        <v>5253</v>
      </c>
      <c r="B1782" s="323" t="s">
        <v>805</v>
      </c>
      <c r="C1782" s="323">
        <v>40969</v>
      </c>
      <c r="D1782" s="323">
        <v>230</v>
      </c>
      <c r="E1782" s="324">
        <f t="shared" si="27"/>
        <v>56087.8</v>
      </c>
    </row>
    <row r="1783" spans="1:5" x14ac:dyDescent="0.25">
      <c r="A1783" s="323" t="s">
        <v>1155</v>
      </c>
      <c r="B1783" s="323" t="s">
        <v>805</v>
      </c>
      <c r="C1783" s="323">
        <v>40971</v>
      </c>
      <c r="D1783" s="323">
        <v>418</v>
      </c>
      <c r="E1783" s="324">
        <f t="shared" si="27"/>
        <v>101933.48000000001</v>
      </c>
    </row>
    <row r="1784" spans="1:5" x14ac:dyDescent="0.25">
      <c r="A1784" s="323" t="s">
        <v>1334</v>
      </c>
      <c r="B1784" s="323" t="s">
        <v>805</v>
      </c>
      <c r="C1784" s="323">
        <v>40971</v>
      </c>
      <c r="D1784" s="323">
        <v>152</v>
      </c>
      <c r="E1784" s="324">
        <f t="shared" si="27"/>
        <v>37066.720000000001</v>
      </c>
    </row>
    <row r="1785" spans="1:5" x14ac:dyDescent="0.25">
      <c r="A1785" s="323" t="s">
        <v>2139</v>
      </c>
      <c r="B1785" s="323" t="s">
        <v>805</v>
      </c>
      <c r="C1785" s="323">
        <v>40971</v>
      </c>
      <c r="D1785" s="323">
        <v>301</v>
      </c>
      <c r="E1785" s="324">
        <f t="shared" si="27"/>
        <v>73401.86</v>
      </c>
    </row>
    <row r="1786" spans="1:5" x14ac:dyDescent="0.25">
      <c r="A1786" s="323" t="s">
        <v>2209</v>
      </c>
      <c r="B1786" s="323" t="s">
        <v>805</v>
      </c>
      <c r="C1786" s="323">
        <v>40971</v>
      </c>
      <c r="D1786" s="323">
        <v>340</v>
      </c>
      <c r="E1786" s="324">
        <f t="shared" si="27"/>
        <v>82912.400000000009</v>
      </c>
    </row>
    <row r="1787" spans="1:5" x14ac:dyDescent="0.25">
      <c r="A1787" s="323" t="s">
        <v>2218</v>
      </c>
      <c r="B1787" s="323" t="s">
        <v>805</v>
      </c>
      <c r="C1787" s="323">
        <v>40971</v>
      </c>
      <c r="D1787" s="323">
        <v>435</v>
      </c>
      <c r="E1787" s="324">
        <f t="shared" si="27"/>
        <v>106079.1</v>
      </c>
    </row>
    <row r="1788" spans="1:5" x14ac:dyDescent="0.25">
      <c r="A1788" s="323" t="s">
        <v>2220</v>
      </c>
      <c r="B1788" s="323" t="s">
        <v>805</v>
      </c>
      <c r="C1788" s="323">
        <v>40971</v>
      </c>
      <c r="D1788" s="323">
        <v>228</v>
      </c>
      <c r="E1788" s="324">
        <f t="shared" si="27"/>
        <v>55600.08</v>
      </c>
    </row>
    <row r="1789" spans="1:5" x14ac:dyDescent="0.25">
      <c r="A1789" s="323" t="s">
        <v>2464</v>
      </c>
      <c r="B1789" s="323" t="s">
        <v>805</v>
      </c>
      <c r="C1789" s="323">
        <v>40971</v>
      </c>
      <c r="D1789" s="323">
        <v>274</v>
      </c>
      <c r="E1789" s="324">
        <f t="shared" si="27"/>
        <v>66817.64</v>
      </c>
    </row>
    <row r="1790" spans="1:5" x14ac:dyDescent="0.25">
      <c r="A1790" s="323" t="s">
        <v>2475</v>
      </c>
      <c r="B1790" s="323" t="s">
        <v>805</v>
      </c>
      <c r="C1790" s="323">
        <v>40971</v>
      </c>
      <c r="D1790" s="323">
        <v>235</v>
      </c>
      <c r="E1790" s="324">
        <f t="shared" si="27"/>
        <v>57307.100000000006</v>
      </c>
    </row>
    <row r="1791" spans="1:5" x14ac:dyDescent="0.25">
      <c r="A1791" s="323" t="s">
        <v>2574</v>
      </c>
      <c r="B1791" s="323" t="s">
        <v>805</v>
      </c>
      <c r="C1791" s="323">
        <v>40971</v>
      </c>
      <c r="D1791" s="323">
        <v>366</v>
      </c>
      <c r="E1791" s="324">
        <f t="shared" si="27"/>
        <v>89252.760000000009</v>
      </c>
    </row>
    <row r="1792" spans="1:5" x14ac:dyDescent="0.25">
      <c r="A1792" s="323" t="s">
        <v>3437</v>
      </c>
      <c r="B1792" s="323" t="s">
        <v>805</v>
      </c>
      <c r="C1792" s="323">
        <v>40971</v>
      </c>
      <c r="D1792" s="323">
        <v>237</v>
      </c>
      <c r="E1792" s="324">
        <f t="shared" si="27"/>
        <v>57794.82</v>
      </c>
    </row>
    <row r="1793" spans="1:5" x14ac:dyDescent="0.25">
      <c r="A1793" s="323" t="s">
        <v>3450</v>
      </c>
      <c r="B1793" s="323" t="s">
        <v>805</v>
      </c>
      <c r="C1793" s="323">
        <v>40971</v>
      </c>
      <c r="D1793" s="323">
        <v>302</v>
      </c>
      <c r="E1793" s="324">
        <f t="shared" si="27"/>
        <v>73645.72</v>
      </c>
    </row>
    <row r="1794" spans="1:5" x14ac:dyDescent="0.25">
      <c r="A1794" s="323" t="s">
        <v>3717</v>
      </c>
      <c r="B1794" s="323" t="s">
        <v>805</v>
      </c>
      <c r="C1794" s="323">
        <v>40971</v>
      </c>
      <c r="D1794" s="323">
        <v>273</v>
      </c>
      <c r="E1794" s="324">
        <f t="shared" ref="E1794:E1857" si="28">D1794*IF(B1794=$G$9,WerkdrukbedragPerLeerlingBo,IF(B1794=$G$10,WerkdrukbedragPerLeerlingSbo,IF(B1794=$G$11,WerkdrukbedragPerLeerlingSo,IF(B1794=$G$12,WerkdrukbedragPerLeerlingVso,0))))</f>
        <v>66573.78</v>
      </c>
    </row>
    <row r="1795" spans="1:5" x14ac:dyDescent="0.25">
      <c r="A1795" s="323" t="s">
        <v>3930</v>
      </c>
      <c r="B1795" s="323" t="s">
        <v>805</v>
      </c>
      <c r="C1795" s="323">
        <v>40971</v>
      </c>
      <c r="D1795" s="323">
        <v>233</v>
      </c>
      <c r="E1795" s="324">
        <f t="shared" si="28"/>
        <v>56819.380000000005</v>
      </c>
    </row>
    <row r="1796" spans="1:5" x14ac:dyDescent="0.25">
      <c r="A1796" s="323" t="s">
        <v>4096</v>
      </c>
      <c r="B1796" s="323" t="s">
        <v>805</v>
      </c>
      <c r="C1796" s="323">
        <v>40971</v>
      </c>
      <c r="D1796" s="323">
        <v>389</v>
      </c>
      <c r="E1796" s="324">
        <f t="shared" si="28"/>
        <v>94861.540000000008</v>
      </c>
    </row>
    <row r="1797" spans="1:5" x14ac:dyDescent="0.25">
      <c r="A1797" s="323" t="s">
        <v>4239</v>
      </c>
      <c r="B1797" s="323" t="s">
        <v>805</v>
      </c>
      <c r="C1797" s="323">
        <v>40971</v>
      </c>
      <c r="D1797" s="323">
        <v>458</v>
      </c>
      <c r="E1797" s="324">
        <f t="shared" si="28"/>
        <v>111687.88</v>
      </c>
    </row>
    <row r="1798" spans="1:5" x14ac:dyDescent="0.25">
      <c r="A1798" s="323" t="s">
        <v>5309</v>
      </c>
      <c r="B1798" s="323" t="s">
        <v>805</v>
      </c>
      <c r="C1798" s="323">
        <v>40971</v>
      </c>
      <c r="D1798" s="323">
        <v>149</v>
      </c>
      <c r="E1798" s="324">
        <f t="shared" si="28"/>
        <v>36335.14</v>
      </c>
    </row>
    <row r="1799" spans="1:5" x14ac:dyDescent="0.25">
      <c r="A1799" s="323" t="s">
        <v>982</v>
      </c>
      <c r="B1799" s="323" t="s">
        <v>816</v>
      </c>
      <c r="C1799" s="323">
        <v>40972</v>
      </c>
      <c r="D1799" s="323">
        <v>159</v>
      </c>
      <c r="E1799" s="324">
        <f t="shared" si="28"/>
        <v>58160.61</v>
      </c>
    </row>
    <row r="1800" spans="1:5" x14ac:dyDescent="0.25">
      <c r="A1800" s="323" t="s">
        <v>1315</v>
      </c>
      <c r="B1800" s="323" t="s">
        <v>805</v>
      </c>
      <c r="C1800" s="323">
        <v>40972</v>
      </c>
      <c r="D1800" s="323">
        <v>348</v>
      </c>
      <c r="E1800" s="324">
        <f t="shared" si="28"/>
        <v>84863.28</v>
      </c>
    </row>
    <row r="1801" spans="1:5" x14ac:dyDescent="0.25">
      <c r="A1801" s="323" t="s">
        <v>1352</v>
      </c>
      <c r="B1801" s="323" t="s">
        <v>805</v>
      </c>
      <c r="C1801" s="323">
        <v>40972</v>
      </c>
      <c r="D1801" s="323">
        <v>312</v>
      </c>
      <c r="E1801" s="324">
        <f t="shared" si="28"/>
        <v>76084.320000000007</v>
      </c>
    </row>
    <row r="1802" spans="1:5" x14ac:dyDescent="0.25">
      <c r="A1802" s="323" t="s">
        <v>1353</v>
      </c>
      <c r="B1802" s="323" t="s">
        <v>805</v>
      </c>
      <c r="C1802" s="323">
        <v>40972</v>
      </c>
      <c r="D1802" s="323">
        <v>291</v>
      </c>
      <c r="E1802" s="324">
        <f t="shared" si="28"/>
        <v>70963.260000000009</v>
      </c>
    </row>
    <row r="1803" spans="1:5" x14ac:dyDescent="0.25">
      <c r="A1803" s="323" t="s">
        <v>1498</v>
      </c>
      <c r="B1803" s="323" t="s">
        <v>805</v>
      </c>
      <c r="C1803" s="323">
        <v>40972</v>
      </c>
      <c r="D1803" s="323">
        <v>371</v>
      </c>
      <c r="E1803" s="324">
        <f t="shared" si="28"/>
        <v>90472.060000000012</v>
      </c>
    </row>
    <row r="1804" spans="1:5" x14ac:dyDescent="0.25">
      <c r="A1804" s="323" t="s">
        <v>1570</v>
      </c>
      <c r="B1804" s="323" t="s">
        <v>805</v>
      </c>
      <c r="C1804" s="323">
        <v>40972</v>
      </c>
      <c r="D1804" s="323">
        <v>151</v>
      </c>
      <c r="E1804" s="324">
        <f t="shared" si="28"/>
        <v>36822.86</v>
      </c>
    </row>
    <row r="1805" spans="1:5" x14ac:dyDescent="0.25">
      <c r="A1805" s="323" t="s">
        <v>1595</v>
      </c>
      <c r="B1805" s="323" t="s">
        <v>805</v>
      </c>
      <c r="C1805" s="323">
        <v>40972</v>
      </c>
      <c r="D1805" s="323">
        <v>48</v>
      </c>
      <c r="E1805" s="324">
        <f t="shared" si="28"/>
        <v>11705.28</v>
      </c>
    </row>
    <row r="1806" spans="1:5" x14ac:dyDescent="0.25">
      <c r="A1806" s="323" t="s">
        <v>1733</v>
      </c>
      <c r="B1806" s="323" t="s">
        <v>805</v>
      </c>
      <c r="C1806" s="323">
        <v>40972</v>
      </c>
      <c r="D1806" s="323">
        <v>260</v>
      </c>
      <c r="E1806" s="324">
        <f t="shared" si="28"/>
        <v>63403.600000000006</v>
      </c>
    </row>
    <row r="1807" spans="1:5" x14ac:dyDescent="0.25">
      <c r="A1807" s="323" t="s">
        <v>1830</v>
      </c>
      <c r="B1807" s="323" t="s">
        <v>805</v>
      </c>
      <c r="C1807" s="323">
        <v>40972</v>
      </c>
      <c r="D1807" s="323">
        <v>248</v>
      </c>
      <c r="E1807" s="324">
        <f t="shared" si="28"/>
        <v>60477.280000000006</v>
      </c>
    </row>
    <row r="1808" spans="1:5" x14ac:dyDescent="0.25">
      <c r="A1808" s="323" t="s">
        <v>1864</v>
      </c>
      <c r="B1808" s="323" t="s">
        <v>805</v>
      </c>
      <c r="C1808" s="323">
        <v>40972</v>
      </c>
      <c r="D1808" s="323">
        <v>213</v>
      </c>
      <c r="E1808" s="324">
        <f t="shared" si="28"/>
        <v>51942.18</v>
      </c>
    </row>
    <row r="1809" spans="1:5" x14ac:dyDescent="0.25">
      <c r="A1809" s="323" t="s">
        <v>3527</v>
      </c>
      <c r="B1809" s="323" t="s">
        <v>805</v>
      </c>
      <c r="C1809" s="323">
        <v>40972</v>
      </c>
      <c r="D1809" s="323">
        <v>191</v>
      </c>
      <c r="E1809" s="324">
        <f t="shared" si="28"/>
        <v>46577.26</v>
      </c>
    </row>
    <row r="1810" spans="1:5" x14ac:dyDescent="0.25">
      <c r="A1810" s="323" t="s">
        <v>5295</v>
      </c>
      <c r="B1810" s="323" t="s">
        <v>805</v>
      </c>
      <c r="C1810" s="323">
        <v>40972</v>
      </c>
      <c r="D1810" s="323">
        <v>451</v>
      </c>
      <c r="E1810" s="324">
        <f t="shared" si="28"/>
        <v>109980.86</v>
      </c>
    </row>
    <row r="1811" spans="1:5" x14ac:dyDescent="0.25">
      <c r="A1811" s="323" t="s">
        <v>6881</v>
      </c>
      <c r="B1811" s="323" t="s">
        <v>805</v>
      </c>
      <c r="C1811" s="323">
        <v>40972</v>
      </c>
      <c r="D1811" s="323">
        <v>211</v>
      </c>
      <c r="E1811" s="324">
        <f t="shared" si="28"/>
        <v>51454.460000000006</v>
      </c>
    </row>
    <row r="1812" spans="1:5" x14ac:dyDescent="0.25">
      <c r="A1812" s="323" t="s">
        <v>7379</v>
      </c>
      <c r="B1812" s="323" t="s">
        <v>805</v>
      </c>
      <c r="C1812" s="323">
        <v>40972</v>
      </c>
      <c r="D1812" s="323">
        <v>339</v>
      </c>
      <c r="E1812" s="324">
        <f t="shared" si="28"/>
        <v>82668.540000000008</v>
      </c>
    </row>
    <row r="1813" spans="1:5" x14ac:dyDescent="0.25">
      <c r="A1813" s="323" t="s">
        <v>1178</v>
      </c>
      <c r="B1813" s="323" t="s">
        <v>805</v>
      </c>
      <c r="C1813" s="323">
        <v>40974</v>
      </c>
      <c r="D1813" s="323">
        <v>142</v>
      </c>
      <c r="E1813" s="324">
        <f t="shared" si="28"/>
        <v>34628.120000000003</v>
      </c>
    </row>
    <row r="1814" spans="1:5" x14ac:dyDescent="0.25">
      <c r="A1814" s="323" t="s">
        <v>1292</v>
      </c>
      <c r="B1814" s="323" t="s">
        <v>805</v>
      </c>
      <c r="C1814" s="323">
        <v>40974</v>
      </c>
      <c r="D1814" s="323">
        <v>297</v>
      </c>
      <c r="E1814" s="324">
        <f t="shared" si="28"/>
        <v>72426.42</v>
      </c>
    </row>
    <row r="1815" spans="1:5" x14ac:dyDescent="0.25">
      <c r="A1815" s="323" t="s">
        <v>1331</v>
      </c>
      <c r="B1815" s="323" t="s">
        <v>805</v>
      </c>
      <c r="C1815" s="323">
        <v>40974</v>
      </c>
      <c r="D1815" s="323">
        <v>219</v>
      </c>
      <c r="E1815" s="324">
        <f t="shared" si="28"/>
        <v>53405.340000000004</v>
      </c>
    </row>
    <row r="1816" spans="1:5" x14ac:dyDescent="0.25">
      <c r="A1816" s="323" t="s">
        <v>1584</v>
      </c>
      <c r="B1816" s="323" t="s">
        <v>805</v>
      </c>
      <c r="C1816" s="323">
        <v>40974</v>
      </c>
      <c r="D1816" s="323">
        <v>164</v>
      </c>
      <c r="E1816" s="324">
        <f t="shared" si="28"/>
        <v>39993.040000000001</v>
      </c>
    </row>
    <row r="1817" spans="1:5" x14ac:dyDescent="0.25">
      <c r="A1817" s="323" t="s">
        <v>1631</v>
      </c>
      <c r="B1817" s="323" t="s">
        <v>805</v>
      </c>
      <c r="C1817" s="323">
        <v>40974</v>
      </c>
      <c r="D1817" s="323">
        <v>265</v>
      </c>
      <c r="E1817" s="324">
        <f t="shared" si="28"/>
        <v>64622.9</v>
      </c>
    </row>
    <row r="1818" spans="1:5" x14ac:dyDescent="0.25">
      <c r="A1818" s="323" t="s">
        <v>1674</v>
      </c>
      <c r="B1818" s="323" t="s">
        <v>805</v>
      </c>
      <c r="C1818" s="323">
        <v>40974</v>
      </c>
      <c r="D1818" s="323">
        <v>340</v>
      </c>
      <c r="E1818" s="324">
        <f t="shared" si="28"/>
        <v>82912.400000000009</v>
      </c>
    </row>
    <row r="1819" spans="1:5" x14ac:dyDescent="0.25">
      <c r="A1819" s="323" t="s">
        <v>1931</v>
      </c>
      <c r="B1819" s="323" t="s">
        <v>805</v>
      </c>
      <c r="C1819" s="323">
        <v>40974</v>
      </c>
      <c r="D1819" s="323">
        <v>113</v>
      </c>
      <c r="E1819" s="324">
        <f t="shared" si="28"/>
        <v>27556.18</v>
      </c>
    </row>
    <row r="1820" spans="1:5" x14ac:dyDescent="0.25">
      <c r="A1820" s="323" t="s">
        <v>1969</v>
      </c>
      <c r="B1820" s="323" t="s">
        <v>805</v>
      </c>
      <c r="C1820" s="323">
        <v>40974</v>
      </c>
      <c r="D1820" s="323">
        <v>147</v>
      </c>
      <c r="E1820" s="324">
        <f t="shared" si="28"/>
        <v>35847.420000000006</v>
      </c>
    </row>
    <row r="1821" spans="1:5" x14ac:dyDescent="0.25">
      <c r="A1821" s="323" t="s">
        <v>2187</v>
      </c>
      <c r="B1821" s="323" t="s">
        <v>805</v>
      </c>
      <c r="C1821" s="323">
        <v>40974</v>
      </c>
      <c r="D1821" s="323">
        <v>83</v>
      </c>
      <c r="E1821" s="324">
        <f t="shared" si="28"/>
        <v>20240.38</v>
      </c>
    </row>
    <row r="1822" spans="1:5" x14ac:dyDescent="0.25">
      <c r="A1822" s="323" t="s">
        <v>2239</v>
      </c>
      <c r="B1822" s="323" t="s">
        <v>805</v>
      </c>
      <c r="C1822" s="323">
        <v>40974</v>
      </c>
      <c r="D1822" s="323">
        <v>308</v>
      </c>
      <c r="E1822" s="324">
        <f t="shared" si="28"/>
        <v>75108.88</v>
      </c>
    </row>
    <row r="1823" spans="1:5" x14ac:dyDescent="0.25">
      <c r="A1823" s="323" t="s">
        <v>2824</v>
      </c>
      <c r="B1823" s="323" t="s">
        <v>805</v>
      </c>
      <c r="C1823" s="323">
        <v>40974</v>
      </c>
      <c r="D1823" s="323">
        <v>119</v>
      </c>
      <c r="E1823" s="324">
        <f t="shared" si="28"/>
        <v>29019.34</v>
      </c>
    </row>
    <row r="1824" spans="1:5" x14ac:dyDescent="0.25">
      <c r="A1824" s="323" t="s">
        <v>2827</v>
      </c>
      <c r="B1824" s="323" t="s">
        <v>805</v>
      </c>
      <c r="C1824" s="323">
        <v>40974</v>
      </c>
      <c r="D1824" s="323">
        <v>303</v>
      </c>
      <c r="E1824" s="324">
        <f t="shared" si="28"/>
        <v>73889.58</v>
      </c>
    </row>
    <row r="1825" spans="1:5" x14ac:dyDescent="0.25">
      <c r="A1825" s="323" t="s">
        <v>2850</v>
      </c>
      <c r="B1825" s="323" t="s">
        <v>805</v>
      </c>
      <c r="C1825" s="323">
        <v>40974</v>
      </c>
      <c r="D1825" s="323">
        <v>285</v>
      </c>
      <c r="E1825" s="324">
        <f t="shared" si="28"/>
        <v>69500.100000000006</v>
      </c>
    </row>
    <row r="1826" spans="1:5" x14ac:dyDescent="0.25">
      <c r="A1826" s="323" t="s">
        <v>3475</v>
      </c>
      <c r="B1826" s="323" t="s">
        <v>805</v>
      </c>
      <c r="C1826" s="323">
        <v>40974</v>
      </c>
      <c r="D1826" s="323">
        <v>111</v>
      </c>
      <c r="E1826" s="324">
        <f t="shared" si="28"/>
        <v>27068.460000000003</v>
      </c>
    </row>
    <row r="1827" spans="1:5" x14ac:dyDescent="0.25">
      <c r="A1827" s="323" t="s">
        <v>3630</v>
      </c>
      <c r="B1827" s="323" t="s">
        <v>805</v>
      </c>
      <c r="C1827" s="323">
        <v>40974</v>
      </c>
      <c r="D1827" s="323">
        <v>203</v>
      </c>
      <c r="E1827" s="324">
        <f t="shared" si="28"/>
        <v>49503.58</v>
      </c>
    </row>
    <row r="1828" spans="1:5" x14ac:dyDescent="0.25">
      <c r="A1828" s="323" t="s">
        <v>2456</v>
      </c>
      <c r="B1828" s="323" t="s">
        <v>805</v>
      </c>
      <c r="C1828" s="323">
        <v>40980</v>
      </c>
      <c r="D1828" s="323">
        <v>111</v>
      </c>
      <c r="E1828" s="324">
        <f t="shared" si="28"/>
        <v>27068.460000000003</v>
      </c>
    </row>
    <row r="1829" spans="1:5" x14ac:dyDescent="0.25">
      <c r="A1829" s="323" t="s">
        <v>2618</v>
      </c>
      <c r="B1829" s="323" t="s">
        <v>805</v>
      </c>
      <c r="C1829" s="323">
        <v>40980</v>
      </c>
      <c r="D1829" s="323">
        <v>258</v>
      </c>
      <c r="E1829" s="324">
        <f t="shared" si="28"/>
        <v>62915.880000000005</v>
      </c>
    </row>
    <row r="1830" spans="1:5" x14ac:dyDescent="0.25">
      <c r="A1830" s="323" t="s">
        <v>4267</v>
      </c>
      <c r="B1830" s="323" t="s">
        <v>805</v>
      </c>
      <c r="C1830" s="323">
        <v>40980</v>
      </c>
      <c r="D1830" s="323">
        <v>220</v>
      </c>
      <c r="E1830" s="324">
        <f t="shared" si="28"/>
        <v>53649.200000000004</v>
      </c>
    </row>
    <row r="1831" spans="1:5" x14ac:dyDescent="0.25">
      <c r="A1831" s="323" t="s">
        <v>4375</v>
      </c>
      <c r="B1831" s="323" t="s">
        <v>805</v>
      </c>
      <c r="C1831" s="323">
        <v>40980</v>
      </c>
      <c r="D1831" s="323">
        <v>344</v>
      </c>
      <c r="E1831" s="324">
        <f t="shared" si="28"/>
        <v>83887.840000000011</v>
      </c>
    </row>
    <row r="1832" spans="1:5" x14ac:dyDescent="0.25">
      <c r="A1832" s="323" t="s">
        <v>4480</v>
      </c>
      <c r="B1832" s="323" t="s">
        <v>805</v>
      </c>
      <c r="C1832" s="323">
        <v>40980</v>
      </c>
      <c r="D1832" s="323">
        <v>276</v>
      </c>
      <c r="E1832" s="324">
        <f t="shared" si="28"/>
        <v>67305.36</v>
      </c>
    </row>
    <row r="1833" spans="1:5" x14ac:dyDescent="0.25">
      <c r="A1833" s="323" t="s">
        <v>5237</v>
      </c>
      <c r="B1833" s="323" t="s">
        <v>805</v>
      </c>
      <c r="C1833" s="323">
        <v>40980</v>
      </c>
      <c r="D1833" s="323">
        <v>100</v>
      </c>
      <c r="E1833" s="324">
        <f t="shared" si="28"/>
        <v>24386</v>
      </c>
    </row>
    <row r="1834" spans="1:5" x14ac:dyDescent="0.25">
      <c r="A1834" s="323" t="s">
        <v>2792</v>
      </c>
      <c r="B1834" s="323" t="s">
        <v>805</v>
      </c>
      <c r="C1834" s="323">
        <v>40982</v>
      </c>
      <c r="D1834" s="323">
        <v>215</v>
      </c>
      <c r="E1834" s="324">
        <f t="shared" si="28"/>
        <v>52429.9</v>
      </c>
    </row>
    <row r="1835" spans="1:5" x14ac:dyDescent="0.25">
      <c r="A1835" s="323" t="s">
        <v>3274</v>
      </c>
      <c r="B1835" s="323" t="s">
        <v>805</v>
      </c>
      <c r="C1835" s="323">
        <v>40982</v>
      </c>
      <c r="D1835" s="323">
        <v>257</v>
      </c>
      <c r="E1835" s="324">
        <f t="shared" si="28"/>
        <v>62672.020000000004</v>
      </c>
    </row>
    <row r="1836" spans="1:5" x14ac:dyDescent="0.25">
      <c r="A1836" s="323" t="s">
        <v>3585</v>
      </c>
      <c r="B1836" s="323" t="s">
        <v>805</v>
      </c>
      <c r="C1836" s="323">
        <v>40982</v>
      </c>
      <c r="D1836" s="323">
        <v>152</v>
      </c>
      <c r="E1836" s="324">
        <f t="shared" si="28"/>
        <v>37066.720000000001</v>
      </c>
    </row>
    <row r="1837" spans="1:5" x14ac:dyDescent="0.25">
      <c r="A1837" s="323" t="s">
        <v>3775</v>
      </c>
      <c r="B1837" s="323" t="s">
        <v>805</v>
      </c>
      <c r="C1837" s="323">
        <v>40982</v>
      </c>
      <c r="D1837" s="323">
        <v>401</v>
      </c>
      <c r="E1837" s="324">
        <f t="shared" si="28"/>
        <v>97787.86</v>
      </c>
    </row>
    <row r="1838" spans="1:5" x14ac:dyDescent="0.25">
      <c r="A1838" s="323" t="s">
        <v>4024</v>
      </c>
      <c r="B1838" s="323" t="s">
        <v>805</v>
      </c>
      <c r="C1838" s="323">
        <v>40982</v>
      </c>
      <c r="D1838" s="323">
        <v>165</v>
      </c>
      <c r="E1838" s="324">
        <f t="shared" si="28"/>
        <v>40236.9</v>
      </c>
    </row>
    <row r="1839" spans="1:5" x14ac:dyDescent="0.25">
      <c r="A1839" s="323" t="s">
        <v>2246</v>
      </c>
      <c r="B1839" s="323" t="s">
        <v>805</v>
      </c>
      <c r="C1839" s="323">
        <v>40987</v>
      </c>
      <c r="D1839" s="323">
        <v>231</v>
      </c>
      <c r="E1839" s="324">
        <f t="shared" si="28"/>
        <v>56331.66</v>
      </c>
    </row>
    <row r="1840" spans="1:5" x14ac:dyDescent="0.25">
      <c r="A1840" s="323" t="s">
        <v>2846</v>
      </c>
      <c r="B1840" s="323" t="s">
        <v>805</v>
      </c>
      <c r="C1840" s="323">
        <v>40987</v>
      </c>
      <c r="D1840" s="323">
        <v>274</v>
      </c>
      <c r="E1840" s="324">
        <f t="shared" si="28"/>
        <v>66817.64</v>
      </c>
    </row>
    <row r="1841" spans="1:5" x14ac:dyDescent="0.25">
      <c r="A1841" s="323" t="s">
        <v>3085</v>
      </c>
      <c r="B1841" s="323" t="s">
        <v>805</v>
      </c>
      <c r="C1841" s="323">
        <v>40987</v>
      </c>
      <c r="D1841" s="323">
        <v>270</v>
      </c>
      <c r="E1841" s="324">
        <f t="shared" si="28"/>
        <v>65842.2</v>
      </c>
    </row>
    <row r="1842" spans="1:5" x14ac:dyDescent="0.25">
      <c r="A1842" s="323" t="s">
        <v>3104</v>
      </c>
      <c r="B1842" s="323" t="s">
        <v>805</v>
      </c>
      <c r="C1842" s="323">
        <v>40987</v>
      </c>
      <c r="D1842" s="323">
        <v>288</v>
      </c>
      <c r="E1842" s="324">
        <f t="shared" si="28"/>
        <v>70231.680000000008</v>
      </c>
    </row>
    <row r="1843" spans="1:5" x14ac:dyDescent="0.25">
      <c r="A1843" s="323" t="s">
        <v>3601</v>
      </c>
      <c r="B1843" s="323" t="s">
        <v>805</v>
      </c>
      <c r="C1843" s="323">
        <v>40987</v>
      </c>
      <c r="D1843" s="323">
        <v>218</v>
      </c>
      <c r="E1843" s="324">
        <f t="shared" si="28"/>
        <v>53161.48</v>
      </c>
    </row>
    <row r="1844" spans="1:5" x14ac:dyDescent="0.25">
      <c r="A1844" s="323" t="s">
        <v>5225</v>
      </c>
      <c r="B1844" s="323" t="s">
        <v>805</v>
      </c>
      <c r="C1844" s="323">
        <v>40987</v>
      </c>
      <c r="D1844" s="323">
        <v>463</v>
      </c>
      <c r="E1844" s="324">
        <f t="shared" si="28"/>
        <v>112907.18000000001</v>
      </c>
    </row>
    <row r="1845" spans="1:5" x14ac:dyDescent="0.25">
      <c r="A1845" s="323" t="s">
        <v>5692</v>
      </c>
      <c r="B1845" s="323" t="s">
        <v>805</v>
      </c>
      <c r="C1845" s="323">
        <v>40987</v>
      </c>
      <c r="D1845" s="323">
        <v>215</v>
      </c>
      <c r="E1845" s="324">
        <f t="shared" si="28"/>
        <v>52429.9</v>
      </c>
    </row>
    <row r="1846" spans="1:5" x14ac:dyDescent="0.25">
      <c r="A1846" s="323" t="s">
        <v>7204</v>
      </c>
      <c r="B1846" s="323" t="s">
        <v>805</v>
      </c>
      <c r="C1846" s="323">
        <v>40994</v>
      </c>
      <c r="D1846" s="323">
        <v>102</v>
      </c>
      <c r="E1846" s="324">
        <f t="shared" si="28"/>
        <v>24873.72</v>
      </c>
    </row>
    <row r="1847" spans="1:5" x14ac:dyDescent="0.25">
      <c r="A1847" s="323" t="s">
        <v>1256</v>
      </c>
      <c r="B1847" s="323" t="s">
        <v>805</v>
      </c>
      <c r="C1847" s="323">
        <v>41000</v>
      </c>
      <c r="D1847" s="323">
        <v>123</v>
      </c>
      <c r="E1847" s="324">
        <f t="shared" si="28"/>
        <v>29994.780000000002</v>
      </c>
    </row>
    <row r="1848" spans="1:5" x14ac:dyDescent="0.25">
      <c r="A1848" s="323" t="s">
        <v>1314</v>
      </c>
      <c r="B1848" s="323" t="s">
        <v>805</v>
      </c>
      <c r="C1848" s="323">
        <v>41000</v>
      </c>
      <c r="D1848" s="323">
        <v>69</v>
      </c>
      <c r="E1848" s="324">
        <f t="shared" si="28"/>
        <v>16826.34</v>
      </c>
    </row>
    <row r="1849" spans="1:5" x14ac:dyDescent="0.25">
      <c r="A1849" s="323" t="s">
        <v>1709</v>
      </c>
      <c r="B1849" s="323" t="s">
        <v>805</v>
      </c>
      <c r="C1849" s="323">
        <v>41000</v>
      </c>
      <c r="D1849" s="323">
        <v>69</v>
      </c>
      <c r="E1849" s="324">
        <f t="shared" si="28"/>
        <v>16826.34</v>
      </c>
    </row>
    <row r="1850" spans="1:5" x14ac:dyDescent="0.25">
      <c r="A1850" s="323" t="s">
        <v>1721</v>
      </c>
      <c r="B1850" s="323" t="s">
        <v>805</v>
      </c>
      <c r="C1850" s="323">
        <v>41000</v>
      </c>
      <c r="D1850" s="323">
        <v>333</v>
      </c>
      <c r="E1850" s="324">
        <f t="shared" si="28"/>
        <v>81205.38</v>
      </c>
    </row>
    <row r="1851" spans="1:5" x14ac:dyDescent="0.25">
      <c r="A1851" s="323" t="s">
        <v>1729</v>
      </c>
      <c r="B1851" s="323" t="s">
        <v>805</v>
      </c>
      <c r="C1851" s="323">
        <v>41000</v>
      </c>
      <c r="D1851" s="323">
        <v>43</v>
      </c>
      <c r="E1851" s="324">
        <f t="shared" si="28"/>
        <v>10485.980000000001</v>
      </c>
    </row>
    <row r="1852" spans="1:5" x14ac:dyDescent="0.25">
      <c r="A1852" s="323" t="s">
        <v>1776</v>
      </c>
      <c r="B1852" s="323" t="s">
        <v>805</v>
      </c>
      <c r="C1852" s="323">
        <v>41000</v>
      </c>
      <c r="D1852" s="323">
        <v>84</v>
      </c>
      <c r="E1852" s="324">
        <f t="shared" si="28"/>
        <v>20484.240000000002</v>
      </c>
    </row>
    <row r="1853" spans="1:5" x14ac:dyDescent="0.25">
      <c r="A1853" s="323" t="s">
        <v>1839</v>
      </c>
      <c r="B1853" s="323" t="s">
        <v>805</v>
      </c>
      <c r="C1853" s="323">
        <v>41000</v>
      </c>
      <c r="D1853" s="323">
        <v>364</v>
      </c>
      <c r="E1853" s="324">
        <f t="shared" si="28"/>
        <v>88765.040000000008</v>
      </c>
    </row>
    <row r="1854" spans="1:5" x14ac:dyDescent="0.25">
      <c r="A1854" s="323" t="s">
        <v>1857</v>
      </c>
      <c r="B1854" s="323" t="s">
        <v>805</v>
      </c>
      <c r="C1854" s="323">
        <v>41000</v>
      </c>
      <c r="D1854" s="323">
        <v>235</v>
      </c>
      <c r="E1854" s="324">
        <f t="shared" si="28"/>
        <v>57307.100000000006</v>
      </c>
    </row>
    <row r="1855" spans="1:5" x14ac:dyDescent="0.25">
      <c r="A1855" s="323" t="s">
        <v>2347</v>
      </c>
      <c r="B1855" s="323" t="s">
        <v>805</v>
      </c>
      <c r="C1855" s="323">
        <v>41000</v>
      </c>
      <c r="D1855" s="323">
        <v>204</v>
      </c>
      <c r="E1855" s="324">
        <f t="shared" si="28"/>
        <v>49747.44</v>
      </c>
    </row>
    <row r="1856" spans="1:5" x14ac:dyDescent="0.25">
      <c r="A1856" s="323" t="s">
        <v>2361</v>
      </c>
      <c r="B1856" s="323" t="s">
        <v>805</v>
      </c>
      <c r="C1856" s="323">
        <v>41000</v>
      </c>
      <c r="D1856" s="323">
        <v>125</v>
      </c>
      <c r="E1856" s="324">
        <f t="shared" si="28"/>
        <v>30482.5</v>
      </c>
    </row>
    <row r="1857" spans="1:5" x14ac:dyDescent="0.25">
      <c r="A1857" s="323" t="s">
        <v>2368</v>
      </c>
      <c r="B1857" s="323" t="s">
        <v>805</v>
      </c>
      <c r="C1857" s="323">
        <v>41000</v>
      </c>
      <c r="D1857" s="323">
        <v>234</v>
      </c>
      <c r="E1857" s="324">
        <f t="shared" si="28"/>
        <v>57063.240000000005</v>
      </c>
    </row>
    <row r="1858" spans="1:5" x14ac:dyDescent="0.25">
      <c r="A1858" s="323" t="s">
        <v>2390</v>
      </c>
      <c r="B1858" s="323" t="s">
        <v>805</v>
      </c>
      <c r="C1858" s="323">
        <v>41000</v>
      </c>
      <c r="D1858" s="323">
        <v>252</v>
      </c>
      <c r="E1858" s="324">
        <f t="shared" ref="E1858:E1921" si="29">D1858*IF(B1858=$G$9,WerkdrukbedragPerLeerlingBo,IF(B1858=$G$10,WerkdrukbedragPerLeerlingSbo,IF(B1858=$G$11,WerkdrukbedragPerLeerlingSo,IF(B1858=$G$12,WerkdrukbedragPerLeerlingVso,0))))</f>
        <v>61452.72</v>
      </c>
    </row>
    <row r="1859" spans="1:5" x14ac:dyDescent="0.25">
      <c r="A1859" s="323" t="s">
        <v>2401</v>
      </c>
      <c r="B1859" s="323" t="s">
        <v>805</v>
      </c>
      <c r="C1859" s="323">
        <v>41000</v>
      </c>
      <c r="D1859" s="323">
        <v>169</v>
      </c>
      <c r="E1859" s="324">
        <f t="shared" si="29"/>
        <v>41212.340000000004</v>
      </c>
    </row>
    <row r="1860" spans="1:5" x14ac:dyDescent="0.25">
      <c r="A1860" s="323" t="s">
        <v>2763</v>
      </c>
      <c r="B1860" s="323" t="s">
        <v>805</v>
      </c>
      <c r="C1860" s="323">
        <v>41000</v>
      </c>
      <c r="D1860" s="323">
        <v>251</v>
      </c>
      <c r="E1860" s="324">
        <f t="shared" si="29"/>
        <v>61208.86</v>
      </c>
    </row>
    <row r="1861" spans="1:5" x14ac:dyDescent="0.25">
      <c r="A1861" s="323" t="s">
        <v>2778</v>
      </c>
      <c r="B1861" s="323" t="s">
        <v>805</v>
      </c>
      <c r="C1861" s="323">
        <v>41000</v>
      </c>
      <c r="D1861" s="323">
        <v>108</v>
      </c>
      <c r="E1861" s="324">
        <f t="shared" si="29"/>
        <v>26336.880000000001</v>
      </c>
    </row>
    <row r="1862" spans="1:5" x14ac:dyDescent="0.25">
      <c r="A1862" s="323" t="s">
        <v>2779</v>
      </c>
      <c r="B1862" s="323" t="s">
        <v>805</v>
      </c>
      <c r="C1862" s="323">
        <v>41000</v>
      </c>
      <c r="D1862" s="323">
        <v>147</v>
      </c>
      <c r="E1862" s="324">
        <f t="shared" si="29"/>
        <v>35847.420000000006</v>
      </c>
    </row>
    <row r="1863" spans="1:5" x14ac:dyDescent="0.25">
      <c r="A1863" s="323" t="s">
        <v>2790</v>
      </c>
      <c r="B1863" s="323" t="s">
        <v>805</v>
      </c>
      <c r="C1863" s="323">
        <v>41000</v>
      </c>
      <c r="D1863" s="323">
        <v>96</v>
      </c>
      <c r="E1863" s="324">
        <f t="shared" si="29"/>
        <v>23410.560000000001</v>
      </c>
    </row>
    <row r="1864" spans="1:5" x14ac:dyDescent="0.25">
      <c r="A1864" s="323" t="s">
        <v>2867</v>
      </c>
      <c r="B1864" s="323" t="s">
        <v>805</v>
      </c>
      <c r="C1864" s="323">
        <v>41000</v>
      </c>
      <c r="D1864" s="323">
        <v>179</v>
      </c>
      <c r="E1864" s="324">
        <f t="shared" si="29"/>
        <v>43650.94</v>
      </c>
    </row>
    <row r="1865" spans="1:5" x14ac:dyDescent="0.25">
      <c r="A1865" s="323" t="s">
        <v>2868</v>
      </c>
      <c r="B1865" s="323" t="s">
        <v>805</v>
      </c>
      <c r="C1865" s="323">
        <v>41000</v>
      </c>
      <c r="D1865" s="323">
        <v>252</v>
      </c>
      <c r="E1865" s="324">
        <f t="shared" si="29"/>
        <v>61452.72</v>
      </c>
    </row>
    <row r="1866" spans="1:5" x14ac:dyDescent="0.25">
      <c r="A1866" s="323" t="s">
        <v>2872</v>
      </c>
      <c r="B1866" s="323" t="s">
        <v>805</v>
      </c>
      <c r="C1866" s="323">
        <v>41000</v>
      </c>
      <c r="D1866" s="323">
        <v>144</v>
      </c>
      <c r="E1866" s="324">
        <f t="shared" si="29"/>
        <v>35115.840000000004</v>
      </c>
    </row>
    <row r="1867" spans="1:5" x14ac:dyDescent="0.25">
      <c r="A1867" s="323" t="s">
        <v>3315</v>
      </c>
      <c r="B1867" s="323" t="s">
        <v>805</v>
      </c>
      <c r="C1867" s="323">
        <v>41000</v>
      </c>
      <c r="D1867" s="323">
        <v>418</v>
      </c>
      <c r="E1867" s="324">
        <f t="shared" si="29"/>
        <v>101933.48000000001</v>
      </c>
    </row>
    <row r="1868" spans="1:5" x14ac:dyDescent="0.25">
      <c r="A1868" s="323" t="s">
        <v>3447</v>
      </c>
      <c r="B1868" s="323" t="s">
        <v>805</v>
      </c>
      <c r="C1868" s="323">
        <v>41000</v>
      </c>
      <c r="D1868" s="323">
        <v>535</v>
      </c>
      <c r="E1868" s="324">
        <f t="shared" si="29"/>
        <v>130465.1</v>
      </c>
    </row>
    <row r="1869" spans="1:5" x14ac:dyDescent="0.25">
      <c r="A1869" s="323" t="s">
        <v>3494</v>
      </c>
      <c r="B1869" s="323" t="s">
        <v>805</v>
      </c>
      <c r="C1869" s="323">
        <v>41000</v>
      </c>
      <c r="D1869" s="323">
        <v>117</v>
      </c>
      <c r="E1869" s="324">
        <f t="shared" si="29"/>
        <v>28531.620000000003</v>
      </c>
    </row>
    <row r="1870" spans="1:5" x14ac:dyDescent="0.25">
      <c r="A1870" s="323" t="s">
        <v>3722</v>
      </c>
      <c r="B1870" s="323" t="s">
        <v>805</v>
      </c>
      <c r="C1870" s="323">
        <v>41000</v>
      </c>
      <c r="D1870" s="323">
        <v>258</v>
      </c>
      <c r="E1870" s="324">
        <f t="shared" si="29"/>
        <v>62915.880000000005</v>
      </c>
    </row>
    <row r="1871" spans="1:5" x14ac:dyDescent="0.25">
      <c r="A1871" s="323" t="s">
        <v>3755</v>
      </c>
      <c r="B1871" s="323" t="s">
        <v>805</v>
      </c>
      <c r="C1871" s="323">
        <v>41000</v>
      </c>
      <c r="D1871" s="323">
        <v>77</v>
      </c>
      <c r="E1871" s="324">
        <f t="shared" si="29"/>
        <v>18777.22</v>
      </c>
    </row>
    <row r="1872" spans="1:5" x14ac:dyDescent="0.25">
      <c r="A1872" s="323" t="s">
        <v>3953</v>
      </c>
      <c r="B1872" s="323" t="s">
        <v>805</v>
      </c>
      <c r="C1872" s="323">
        <v>41000</v>
      </c>
      <c r="D1872" s="323">
        <v>62</v>
      </c>
      <c r="E1872" s="324">
        <f t="shared" si="29"/>
        <v>15119.320000000002</v>
      </c>
    </row>
    <row r="1873" spans="1:5" x14ac:dyDescent="0.25">
      <c r="A1873" s="323" t="s">
        <v>4098</v>
      </c>
      <c r="B1873" s="323" t="s">
        <v>805</v>
      </c>
      <c r="C1873" s="323">
        <v>41000</v>
      </c>
      <c r="D1873" s="323">
        <v>347</v>
      </c>
      <c r="E1873" s="324">
        <f t="shared" si="29"/>
        <v>84619.42</v>
      </c>
    </row>
    <row r="1874" spans="1:5" x14ac:dyDescent="0.25">
      <c r="A1874" s="323" t="s">
        <v>4350</v>
      </c>
      <c r="B1874" s="323" t="s">
        <v>805</v>
      </c>
      <c r="C1874" s="323">
        <v>41000</v>
      </c>
      <c r="D1874" s="323">
        <v>43</v>
      </c>
      <c r="E1874" s="324">
        <f t="shared" si="29"/>
        <v>10485.980000000001</v>
      </c>
    </row>
    <row r="1875" spans="1:5" x14ac:dyDescent="0.25">
      <c r="A1875" s="323" t="s">
        <v>5685</v>
      </c>
      <c r="B1875" s="323" t="s">
        <v>805</v>
      </c>
      <c r="C1875" s="323">
        <v>41000</v>
      </c>
      <c r="D1875" s="323">
        <v>454</v>
      </c>
      <c r="E1875" s="324">
        <f t="shared" si="29"/>
        <v>110712.44</v>
      </c>
    </row>
    <row r="1876" spans="1:5" x14ac:dyDescent="0.25">
      <c r="A1876" s="323" t="s">
        <v>6907</v>
      </c>
      <c r="B1876" s="323" t="s">
        <v>805</v>
      </c>
      <c r="C1876" s="323">
        <v>41000</v>
      </c>
      <c r="D1876" s="323">
        <v>133</v>
      </c>
      <c r="E1876" s="324">
        <f t="shared" si="29"/>
        <v>32433.38</v>
      </c>
    </row>
    <row r="1877" spans="1:5" x14ac:dyDescent="0.25">
      <c r="A1877" s="323" t="s">
        <v>7450</v>
      </c>
      <c r="B1877" s="323" t="s">
        <v>805</v>
      </c>
      <c r="C1877" s="323">
        <v>41000</v>
      </c>
      <c r="D1877" s="323">
        <v>275</v>
      </c>
      <c r="E1877" s="324">
        <f t="shared" si="29"/>
        <v>67061.5</v>
      </c>
    </row>
    <row r="1878" spans="1:5" x14ac:dyDescent="0.25">
      <c r="A1878" s="323" t="s">
        <v>1481</v>
      </c>
      <c r="B1878" s="323" t="s">
        <v>805</v>
      </c>
      <c r="C1878" s="323">
        <v>41001</v>
      </c>
      <c r="D1878" s="323">
        <v>46</v>
      </c>
      <c r="E1878" s="324">
        <f t="shared" si="29"/>
        <v>11217.560000000001</v>
      </c>
    </row>
    <row r="1879" spans="1:5" x14ac:dyDescent="0.25">
      <c r="A1879" s="323" t="s">
        <v>1582</v>
      </c>
      <c r="B1879" s="323" t="s">
        <v>805</v>
      </c>
      <c r="C1879" s="323">
        <v>41001</v>
      </c>
      <c r="D1879" s="323">
        <v>257</v>
      </c>
      <c r="E1879" s="324">
        <f t="shared" si="29"/>
        <v>62672.020000000004</v>
      </c>
    </row>
    <row r="1880" spans="1:5" x14ac:dyDescent="0.25">
      <c r="A1880" s="323" t="s">
        <v>1919</v>
      </c>
      <c r="B1880" s="323" t="s">
        <v>805</v>
      </c>
      <c r="C1880" s="323">
        <v>41001</v>
      </c>
      <c r="D1880" s="323">
        <v>100</v>
      </c>
      <c r="E1880" s="324">
        <f t="shared" si="29"/>
        <v>24386</v>
      </c>
    </row>
    <row r="1881" spans="1:5" x14ac:dyDescent="0.25">
      <c r="A1881" s="323" t="s">
        <v>1919</v>
      </c>
      <c r="B1881" s="323" t="s">
        <v>805</v>
      </c>
      <c r="C1881" s="323">
        <v>41001</v>
      </c>
      <c r="D1881" s="323">
        <v>129</v>
      </c>
      <c r="E1881" s="324">
        <f t="shared" si="29"/>
        <v>31457.940000000002</v>
      </c>
    </row>
    <row r="1882" spans="1:5" x14ac:dyDescent="0.25">
      <c r="A1882" s="323" t="s">
        <v>3067</v>
      </c>
      <c r="B1882" s="323" t="s">
        <v>805</v>
      </c>
      <c r="C1882" s="323">
        <v>41001</v>
      </c>
      <c r="D1882" s="323">
        <v>305</v>
      </c>
      <c r="E1882" s="324">
        <f t="shared" si="29"/>
        <v>74377.3</v>
      </c>
    </row>
    <row r="1883" spans="1:5" x14ac:dyDescent="0.25">
      <c r="A1883" s="323" t="s">
        <v>3153</v>
      </c>
      <c r="B1883" s="323" t="s">
        <v>805</v>
      </c>
      <c r="C1883" s="323">
        <v>41001</v>
      </c>
      <c r="D1883" s="323">
        <v>252</v>
      </c>
      <c r="E1883" s="324">
        <f t="shared" si="29"/>
        <v>61452.72</v>
      </c>
    </row>
    <row r="1884" spans="1:5" x14ac:dyDescent="0.25">
      <c r="A1884" s="323" t="s">
        <v>4124</v>
      </c>
      <c r="B1884" s="323" t="s">
        <v>805</v>
      </c>
      <c r="C1884" s="323">
        <v>41001</v>
      </c>
      <c r="D1884" s="323">
        <v>199</v>
      </c>
      <c r="E1884" s="324">
        <f t="shared" si="29"/>
        <v>48528.14</v>
      </c>
    </row>
    <row r="1885" spans="1:5" x14ac:dyDescent="0.25">
      <c r="A1885" s="323" t="s">
        <v>4260</v>
      </c>
      <c r="B1885" s="323" t="s">
        <v>805</v>
      </c>
      <c r="C1885" s="323">
        <v>41001</v>
      </c>
      <c r="D1885" s="323">
        <v>167</v>
      </c>
      <c r="E1885" s="324">
        <f t="shared" si="29"/>
        <v>40724.620000000003</v>
      </c>
    </row>
    <row r="1886" spans="1:5" x14ac:dyDescent="0.25">
      <c r="A1886" s="323" t="s">
        <v>4347</v>
      </c>
      <c r="B1886" s="323" t="s">
        <v>805</v>
      </c>
      <c r="C1886" s="323">
        <v>41001</v>
      </c>
      <c r="D1886" s="323">
        <v>543</v>
      </c>
      <c r="E1886" s="324">
        <f t="shared" si="29"/>
        <v>132415.98000000001</v>
      </c>
    </row>
    <row r="1887" spans="1:5" x14ac:dyDescent="0.25">
      <c r="A1887" s="323" t="s">
        <v>4347</v>
      </c>
      <c r="B1887" s="323" t="s">
        <v>805</v>
      </c>
      <c r="C1887" s="323">
        <v>41001</v>
      </c>
      <c r="D1887" s="323">
        <v>169</v>
      </c>
      <c r="E1887" s="324">
        <f t="shared" si="29"/>
        <v>41212.340000000004</v>
      </c>
    </row>
    <row r="1888" spans="1:5" x14ac:dyDescent="0.25">
      <c r="A1888" s="323" t="s">
        <v>4568</v>
      </c>
      <c r="B1888" s="323" t="s">
        <v>805</v>
      </c>
      <c r="C1888" s="323">
        <v>41001</v>
      </c>
      <c r="D1888" s="323">
        <v>332</v>
      </c>
      <c r="E1888" s="324">
        <f t="shared" si="29"/>
        <v>80961.52</v>
      </c>
    </row>
    <row r="1889" spans="1:5" x14ac:dyDescent="0.25">
      <c r="A1889" s="323" t="s">
        <v>1462</v>
      </c>
      <c r="B1889" s="323" t="s">
        <v>805</v>
      </c>
      <c r="C1889" s="323">
        <v>41005</v>
      </c>
      <c r="D1889" s="323">
        <v>129</v>
      </c>
      <c r="E1889" s="324">
        <f t="shared" si="29"/>
        <v>31457.940000000002</v>
      </c>
    </row>
    <row r="1890" spans="1:5" x14ac:dyDescent="0.25">
      <c r="A1890" s="323" t="s">
        <v>1464</v>
      </c>
      <c r="B1890" s="323" t="s">
        <v>805</v>
      </c>
      <c r="C1890" s="323">
        <v>41005</v>
      </c>
      <c r="D1890" s="323">
        <v>78</v>
      </c>
      <c r="E1890" s="324">
        <f t="shared" si="29"/>
        <v>19021.080000000002</v>
      </c>
    </row>
    <row r="1891" spans="1:5" x14ac:dyDescent="0.25">
      <c r="A1891" s="323" t="s">
        <v>1949</v>
      </c>
      <c r="B1891" s="323" t="s">
        <v>805</v>
      </c>
      <c r="C1891" s="323">
        <v>41005</v>
      </c>
      <c r="D1891" s="323">
        <v>110</v>
      </c>
      <c r="E1891" s="324">
        <f t="shared" si="29"/>
        <v>26824.600000000002</v>
      </c>
    </row>
    <row r="1892" spans="1:5" x14ac:dyDescent="0.25">
      <c r="A1892" s="323" t="s">
        <v>2730</v>
      </c>
      <c r="B1892" s="323" t="s">
        <v>805</v>
      </c>
      <c r="C1892" s="323">
        <v>41005</v>
      </c>
      <c r="D1892" s="323">
        <v>92</v>
      </c>
      <c r="E1892" s="324">
        <f t="shared" si="29"/>
        <v>22435.120000000003</v>
      </c>
    </row>
    <row r="1893" spans="1:5" x14ac:dyDescent="0.25">
      <c r="A1893" s="323" t="s">
        <v>2887</v>
      </c>
      <c r="B1893" s="323" t="s">
        <v>805</v>
      </c>
      <c r="C1893" s="323">
        <v>41005</v>
      </c>
      <c r="D1893" s="323">
        <v>82</v>
      </c>
      <c r="E1893" s="324">
        <f t="shared" si="29"/>
        <v>19996.52</v>
      </c>
    </row>
    <row r="1894" spans="1:5" x14ac:dyDescent="0.25">
      <c r="A1894" s="323" t="s">
        <v>2906</v>
      </c>
      <c r="B1894" s="323" t="s">
        <v>805</v>
      </c>
      <c r="C1894" s="323">
        <v>41005</v>
      </c>
      <c r="D1894" s="323">
        <v>109</v>
      </c>
      <c r="E1894" s="324">
        <f t="shared" si="29"/>
        <v>26580.74</v>
      </c>
    </row>
    <row r="1895" spans="1:5" x14ac:dyDescent="0.25">
      <c r="A1895" s="323" t="s">
        <v>3151</v>
      </c>
      <c r="B1895" s="323" t="s">
        <v>805</v>
      </c>
      <c r="C1895" s="323">
        <v>41005</v>
      </c>
      <c r="D1895" s="323">
        <v>162</v>
      </c>
      <c r="E1895" s="324">
        <f t="shared" si="29"/>
        <v>39505.32</v>
      </c>
    </row>
    <row r="1896" spans="1:5" x14ac:dyDescent="0.25">
      <c r="A1896" s="323" t="s">
        <v>3673</v>
      </c>
      <c r="B1896" s="323" t="s">
        <v>805</v>
      </c>
      <c r="C1896" s="323">
        <v>41005</v>
      </c>
      <c r="D1896" s="323">
        <v>243</v>
      </c>
      <c r="E1896" s="324">
        <f t="shared" si="29"/>
        <v>59257.98</v>
      </c>
    </row>
    <row r="1897" spans="1:5" x14ac:dyDescent="0.25">
      <c r="A1897" s="323" t="s">
        <v>4122</v>
      </c>
      <c r="B1897" s="323" t="s">
        <v>805</v>
      </c>
      <c r="C1897" s="323">
        <v>41005</v>
      </c>
      <c r="D1897" s="323">
        <v>228</v>
      </c>
      <c r="E1897" s="324">
        <f t="shared" si="29"/>
        <v>55600.08</v>
      </c>
    </row>
    <row r="1898" spans="1:5" x14ac:dyDescent="0.25">
      <c r="A1898" s="323" t="s">
        <v>4123</v>
      </c>
      <c r="B1898" s="323" t="s">
        <v>805</v>
      </c>
      <c r="C1898" s="323">
        <v>41005</v>
      </c>
      <c r="D1898" s="323">
        <v>144</v>
      </c>
      <c r="E1898" s="324">
        <f t="shared" si="29"/>
        <v>35115.840000000004</v>
      </c>
    </row>
    <row r="1899" spans="1:5" x14ac:dyDescent="0.25">
      <c r="A1899" s="323" t="s">
        <v>4256</v>
      </c>
      <c r="B1899" s="323" t="s">
        <v>805</v>
      </c>
      <c r="C1899" s="323">
        <v>41005</v>
      </c>
      <c r="D1899" s="323">
        <v>205</v>
      </c>
      <c r="E1899" s="324">
        <f t="shared" si="29"/>
        <v>49991.3</v>
      </c>
    </row>
    <row r="1900" spans="1:5" x14ac:dyDescent="0.25">
      <c r="A1900" s="323" t="s">
        <v>876</v>
      </c>
      <c r="B1900" s="323" t="s">
        <v>809</v>
      </c>
      <c r="C1900" s="323">
        <v>41008</v>
      </c>
      <c r="D1900" s="323">
        <v>74</v>
      </c>
      <c r="E1900" s="324">
        <f t="shared" si="29"/>
        <v>36091.279999999999</v>
      </c>
    </row>
    <row r="1901" spans="1:5" x14ac:dyDescent="0.25">
      <c r="A1901" s="323" t="s">
        <v>876</v>
      </c>
      <c r="B1901" s="323" t="s">
        <v>809</v>
      </c>
      <c r="C1901" s="323">
        <v>41008</v>
      </c>
      <c r="D1901" s="323">
        <v>15</v>
      </c>
      <c r="E1901" s="324">
        <f t="shared" si="29"/>
        <v>7315.8</v>
      </c>
    </row>
    <row r="1902" spans="1:5" x14ac:dyDescent="0.25">
      <c r="A1902" s="323" t="s">
        <v>876</v>
      </c>
      <c r="B1902" s="323" t="s">
        <v>809</v>
      </c>
      <c r="C1902" s="323">
        <v>41008</v>
      </c>
      <c r="D1902" s="323">
        <v>18</v>
      </c>
      <c r="E1902" s="324">
        <f t="shared" si="29"/>
        <v>8778.9600000000009</v>
      </c>
    </row>
    <row r="1903" spans="1:5" x14ac:dyDescent="0.25">
      <c r="A1903" s="323" t="s">
        <v>876</v>
      </c>
      <c r="B1903" s="323" t="s">
        <v>809</v>
      </c>
      <c r="C1903" s="323">
        <v>41008</v>
      </c>
      <c r="D1903" s="323">
        <v>86</v>
      </c>
      <c r="E1903" s="324">
        <f t="shared" si="29"/>
        <v>41943.920000000006</v>
      </c>
    </row>
    <row r="1904" spans="1:5" x14ac:dyDescent="0.25">
      <c r="A1904" s="323" t="s">
        <v>876</v>
      </c>
      <c r="B1904" s="323" t="s">
        <v>809</v>
      </c>
      <c r="C1904" s="323">
        <v>41008</v>
      </c>
      <c r="D1904" s="323">
        <v>69</v>
      </c>
      <c r="E1904" s="324">
        <f t="shared" si="29"/>
        <v>33652.68</v>
      </c>
    </row>
    <row r="1905" spans="1:5" x14ac:dyDescent="0.25">
      <c r="A1905" s="323" t="s">
        <v>876</v>
      </c>
      <c r="B1905" s="323" t="s">
        <v>809</v>
      </c>
      <c r="C1905" s="323">
        <v>41008</v>
      </c>
      <c r="D1905" s="323">
        <v>62</v>
      </c>
      <c r="E1905" s="324">
        <f t="shared" si="29"/>
        <v>30238.640000000003</v>
      </c>
    </row>
    <row r="1906" spans="1:5" x14ac:dyDescent="0.25">
      <c r="A1906" s="323" t="s">
        <v>876</v>
      </c>
      <c r="B1906" s="323" t="s">
        <v>809</v>
      </c>
      <c r="C1906" s="323">
        <v>41008</v>
      </c>
      <c r="D1906" s="323">
        <v>50</v>
      </c>
      <c r="E1906" s="324">
        <f t="shared" si="29"/>
        <v>24386</v>
      </c>
    </row>
    <row r="1907" spans="1:5" x14ac:dyDescent="0.25">
      <c r="A1907" s="323" t="s">
        <v>876</v>
      </c>
      <c r="B1907" s="323" t="s">
        <v>809</v>
      </c>
      <c r="C1907" s="323">
        <v>41008</v>
      </c>
      <c r="D1907" s="323">
        <v>31</v>
      </c>
      <c r="E1907" s="324">
        <f t="shared" si="29"/>
        <v>15119.320000000002</v>
      </c>
    </row>
    <row r="1908" spans="1:5" x14ac:dyDescent="0.25">
      <c r="A1908" s="323" t="s">
        <v>876</v>
      </c>
      <c r="B1908" s="323" t="s">
        <v>809</v>
      </c>
      <c r="C1908" s="323">
        <v>41008</v>
      </c>
      <c r="D1908" s="323">
        <v>61</v>
      </c>
      <c r="E1908" s="324">
        <f t="shared" si="29"/>
        <v>29750.920000000002</v>
      </c>
    </row>
    <row r="1909" spans="1:5" x14ac:dyDescent="0.25">
      <c r="A1909" s="323" t="s">
        <v>876</v>
      </c>
      <c r="B1909" s="323" t="s">
        <v>809</v>
      </c>
      <c r="C1909" s="323">
        <v>41008</v>
      </c>
      <c r="D1909" s="323">
        <v>83</v>
      </c>
      <c r="E1909" s="324">
        <f t="shared" si="29"/>
        <v>40480.76</v>
      </c>
    </row>
    <row r="1910" spans="1:5" x14ac:dyDescent="0.25">
      <c r="A1910" s="323" t="s">
        <v>892</v>
      </c>
      <c r="B1910" s="323" t="s">
        <v>809</v>
      </c>
      <c r="C1910" s="323">
        <v>41008</v>
      </c>
      <c r="D1910" s="323">
        <v>149</v>
      </c>
      <c r="E1910" s="324">
        <f t="shared" si="29"/>
        <v>72670.28</v>
      </c>
    </row>
    <row r="1911" spans="1:5" x14ac:dyDescent="0.25">
      <c r="A1911" s="323" t="s">
        <v>923</v>
      </c>
      <c r="B1911" s="323" t="s">
        <v>816</v>
      </c>
      <c r="C1911" s="323">
        <v>41008</v>
      </c>
      <c r="D1911" s="323">
        <v>100</v>
      </c>
      <c r="E1911" s="324">
        <f t="shared" si="29"/>
        <v>36579</v>
      </c>
    </row>
    <row r="1912" spans="1:5" x14ac:dyDescent="0.25">
      <c r="A1912" s="323" t="s">
        <v>932</v>
      </c>
      <c r="B1912" s="323" t="s">
        <v>816</v>
      </c>
      <c r="C1912" s="323">
        <v>41008</v>
      </c>
      <c r="D1912" s="323">
        <v>92</v>
      </c>
      <c r="E1912" s="324">
        <f t="shared" si="29"/>
        <v>33652.68</v>
      </c>
    </row>
    <row r="1913" spans="1:5" x14ac:dyDescent="0.25">
      <c r="A1913" s="323" t="s">
        <v>974</v>
      </c>
      <c r="B1913" s="323" t="s">
        <v>809</v>
      </c>
      <c r="C1913" s="323">
        <v>41008</v>
      </c>
      <c r="D1913" s="323">
        <v>128</v>
      </c>
      <c r="E1913" s="324">
        <f t="shared" si="29"/>
        <v>62428.160000000003</v>
      </c>
    </row>
    <row r="1914" spans="1:5" x14ac:dyDescent="0.25">
      <c r="A1914" s="323" t="s">
        <v>1000</v>
      </c>
      <c r="B1914" s="323" t="s">
        <v>816</v>
      </c>
      <c r="C1914" s="323">
        <v>41008</v>
      </c>
      <c r="D1914" s="323">
        <v>151</v>
      </c>
      <c r="E1914" s="324">
        <f t="shared" si="29"/>
        <v>55234.29</v>
      </c>
    </row>
    <row r="1915" spans="1:5" x14ac:dyDescent="0.25">
      <c r="A1915" s="323" t="s">
        <v>1004</v>
      </c>
      <c r="B1915" s="323" t="s">
        <v>816</v>
      </c>
      <c r="C1915" s="323">
        <v>41008</v>
      </c>
      <c r="D1915" s="323">
        <v>154</v>
      </c>
      <c r="E1915" s="324">
        <f t="shared" si="29"/>
        <v>56331.66</v>
      </c>
    </row>
    <row r="1916" spans="1:5" x14ac:dyDescent="0.25">
      <c r="A1916" s="323" t="s">
        <v>1009</v>
      </c>
      <c r="B1916" s="323" t="s">
        <v>816</v>
      </c>
      <c r="C1916" s="323">
        <v>41008</v>
      </c>
      <c r="D1916" s="323">
        <v>76</v>
      </c>
      <c r="E1916" s="324">
        <f t="shared" si="29"/>
        <v>27800.04</v>
      </c>
    </row>
    <row r="1917" spans="1:5" x14ac:dyDescent="0.25">
      <c r="A1917" s="323" t="s">
        <v>1045</v>
      </c>
      <c r="B1917" s="323" t="s">
        <v>816</v>
      </c>
      <c r="C1917" s="323">
        <v>41008</v>
      </c>
      <c r="D1917" s="323">
        <v>69</v>
      </c>
      <c r="E1917" s="324">
        <f t="shared" si="29"/>
        <v>25239.510000000002</v>
      </c>
    </row>
    <row r="1918" spans="1:5" x14ac:dyDescent="0.25">
      <c r="A1918" s="323" t="s">
        <v>1283</v>
      </c>
      <c r="B1918" s="323" t="s">
        <v>803</v>
      </c>
      <c r="C1918" s="323">
        <v>41008</v>
      </c>
      <c r="D1918" s="323">
        <v>318</v>
      </c>
      <c r="E1918" s="324">
        <f t="shared" si="29"/>
        <v>155094.96000000002</v>
      </c>
    </row>
    <row r="1919" spans="1:5" x14ac:dyDescent="0.25">
      <c r="A1919" s="323" t="s">
        <v>1283</v>
      </c>
      <c r="B1919" s="323" t="s">
        <v>803</v>
      </c>
      <c r="C1919" s="323">
        <v>41008</v>
      </c>
      <c r="D1919" s="323">
        <v>94</v>
      </c>
      <c r="E1919" s="324">
        <f t="shared" si="29"/>
        <v>45845.68</v>
      </c>
    </row>
    <row r="1920" spans="1:5" x14ac:dyDescent="0.25">
      <c r="A1920" s="323" t="s">
        <v>1283</v>
      </c>
      <c r="B1920" s="323" t="s">
        <v>803</v>
      </c>
      <c r="C1920" s="323">
        <v>41008</v>
      </c>
      <c r="D1920" s="323">
        <v>68</v>
      </c>
      <c r="E1920" s="324">
        <f t="shared" si="29"/>
        <v>33164.959999999999</v>
      </c>
    </row>
    <row r="1921" spans="1:5" x14ac:dyDescent="0.25">
      <c r="A1921" s="323" t="s">
        <v>1283</v>
      </c>
      <c r="B1921" s="323" t="s">
        <v>803</v>
      </c>
      <c r="C1921" s="323">
        <v>41008</v>
      </c>
      <c r="D1921" s="323">
        <v>16</v>
      </c>
      <c r="E1921" s="324">
        <f t="shared" si="29"/>
        <v>7803.52</v>
      </c>
    </row>
    <row r="1922" spans="1:5" x14ac:dyDescent="0.25">
      <c r="A1922" s="323" t="s">
        <v>1283</v>
      </c>
      <c r="B1922" s="323" t="s">
        <v>803</v>
      </c>
      <c r="C1922" s="323">
        <v>41008</v>
      </c>
      <c r="D1922" s="323">
        <v>78</v>
      </c>
      <c r="E1922" s="324">
        <f t="shared" ref="E1922:E1985" si="30">D1922*IF(B1922=$G$9,WerkdrukbedragPerLeerlingBo,IF(B1922=$G$10,WerkdrukbedragPerLeerlingSbo,IF(B1922=$G$11,WerkdrukbedragPerLeerlingSo,IF(B1922=$G$12,WerkdrukbedragPerLeerlingVso,0))))</f>
        <v>38042.160000000003</v>
      </c>
    </row>
    <row r="1923" spans="1:5" x14ac:dyDescent="0.25">
      <c r="A1923" s="323" t="s">
        <v>1690</v>
      </c>
      <c r="B1923" s="323" t="s">
        <v>803</v>
      </c>
      <c r="C1923" s="323">
        <v>41008</v>
      </c>
      <c r="D1923" s="323">
        <v>45</v>
      </c>
      <c r="E1923" s="324">
        <f t="shared" si="30"/>
        <v>21947.4</v>
      </c>
    </row>
    <row r="1924" spans="1:5" x14ac:dyDescent="0.25">
      <c r="A1924" s="323" t="s">
        <v>1690</v>
      </c>
      <c r="B1924" s="323" t="s">
        <v>803</v>
      </c>
      <c r="C1924" s="323">
        <v>41008</v>
      </c>
      <c r="D1924" s="323">
        <v>87</v>
      </c>
      <c r="E1924" s="324">
        <f t="shared" si="30"/>
        <v>42431.64</v>
      </c>
    </row>
    <row r="1925" spans="1:5" x14ac:dyDescent="0.25">
      <c r="A1925" s="323" t="s">
        <v>1690</v>
      </c>
      <c r="B1925" s="323" t="s">
        <v>803</v>
      </c>
      <c r="C1925" s="323">
        <v>41008</v>
      </c>
      <c r="D1925" s="323">
        <v>86</v>
      </c>
      <c r="E1925" s="324">
        <f t="shared" si="30"/>
        <v>41943.920000000006</v>
      </c>
    </row>
    <row r="1926" spans="1:5" x14ac:dyDescent="0.25">
      <c r="A1926" s="323" t="s">
        <v>1690</v>
      </c>
      <c r="B1926" s="323" t="s">
        <v>803</v>
      </c>
      <c r="C1926" s="323">
        <v>41008</v>
      </c>
      <c r="D1926" s="323">
        <v>62</v>
      </c>
      <c r="E1926" s="324">
        <f t="shared" si="30"/>
        <v>30238.640000000003</v>
      </c>
    </row>
    <row r="1927" spans="1:5" x14ac:dyDescent="0.25">
      <c r="A1927" s="323" t="s">
        <v>2096</v>
      </c>
      <c r="B1927" s="323" t="s">
        <v>816</v>
      </c>
      <c r="C1927" s="323">
        <v>41008</v>
      </c>
      <c r="D1927" s="323">
        <v>130</v>
      </c>
      <c r="E1927" s="324">
        <f t="shared" si="30"/>
        <v>47552.700000000004</v>
      </c>
    </row>
    <row r="1928" spans="1:5" x14ac:dyDescent="0.25">
      <c r="A1928" s="323" t="s">
        <v>3835</v>
      </c>
      <c r="B1928" s="323" t="s">
        <v>809</v>
      </c>
      <c r="C1928" s="323">
        <v>41008</v>
      </c>
      <c r="D1928" s="323">
        <v>267</v>
      </c>
      <c r="E1928" s="324">
        <f t="shared" si="30"/>
        <v>130221.24</v>
      </c>
    </row>
    <row r="1929" spans="1:5" x14ac:dyDescent="0.25">
      <c r="A1929" s="323" t="s">
        <v>5137</v>
      </c>
      <c r="B1929" s="323" t="s">
        <v>816</v>
      </c>
      <c r="C1929" s="323">
        <v>41008</v>
      </c>
      <c r="D1929" s="323">
        <v>74</v>
      </c>
      <c r="E1929" s="324">
        <f t="shared" si="30"/>
        <v>27068.460000000003</v>
      </c>
    </row>
    <row r="1930" spans="1:5" x14ac:dyDescent="0.25">
      <c r="A1930" s="323" t="s">
        <v>5820</v>
      </c>
      <c r="B1930" s="323" t="s">
        <v>809</v>
      </c>
      <c r="C1930" s="323">
        <v>41008</v>
      </c>
      <c r="D1930" s="323">
        <v>40</v>
      </c>
      <c r="E1930" s="324">
        <f t="shared" si="30"/>
        <v>19508.800000000003</v>
      </c>
    </row>
    <row r="1931" spans="1:5" x14ac:dyDescent="0.25">
      <c r="A1931" s="323" t="s">
        <v>6052</v>
      </c>
      <c r="B1931" s="323" t="s">
        <v>809</v>
      </c>
      <c r="C1931" s="323">
        <v>41008</v>
      </c>
      <c r="D1931" s="323">
        <v>61</v>
      </c>
      <c r="E1931" s="324">
        <f t="shared" si="30"/>
        <v>29750.920000000002</v>
      </c>
    </row>
    <row r="1932" spans="1:5" x14ac:dyDescent="0.25">
      <c r="A1932" s="323" t="s">
        <v>6052</v>
      </c>
      <c r="B1932" s="323" t="s">
        <v>809</v>
      </c>
      <c r="C1932" s="323">
        <v>41008</v>
      </c>
      <c r="D1932" s="323">
        <v>33</v>
      </c>
      <c r="E1932" s="324">
        <f t="shared" si="30"/>
        <v>16094.76</v>
      </c>
    </row>
    <row r="1933" spans="1:5" x14ac:dyDescent="0.25">
      <c r="A1933" s="323" t="s">
        <v>6052</v>
      </c>
      <c r="B1933" s="323" t="s">
        <v>803</v>
      </c>
      <c r="C1933" s="323">
        <v>41008</v>
      </c>
      <c r="D1933" s="323">
        <v>84</v>
      </c>
      <c r="E1933" s="324">
        <f t="shared" si="30"/>
        <v>40968.480000000003</v>
      </c>
    </row>
    <row r="1934" spans="1:5" x14ac:dyDescent="0.25">
      <c r="A1934" s="323" t="s">
        <v>6334</v>
      </c>
      <c r="B1934" s="323" t="s">
        <v>803</v>
      </c>
      <c r="C1934" s="323">
        <v>41008</v>
      </c>
      <c r="D1934" s="323">
        <v>54</v>
      </c>
      <c r="E1934" s="324">
        <f t="shared" si="30"/>
        <v>26336.880000000001</v>
      </c>
    </row>
    <row r="1935" spans="1:5" x14ac:dyDescent="0.25">
      <c r="A1935" s="323" t="s">
        <v>6334</v>
      </c>
      <c r="B1935" s="323" t="s">
        <v>803</v>
      </c>
      <c r="C1935" s="323">
        <v>41008</v>
      </c>
      <c r="D1935" s="323">
        <v>72</v>
      </c>
      <c r="E1935" s="324">
        <f t="shared" si="30"/>
        <v>35115.840000000004</v>
      </c>
    </row>
    <row r="1936" spans="1:5" x14ac:dyDescent="0.25">
      <c r="A1936" s="323" t="s">
        <v>6334</v>
      </c>
      <c r="B1936" s="323" t="s">
        <v>809</v>
      </c>
      <c r="C1936" s="323">
        <v>41008</v>
      </c>
      <c r="D1936" s="323">
        <v>15</v>
      </c>
      <c r="E1936" s="324">
        <f t="shared" si="30"/>
        <v>7315.8</v>
      </c>
    </row>
    <row r="1937" spans="1:5" x14ac:dyDescent="0.25">
      <c r="A1937" s="323" t="s">
        <v>6334</v>
      </c>
      <c r="B1937" s="323" t="s">
        <v>803</v>
      </c>
      <c r="C1937" s="323">
        <v>41008</v>
      </c>
      <c r="D1937" s="323">
        <v>56</v>
      </c>
      <c r="E1937" s="324">
        <f t="shared" si="30"/>
        <v>27312.32</v>
      </c>
    </row>
    <row r="1938" spans="1:5" x14ac:dyDescent="0.25">
      <c r="A1938" s="323" t="s">
        <v>6404</v>
      </c>
      <c r="B1938" s="323" t="s">
        <v>809</v>
      </c>
      <c r="C1938" s="323">
        <v>41008</v>
      </c>
      <c r="D1938" s="323">
        <v>140</v>
      </c>
      <c r="E1938" s="324">
        <f t="shared" si="30"/>
        <v>68280.800000000003</v>
      </c>
    </row>
    <row r="1939" spans="1:5" x14ac:dyDescent="0.25">
      <c r="A1939" s="323" t="s">
        <v>6404</v>
      </c>
      <c r="B1939" s="323" t="s">
        <v>803</v>
      </c>
      <c r="C1939" s="323">
        <v>41008</v>
      </c>
      <c r="D1939" s="323">
        <v>96</v>
      </c>
      <c r="E1939" s="324">
        <f t="shared" si="30"/>
        <v>46821.120000000003</v>
      </c>
    </row>
    <row r="1940" spans="1:5" x14ac:dyDescent="0.25">
      <c r="A1940" s="323" t="s">
        <v>6866</v>
      </c>
      <c r="B1940" s="323" t="s">
        <v>803</v>
      </c>
      <c r="C1940" s="323">
        <v>41008</v>
      </c>
      <c r="D1940" s="323">
        <v>103</v>
      </c>
      <c r="E1940" s="324">
        <f t="shared" si="30"/>
        <v>50235.16</v>
      </c>
    </row>
    <row r="1941" spans="1:5" x14ac:dyDescent="0.25">
      <c r="A1941" s="323" t="s">
        <v>6866</v>
      </c>
      <c r="B1941" s="323" t="s">
        <v>803</v>
      </c>
      <c r="C1941" s="323">
        <v>41008</v>
      </c>
      <c r="D1941" s="323">
        <v>99</v>
      </c>
      <c r="E1941" s="324">
        <f t="shared" si="30"/>
        <v>48284.280000000006</v>
      </c>
    </row>
    <row r="1942" spans="1:5" x14ac:dyDescent="0.25">
      <c r="A1942" s="323" t="s">
        <v>1238</v>
      </c>
      <c r="B1942" s="323" t="s">
        <v>805</v>
      </c>
      <c r="C1942" s="323">
        <v>41011</v>
      </c>
      <c r="D1942" s="323">
        <v>144</v>
      </c>
      <c r="E1942" s="324">
        <f t="shared" si="30"/>
        <v>35115.840000000004</v>
      </c>
    </row>
    <row r="1943" spans="1:5" x14ac:dyDescent="0.25">
      <c r="A1943" s="323" t="s">
        <v>1238</v>
      </c>
      <c r="B1943" s="323" t="s">
        <v>805</v>
      </c>
      <c r="C1943" s="323">
        <v>41011</v>
      </c>
      <c r="D1943" s="323">
        <v>79</v>
      </c>
      <c r="E1943" s="324">
        <f t="shared" si="30"/>
        <v>19264.940000000002</v>
      </c>
    </row>
    <row r="1944" spans="1:5" x14ac:dyDescent="0.25">
      <c r="A1944" s="323" t="s">
        <v>1662</v>
      </c>
      <c r="B1944" s="323" t="s">
        <v>805</v>
      </c>
      <c r="C1944" s="323">
        <v>41011</v>
      </c>
      <c r="D1944" s="323">
        <v>74</v>
      </c>
      <c r="E1944" s="324">
        <f t="shared" si="30"/>
        <v>18045.64</v>
      </c>
    </row>
    <row r="1945" spans="1:5" x14ac:dyDescent="0.25">
      <c r="A1945" s="323" t="s">
        <v>1676</v>
      </c>
      <c r="B1945" s="323" t="s">
        <v>805</v>
      </c>
      <c r="C1945" s="323">
        <v>41011</v>
      </c>
      <c r="D1945" s="323">
        <v>278</v>
      </c>
      <c r="E1945" s="324">
        <f t="shared" si="30"/>
        <v>67793.08</v>
      </c>
    </row>
    <row r="1946" spans="1:5" x14ac:dyDescent="0.25">
      <c r="A1946" s="323" t="s">
        <v>2266</v>
      </c>
      <c r="B1946" s="323" t="s">
        <v>805</v>
      </c>
      <c r="C1946" s="323">
        <v>41011</v>
      </c>
      <c r="D1946" s="323">
        <v>164</v>
      </c>
      <c r="E1946" s="324">
        <f t="shared" si="30"/>
        <v>39993.040000000001</v>
      </c>
    </row>
    <row r="1947" spans="1:5" x14ac:dyDescent="0.25">
      <c r="A1947" s="323" t="s">
        <v>2695</v>
      </c>
      <c r="B1947" s="323" t="s">
        <v>805</v>
      </c>
      <c r="C1947" s="323">
        <v>41011</v>
      </c>
      <c r="D1947" s="323">
        <v>118</v>
      </c>
      <c r="E1947" s="324">
        <f t="shared" si="30"/>
        <v>28775.480000000003</v>
      </c>
    </row>
    <row r="1948" spans="1:5" x14ac:dyDescent="0.25">
      <c r="A1948" s="323" t="s">
        <v>2770</v>
      </c>
      <c r="B1948" s="323" t="s">
        <v>805</v>
      </c>
      <c r="C1948" s="323">
        <v>41011</v>
      </c>
      <c r="D1948" s="323">
        <v>75</v>
      </c>
      <c r="E1948" s="324">
        <f t="shared" si="30"/>
        <v>18289.5</v>
      </c>
    </row>
    <row r="1949" spans="1:5" x14ac:dyDescent="0.25">
      <c r="A1949" s="323" t="s">
        <v>2946</v>
      </c>
      <c r="B1949" s="323" t="s">
        <v>805</v>
      </c>
      <c r="C1949" s="323">
        <v>41011</v>
      </c>
      <c r="D1949" s="323">
        <v>97</v>
      </c>
      <c r="E1949" s="324">
        <f t="shared" si="30"/>
        <v>23654.420000000002</v>
      </c>
    </row>
    <row r="1950" spans="1:5" x14ac:dyDescent="0.25">
      <c r="A1950" s="323" t="s">
        <v>2999</v>
      </c>
      <c r="B1950" s="323" t="s">
        <v>805</v>
      </c>
      <c r="C1950" s="323">
        <v>41011</v>
      </c>
      <c r="D1950" s="323">
        <v>47</v>
      </c>
      <c r="E1950" s="324">
        <f t="shared" si="30"/>
        <v>11461.42</v>
      </c>
    </row>
    <row r="1951" spans="1:5" x14ac:dyDescent="0.25">
      <c r="A1951" s="323" t="s">
        <v>3360</v>
      </c>
      <c r="B1951" s="323" t="s">
        <v>805</v>
      </c>
      <c r="C1951" s="323">
        <v>41011</v>
      </c>
      <c r="D1951" s="323">
        <v>174</v>
      </c>
      <c r="E1951" s="324">
        <f t="shared" si="30"/>
        <v>42431.64</v>
      </c>
    </row>
    <row r="1952" spans="1:5" x14ac:dyDescent="0.25">
      <c r="A1952" s="323" t="s">
        <v>3550</v>
      </c>
      <c r="B1952" s="323" t="s">
        <v>805</v>
      </c>
      <c r="C1952" s="323">
        <v>41011</v>
      </c>
      <c r="D1952" s="323">
        <v>99</v>
      </c>
      <c r="E1952" s="324">
        <f t="shared" si="30"/>
        <v>24142.140000000003</v>
      </c>
    </row>
    <row r="1953" spans="1:5" x14ac:dyDescent="0.25">
      <c r="A1953" s="323" t="s">
        <v>3810</v>
      </c>
      <c r="B1953" s="323" t="s">
        <v>805</v>
      </c>
      <c r="C1953" s="323">
        <v>41011</v>
      </c>
      <c r="D1953" s="323">
        <v>48</v>
      </c>
      <c r="E1953" s="324">
        <f t="shared" si="30"/>
        <v>11705.28</v>
      </c>
    </row>
    <row r="1954" spans="1:5" x14ac:dyDescent="0.25">
      <c r="A1954" s="323" t="s">
        <v>3881</v>
      </c>
      <c r="B1954" s="323" t="s">
        <v>805</v>
      </c>
      <c r="C1954" s="323">
        <v>41011</v>
      </c>
      <c r="D1954" s="323">
        <v>102</v>
      </c>
      <c r="E1954" s="324">
        <f t="shared" si="30"/>
        <v>24873.72</v>
      </c>
    </row>
    <row r="1955" spans="1:5" x14ac:dyDescent="0.25">
      <c r="A1955" s="323" t="s">
        <v>3885</v>
      </c>
      <c r="B1955" s="323" t="s">
        <v>805</v>
      </c>
      <c r="C1955" s="323">
        <v>41011</v>
      </c>
      <c r="D1955" s="323">
        <v>247</v>
      </c>
      <c r="E1955" s="324">
        <f t="shared" si="30"/>
        <v>60233.420000000006</v>
      </c>
    </row>
    <row r="1956" spans="1:5" x14ac:dyDescent="0.25">
      <c r="A1956" s="323" t="s">
        <v>4052</v>
      </c>
      <c r="B1956" s="323" t="s">
        <v>805</v>
      </c>
      <c r="C1956" s="323">
        <v>41011</v>
      </c>
      <c r="D1956" s="323">
        <v>232</v>
      </c>
      <c r="E1956" s="324">
        <f t="shared" si="30"/>
        <v>56575.520000000004</v>
      </c>
    </row>
    <row r="1957" spans="1:5" x14ac:dyDescent="0.25">
      <c r="A1957" s="323" t="s">
        <v>4195</v>
      </c>
      <c r="B1957" s="323" t="s">
        <v>805</v>
      </c>
      <c r="C1957" s="323">
        <v>41011</v>
      </c>
      <c r="D1957" s="323">
        <v>177</v>
      </c>
      <c r="E1957" s="324">
        <f t="shared" si="30"/>
        <v>43163.22</v>
      </c>
    </row>
    <row r="1958" spans="1:5" x14ac:dyDescent="0.25">
      <c r="A1958" s="323" t="s">
        <v>2424</v>
      </c>
      <c r="B1958" s="323" t="s">
        <v>805</v>
      </c>
      <c r="C1958" s="323">
        <v>41012</v>
      </c>
      <c r="D1958" s="323">
        <v>152</v>
      </c>
      <c r="E1958" s="324">
        <f t="shared" si="30"/>
        <v>37066.720000000001</v>
      </c>
    </row>
    <row r="1959" spans="1:5" x14ac:dyDescent="0.25">
      <c r="A1959" s="323" t="s">
        <v>2531</v>
      </c>
      <c r="B1959" s="323" t="s">
        <v>805</v>
      </c>
      <c r="C1959" s="323">
        <v>41012</v>
      </c>
      <c r="D1959" s="323">
        <v>59</v>
      </c>
      <c r="E1959" s="324">
        <f t="shared" si="30"/>
        <v>14387.740000000002</v>
      </c>
    </row>
    <row r="1960" spans="1:5" x14ac:dyDescent="0.25">
      <c r="A1960" s="323" t="s">
        <v>2539</v>
      </c>
      <c r="B1960" s="323" t="s">
        <v>805</v>
      </c>
      <c r="C1960" s="323">
        <v>41012</v>
      </c>
      <c r="D1960" s="323">
        <v>330</v>
      </c>
      <c r="E1960" s="324">
        <f t="shared" si="30"/>
        <v>80473.8</v>
      </c>
    </row>
    <row r="1961" spans="1:5" x14ac:dyDescent="0.25">
      <c r="A1961" s="323" t="s">
        <v>2703</v>
      </c>
      <c r="B1961" s="323" t="s">
        <v>805</v>
      </c>
      <c r="C1961" s="323">
        <v>41012</v>
      </c>
      <c r="D1961" s="323">
        <v>103</v>
      </c>
      <c r="E1961" s="324">
        <f t="shared" si="30"/>
        <v>25117.58</v>
      </c>
    </row>
    <row r="1962" spans="1:5" x14ac:dyDescent="0.25">
      <c r="A1962" s="323" t="s">
        <v>2809</v>
      </c>
      <c r="B1962" s="323" t="s">
        <v>805</v>
      </c>
      <c r="C1962" s="323">
        <v>41012</v>
      </c>
      <c r="D1962" s="323">
        <v>225</v>
      </c>
      <c r="E1962" s="324">
        <f t="shared" si="30"/>
        <v>54868.5</v>
      </c>
    </row>
    <row r="1963" spans="1:5" x14ac:dyDescent="0.25">
      <c r="A1963" s="323" t="s">
        <v>3522</v>
      </c>
      <c r="B1963" s="323" t="s">
        <v>805</v>
      </c>
      <c r="C1963" s="323">
        <v>41012</v>
      </c>
      <c r="D1963" s="323">
        <v>142</v>
      </c>
      <c r="E1963" s="324">
        <f t="shared" si="30"/>
        <v>34628.120000000003</v>
      </c>
    </row>
    <row r="1964" spans="1:5" x14ac:dyDescent="0.25">
      <c r="A1964" s="323" t="s">
        <v>3612</v>
      </c>
      <c r="B1964" s="323" t="s">
        <v>805</v>
      </c>
      <c r="C1964" s="323">
        <v>41012</v>
      </c>
      <c r="D1964" s="323">
        <v>402</v>
      </c>
      <c r="E1964" s="324">
        <f t="shared" si="30"/>
        <v>98031.72</v>
      </c>
    </row>
    <row r="1965" spans="1:5" x14ac:dyDescent="0.25">
      <c r="A1965" s="323" t="s">
        <v>4178</v>
      </c>
      <c r="B1965" s="323" t="s">
        <v>805</v>
      </c>
      <c r="C1965" s="323">
        <v>41012</v>
      </c>
      <c r="D1965" s="323">
        <v>276</v>
      </c>
      <c r="E1965" s="324">
        <f t="shared" si="30"/>
        <v>67305.36</v>
      </c>
    </row>
    <row r="1966" spans="1:5" x14ac:dyDescent="0.25">
      <c r="A1966" s="323" t="s">
        <v>4306</v>
      </c>
      <c r="B1966" s="323" t="s">
        <v>805</v>
      </c>
      <c r="C1966" s="323">
        <v>41012</v>
      </c>
      <c r="D1966" s="323">
        <v>366</v>
      </c>
      <c r="E1966" s="324">
        <f t="shared" si="30"/>
        <v>89252.760000000009</v>
      </c>
    </row>
    <row r="1967" spans="1:5" x14ac:dyDescent="0.25">
      <c r="A1967" s="323" t="s">
        <v>4416</v>
      </c>
      <c r="B1967" s="323" t="s">
        <v>805</v>
      </c>
      <c r="C1967" s="323">
        <v>41012</v>
      </c>
      <c r="D1967" s="323">
        <v>444</v>
      </c>
      <c r="E1967" s="324">
        <f t="shared" si="30"/>
        <v>108273.84000000001</v>
      </c>
    </row>
    <row r="1968" spans="1:5" x14ac:dyDescent="0.25">
      <c r="A1968" s="323" t="s">
        <v>6807</v>
      </c>
      <c r="B1968" s="323" t="s">
        <v>805</v>
      </c>
      <c r="C1968" s="323">
        <v>41012</v>
      </c>
      <c r="D1968" s="323">
        <v>162</v>
      </c>
      <c r="E1968" s="324">
        <f t="shared" si="30"/>
        <v>39505.32</v>
      </c>
    </row>
    <row r="1969" spans="1:5" x14ac:dyDescent="0.25">
      <c r="A1969" s="323" t="s">
        <v>6977</v>
      </c>
      <c r="B1969" s="323" t="s">
        <v>805</v>
      </c>
      <c r="C1969" s="323">
        <v>41012</v>
      </c>
      <c r="D1969" s="323">
        <v>277</v>
      </c>
      <c r="E1969" s="324">
        <f t="shared" si="30"/>
        <v>67549.22</v>
      </c>
    </row>
    <row r="1970" spans="1:5" x14ac:dyDescent="0.25">
      <c r="A1970" s="323" t="s">
        <v>7008</v>
      </c>
      <c r="B1970" s="323" t="s">
        <v>816</v>
      </c>
      <c r="C1970" s="323">
        <v>41012</v>
      </c>
      <c r="D1970" s="323">
        <v>98</v>
      </c>
      <c r="E1970" s="324">
        <f t="shared" si="30"/>
        <v>35847.420000000006</v>
      </c>
    </row>
    <row r="1971" spans="1:5" x14ac:dyDescent="0.25">
      <c r="A1971" s="323" t="s">
        <v>7160</v>
      </c>
      <c r="B1971" s="323" t="s">
        <v>805</v>
      </c>
      <c r="C1971" s="323">
        <v>41012</v>
      </c>
      <c r="D1971" s="323">
        <v>334</v>
      </c>
      <c r="E1971" s="324">
        <f t="shared" si="30"/>
        <v>81449.240000000005</v>
      </c>
    </row>
    <row r="1972" spans="1:5" x14ac:dyDescent="0.25">
      <c r="A1972" s="323" t="s">
        <v>2100</v>
      </c>
      <c r="B1972" s="323" t="s">
        <v>805</v>
      </c>
      <c r="C1972" s="323">
        <v>41013</v>
      </c>
      <c r="D1972" s="323">
        <v>219</v>
      </c>
      <c r="E1972" s="324">
        <f t="shared" si="30"/>
        <v>53405.340000000004</v>
      </c>
    </row>
    <row r="1973" spans="1:5" x14ac:dyDescent="0.25">
      <c r="A1973" s="323" t="s">
        <v>2500</v>
      </c>
      <c r="B1973" s="323" t="s">
        <v>805</v>
      </c>
      <c r="C1973" s="323">
        <v>41013</v>
      </c>
      <c r="D1973" s="323">
        <v>393</v>
      </c>
      <c r="E1973" s="324">
        <f t="shared" si="30"/>
        <v>95836.98000000001</v>
      </c>
    </row>
    <row r="1974" spans="1:5" x14ac:dyDescent="0.25">
      <c r="A1974" s="323" t="s">
        <v>6809</v>
      </c>
      <c r="B1974" s="323" t="s">
        <v>805</v>
      </c>
      <c r="C1974" s="323">
        <v>41013</v>
      </c>
      <c r="D1974" s="323">
        <v>259</v>
      </c>
      <c r="E1974" s="324">
        <f t="shared" si="30"/>
        <v>63159.740000000005</v>
      </c>
    </row>
    <row r="1975" spans="1:5" x14ac:dyDescent="0.25">
      <c r="A1975" s="323" t="s">
        <v>1128</v>
      </c>
      <c r="B1975" s="323" t="s">
        <v>805</v>
      </c>
      <c r="C1975" s="323">
        <v>41018</v>
      </c>
      <c r="D1975" s="323">
        <v>154</v>
      </c>
      <c r="E1975" s="324">
        <f t="shared" si="30"/>
        <v>37554.44</v>
      </c>
    </row>
    <row r="1976" spans="1:5" x14ac:dyDescent="0.25">
      <c r="A1976" s="323" t="s">
        <v>1176</v>
      </c>
      <c r="B1976" s="323" t="s">
        <v>805</v>
      </c>
      <c r="C1976" s="323">
        <v>41018</v>
      </c>
      <c r="D1976" s="323">
        <v>230</v>
      </c>
      <c r="E1976" s="324">
        <f t="shared" si="30"/>
        <v>56087.8</v>
      </c>
    </row>
    <row r="1977" spans="1:5" x14ac:dyDescent="0.25">
      <c r="A1977" s="323" t="s">
        <v>1184</v>
      </c>
      <c r="B1977" s="323" t="s">
        <v>805</v>
      </c>
      <c r="C1977" s="323">
        <v>41018</v>
      </c>
      <c r="D1977" s="323">
        <v>220</v>
      </c>
      <c r="E1977" s="324">
        <f t="shared" si="30"/>
        <v>53649.200000000004</v>
      </c>
    </row>
    <row r="1978" spans="1:5" x14ac:dyDescent="0.25">
      <c r="A1978" s="323" t="s">
        <v>1189</v>
      </c>
      <c r="B1978" s="323" t="s">
        <v>805</v>
      </c>
      <c r="C1978" s="323">
        <v>41018</v>
      </c>
      <c r="D1978" s="323">
        <v>296</v>
      </c>
      <c r="E1978" s="324">
        <f t="shared" si="30"/>
        <v>72182.559999999998</v>
      </c>
    </row>
    <row r="1979" spans="1:5" x14ac:dyDescent="0.25">
      <c r="A1979" s="323" t="s">
        <v>1345</v>
      </c>
      <c r="B1979" s="323" t="s">
        <v>805</v>
      </c>
      <c r="C1979" s="323">
        <v>41018</v>
      </c>
      <c r="D1979" s="323">
        <v>217</v>
      </c>
      <c r="E1979" s="324">
        <f t="shared" si="30"/>
        <v>52917.62</v>
      </c>
    </row>
    <row r="1980" spans="1:5" x14ac:dyDescent="0.25">
      <c r="A1980" s="323" t="s">
        <v>1653</v>
      </c>
      <c r="B1980" s="323" t="s">
        <v>805</v>
      </c>
      <c r="C1980" s="323">
        <v>41018</v>
      </c>
      <c r="D1980" s="323">
        <v>156</v>
      </c>
      <c r="E1980" s="324">
        <f t="shared" si="30"/>
        <v>38042.160000000003</v>
      </c>
    </row>
    <row r="1981" spans="1:5" x14ac:dyDescent="0.25">
      <c r="A1981" s="323" t="s">
        <v>1656</v>
      </c>
      <c r="B1981" s="323" t="s">
        <v>805</v>
      </c>
      <c r="C1981" s="323">
        <v>41018</v>
      </c>
      <c r="D1981" s="323">
        <v>51</v>
      </c>
      <c r="E1981" s="324">
        <f t="shared" si="30"/>
        <v>12436.86</v>
      </c>
    </row>
    <row r="1982" spans="1:5" x14ac:dyDescent="0.25">
      <c r="A1982" s="323" t="s">
        <v>1762</v>
      </c>
      <c r="B1982" s="323" t="s">
        <v>805</v>
      </c>
      <c r="C1982" s="323">
        <v>41018</v>
      </c>
      <c r="D1982" s="323">
        <v>88</v>
      </c>
      <c r="E1982" s="324">
        <f t="shared" si="30"/>
        <v>21459.68</v>
      </c>
    </row>
    <row r="1983" spans="1:5" x14ac:dyDescent="0.25">
      <c r="A1983" s="323" t="s">
        <v>2013</v>
      </c>
      <c r="B1983" s="323" t="s">
        <v>805</v>
      </c>
      <c r="C1983" s="323">
        <v>41018</v>
      </c>
      <c r="D1983" s="323">
        <v>278</v>
      </c>
      <c r="E1983" s="324">
        <f t="shared" si="30"/>
        <v>67793.08</v>
      </c>
    </row>
    <row r="1984" spans="1:5" x14ac:dyDescent="0.25">
      <c r="A1984" s="323" t="s">
        <v>2189</v>
      </c>
      <c r="B1984" s="323" t="s">
        <v>805</v>
      </c>
      <c r="C1984" s="323">
        <v>41018</v>
      </c>
      <c r="D1984" s="323">
        <v>389</v>
      </c>
      <c r="E1984" s="324">
        <f t="shared" si="30"/>
        <v>94861.540000000008</v>
      </c>
    </row>
    <row r="1985" spans="1:5" x14ac:dyDescent="0.25">
      <c r="A1985" s="323" t="s">
        <v>2235</v>
      </c>
      <c r="B1985" s="323" t="s">
        <v>805</v>
      </c>
      <c r="C1985" s="323">
        <v>41018</v>
      </c>
      <c r="D1985" s="323">
        <v>188</v>
      </c>
      <c r="E1985" s="324">
        <f t="shared" si="30"/>
        <v>45845.68</v>
      </c>
    </row>
    <row r="1986" spans="1:5" x14ac:dyDescent="0.25">
      <c r="A1986" s="323" t="s">
        <v>2317</v>
      </c>
      <c r="B1986" s="323" t="s">
        <v>805</v>
      </c>
      <c r="C1986" s="323">
        <v>41018</v>
      </c>
      <c r="D1986" s="323">
        <v>74</v>
      </c>
      <c r="E1986" s="324">
        <f t="shared" ref="E1986:E2049" si="31">D1986*IF(B1986=$G$9,WerkdrukbedragPerLeerlingBo,IF(B1986=$G$10,WerkdrukbedragPerLeerlingSbo,IF(B1986=$G$11,WerkdrukbedragPerLeerlingSo,IF(B1986=$G$12,WerkdrukbedragPerLeerlingVso,0))))</f>
        <v>18045.64</v>
      </c>
    </row>
    <row r="1987" spans="1:5" x14ac:dyDescent="0.25">
      <c r="A1987" s="323" t="s">
        <v>5659</v>
      </c>
      <c r="B1987" s="323" t="s">
        <v>816</v>
      </c>
      <c r="C1987" s="323">
        <v>41018</v>
      </c>
      <c r="D1987" s="323">
        <v>85</v>
      </c>
      <c r="E1987" s="324">
        <f t="shared" si="31"/>
        <v>31092.15</v>
      </c>
    </row>
    <row r="1988" spans="1:5" x14ac:dyDescent="0.25">
      <c r="A1988" s="323" t="s">
        <v>1263</v>
      </c>
      <c r="B1988" s="323" t="s">
        <v>805</v>
      </c>
      <c r="C1988" s="323">
        <v>41020</v>
      </c>
      <c r="D1988" s="323">
        <v>177</v>
      </c>
      <c r="E1988" s="324">
        <f t="shared" si="31"/>
        <v>43163.22</v>
      </c>
    </row>
    <row r="1989" spans="1:5" x14ac:dyDescent="0.25">
      <c r="A1989" s="323" t="s">
        <v>1300</v>
      </c>
      <c r="B1989" s="323" t="s">
        <v>805</v>
      </c>
      <c r="C1989" s="323">
        <v>41020</v>
      </c>
      <c r="D1989" s="323">
        <v>175</v>
      </c>
      <c r="E1989" s="324">
        <f t="shared" si="31"/>
        <v>42675.5</v>
      </c>
    </row>
    <row r="1990" spans="1:5" x14ac:dyDescent="0.25">
      <c r="A1990" s="323" t="s">
        <v>1350</v>
      </c>
      <c r="B1990" s="323" t="s">
        <v>805</v>
      </c>
      <c r="C1990" s="323">
        <v>41020</v>
      </c>
      <c r="D1990" s="323">
        <v>126</v>
      </c>
      <c r="E1990" s="324">
        <f t="shared" si="31"/>
        <v>30726.36</v>
      </c>
    </row>
    <row r="1991" spans="1:5" x14ac:dyDescent="0.25">
      <c r="A1991" s="323" t="s">
        <v>2299</v>
      </c>
      <c r="B1991" s="323" t="s">
        <v>805</v>
      </c>
      <c r="C1991" s="323">
        <v>41020</v>
      </c>
      <c r="D1991" s="323">
        <v>256</v>
      </c>
      <c r="E1991" s="324">
        <f t="shared" si="31"/>
        <v>62428.160000000003</v>
      </c>
    </row>
    <row r="1992" spans="1:5" x14ac:dyDescent="0.25">
      <c r="A1992" s="323" t="s">
        <v>3156</v>
      </c>
      <c r="B1992" s="323" t="s">
        <v>805</v>
      </c>
      <c r="C1992" s="323">
        <v>41020</v>
      </c>
      <c r="D1992" s="323">
        <v>202</v>
      </c>
      <c r="E1992" s="324">
        <f t="shared" si="31"/>
        <v>49259.72</v>
      </c>
    </row>
    <row r="1993" spans="1:5" x14ac:dyDescent="0.25">
      <c r="A1993" s="323" t="s">
        <v>3204</v>
      </c>
      <c r="B1993" s="323" t="s">
        <v>805</v>
      </c>
      <c r="C1993" s="323">
        <v>41020</v>
      </c>
      <c r="D1993" s="323">
        <v>289</v>
      </c>
      <c r="E1993" s="324">
        <f t="shared" si="31"/>
        <v>70475.540000000008</v>
      </c>
    </row>
    <row r="1994" spans="1:5" x14ac:dyDescent="0.25">
      <c r="A1994" s="323" t="s">
        <v>1137</v>
      </c>
      <c r="B1994" s="323" t="s">
        <v>805</v>
      </c>
      <c r="C1994" s="323">
        <v>41023</v>
      </c>
      <c r="D1994" s="323">
        <v>221</v>
      </c>
      <c r="E1994" s="324">
        <f t="shared" si="31"/>
        <v>53893.060000000005</v>
      </c>
    </row>
    <row r="1995" spans="1:5" x14ac:dyDescent="0.25">
      <c r="A1995" s="323" t="s">
        <v>1281</v>
      </c>
      <c r="B1995" s="323" t="s">
        <v>805</v>
      </c>
      <c r="C1995" s="323">
        <v>41023</v>
      </c>
      <c r="D1995" s="323">
        <v>218</v>
      </c>
      <c r="E1995" s="324">
        <f t="shared" si="31"/>
        <v>53161.48</v>
      </c>
    </row>
    <row r="1996" spans="1:5" x14ac:dyDescent="0.25">
      <c r="A1996" s="323" t="s">
        <v>1716</v>
      </c>
      <c r="B1996" s="323" t="s">
        <v>805</v>
      </c>
      <c r="C1996" s="323">
        <v>41023</v>
      </c>
      <c r="D1996" s="323">
        <v>189</v>
      </c>
      <c r="E1996" s="324">
        <f t="shared" si="31"/>
        <v>46089.54</v>
      </c>
    </row>
    <row r="1997" spans="1:5" x14ac:dyDescent="0.25">
      <c r="A1997" s="323" t="s">
        <v>1784</v>
      </c>
      <c r="B1997" s="323" t="s">
        <v>805</v>
      </c>
      <c r="C1997" s="323">
        <v>41023</v>
      </c>
      <c r="D1997" s="323">
        <v>233</v>
      </c>
      <c r="E1997" s="324">
        <f t="shared" si="31"/>
        <v>56819.380000000005</v>
      </c>
    </row>
    <row r="1998" spans="1:5" x14ac:dyDescent="0.25">
      <c r="A1998" s="323" t="s">
        <v>1818</v>
      </c>
      <c r="B1998" s="323" t="s">
        <v>805</v>
      </c>
      <c r="C1998" s="323">
        <v>41023</v>
      </c>
      <c r="D1998" s="323">
        <v>226</v>
      </c>
      <c r="E1998" s="324">
        <f t="shared" si="31"/>
        <v>55112.36</v>
      </c>
    </row>
    <row r="1999" spans="1:5" x14ac:dyDescent="0.25">
      <c r="A1999" s="323" t="s">
        <v>2661</v>
      </c>
      <c r="B1999" s="323" t="s">
        <v>805</v>
      </c>
      <c r="C1999" s="323">
        <v>41023</v>
      </c>
      <c r="D1999" s="323">
        <v>228</v>
      </c>
      <c r="E1999" s="324">
        <f t="shared" si="31"/>
        <v>55600.08</v>
      </c>
    </row>
    <row r="2000" spans="1:5" x14ac:dyDescent="0.25">
      <c r="A2000" s="323" t="s">
        <v>2829</v>
      </c>
      <c r="B2000" s="323" t="s">
        <v>805</v>
      </c>
      <c r="C2000" s="323">
        <v>41023</v>
      </c>
      <c r="D2000" s="323">
        <v>386</v>
      </c>
      <c r="E2000" s="324">
        <f t="shared" si="31"/>
        <v>94129.96</v>
      </c>
    </row>
    <row r="2001" spans="1:5" x14ac:dyDescent="0.25">
      <c r="A2001" s="323" t="s">
        <v>3289</v>
      </c>
      <c r="B2001" s="323" t="s">
        <v>805</v>
      </c>
      <c r="C2001" s="323">
        <v>41023</v>
      </c>
      <c r="D2001" s="323">
        <v>185</v>
      </c>
      <c r="E2001" s="324">
        <f t="shared" si="31"/>
        <v>45114.100000000006</v>
      </c>
    </row>
    <row r="2002" spans="1:5" x14ac:dyDescent="0.25">
      <c r="A2002" s="323" t="s">
        <v>3596</v>
      </c>
      <c r="B2002" s="323" t="s">
        <v>805</v>
      </c>
      <c r="C2002" s="323">
        <v>41023</v>
      </c>
      <c r="D2002" s="323">
        <v>221</v>
      </c>
      <c r="E2002" s="324">
        <f t="shared" si="31"/>
        <v>53893.060000000005</v>
      </c>
    </row>
    <row r="2003" spans="1:5" x14ac:dyDescent="0.25">
      <c r="A2003" s="323" t="s">
        <v>3840</v>
      </c>
      <c r="B2003" s="323" t="s">
        <v>805</v>
      </c>
      <c r="C2003" s="323">
        <v>41023</v>
      </c>
      <c r="D2003" s="323">
        <v>171</v>
      </c>
      <c r="E2003" s="324">
        <f t="shared" si="31"/>
        <v>41700.060000000005</v>
      </c>
    </row>
    <row r="2004" spans="1:5" x14ac:dyDescent="0.25">
      <c r="A2004" s="323" t="s">
        <v>4906</v>
      </c>
      <c r="B2004" s="323" t="s">
        <v>805</v>
      </c>
      <c r="C2004" s="323">
        <v>41023</v>
      </c>
      <c r="D2004" s="323">
        <v>228</v>
      </c>
      <c r="E2004" s="324">
        <f t="shared" si="31"/>
        <v>55600.08</v>
      </c>
    </row>
    <row r="2005" spans="1:5" x14ac:dyDescent="0.25">
      <c r="A2005" s="323" t="s">
        <v>5391</v>
      </c>
      <c r="B2005" s="323" t="s">
        <v>805</v>
      </c>
      <c r="C2005" s="323">
        <v>41023</v>
      </c>
      <c r="D2005" s="323">
        <v>495</v>
      </c>
      <c r="E2005" s="324">
        <f t="shared" si="31"/>
        <v>120710.70000000001</v>
      </c>
    </row>
    <row r="2006" spans="1:5" x14ac:dyDescent="0.25">
      <c r="A2006" s="323" t="s">
        <v>5475</v>
      </c>
      <c r="B2006" s="323" t="s">
        <v>805</v>
      </c>
      <c r="C2006" s="323">
        <v>41023</v>
      </c>
      <c r="D2006" s="323">
        <v>169</v>
      </c>
      <c r="E2006" s="324">
        <f t="shared" si="31"/>
        <v>41212.340000000004</v>
      </c>
    </row>
    <row r="2007" spans="1:5" x14ac:dyDescent="0.25">
      <c r="A2007" s="323" t="s">
        <v>5500</v>
      </c>
      <c r="B2007" s="323" t="s">
        <v>805</v>
      </c>
      <c r="C2007" s="323">
        <v>41023</v>
      </c>
      <c r="D2007" s="323">
        <v>376</v>
      </c>
      <c r="E2007" s="324">
        <f t="shared" si="31"/>
        <v>91691.36</v>
      </c>
    </row>
    <row r="2008" spans="1:5" x14ac:dyDescent="0.25">
      <c r="A2008" s="323" t="s">
        <v>5535</v>
      </c>
      <c r="B2008" s="323" t="s">
        <v>805</v>
      </c>
      <c r="C2008" s="323">
        <v>41023</v>
      </c>
      <c r="D2008" s="323">
        <v>210</v>
      </c>
      <c r="E2008" s="324">
        <f t="shared" si="31"/>
        <v>51210.600000000006</v>
      </c>
    </row>
    <row r="2009" spans="1:5" x14ac:dyDescent="0.25">
      <c r="A2009" s="323" t="s">
        <v>5555</v>
      </c>
      <c r="B2009" s="323" t="s">
        <v>805</v>
      </c>
      <c r="C2009" s="323">
        <v>41023</v>
      </c>
      <c r="D2009" s="323">
        <v>446</v>
      </c>
      <c r="E2009" s="324">
        <f t="shared" si="31"/>
        <v>108761.56000000001</v>
      </c>
    </row>
    <row r="2010" spans="1:5" x14ac:dyDescent="0.25">
      <c r="A2010" s="323" t="s">
        <v>5565</v>
      </c>
      <c r="B2010" s="323" t="s">
        <v>805</v>
      </c>
      <c r="C2010" s="323">
        <v>41023</v>
      </c>
      <c r="D2010" s="323">
        <v>179</v>
      </c>
      <c r="E2010" s="324">
        <f t="shared" si="31"/>
        <v>43650.94</v>
      </c>
    </row>
    <row r="2011" spans="1:5" x14ac:dyDescent="0.25">
      <c r="A2011" s="323" t="s">
        <v>5580</v>
      </c>
      <c r="B2011" s="323" t="s">
        <v>805</v>
      </c>
      <c r="C2011" s="323">
        <v>41023</v>
      </c>
      <c r="D2011" s="323">
        <v>382</v>
      </c>
      <c r="E2011" s="324">
        <f t="shared" si="31"/>
        <v>93154.52</v>
      </c>
    </row>
    <row r="2012" spans="1:5" x14ac:dyDescent="0.25">
      <c r="A2012" s="323" t="s">
        <v>5580</v>
      </c>
      <c r="B2012" s="323" t="s">
        <v>805</v>
      </c>
      <c r="C2012" s="323">
        <v>41023</v>
      </c>
      <c r="D2012" s="323">
        <v>79</v>
      </c>
      <c r="E2012" s="324">
        <f t="shared" si="31"/>
        <v>19264.940000000002</v>
      </c>
    </row>
    <row r="2013" spans="1:5" x14ac:dyDescent="0.25">
      <c r="A2013" s="323" t="s">
        <v>5598</v>
      </c>
      <c r="B2013" s="323" t="s">
        <v>805</v>
      </c>
      <c r="C2013" s="323">
        <v>41023</v>
      </c>
      <c r="D2013" s="323">
        <v>335</v>
      </c>
      <c r="E2013" s="324">
        <f t="shared" si="31"/>
        <v>81693.100000000006</v>
      </c>
    </row>
    <row r="2014" spans="1:5" x14ac:dyDescent="0.25">
      <c r="A2014" s="323" t="s">
        <v>5622</v>
      </c>
      <c r="B2014" s="323" t="s">
        <v>805</v>
      </c>
      <c r="C2014" s="323">
        <v>41023</v>
      </c>
      <c r="D2014" s="323">
        <v>96</v>
      </c>
      <c r="E2014" s="324">
        <f t="shared" si="31"/>
        <v>23410.560000000001</v>
      </c>
    </row>
    <row r="2015" spans="1:5" x14ac:dyDescent="0.25">
      <c r="A2015" s="323" t="s">
        <v>5632</v>
      </c>
      <c r="B2015" s="323" t="s">
        <v>805</v>
      </c>
      <c r="C2015" s="323">
        <v>41023</v>
      </c>
      <c r="D2015" s="323">
        <v>142</v>
      </c>
      <c r="E2015" s="324">
        <f t="shared" si="31"/>
        <v>34628.120000000003</v>
      </c>
    </row>
    <row r="2016" spans="1:5" x14ac:dyDescent="0.25">
      <c r="A2016" s="323" t="s">
        <v>5640</v>
      </c>
      <c r="B2016" s="323" t="s">
        <v>805</v>
      </c>
      <c r="C2016" s="323">
        <v>41023</v>
      </c>
      <c r="D2016" s="323">
        <v>95</v>
      </c>
      <c r="E2016" s="324">
        <f t="shared" si="31"/>
        <v>23166.7</v>
      </c>
    </row>
    <row r="2017" spans="1:5" x14ac:dyDescent="0.25">
      <c r="A2017" s="323" t="s">
        <v>5743</v>
      </c>
      <c r="B2017" s="323" t="s">
        <v>805</v>
      </c>
      <c r="C2017" s="323">
        <v>41023</v>
      </c>
      <c r="D2017" s="323">
        <v>547</v>
      </c>
      <c r="E2017" s="324">
        <f t="shared" si="31"/>
        <v>133391.42000000001</v>
      </c>
    </row>
    <row r="2018" spans="1:5" x14ac:dyDescent="0.25">
      <c r="A2018" s="323" t="s">
        <v>5749</v>
      </c>
      <c r="B2018" s="323" t="s">
        <v>805</v>
      </c>
      <c r="C2018" s="323">
        <v>41023</v>
      </c>
      <c r="D2018" s="323">
        <v>147</v>
      </c>
      <c r="E2018" s="324">
        <f t="shared" si="31"/>
        <v>35847.420000000006</v>
      </c>
    </row>
    <row r="2019" spans="1:5" x14ac:dyDescent="0.25">
      <c r="A2019" s="323" t="s">
        <v>6952</v>
      </c>
      <c r="B2019" s="323" t="s">
        <v>805</v>
      </c>
      <c r="C2019" s="323">
        <v>41023</v>
      </c>
      <c r="D2019" s="323">
        <v>658</v>
      </c>
      <c r="E2019" s="324">
        <f t="shared" si="31"/>
        <v>160459.88</v>
      </c>
    </row>
    <row r="2020" spans="1:5" x14ac:dyDescent="0.25">
      <c r="A2020" s="323" t="s">
        <v>7030</v>
      </c>
      <c r="B2020" s="323" t="s">
        <v>805</v>
      </c>
      <c r="C2020" s="323">
        <v>41023</v>
      </c>
      <c r="D2020" s="323">
        <v>464</v>
      </c>
      <c r="E2020" s="324">
        <f t="shared" si="31"/>
        <v>113151.04000000001</v>
      </c>
    </row>
    <row r="2021" spans="1:5" x14ac:dyDescent="0.25">
      <c r="A2021" s="323" t="s">
        <v>7264</v>
      </c>
      <c r="B2021" s="323" t="s">
        <v>805</v>
      </c>
      <c r="C2021" s="323">
        <v>41023</v>
      </c>
      <c r="D2021" s="323">
        <v>379</v>
      </c>
      <c r="E2021" s="324">
        <f t="shared" si="31"/>
        <v>92422.94</v>
      </c>
    </row>
    <row r="2022" spans="1:5" x14ac:dyDescent="0.25">
      <c r="A2022" s="323" t="s">
        <v>7334</v>
      </c>
      <c r="B2022" s="323" t="s">
        <v>805</v>
      </c>
      <c r="C2022" s="323">
        <v>41023</v>
      </c>
      <c r="D2022" s="323">
        <v>321</v>
      </c>
      <c r="E2022" s="324">
        <f t="shared" si="31"/>
        <v>78279.06</v>
      </c>
    </row>
    <row r="2023" spans="1:5" x14ac:dyDescent="0.25">
      <c r="A2023" s="323" t="s">
        <v>7371</v>
      </c>
      <c r="B2023" s="323" t="s">
        <v>805</v>
      </c>
      <c r="C2023" s="323">
        <v>41023</v>
      </c>
      <c r="D2023" s="323">
        <v>275</v>
      </c>
      <c r="E2023" s="324">
        <f t="shared" si="31"/>
        <v>67061.5</v>
      </c>
    </row>
    <row r="2024" spans="1:5" x14ac:dyDescent="0.25">
      <c r="A2024" s="323" t="s">
        <v>7406</v>
      </c>
      <c r="B2024" s="323" t="s">
        <v>805</v>
      </c>
      <c r="C2024" s="323">
        <v>41023</v>
      </c>
      <c r="D2024" s="323">
        <v>475</v>
      </c>
      <c r="E2024" s="324">
        <f t="shared" si="31"/>
        <v>115833.5</v>
      </c>
    </row>
    <row r="2025" spans="1:5" x14ac:dyDescent="0.25">
      <c r="A2025" s="323" t="s">
        <v>7489</v>
      </c>
      <c r="B2025" s="323" t="s">
        <v>805</v>
      </c>
      <c r="C2025" s="323">
        <v>41023</v>
      </c>
      <c r="D2025" s="323">
        <v>253</v>
      </c>
      <c r="E2025" s="324">
        <f t="shared" si="31"/>
        <v>61696.58</v>
      </c>
    </row>
    <row r="2026" spans="1:5" x14ac:dyDescent="0.25">
      <c r="A2026" s="323" t="s">
        <v>1902</v>
      </c>
      <c r="B2026" s="323" t="s">
        <v>805</v>
      </c>
      <c r="C2026" s="323">
        <v>41039</v>
      </c>
      <c r="D2026" s="323">
        <v>129</v>
      </c>
      <c r="E2026" s="324">
        <f t="shared" si="31"/>
        <v>31457.940000000002</v>
      </c>
    </row>
    <row r="2027" spans="1:5" x14ac:dyDescent="0.25">
      <c r="A2027" s="323" t="s">
        <v>2410</v>
      </c>
      <c r="B2027" s="323" t="s">
        <v>805</v>
      </c>
      <c r="C2027" s="323">
        <v>41039</v>
      </c>
      <c r="D2027" s="323">
        <v>109</v>
      </c>
      <c r="E2027" s="324">
        <f t="shared" si="31"/>
        <v>26580.74</v>
      </c>
    </row>
    <row r="2028" spans="1:5" x14ac:dyDescent="0.25">
      <c r="A2028" s="323" t="s">
        <v>2419</v>
      </c>
      <c r="B2028" s="323" t="s">
        <v>805</v>
      </c>
      <c r="C2028" s="323">
        <v>41039</v>
      </c>
      <c r="D2028" s="323">
        <v>115</v>
      </c>
      <c r="E2028" s="324">
        <f t="shared" si="31"/>
        <v>28043.9</v>
      </c>
    </row>
    <row r="2029" spans="1:5" x14ac:dyDescent="0.25">
      <c r="A2029" s="323" t="s">
        <v>2659</v>
      </c>
      <c r="B2029" s="323" t="s">
        <v>805</v>
      </c>
      <c r="C2029" s="323">
        <v>41039</v>
      </c>
      <c r="D2029" s="323">
        <v>248</v>
      </c>
      <c r="E2029" s="324">
        <f t="shared" si="31"/>
        <v>60477.280000000006</v>
      </c>
    </row>
    <row r="2030" spans="1:5" x14ac:dyDescent="0.25">
      <c r="A2030" s="323" t="s">
        <v>3131</v>
      </c>
      <c r="B2030" s="323" t="s">
        <v>805</v>
      </c>
      <c r="C2030" s="323">
        <v>41039</v>
      </c>
      <c r="D2030" s="323">
        <v>124</v>
      </c>
      <c r="E2030" s="324">
        <f t="shared" si="31"/>
        <v>30238.640000000003</v>
      </c>
    </row>
    <row r="2031" spans="1:5" x14ac:dyDescent="0.25">
      <c r="A2031" s="323" t="s">
        <v>3485</v>
      </c>
      <c r="B2031" s="323" t="s">
        <v>805</v>
      </c>
      <c r="C2031" s="323">
        <v>41039</v>
      </c>
      <c r="D2031" s="323">
        <v>172</v>
      </c>
      <c r="E2031" s="324">
        <f t="shared" si="31"/>
        <v>41943.920000000006</v>
      </c>
    </row>
    <row r="2032" spans="1:5" x14ac:dyDescent="0.25">
      <c r="A2032" s="323" t="s">
        <v>3964</v>
      </c>
      <c r="B2032" s="323" t="s">
        <v>805</v>
      </c>
      <c r="C2032" s="323">
        <v>41039</v>
      </c>
      <c r="D2032" s="323">
        <v>113</v>
      </c>
      <c r="E2032" s="324">
        <f t="shared" si="31"/>
        <v>27556.18</v>
      </c>
    </row>
    <row r="2033" spans="1:5" x14ac:dyDescent="0.25">
      <c r="A2033" s="323" t="s">
        <v>6500</v>
      </c>
      <c r="B2033" s="323" t="s">
        <v>816</v>
      </c>
      <c r="C2033" s="323">
        <v>41047</v>
      </c>
      <c r="D2033" s="323">
        <v>275</v>
      </c>
      <c r="E2033" s="324">
        <f t="shared" si="31"/>
        <v>100592.25</v>
      </c>
    </row>
    <row r="2034" spans="1:5" x14ac:dyDescent="0.25">
      <c r="A2034" s="323" t="s">
        <v>1138</v>
      </c>
      <c r="B2034" s="323" t="s">
        <v>805</v>
      </c>
      <c r="C2034" s="323">
        <v>41052</v>
      </c>
      <c r="D2034" s="323">
        <v>78</v>
      </c>
      <c r="E2034" s="324">
        <f t="shared" si="31"/>
        <v>19021.080000000002</v>
      </c>
    </row>
    <row r="2035" spans="1:5" x14ac:dyDescent="0.25">
      <c r="A2035" s="323" t="s">
        <v>1914</v>
      </c>
      <c r="B2035" s="323" t="s">
        <v>805</v>
      </c>
      <c r="C2035" s="323">
        <v>41052</v>
      </c>
      <c r="D2035" s="323">
        <v>60</v>
      </c>
      <c r="E2035" s="324">
        <f t="shared" si="31"/>
        <v>14631.6</v>
      </c>
    </row>
    <row r="2036" spans="1:5" x14ac:dyDescent="0.25">
      <c r="A2036" s="323" t="s">
        <v>2532</v>
      </c>
      <c r="B2036" s="323" t="s">
        <v>805</v>
      </c>
      <c r="C2036" s="323">
        <v>41052</v>
      </c>
      <c r="D2036" s="323">
        <v>50</v>
      </c>
      <c r="E2036" s="324">
        <f t="shared" si="31"/>
        <v>12193</v>
      </c>
    </row>
    <row r="2037" spans="1:5" x14ac:dyDescent="0.25">
      <c r="A2037" s="323" t="s">
        <v>2879</v>
      </c>
      <c r="B2037" s="323" t="s">
        <v>805</v>
      </c>
      <c r="C2037" s="323">
        <v>41052</v>
      </c>
      <c r="D2037" s="323">
        <v>100</v>
      </c>
      <c r="E2037" s="324">
        <f t="shared" si="31"/>
        <v>24386</v>
      </c>
    </row>
    <row r="2038" spans="1:5" x14ac:dyDescent="0.25">
      <c r="A2038" s="323" t="s">
        <v>2986</v>
      </c>
      <c r="B2038" s="323" t="s">
        <v>805</v>
      </c>
      <c r="C2038" s="323">
        <v>41052</v>
      </c>
      <c r="D2038" s="323">
        <v>66</v>
      </c>
      <c r="E2038" s="324">
        <f t="shared" si="31"/>
        <v>16094.76</v>
      </c>
    </row>
    <row r="2039" spans="1:5" x14ac:dyDescent="0.25">
      <c r="A2039" s="323" t="s">
        <v>3952</v>
      </c>
      <c r="B2039" s="323" t="s">
        <v>805</v>
      </c>
      <c r="C2039" s="323">
        <v>41052</v>
      </c>
      <c r="D2039" s="323">
        <v>86</v>
      </c>
      <c r="E2039" s="324">
        <f t="shared" si="31"/>
        <v>20971.960000000003</v>
      </c>
    </row>
    <row r="2040" spans="1:5" x14ac:dyDescent="0.25">
      <c r="A2040" s="323" t="s">
        <v>4118</v>
      </c>
      <c r="B2040" s="323" t="s">
        <v>805</v>
      </c>
      <c r="C2040" s="323">
        <v>41052</v>
      </c>
      <c r="D2040" s="323">
        <v>172</v>
      </c>
      <c r="E2040" s="324">
        <f t="shared" si="31"/>
        <v>41943.920000000006</v>
      </c>
    </row>
    <row r="2041" spans="1:5" x14ac:dyDescent="0.25">
      <c r="A2041" s="323" t="s">
        <v>4253</v>
      </c>
      <c r="B2041" s="323" t="s">
        <v>805</v>
      </c>
      <c r="C2041" s="323">
        <v>41052</v>
      </c>
      <c r="D2041" s="323">
        <v>147</v>
      </c>
      <c r="E2041" s="324">
        <f t="shared" si="31"/>
        <v>35847.420000000006</v>
      </c>
    </row>
    <row r="2042" spans="1:5" x14ac:dyDescent="0.25">
      <c r="A2042" s="323" t="s">
        <v>2882</v>
      </c>
      <c r="B2042" s="323" t="s">
        <v>805</v>
      </c>
      <c r="C2042" s="323">
        <v>41053</v>
      </c>
      <c r="D2042" s="323">
        <v>767</v>
      </c>
      <c r="E2042" s="324">
        <f t="shared" si="31"/>
        <v>187040.62000000002</v>
      </c>
    </row>
    <row r="2043" spans="1:5" x14ac:dyDescent="0.25">
      <c r="A2043" s="323" t="s">
        <v>1596</v>
      </c>
      <c r="B2043" s="323" t="s">
        <v>805</v>
      </c>
      <c r="C2043" s="323">
        <v>41081</v>
      </c>
      <c r="D2043" s="323">
        <v>401</v>
      </c>
      <c r="E2043" s="324">
        <f t="shared" si="31"/>
        <v>97787.86</v>
      </c>
    </row>
    <row r="2044" spans="1:5" x14ac:dyDescent="0.25">
      <c r="A2044" s="323" t="s">
        <v>7203</v>
      </c>
      <c r="B2044" s="323" t="s">
        <v>805</v>
      </c>
      <c r="C2044" s="323">
        <v>41081</v>
      </c>
      <c r="D2044" s="323">
        <v>429</v>
      </c>
      <c r="E2044" s="324">
        <f t="shared" si="31"/>
        <v>104615.94</v>
      </c>
    </row>
    <row r="2045" spans="1:5" x14ac:dyDescent="0.25">
      <c r="A2045" s="323" t="s">
        <v>1207</v>
      </c>
      <c r="B2045" s="323" t="s">
        <v>805</v>
      </c>
      <c r="C2045" s="323">
        <v>41090</v>
      </c>
      <c r="D2045" s="323">
        <v>189</v>
      </c>
      <c r="E2045" s="324">
        <f t="shared" si="31"/>
        <v>46089.54</v>
      </c>
    </row>
    <row r="2046" spans="1:5" x14ac:dyDescent="0.25">
      <c r="A2046" s="323" t="s">
        <v>1242</v>
      </c>
      <c r="B2046" s="323" t="s">
        <v>805</v>
      </c>
      <c r="C2046" s="323">
        <v>41090</v>
      </c>
      <c r="D2046" s="323">
        <v>86</v>
      </c>
      <c r="E2046" s="324">
        <f t="shared" si="31"/>
        <v>20971.960000000003</v>
      </c>
    </row>
    <row r="2047" spans="1:5" x14ac:dyDescent="0.25">
      <c r="A2047" s="323" t="s">
        <v>1317</v>
      </c>
      <c r="B2047" s="323" t="s">
        <v>805</v>
      </c>
      <c r="C2047" s="323">
        <v>41090</v>
      </c>
      <c r="D2047" s="323">
        <v>387</v>
      </c>
      <c r="E2047" s="324">
        <f t="shared" si="31"/>
        <v>94373.82</v>
      </c>
    </row>
    <row r="2048" spans="1:5" x14ac:dyDescent="0.25">
      <c r="A2048" s="323" t="s">
        <v>1679</v>
      </c>
      <c r="B2048" s="323" t="s">
        <v>805</v>
      </c>
      <c r="C2048" s="323">
        <v>41090</v>
      </c>
      <c r="D2048" s="323">
        <v>263</v>
      </c>
      <c r="E2048" s="324">
        <f t="shared" si="31"/>
        <v>64135.18</v>
      </c>
    </row>
    <row r="2049" spans="1:5" x14ac:dyDescent="0.25">
      <c r="A2049" s="323" t="s">
        <v>2269</v>
      </c>
      <c r="B2049" s="323" t="s">
        <v>805</v>
      </c>
      <c r="C2049" s="323">
        <v>41090</v>
      </c>
      <c r="D2049" s="323">
        <v>604</v>
      </c>
      <c r="E2049" s="324">
        <f t="shared" si="31"/>
        <v>147291.44</v>
      </c>
    </row>
    <row r="2050" spans="1:5" x14ac:dyDescent="0.25">
      <c r="A2050" s="323" t="s">
        <v>3111</v>
      </c>
      <c r="B2050" s="323" t="s">
        <v>805</v>
      </c>
      <c r="C2050" s="323">
        <v>41090</v>
      </c>
      <c r="D2050" s="323">
        <v>42</v>
      </c>
      <c r="E2050" s="324">
        <f t="shared" ref="E2050:E2113" si="32">D2050*IF(B2050=$G$9,WerkdrukbedragPerLeerlingBo,IF(B2050=$G$10,WerkdrukbedragPerLeerlingSbo,IF(B2050=$G$11,WerkdrukbedragPerLeerlingSo,IF(B2050=$G$12,WerkdrukbedragPerLeerlingVso,0))))</f>
        <v>10242.120000000001</v>
      </c>
    </row>
    <row r="2051" spans="1:5" x14ac:dyDescent="0.25">
      <c r="A2051" s="323" t="s">
        <v>1934</v>
      </c>
      <c r="B2051" s="323" t="s">
        <v>805</v>
      </c>
      <c r="C2051" s="323">
        <v>41125</v>
      </c>
      <c r="D2051" s="323">
        <v>97</v>
      </c>
      <c r="E2051" s="324">
        <f t="shared" si="32"/>
        <v>23654.420000000002</v>
      </c>
    </row>
    <row r="2052" spans="1:5" x14ac:dyDescent="0.25">
      <c r="A2052" s="323" t="s">
        <v>1946</v>
      </c>
      <c r="B2052" s="323" t="s">
        <v>805</v>
      </c>
      <c r="C2052" s="323">
        <v>41125</v>
      </c>
      <c r="D2052" s="323">
        <v>41</v>
      </c>
      <c r="E2052" s="324">
        <f t="shared" si="32"/>
        <v>9998.26</v>
      </c>
    </row>
    <row r="2053" spans="1:5" x14ac:dyDescent="0.25">
      <c r="A2053" s="323" t="s">
        <v>1947</v>
      </c>
      <c r="B2053" s="323" t="s">
        <v>805</v>
      </c>
      <c r="C2053" s="323">
        <v>41125</v>
      </c>
      <c r="D2053" s="323">
        <v>27</v>
      </c>
      <c r="E2053" s="324">
        <f t="shared" si="32"/>
        <v>6584.22</v>
      </c>
    </row>
    <row r="2054" spans="1:5" x14ac:dyDescent="0.25">
      <c r="A2054" s="323" t="s">
        <v>2026</v>
      </c>
      <c r="B2054" s="323" t="s">
        <v>805</v>
      </c>
      <c r="C2054" s="323">
        <v>41125</v>
      </c>
      <c r="D2054" s="323">
        <v>80</v>
      </c>
      <c r="E2054" s="324">
        <f t="shared" si="32"/>
        <v>19508.800000000003</v>
      </c>
    </row>
    <row r="2055" spans="1:5" x14ac:dyDescent="0.25">
      <c r="A2055" s="323" t="s">
        <v>2034</v>
      </c>
      <c r="B2055" s="323" t="s">
        <v>805</v>
      </c>
      <c r="C2055" s="323">
        <v>41125</v>
      </c>
      <c r="D2055" s="323">
        <v>73</v>
      </c>
      <c r="E2055" s="324">
        <f t="shared" si="32"/>
        <v>17801.780000000002</v>
      </c>
    </row>
    <row r="2056" spans="1:5" x14ac:dyDescent="0.25">
      <c r="A2056" s="323" t="s">
        <v>2204</v>
      </c>
      <c r="B2056" s="323" t="s">
        <v>805</v>
      </c>
      <c r="C2056" s="323">
        <v>41125</v>
      </c>
      <c r="D2056" s="323">
        <v>318</v>
      </c>
      <c r="E2056" s="324">
        <f t="shared" si="32"/>
        <v>77547.48000000001</v>
      </c>
    </row>
    <row r="2057" spans="1:5" x14ac:dyDescent="0.25">
      <c r="A2057" s="323" t="s">
        <v>4509</v>
      </c>
      <c r="B2057" s="323" t="s">
        <v>805</v>
      </c>
      <c r="C2057" s="323">
        <v>41125</v>
      </c>
      <c r="D2057" s="323">
        <v>223</v>
      </c>
      <c r="E2057" s="324">
        <f t="shared" si="32"/>
        <v>54380.780000000006</v>
      </c>
    </row>
    <row r="2058" spans="1:5" x14ac:dyDescent="0.25">
      <c r="A2058" s="323" t="s">
        <v>4689</v>
      </c>
      <c r="B2058" s="323" t="s">
        <v>805</v>
      </c>
      <c r="C2058" s="323">
        <v>41125</v>
      </c>
      <c r="D2058" s="323">
        <v>124</v>
      </c>
      <c r="E2058" s="324">
        <f t="shared" si="32"/>
        <v>30238.640000000003</v>
      </c>
    </row>
    <row r="2059" spans="1:5" x14ac:dyDescent="0.25">
      <c r="A2059" s="323" t="s">
        <v>4751</v>
      </c>
      <c r="B2059" s="323" t="s">
        <v>805</v>
      </c>
      <c r="C2059" s="323">
        <v>41125</v>
      </c>
      <c r="D2059" s="323">
        <v>248</v>
      </c>
      <c r="E2059" s="324">
        <f t="shared" si="32"/>
        <v>60477.280000000006</v>
      </c>
    </row>
    <row r="2060" spans="1:5" x14ac:dyDescent="0.25">
      <c r="A2060" s="323" t="s">
        <v>4762</v>
      </c>
      <c r="B2060" s="323" t="s">
        <v>805</v>
      </c>
      <c r="C2060" s="323">
        <v>41125</v>
      </c>
      <c r="D2060" s="323">
        <v>186</v>
      </c>
      <c r="E2060" s="324">
        <f t="shared" si="32"/>
        <v>45357.96</v>
      </c>
    </row>
    <row r="2061" spans="1:5" x14ac:dyDescent="0.25">
      <c r="A2061" s="323" t="s">
        <v>4824</v>
      </c>
      <c r="B2061" s="323" t="s">
        <v>805</v>
      </c>
      <c r="C2061" s="323">
        <v>41125</v>
      </c>
      <c r="D2061" s="323">
        <v>283</v>
      </c>
      <c r="E2061" s="324">
        <f t="shared" si="32"/>
        <v>69012.38</v>
      </c>
    </row>
    <row r="2062" spans="1:5" x14ac:dyDescent="0.25">
      <c r="A2062" s="323" t="s">
        <v>4870</v>
      </c>
      <c r="B2062" s="323" t="s">
        <v>805</v>
      </c>
      <c r="C2062" s="323">
        <v>41125</v>
      </c>
      <c r="D2062" s="323">
        <v>110</v>
      </c>
      <c r="E2062" s="324">
        <f t="shared" si="32"/>
        <v>26824.600000000002</v>
      </c>
    </row>
    <row r="2063" spans="1:5" x14ac:dyDescent="0.25">
      <c r="A2063" s="323" t="s">
        <v>4910</v>
      </c>
      <c r="B2063" s="323" t="s">
        <v>805</v>
      </c>
      <c r="C2063" s="323">
        <v>41125</v>
      </c>
      <c r="D2063" s="323">
        <v>168</v>
      </c>
      <c r="E2063" s="324">
        <f t="shared" si="32"/>
        <v>40968.480000000003</v>
      </c>
    </row>
    <row r="2064" spans="1:5" x14ac:dyDescent="0.25">
      <c r="A2064" s="323" t="s">
        <v>7367</v>
      </c>
      <c r="B2064" s="323" t="s">
        <v>805</v>
      </c>
      <c r="C2064" s="323">
        <v>41125</v>
      </c>
      <c r="D2064" s="323">
        <v>465</v>
      </c>
      <c r="E2064" s="324">
        <f t="shared" si="32"/>
        <v>113394.90000000001</v>
      </c>
    </row>
    <row r="2065" spans="1:5" x14ac:dyDescent="0.25">
      <c r="A2065" s="323" t="s">
        <v>1986</v>
      </c>
      <c r="B2065" s="323" t="s">
        <v>805</v>
      </c>
      <c r="C2065" s="323">
        <v>41127</v>
      </c>
      <c r="D2065" s="323">
        <v>103</v>
      </c>
      <c r="E2065" s="324">
        <f t="shared" si="32"/>
        <v>25117.58</v>
      </c>
    </row>
    <row r="2066" spans="1:5" x14ac:dyDescent="0.25">
      <c r="A2066" s="323" t="s">
        <v>1990</v>
      </c>
      <c r="B2066" s="323" t="s">
        <v>805</v>
      </c>
      <c r="C2066" s="323">
        <v>41127</v>
      </c>
      <c r="D2066" s="323">
        <v>183</v>
      </c>
      <c r="E2066" s="324">
        <f t="shared" si="32"/>
        <v>44626.380000000005</v>
      </c>
    </row>
    <row r="2067" spans="1:5" x14ac:dyDescent="0.25">
      <c r="A2067" s="323" t="s">
        <v>2398</v>
      </c>
      <c r="B2067" s="323" t="s">
        <v>805</v>
      </c>
      <c r="C2067" s="323">
        <v>41127</v>
      </c>
      <c r="D2067" s="323">
        <v>105</v>
      </c>
      <c r="E2067" s="324">
        <f t="shared" si="32"/>
        <v>25605.300000000003</v>
      </c>
    </row>
    <row r="2068" spans="1:5" x14ac:dyDescent="0.25">
      <c r="A2068" s="323" t="s">
        <v>2558</v>
      </c>
      <c r="B2068" s="323" t="s">
        <v>805</v>
      </c>
      <c r="C2068" s="323">
        <v>41127</v>
      </c>
      <c r="D2068" s="323">
        <v>194</v>
      </c>
      <c r="E2068" s="324">
        <f t="shared" si="32"/>
        <v>47308.840000000004</v>
      </c>
    </row>
    <row r="2069" spans="1:5" x14ac:dyDescent="0.25">
      <c r="A2069" s="323" t="s">
        <v>2738</v>
      </c>
      <c r="B2069" s="323" t="s">
        <v>805</v>
      </c>
      <c r="C2069" s="323">
        <v>41127</v>
      </c>
      <c r="D2069" s="323">
        <v>102</v>
      </c>
      <c r="E2069" s="324">
        <f t="shared" si="32"/>
        <v>24873.72</v>
      </c>
    </row>
    <row r="2070" spans="1:5" x14ac:dyDescent="0.25">
      <c r="A2070" s="323" t="s">
        <v>2892</v>
      </c>
      <c r="B2070" s="323" t="s">
        <v>805</v>
      </c>
      <c r="C2070" s="323">
        <v>41127</v>
      </c>
      <c r="D2070" s="323">
        <v>124</v>
      </c>
      <c r="E2070" s="324">
        <f t="shared" si="32"/>
        <v>30238.640000000003</v>
      </c>
    </row>
    <row r="2071" spans="1:5" x14ac:dyDescent="0.25">
      <c r="A2071" s="323" t="s">
        <v>2908</v>
      </c>
      <c r="B2071" s="323" t="s">
        <v>805</v>
      </c>
      <c r="C2071" s="323">
        <v>41127</v>
      </c>
      <c r="D2071" s="323">
        <v>354</v>
      </c>
      <c r="E2071" s="324">
        <f t="shared" si="32"/>
        <v>86326.44</v>
      </c>
    </row>
    <row r="2072" spans="1:5" x14ac:dyDescent="0.25">
      <c r="A2072" s="323" t="s">
        <v>2915</v>
      </c>
      <c r="B2072" s="323" t="s">
        <v>805</v>
      </c>
      <c r="C2072" s="323">
        <v>41127</v>
      </c>
      <c r="D2072" s="323">
        <v>153</v>
      </c>
      <c r="E2072" s="324">
        <f t="shared" si="32"/>
        <v>37310.58</v>
      </c>
    </row>
    <row r="2073" spans="1:5" x14ac:dyDescent="0.25">
      <c r="A2073" s="323" t="s">
        <v>2948</v>
      </c>
      <c r="B2073" s="323" t="s">
        <v>805</v>
      </c>
      <c r="C2073" s="323">
        <v>41127</v>
      </c>
      <c r="D2073" s="323">
        <v>188</v>
      </c>
      <c r="E2073" s="324">
        <f t="shared" si="32"/>
        <v>45845.68</v>
      </c>
    </row>
    <row r="2074" spans="1:5" x14ac:dyDescent="0.25">
      <c r="A2074" s="323" t="s">
        <v>4002</v>
      </c>
      <c r="B2074" s="323" t="s">
        <v>805</v>
      </c>
      <c r="C2074" s="323">
        <v>41127</v>
      </c>
      <c r="D2074" s="323">
        <v>243</v>
      </c>
      <c r="E2074" s="324">
        <f t="shared" si="32"/>
        <v>59257.98</v>
      </c>
    </row>
    <row r="2075" spans="1:5" x14ac:dyDescent="0.25">
      <c r="A2075" s="323" t="s">
        <v>4156</v>
      </c>
      <c r="B2075" s="323" t="s">
        <v>805</v>
      </c>
      <c r="C2075" s="323">
        <v>41127</v>
      </c>
      <c r="D2075" s="323">
        <v>350</v>
      </c>
      <c r="E2075" s="324">
        <f t="shared" si="32"/>
        <v>85351</v>
      </c>
    </row>
    <row r="2076" spans="1:5" x14ac:dyDescent="0.25">
      <c r="A2076" s="323" t="s">
        <v>4290</v>
      </c>
      <c r="B2076" s="323" t="s">
        <v>805</v>
      </c>
      <c r="C2076" s="323">
        <v>41127</v>
      </c>
      <c r="D2076" s="323">
        <v>152</v>
      </c>
      <c r="E2076" s="324">
        <f t="shared" si="32"/>
        <v>37066.720000000001</v>
      </c>
    </row>
    <row r="2077" spans="1:5" x14ac:dyDescent="0.25">
      <c r="A2077" s="323" t="s">
        <v>4605</v>
      </c>
      <c r="B2077" s="323" t="s">
        <v>805</v>
      </c>
      <c r="C2077" s="323">
        <v>41127</v>
      </c>
      <c r="D2077" s="323">
        <v>171</v>
      </c>
      <c r="E2077" s="324">
        <f t="shared" si="32"/>
        <v>41700.060000000005</v>
      </c>
    </row>
    <row r="2078" spans="1:5" x14ac:dyDescent="0.25">
      <c r="A2078" s="323" t="s">
        <v>4752</v>
      </c>
      <c r="B2078" s="323" t="s">
        <v>805</v>
      </c>
      <c r="C2078" s="323">
        <v>41127</v>
      </c>
      <c r="D2078" s="323">
        <v>175</v>
      </c>
      <c r="E2078" s="324">
        <f t="shared" si="32"/>
        <v>42675.5</v>
      </c>
    </row>
    <row r="2079" spans="1:5" x14ac:dyDescent="0.25">
      <c r="A2079" s="323" t="s">
        <v>5129</v>
      </c>
      <c r="B2079" s="323" t="s">
        <v>816</v>
      </c>
      <c r="C2079" s="323">
        <v>41127</v>
      </c>
      <c r="D2079" s="323">
        <v>65</v>
      </c>
      <c r="E2079" s="324">
        <f t="shared" si="32"/>
        <v>23776.350000000002</v>
      </c>
    </row>
    <row r="2080" spans="1:5" x14ac:dyDescent="0.25">
      <c r="A2080" s="323" t="s">
        <v>7174</v>
      </c>
      <c r="B2080" s="323" t="s">
        <v>809</v>
      </c>
      <c r="C2080" s="323">
        <v>41127</v>
      </c>
      <c r="D2080" s="323">
        <v>29</v>
      </c>
      <c r="E2080" s="324">
        <f t="shared" si="32"/>
        <v>14143.880000000001</v>
      </c>
    </row>
    <row r="2081" spans="1:5" x14ac:dyDescent="0.25">
      <c r="A2081" s="323" t="s">
        <v>7174</v>
      </c>
      <c r="B2081" s="323" t="s">
        <v>803</v>
      </c>
      <c r="C2081" s="323">
        <v>41127</v>
      </c>
      <c r="D2081" s="323">
        <v>31</v>
      </c>
      <c r="E2081" s="324">
        <f t="shared" si="32"/>
        <v>15119.320000000002</v>
      </c>
    </row>
    <row r="2082" spans="1:5" x14ac:dyDescent="0.25">
      <c r="A2082" s="323" t="s">
        <v>7174</v>
      </c>
      <c r="B2082" s="323" t="s">
        <v>809</v>
      </c>
      <c r="C2082" s="323">
        <v>41127</v>
      </c>
      <c r="D2082" s="323">
        <v>26</v>
      </c>
      <c r="E2082" s="324">
        <f t="shared" si="32"/>
        <v>12680.720000000001</v>
      </c>
    </row>
    <row r="2083" spans="1:5" x14ac:dyDescent="0.25">
      <c r="A2083" s="323" t="s">
        <v>7174</v>
      </c>
      <c r="B2083" s="323" t="s">
        <v>803</v>
      </c>
      <c r="C2083" s="323">
        <v>41127</v>
      </c>
      <c r="D2083" s="323">
        <v>30</v>
      </c>
      <c r="E2083" s="324">
        <f t="shared" si="32"/>
        <v>14631.6</v>
      </c>
    </row>
    <row r="2084" spans="1:5" x14ac:dyDescent="0.25">
      <c r="A2084" s="323" t="s">
        <v>1884</v>
      </c>
      <c r="B2084" s="323" t="s">
        <v>805</v>
      </c>
      <c r="C2084" s="323">
        <v>41138</v>
      </c>
      <c r="D2084" s="323">
        <v>208</v>
      </c>
      <c r="E2084" s="324">
        <f t="shared" si="32"/>
        <v>50722.880000000005</v>
      </c>
    </row>
    <row r="2085" spans="1:5" x14ac:dyDescent="0.25">
      <c r="A2085" s="323" t="s">
        <v>1896</v>
      </c>
      <c r="B2085" s="323" t="s">
        <v>805</v>
      </c>
      <c r="C2085" s="323">
        <v>41138</v>
      </c>
      <c r="D2085" s="323">
        <v>173</v>
      </c>
      <c r="E2085" s="324">
        <f t="shared" si="32"/>
        <v>42187.78</v>
      </c>
    </row>
    <row r="2086" spans="1:5" x14ac:dyDescent="0.25">
      <c r="A2086" s="323" t="s">
        <v>1957</v>
      </c>
      <c r="B2086" s="323" t="s">
        <v>805</v>
      </c>
      <c r="C2086" s="323">
        <v>41138</v>
      </c>
      <c r="D2086" s="323">
        <v>83</v>
      </c>
      <c r="E2086" s="324">
        <f t="shared" si="32"/>
        <v>20240.38</v>
      </c>
    </row>
    <row r="2087" spans="1:5" x14ac:dyDescent="0.25">
      <c r="A2087" s="323" t="s">
        <v>1970</v>
      </c>
      <c r="B2087" s="323" t="s">
        <v>805</v>
      </c>
      <c r="C2087" s="323">
        <v>41138</v>
      </c>
      <c r="D2087" s="323">
        <v>86</v>
      </c>
      <c r="E2087" s="324">
        <f t="shared" si="32"/>
        <v>20971.960000000003</v>
      </c>
    </row>
    <row r="2088" spans="1:5" x14ac:dyDescent="0.25">
      <c r="A2088" s="323" t="s">
        <v>2154</v>
      </c>
      <c r="B2088" s="323" t="s">
        <v>805</v>
      </c>
      <c r="C2088" s="323">
        <v>41138</v>
      </c>
      <c r="D2088" s="323">
        <v>112</v>
      </c>
      <c r="E2088" s="324">
        <f t="shared" si="32"/>
        <v>27312.32</v>
      </c>
    </row>
    <row r="2089" spans="1:5" x14ac:dyDescent="0.25">
      <c r="A2089" s="323" t="s">
        <v>2418</v>
      </c>
      <c r="B2089" s="323" t="s">
        <v>805</v>
      </c>
      <c r="C2089" s="323">
        <v>41138</v>
      </c>
      <c r="D2089" s="323">
        <v>116</v>
      </c>
      <c r="E2089" s="324">
        <f t="shared" si="32"/>
        <v>28287.760000000002</v>
      </c>
    </row>
    <row r="2090" spans="1:5" x14ac:dyDescent="0.25">
      <c r="A2090" s="323" t="s">
        <v>2897</v>
      </c>
      <c r="B2090" s="323" t="s">
        <v>805</v>
      </c>
      <c r="C2090" s="323">
        <v>41138</v>
      </c>
      <c r="D2090" s="323">
        <v>130</v>
      </c>
      <c r="E2090" s="324">
        <f t="shared" si="32"/>
        <v>31701.800000000003</v>
      </c>
    </row>
    <row r="2091" spans="1:5" x14ac:dyDescent="0.25">
      <c r="A2091" s="323" t="s">
        <v>3259</v>
      </c>
      <c r="B2091" s="323" t="s">
        <v>805</v>
      </c>
      <c r="C2091" s="323">
        <v>41138</v>
      </c>
      <c r="D2091" s="323">
        <v>79</v>
      </c>
      <c r="E2091" s="324">
        <f t="shared" si="32"/>
        <v>19264.940000000002</v>
      </c>
    </row>
    <row r="2092" spans="1:5" x14ac:dyDescent="0.25">
      <c r="A2092" s="323" t="s">
        <v>3812</v>
      </c>
      <c r="B2092" s="323" t="s">
        <v>805</v>
      </c>
      <c r="C2092" s="323">
        <v>41138</v>
      </c>
      <c r="D2092" s="323">
        <v>296</v>
      </c>
      <c r="E2092" s="324">
        <f t="shared" si="32"/>
        <v>72182.559999999998</v>
      </c>
    </row>
    <row r="2093" spans="1:5" x14ac:dyDescent="0.25">
      <c r="A2093" s="323" t="s">
        <v>3812</v>
      </c>
      <c r="B2093" s="323" t="s">
        <v>805</v>
      </c>
      <c r="C2093" s="323">
        <v>41138</v>
      </c>
      <c r="D2093" s="323">
        <v>63</v>
      </c>
      <c r="E2093" s="324">
        <f t="shared" si="32"/>
        <v>15363.18</v>
      </c>
    </row>
    <row r="2094" spans="1:5" x14ac:dyDescent="0.25">
      <c r="A2094" s="323" t="s">
        <v>4288</v>
      </c>
      <c r="B2094" s="323" t="s">
        <v>805</v>
      </c>
      <c r="C2094" s="323">
        <v>41138</v>
      </c>
      <c r="D2094" s="323">
        <v>211</v>
      </c>
      <c r="E2094" s="324">
        <f t="shared" si="32"/>
        <v>51454.460000000006</v>
      </c>
    </row>
    <row r="2095" spans="1:5" x14ac:dyDescent="0.25">
      <c r="A2095" s="323" t="s">
        <v>4397</v>
      </c>
      <c r="B2095" s="323" t="s">
        <v>805</v>
      </c>
      <c r="C2095" s="323">
        <v>41138</v>
      </c>
      <c r="D2095" s="323">
        <v>230</v>
      </c>
      <c r="E2095" s="324">
        <f t="shared" si="32"/>
        <v>56087.8</v>
      </c>
    </row>
    <row r="2096" spans="1:5" x14ac:dyDescent="0.25">
      <c r="A2096" s="323" t="s">
        <v>4487</v>
      </c>
      <c r="B2096" s="323" t="s">
        <v>805</v>
      </c>
      <c r="C2096" s="323">
        <v>41138</v>
      </c>
      <c r="D2096" s="323">
        <v>259</v>
      </c>
      <c r="E2096" s="324">
        <f t="shared" si="32"/>
        <v>63159.740000000005</v>
      </c>
    </row>
    <row r="2097" spans="1:5" x14ac:dyDescent="0.25">
      <c r="A2097" s="323" t="s">
        <v>6916</v>
      </c>
      <c r="B2097" s="323" t="s">
        <v>805</v>
      </c>
      <c r="C2097" s="323">
        <v>41138</v>
      </c>
      <c r="D2097" s="323">
        <v>396</v>
      </c>
      <c r="E2097" s="324">
        <f t="shared" si="32"/>
        <v>96568.560000000012</v>
      </c>
    </row>
    <row r="2098" spans="1:5" x14ac:dyDescent="0.25">
      <c r="A2098" s="323" t="s">
        <v>7402</v>
      </c>
      <c r="B2098" s="323" t="s">
        <v>805</v>
      </c>
      <c r="C2098" s="323">
        <v>41142</v>
      </c>
      <c r="D2098" s="323">
        <v>257</v>
      </c>
      <c r="E2098" s="324">
        <f t="shared" si="32"/>
        <v>62672.020000000004</v>
      </c>
    </row>
    <row r="2099" spans="1:5" x14ac:dyDescent="0.25">
      <c r="A2099" s="323" t="s">
        <v>1703</v>
      </c>
      <c r="B2099" s="323" t="s">
        <v>805</v>
      </c>
      <c r="C2099" s="323">
        <v>41148</v>
      </c>
      <c r="D2099" s="323">
        <v>125</v>
      </c>
      <c r="E2099" s="324">
        <f t="shared" si="32"/>
        <v>30482.5</v>
      </c>
    </row>
    <row r="2100" spans="1:5" x14ac:dyDescent="0.25">
      <c r="A2100" s="323" t="s">
        <v>1787</v>
      </c>
      <c r="B2100" s="323" t="s">
        <v>805</v>
      </c>
      <c r="C2100" s="323">
        <v>41148</v>
      </c>
      <c r="D2100" s="323">
        <v>163</v>
      </c>
      <c r="E2100" s="324">
        <f t="shared" si="32"/>
        <v>39749.18</v>
      </c>
    </row>
    <row r="2101" spans="1:5" x14ac:dyDescent="0.25">
      <c r="A2101" s="323" t="s">
        <v>2255</v>
      </c>
      <c r="B2101" s="323" t="s">
        <v>805</v>
      </c>
      <c r="C2101" s="323">
        <v>41148</v>
      </c>
      <c r="D2101" s="323">
        <v>123</v>
      </c>
      <c r="E2101" s="324">
        <f t="shared" si="32"/>
        <v>29994.780000000002</v>
      </c>
    </row>
    <row r="2102" spans="1:5" x14ac:dyDescent="0.25">
      <c r="A2102" s="323" t="s">
        <v>2840</v>
      </c>
      <c r="B2102" s="323" t="s">
        <v>805</v>
      </c>
      <c r="C2102" s="323">
        <v>41148</v>
      </c>
      <c r="D2102" s="323">
        <v>150</v>
      </c>
      <c r="E2102" s="324">
        <f t="shared" si="32"/>
        <v>36579</v>
      </c>
    </row>
    <row r="2103" spans="1:5" x14ac:dyDescent="0.25">
      <c r="A2103" s="323" t="s">
        <v>3294</v>
      </c>
      <c r="B2103" s="323" t="s">
        <v>805</v>
      </c>
      <c r="C2103" s="323">
        <v>41148</v>
      </c>
      <c r="D2103" s="323">
        <v>222</v>
      </c>
      <c r="E2103" s="324">
        <f t="shared" si="32"/>
        <v>54136.920000000006</v>
      </c>
    </row>
    <row r="2104" spans="1:5" x14ac:dyDescent="0.25">
      <c r="A2104" s="323" t="s">
        <v>3593</v>
      </c>
      <c r="B2104" s="323" t="s">
        <v>805</v>
      </c>
      <c r="C2104" s="323">
        <v>41148</v>
      </c>
      <c r="D2104" s="323">
        <v>309</v>
      </c>
      <c r="E2104" s="324">
        <f t="shared" si="32"/>
        <v>75352.740000000005</v>
      </c>
    </row>
    <row r="2105" spans="1:5" x14ac:dyDescent="0.25">
      <c r="A2105" s="323" t="s">
        <v>3600</v>
      </c>
      <c r="B2105" s="323" t="s">
        <v>805</v>
      </c>
      <c r="C2105" s="323">
        <v>41148</v>
      </c>
      <c r="D2105" s="323">
        <v>155</v>
      </c>
      <c r="E2105" s="324">
        <f t="shared" si="32"/>
        <v>37798.300000000003</v>
      </c>
    </row>
    <row r="2106" spans="1:5" x14ac:dyDescent="0.25">
      <c r="A2106" s="323" t="s">
        <v>3844</v>
      </c>
      <c r="B2106" s="323" t="s">
        <v>805</v>
      </c>
      <c r="C2106" s="323">
        <v>41148</v>
      </c>
      <c r="D2106" s="323">
        <v>325</v>
      </c>
      <c r="E2106" s="324">
        <f t="shared" si="32"/>
        <v>79254.5</v>
      </c>
    </row>
    <row r="2107" spans="1:5" x14ac:dyDescent="0.25">
      <c r="A2107" s="323" t="s">
        <v>4027</v>
      </c>
      <c r="B2107" s="323" t="s">
        <v>805</v>
      </c>
      <c r="C2107" s="323">
        <v>41148</v>
      </c>
      <c r="D2107" s="323">
        <v>236</v>
      </c>
      <c r="E2107" s="324">
        <f t="shared" si="32"/>
        <v>57550.960000000006</v>
      </c>
    </row>
    <row r="2108" spans="1:5" x14ac:dyDescent="0.25">
      <c r="A2108" s="323" t="s">
        <v>4174</v>
      </c>
      <c r="B2108" s="323" t="s">
        <v>805</v>
      </c>
      <c r="C2108" s="323">
        <v>41148</v>
      </c>
      <c r="D2108" s="323">
        <v>191</v>
      </c>
      <c r="E2108" s="324">
        <f t="shared" si="32"/>
        <v>46577.26</v>
      </c>
    </row>
    <row r="2109" spans="1:5" x14ac:dyDescent="0.25">
      <c r="A2109" s="323" t="s">
        <v>4304</v>
      </c>
      <c r="B2109" s="323" t="s">
        <v>805</v>
      </c>
      <c r="C2109" s="323">
        <v>41148</v>
      </c>
      <c r="D2109" s="323">
        <v>235</v>
      </c>
      <c r="E2109" s="324">
        <f t="shared" si="32"/>
        <v>57307.100000000006</v>
      </c>
    </row>
    <row r="2110" spans="1:5" x14ac:dyDescent="0.25">
      <c r="A2110" s="323" t="s">
        <v>7350</v>
      </c>
      <c r="B2110" s="323" t="s">
        <v>805</v>
      </c>
      <c r="C2110" s="323">
        <v>41148</v>
      </c>
      <c r="D2110" s="323">
        <v>211</v>
      </c>
      <c r="E2110" s="324">
        <f t="shared" si="32"/>
        <v>51454.460000000006</v>
      </c>
    </row>
    <row r="2111" spans="1:5" x14ac:dyDescent="0.25">
      <c r="A2111" s="323" t="s">
        <v>1974</v>
      </c>
      <c r="B2111" s="323" t="s">
        <v>805</v>
      </c>
      <c r="C2111" s="323">
        <v>41154</v>
      </c>
      <c r="D2111" s="323">
        <v>199</v>
      </c>
      <c r="E2111" s="324">
        <f t="shared" si="32"/>
        <v>48528.14</v>
      </c>
    </row>
    <row r="2112" spans="1:5" x14ac:dyDescent="0.25">
      <c r="A2112" s="323" t="s">
        <v>2805</v>
      </c>
      <c r="B2112" s="323" t="s">
        <v>805</v>
      </c>
      <c r="C2112" s="323">
        <v>41154</v>
      </c>
      <c r="D2112" s="323">
        <v>361</v>
      </c>
      <c r="E2112" s="324">
        <f t="shared" si="32"/>
        <v>88033.46</v>
      </c>
    </row>
    <row r="2113" spans="1:5" x14ac:dyDescent="0.25">
      <c r="A2113" s="323" t="s">
        <v>2965</v>
      </c>
      <c r="B2113" s="323" t="s">
        <v>805</v>
      </c>
      <c r="C2113" s="323">
        <v>41154</v>
      </c>
      <c r="D2113" s="323">
        <v>164</v>
      </c>
      <c r="E2113" s="324">
        <f t="shared" si="32"/>
        <v>39993.040000000001</v>
      </c>
    </row>
    <row r="2114" spans="1:5" x14ac:dyDescent="0.25">
      <c r="A2114" s="323" t="s">
        <v>3276</v>
      </c>
      <c r="B2114" s="323" t="s">
        <v>805</v>
      </c>
      <c r="C2114" s="323">
        <v>41154</v>
      </c>
      <c r="D2114" s="323">
        <v>336</v>
      </c>
      <c r="E2114" s="324">
        <f t="shared" ref="E2114:E2177" si="33">D2114*IF(B2114=$G$9,WerkdrukbedragPerLeerlingBo,IF(B2114=$G$10,WerkdrukbedragPerLeerlingSbo,IF(B2114=$G$11,WerkdrukbedragPerLeerlingSo,IF(B2114=$G$12,WerkdrukbedragPerLeerlingVso,0))))</f>
        <v>81936.960000000006</v>
      </c>
    </row>
    <row r="2115" spans="1:5" x14ac:dyDescent="0.25">
      <c r="A2115" s="323" t="s">
        <v>3588</v>
      </c>
      <c r="B2115" s="323" t="s">
        <v>805</v>
      </c>
      <c r="C2115" s="323">
        <v>41154</v>
      </c>
      <c r="D2115" s="323">
        <v>106</v>
      </c>
      <c r="E2115" s="324">
        <f t="shared" si="33"/>
        <v>25849.16</v>
      </c>
    </row>
    <row r="2116" spans="1:5" x14ac:dyDescent="0.25">
      <c r="A2116" s="323" t="s">
        <v>4245</v>
      </c>
      <c r="B2116" s="323" t="s">
        <v>805</v>
      </c>
      <c r="C2116" s="323">
        <v>41154</v>
      </c>
      <c r="D2116" s="323">
        <v>372</v>
      </c>
      <c r="E2116" s="324">
        <f t="shared" si="33"/>
        <v>90715.92</v>
      </c>
    </row>
    <row r="2117" spans="1:5" x14ac:dyDescent="0.25">
      <c r="A2117" s="323" t="s">
        <v>4572</v>
      </c>
      <c r="B2117" s="323" t="s">
        <v>805</v>
      </c>
      <c r="C2117" s="323">
        <v>41154</v>
      </c>
      <c r="D2117" s="323">
        <v>198</v>
      </c>
      <c r="E2117" s="324">
        <f t="shared" si="33"/>
        <v>48284.280000000006</v>
      </c>
    </row>
    <row r="2118" spans="1:5" x14ac:dyDescent="0.25">
      <c r="A2118" s="323" t="s">
        <v>4658</v>
      </c>
      <c r="B2118" s="323" t="s">
        <v>805</v>
      </c>
      <c r="C2118" s="323">
        <v>41154</v>
      </c>
      <c r="D2118" s="323">
        <v>192</v>
      </c>
      <c r="E2118" s="324">
        <f t="shared" si="33"/>
        <v>46821.120000000003</v>
      </c>
    </row>
    <row r="2119" spans="1:5" x14ac:dyDescent="0.25">
      <c r="A2119" s="323" t="s">
        <v>4720</v>
      </c>
      <c r="B2119" s="323" t="s">
        <v>805</v>
      </c>
      <c r="C2119" s="323">
        <v>41154</v>
      </c>
      <c r="D2119" s="323">
        <v>303</v>
      </c>
      <c r="E2119" s="324">
        <f t="shared" si="33"/>
        <v>73889.58</v>
      </c>
    </row>
    <row r="2120" spans="1:5" x14ac:dyDescent="0.25">
      <c r="A2120" s="323" t="s">
        <v>5654</v>
      </c>
      <c r="B2120" s="323" t="s">
        <v>816</v>
      </c>
      <c r="C2120" s="323">
        <v>41154</v>
      </c>
      <c r="D2120" s="323">
        <v>98</v>
      </c>
      <c r="E2120" s="324">
        <f t="shared" si="33"/>
        <v>35847.420000000006</v>
      </c>
    </row>
    <row r="2121" spans="1:5" x14ac:dyDescent="0.25">
      <c r="A2121" s="323" t="s">
        <v>6890</v>
      </c>
      <c r="B2121" s="323" t="s">
        <v>805</v>
      </c>
      <c r="C2121" s="323">
        <v>41154</v>
      </c>
      <c r="D2121" s="323">
        <v>216</v>
      </c>
      <c r="E2121" s="324">
        <f t="shared" si="33"/>
        <v>52673.760000000002</v>
      </c>
    </row>
    <row r="2122" spans="1:5" x14ac:dyDescent="0.25">
      <c r="A2122" s="323" t="s">
        <v>6890</v>
      </c>
      <c r="B2122" s="323" t="s">
        <v>805</v>
      </c>
      <c r="C2122" s="323">
        <v>41154</v>
      </c>
      <c r="D2122" s="323">
        <v>259</v>
      </c>
      <c r="E2122" s="324">
        <f t="shared" si="33"/>
        <v>63159.740000000005</v>
      </c>
    </row>
    <row r="2123" spans="1:5" x14ac:dyDescent="0.25">
      <c r="A2123" s="323" t="s">
        <v>7409</v>
      </c>
      <c r="B2123" s="323" t="s">
        <v>805</v>
      </c>
      <c r="C2123" s="323">
        <v>41154</v>
      </c>
      <c r="D2123" s="323">
        <v>221</v>
      </c>
      <c r="E2123" s="324">
        <f t="shared" si="33"/>
        <v>53893.060000000005</v>
      </c>
    </row>
    <row r="2124" spans="1:5" x14ac:dyDescent="0.25">
      <c r="A2124" s="323" t="s">
        <v>7448</v>
      </c>
      <c r="B2124" s="323" t="s">
        <v>805</v>
      </c>
      <c r="C2124" s="323">
        <v>41154</v>
      </c>
      <c r="D2124" s="323">
        <v>417</v>
      </c>
      <c r="E2124" s="324">
        <f t="shared" si="33"/>
        <v>101689.62000000001</v>
      </c>
    </row>
    <row r="2125" spans="1:5" x14ac:dyDescent="0.25">
      <c r="A2125" s="323" t="s">
        <v>1031</v>
      </c>
      <c r="B2125" s="323" t="s">
        <v>805</v>
      </c>
      <c r="C2125" s="323">
        <v>41167</v>
      </c>
      <c r="D2125" s="323">
        <v>121</v>
      </c>
      <c r="E2125" s="324">
        <f t="shared" si="33"/>
        <v>29507.06</v>
      </c>
    </row>
    <row r="2126" spans="1:5" x14ac:dyDescent="0.25">
      <c r="A2126" s="323" t="s">
        <v>5410</v>
      </c>
      <c r="B2126" s="323" t="s">
        <v>805</v>
      </c>
      <c r="C2126" s="323">
        <v>41167</v>
      </c>
      <c r="D2126" s="323">
        <v>190</v>
      </c>
      <c r="E2126" s="324">
        <f t="shared" si="33"/>
        <v>46333.4</v>
      </c>
    </row>
    <row r="2127" spans="1:5" x14ac:dyDescent="0.25">
      <c r="A2127" s="323" t="s">
        <v>6806</v>
      </c>
      <c r="B2127" s="323" t="s">
        <v>805</v>
      </c>
      <c r="C2127" s="323">
        <v>41167</v>
      </c>
      <c r="D2127" s="323">
        <v>276</v>
      </c>
      <c r="E2127" s="324">
        <f t="shared" si="33"/>
        <v>67305.36</v>
      </c>
    </row>
    <row r="2128" spans="1:5" x14ac:dyDescent="0.25">
      <c r="A2128" s="323" t="s">
        <v>7392</v>
      </c>
      <c r="B2128" s="323" t="s">
        <v>805</v>
      </c>
      <c r="C2128" s="323">
        <v>41167</v>
      </c>
      <c r="D2128" s="323">
        <v>163</v>
      </c>
      <c r="E2128" s="324">
        <f t="shared" si="33"/>
        <v>39749.18</v>
      </c>
    </row>
    <row r="2129" spans="1:5" x14ac:dyDescent="0.25">
      <c r="A2129" s="323" t="s">
        <v>1664</v>
      </c>
      <c r="B2129" s="323" t="s">
        <v>805</v>
      </c>
      <c r="C2129" s="323">
        <v>41184</v>
      </c>
      <c r="D2129" s="323">
        <v>236</v>
      </c>
      <c r="E2129" s="324">
        <f t="shared" si="33"/>
        <v>57550.960000000006</v>
      </c>
    </row>
    <row r="2130" spans="1:5" x14ac:dyDescent="0.25">
      <c r="A2130" s="323" t="s">
        <v>2764</v>
      </c>
      <c r="B2130" s="323" t="s">
        <v>805</v>
      </c>
      <c r="C2130" s="323">
        <v>41184</v>
      </c>
      <c r="D2130" s="323">
        <v>397</v>
      </c>
      <c r="E2130" s="324">
        <f t="shared" si="33"/>
        <v>96812.42</v>
      </c>
    </row>
    <row r="2131" spans="1:5" x14ac:dyDescent="0.25">
      <c r="A2131" s="323" t="s">
        <v>1427</v>
      </c>
      <c r="B2131" s="323" t="s">
        <v>805</v>
      </c>
      <c r="C2131" s="323">
        <v>41191</v>
      </c>
      <c r="D2131" s="323">
        <v>160</v>
      </c>
      <c r="E2131" s="324">
        <f t="shared" si="33"/>
        <v>39017.600000000006</v>
      </c>
    </row>
    <row r="2132" spans="1:5" x14ac:dyDescent="0.25">
      <c r="A2132" s="323" t="s">
        <v>3054</v>
      </c>
      <c r="B2132" s="323" t="s">
        <v>805</v>
      </c>
      <c r="C2132" s="323">
        <v>41191</v>
      </c>
      <c r="D2132" s="323">
        <v>79</v>
      </c>
      <c r="E2132" s="324">
        <f t="shared" si="33"/>
        <v>19264.940000000002</v>
      </c>
    </row>
    <row r="2133" spans="1:5" x14ac:dyDescent="0.25">
      <c r="A2133" s="323" t="s">
        <v>3194</v>
      </c>
      <c r="B2133" s="323" t="s">
        <v>805</v>
      </c>
      <c r="C2133" s="323">
        <v>41191</v>
      </c>
      <c r="D2133" s="323">
        <v>169</v>
      </c>
      <c r="E2133" s="324">
        <f t="shared" si="33"/>
        <v>41212.340000000004</v>
      </c>
    </row>
    <row r="2134" spans="1:5" x14ac:dyDescent="0.25">
      <c r="A2134" s="323" t="s">
        <v>3199</v>
      </c>
      <c r="B2134" s="323" t="s">
        <v>805</v>
      </c>
      <c r="C2134" s="323">
        <v>41191</v>
      </c>
      <c r="D2134" s="323">
        <v>141</v>
      </c>
      <c r="E2134" s="324">
        <f t="shared" si="33"/>
        <v>34384.26</v>
      </c>
    </row>
    <row r="2135" spans="1:5" x14ac:dyDescent="0.25">
      <c r="A2135" s="323" t="s">
        <v>3412</v>
      </c>
      <c r="B2135" s="323" t="s">
        <v>805</v>
      </c>
      <c r="C2135" s="323">
        <v>41191</v>
      </c>
      <c r="D2135" s="323">
        <v>103</v>
      </c>
      <c r="E2135" s="324">
        <f t="shared" si="33"/>
        <v>25117.58</v>
      </c>
    </row>
    <row r="2136" spans="1:5" x14ac:dyDescent="0.25">
      <c r="A2136" s="323" t="s">
        <v>3427</v>
      </c>
      <c r="B2136" s="323" t="s">
        <v>805</v>
      </c>
      <c r="C2136" s="323">
        <v>41191</v>
      </c>
      <c r="D2136" s="323">
        <v>49</v>
      </c>
      <c r="E2136" s="324">
        <f t="shared" si="33"/>
        <v>11949.140000000001</v>
      </c>
    </row>
    <row r="2137" spans="1:5" x14ac:dyDescent="0.25">
      <c r="A2137" s="323" t="s">
        <v>3536</v>
      </c>
      <c r="B2137" s="323" t="s">
        <v>805</v>
      </c>
      <c r="C2137" s="323">
        <v>41191</v>
      </c>
      <c r="D2137" s="323">
        <v>45</v>
      </c>
      <c r="E2137" s="324">
        <f t="shared" si="33"/>
        <v>10973.7</v>
      </c>
    </row>
    <row r="2138" spans="1:5" x14ac:dyDescent="0.25">
      <c r="A2138" s="323" t="s">
        <v>3913</v>
      </c>
      <c r="B2138" s="323" t="s">
        <v>805</v>
      </c>
      <c r="C2138" s="323">
        <v>41191</v>
      </c>
      <c r="D2138" s="323">
        <v>133</v>
      </c>
      <c r="E2138" s="324">
        <f t="shared" si="33"/>
        <v>32433.38</v>
      </c>
    </row>
    <row r="2139" spans="1:5" x14ac:dyDescent="0.25">
      <c r="A2139" s="323" t="s">
        <v>3926</v>
      </c>
      <c r="B2139" s="323" t="s">
        <v>805</v>
      </c>
      <c r="C2139" s="323">
        <v>41191</v>
      </c>
      <c r="D2139" s="323">
        <v>183</v>
      </c>
      <c r="E2139" s="324">
        <f t="shared" si="33"/>
        <v>44626.380000000005</v>
      </c>
    </row>
    <row r="2140" spans="1:5" x14ac:dyDescent="0.25">
      <c r="A2140" s="323" t="s">
        <v>4090</v>
      </c>
      <c r="B2140" s="323" t="s">
        <v>805</v>
      </c>
      <c r="C2140" s="323">
        <v>41191</v>
      </c>
      <c r="D2140" s="323">
        <v>176</v>
      </c>
      <c r="E2140" s="324">
        <f t="shared" si="33"/>
        <v>42919.360000000001</v>
      </c>
    </row>
    <row r="2141" spans="1:5" x14ac:dyDescent="0.25">
      <c r="A2141" s="323" t="s">
        <v>4204</v>
      </c>
      <c r="B2141" s="323" t="s">
        <v>805</v>
      </c>
      <c r="C2141" s="323">
        <v>41191</v>
      </c>
      <c r="D2141" s="323">
        <v>235</v>
      </c>
      <c r="E2141" s="324">
        <f t="shared" si="33"/>
        <v>57307.100000000006</v>
      </c>
    </row>
    <row r="2142" spans="1:5" x14ac:dyDescent="0.25">
      <c r="A2142" s="323" t="s">
        <v>4219</v>
      </c>
      <c r="B2142" s="323" t="s">
        <v>805</v>
      </c>
      <c r="C2142" s="323">
        <v>41191</v>
      </c>
      <c r="D2142" s="323">
        <v>65</v>
      </c>
      <c r="E2142" s="324">
        <f t="shared" si="33"/>
        <v>15850.900000000001</v>
      </c>
    </row>
    <row r="2143" spans="1:5" x14ac:dyDescent="0.25">
      <c r="A2143" s="323" t="s">
        <v>4536</v>
      </c>
      <c r="B2143" s="323" t="s">
        <v>805</v>
      </c>
      <c r="C2143" s="323">
        <v>41191</v>
      </c>
      <c r="D2143" s="323">
        <v>197</v>
      </c>
      <c r="E2143" s="324">
        <f t="shared" si="33"/>
        <v>48040.420000000006</v>
      </c>
    </row>
    <row r="2144" spans="1:5" x14ac:dyDescent="0.25">
      <c r="A2144" s="323" t="s">
        <v>4552</v>
      </c>
      <c r="B2144" s="323" t="s">
        <v>805</v>
      </c>
      <c r="C2144" s="323">
        <v>41191</v>
      </c>
      <c r="D2144" s="323">
        <v>78</v>
      </c>
      <c r="E2144" s="324">
        <f t="shared" si="33"/>
        <v>19021.080000000002</v>
      </c>
    </row>
    <row r="2145" spans="1:5" x14ac:dyDescent="0.25">
      <c r="A2145" s="323" t="s">
        <v>4625</v>
      </c>
      <c r="B2145" s="323" t="s">
        <v>805</v>
      </c>
      <c r="C2145" s="323">
        <v>41191</v>
      </c>
      <c r="D2145" s="323">
        <v>115</v>
      </c>
      <c r="E2145" s="324">
        <f t="shared" si="33"/>
        <v>28043.9</v>
      </c>
    </row>
    <row r="2146" spans="1:5" x14ac:dyDescent="0.25">
      <c r="A2146" s="323" t="s">
        <v>4653</v>
      </c>
      <c r="B2146" s="323" t="s">
        <v>805</v>
      </c>
      <c r="C2146" s="323">
        <v>41191</v>
      </c>
      <c r="D2146" s="323">
        <v>199</v>
      </c>
      <c r="E2146" s="324">
        <f t="shared" si="33"/>
        <v>48528.14</v>
      </c>
    </row>
    <row r="2147" spans="1:5" x14ac:dyDescent="0.25">
      <c r="A2147" s="323" t="s">
        <v>7080</v>
      </c>
      <c r="B2147" s="323" t="s">
        <v>805</v>
      </c>
      <c r="C2147" s="323">
        <v>41191</v>
      </c>
      <c r="D2147" s="323">
        <v>191</v>
      </c>
      <c r="E2147" s="324">
        <f t="shared" si="33"/>
        <v>46577.26</v>
      </c>
    </row>
    <row r="2148" spans="1:5" x14ac:dyDescent="0.25">
      <c r="A2148" s="323" t="s">
        <v>7113</v>
      </c>
      <c r="B2148" s="323" t="s">
        <v>805</v>
      </c>
      <c r="C2148" s="323">
        <v>41191</v>
      </c>
      <c r="D2148" s="323">
        <v>174</v>
      </c>
      <c r="E2148" s="324">
        <f t="shared" si="33"/>
        <v>42431.64</v>
      </c>
    </row>
    <row r="2149" spans="1:5" x14ac:dyDescent="0.25">
      <c r="A2149" s="323" t="s">
        <v>1516</v>
      </c>
      <c r="B2149" s="323" t="s">
        <v>805</v>
      </c>
      <c r="C2149" s="323">
        <v>41194</v>
      </c>
      <c r="D2149" s="323">
        <v>147</v>
      </c>
      <c r="E2149" s="324">
        <f t="shared" si="33"/>
        <v>35847.420000000006</v>
      </c>
    </row>
    <row r="2150" spans="1:5" x14ac:dyDescent="0.25">
      <c r="A2150" s="323" t="s">
        <v>1535</v>
      </c>
      <c r="B2150" s="323" t="s">
        <v>816</v>
      </c>
      <c r="C2150" s="323">
        <v>41194</v>
      </c>
      <c r="D2150" s="323">
        <v>133</v>
      </c>
      <c r="E2150" s="324">
        <f t="shared" si="33"/>
        <v>48650.07</v>
      </c>
    </row>
    <row r="2151" spans="1:5" x14ac:dyDescent="0.25">
      <c r="A2151" s="323" t="s">
        <v>1581</v>
      </c>
      <c r="B2151" s="323" t="s">
        <v>805</v>
      </c>
      <c r="C2151" s="323">
        <v>41194</v>
      </c>
      <c r="D2151" s="323">
        <v>217</v>
      </c>
      <c r="E2151" s="324">
        <f t="shared" si="33"/>
        <v>52917.62</v>
      </c>
    </row>
    <row r="2152" spans="1:5" x14ac:dyDescent="0.25">
      <c r="A2152" s="323" t="s">
        <v>1585</v>
      </c>
      <c r="B2152" s="323" t="s">
        <v>805</v>
      </c>
      <c r="C2152" s="323">
        <v>41194</v>
      </c>
      <c r="D2152" s="323">
        <v>195</v>
      </c>
      <c r="E2152" s="324">
        <f t="shared" si="33"/>
        <v>47552.700000000004</v>
      </c>
    </row>
    <row r="2153" spans="1:5" x14ac:dyDescent="0.25">
      <c r="A2153" s="323" t="s">
        <v>1952</v>
      </c>
      <c r="B2153" s="323" t="s">
        <v>805</v>
      </c>
      <c r="C2153" s="323">
        <v>41194</v>
      </c>
      <c r="D2153" s="323">
        <v>110</v>
      </c>
      <c r="E2153" s="324">
        <f t="shared" si="33"/>
        <v>26824.600000000002</v>
      </c>
    </row>
    <row r="2154" spans="1:5" x14ac:dyDescent="0.25">
      <c r="A2154" s="323" t="s">
        <v>1963</v>
      </c>
      <c r="B2154" s="323" t="s">
        <v>805</v>
      </c>
      <c r="C2154" s="323">
        <v>41194</v>
      </c>
      <c r="D2154" s="323">
        <v>182</v>
      </c>
      <c r="E2154" s="324">
        <f t="shared" si="33"/>
        <v>44382.520000000004</v>
      </c>
    </row>
    <row r="2155" spans="1:5" x14ac:dyDescent="0.25">
      <c r="A2155" s="323" t="s">
        <v>2035</v>
      </c>
      <c r="B2155" s="323" t="s">
        <v>805</v>
      </c>
      <c r="C2155" s="323">
        <v>41194</v>
      </c>
      <c r="D2155" s="323">
        <v>150</v>
      </c>
      <c r="E2155" s="324">
        <f t="shared" si="33"/>
        <v>36579</v>
      </c>
    </row>
    <row r="2156" spans="1:5" x14ac:dyDescent="0.25">
      <c r="A2156" s="323" t="s">
        <v>2496</v>
      </c>
      <c r="B2156" s="323" t="s">
        <v>805</v>
      </c>
      <c r="C2156" s="323">
        <v>41194</v>
      </c>
      <c r="D2156" s="323">
        <v>159</v>
      </c>
      <c r="E2156" s="324">
        <f t="shared" si="33"/>
        <v>38773.740000000005</v>
      </c>
    </row>
    <row r="2157" spans="1:5" x14ac:dyDescent="0.25">
      <c r="A2157" s="323" t="s">
        <v>2757</v>
      </c>
      <c r="B2157" s="323" t="s">
        <v>805</v>
      </c>
      <c r="C2157" s="323">
        <v>41194</v>
      </c>
      <c r="D2157" s="323">
        <v>125</v>
      </c>
      <c r="E2157" s="324">
        <f t="shared" si="33"/>
        <v>30482.5</v>
      </c>
    </row>
    <row r="2158" spans="1:5" x14ac:dyDescent="0.25">
      <c r="A2158" s="323" t="s">
        <v>3333</v>
      </c>
      <c r="B2158" s="323" t="s">
        <v>805</v>
      </c>
      <c r="C2158" s="323">
        <v>41194</v>
      </c>
      <c r="D2158" s="323">
        <v>183</v>
      </c>
      <c r="E2158" s="324">
        <f t="shared" si="33"/>
        <v>44626.380000000005</v>
      </c>
    </row>
    <row r="2159" spans="1:5" x14ac:dyDescent="0.25">
      <c r="A2159" s="323" t="s">
        <v>3341</v>
      </c>
      <c r="B2159" s="323" t="s">
        <v>805</v>
      </c>
      <c r="C2159" s="323">
        <v>41194</v>
      </c>
      <c r="D2159" s="323">
        <v>236</v>
      </c>
      <c r="E2159" s="324">
        <f t="shared" si="33"/>
        <v>57550.960000000006</v>
      </c>
    </row>
    <row r="2160" spans="1:5" x14ac:dyDescent="0.25">
      <c r="A2160" s="323" t="s">
        <v>3621</v>
      </c>
      <c r="B2160" s="323" t="s">
        <v>805</v>
      </c>
      <c r="C2160" s="323">
        <v>41194</v>
      </c>
      <c r="D2160" s="323">
        <v>154</v>
      </c>
      <c r="E2160" s="324">
        <f t="shared" si="33"/>
        <v>37554.44</v>
      </c>
    </row>
    <row r="2161" spans="1:5" x14ac:dyDescent="0.25">
      <c r="A2161" s="323" t="s">
        <v>3864</v>
      </c>
      <c r="B2161" s="323" t="s">
        <v>805</v>
      </c>
      <c r="C2161" s="323">
        <v>41194</v>
      </c>
      <c r="D2161" s="323">
        <v>177</v>
      </c>
      <c r="E2161" s="324">
        <f t="shared" si="33"/>
        <v>43163.22</v>
      </c>
    </row>
    <row r="2162" spans="1:5" x14ac:dyDescent="0.25">
      <c r="A2162" s="323" t="s">
        <v>3869</v>
      </c>
      <c r="B2162" s="323" t="s">
        <v>805</v>
      </c>
      <c r="C2162" s="323">
        <v>41194</v>
      </c>
      <c r="D2162" s="323">
        <v>331</v>
      </c>
      <c r="E2162" s="324">
        <f t="shared" si="33"/>
        <v>80717.66</v>
      </c>
    </row>
    <row r="2163" spans="1:5" x14ac:dyDescent="0.25">
      <c r="A2163" s="323" t="s">
        <v>6827</v>
      </c>
      <c r="B2163" s="323" t="s">
        <v>805</v>
      </c>
      <c r="C2163" s="323">
        <v>41194</v>
      </c>
      <c r="D2163" s="323">
        <v>284</v>
      </c>
      <c r="E2163" s="324">
        <f t="shared" si="33"/>
        <v>69256.240000000005</v>
      </c>
    </row>
    <row r="2164" spans="1:5" x14ac:dyDescent="0.25">
      <c r="A2164" s="323" t="s">
        <v>1649</v>
      </c>
      <c r="B2164" s="323" t="s">
        <v>805</v>
      </c>
      <c r="C2164" s="323">
        <v>41196</v>
      </c>
      <c r="D2164" s="323">
        <v>149</v>
      </c>
      <c r="E2164" s="324">
        <f t="shared" si="33"/>
        <v>36335.14</v>
      </c>
    </row>
    <row r="2165" spans="1:5" x14ac:dyDescent="0.25">
      <c r="A2165" s="323" t="s">
        <v>1904</v>
      </c>
      <c r="B2165" s="323" t="s">
        <v>805</v>
      </c>
      <c r="C2165" s="323">
        <v>41196</v>
      </c>
      <c r="D2165" s="323">
        <v>37</v>
      </c>
      <c r="E2165" s="324">
        <f t="shared" si="33"/>
        <v>9022.82</v>
      </c>
    </row>
    <row r="2166" spans="1:5" x14ac:dyDescent="0.25">
      <c r="A2166" s="323" t="s">
        <v>1973</v>
      </c>
      <c r="B2166" s="323" t="s">
        <v>805</v>
      </c>
      <c r="C2166" s="323">
        <v>41196</v>
      </c>
      <c r="D2166" s="323">
        <v>89</v>
      </c>
      <c r="E2166" s="324">
        <f t="shared" si="33"/>
        <v>21703.54</v>
      </c>
    </row>
    <row r="2167" spans="1:5" x14ac:dyDescent="0.25">
      <c r="A2167" s="323" t="s">
        <v>1985</v>
      </c>
      <c r="B2167" s="323" t="s">
        <v>805</v>
      </c>
      <c r="C2167" s="323">
        <v>41196</v>
      </c>
      <c r="D2167" s="323">
        <v>131</v>
      </c>
      <c r="E2167" s="324">
        <f t="shared" si="33"/>
        <v>31945.660000000003</v>
      </c>
    </row>
    <row r="2168" spans="1:5" x14ac:dyDescent="0.25">
      <c r="A2168" s="323" t="s">
        <v>1996</v>
      </c>
      <c r="B2168" s="323" t="s">
        <v>805</v>
      </c>
      <c r="C2168" s="323">
        <v>41196</v>
      </c>
      <c r="D2168" s="323">
        <v>75</v>
      </c>
      <c r="E2168" s="324">
        <f t="shared" si="33"/>
        <v>18289.5</v>
      </c>
    </row>
    <row r="2169" spans="1:5" x14ac:dyDescent="0.25">
      <c r="A2169" s="323" t="s">
        <v>2694</v>
      </c>
      <c r="B2169" s="323" t="s">
        <v>805</v>
      </c>
      <c r="C2169" s="323">
        <v>41196</v>
      </c>
      <c r="D2169" s="323">
        <v>62</v>
      </c>
      <c r="E2169" s="324">
        <f t="shared" si="33"/>
        <v>15119.320000000002</v>
      </c>
    </row>
    <row r="2170" spans="1:5" x14ac:dyDescent="0.25">
      <c r="A2170" s="323" t="s">
        <v>3159</v>
      </c>
      <c r="B2170" s="323" t="s">
        <v>805</v>
      </c>
      <c r="C2170" s="323">
        <v>41196</v>
      </c>
      <c r="D2170" s="323">
        <v>52</v>
      </c>
      <c r="E2170" s="324">
        <f t="shared" si="33"/>
        <v>12680.720000000001</v>
      </c>
    </row>
    <row r="2171" spans="1:5" x14ac:dyDescent="0.25">
      <c r="A2171" s="323" t="s">
        <v>3500</v>
      </c>
      <c r="B2171" s="323" t="s">
        <v>805</v>
      </c>
      <c r="C2171" s="323">
        <v>41196</v>
      </c>
      <c r="D2171" s="323">
        <v>243</v>
      </c>
      <c r="E2171" s="324">
        <f t="shared" si="33"/>
        <v>59257.98</v>
      </c>
    </row>
    <row r="2172" spans="1:5" x14ac:dyDescent="0.25">
      <c r="A2172" s="323" t="s">
        <v>988</v>
      </c>
      <c r="B2172" s="323" t="s">
        <v>803</v>
      </c>
      <c r="C2172" s="323">
        <v>41200</v>
      </c>
      <c r="D2172" s="323">
        <v>180</v>
      </c>
      <c r="E2172" s="324">
        <f t="shared" si="33"/>
        <v>87789.6</v>
      </c>
    </row>
    <row r="2173" spans="1:5" x14ac:dyDescent="0.25">
      <c r="A2173" s="323" t="s">
        <v>988</v>
      </c>
      <c r="B2173" s="323" t="s">
        <v>809</v>
      </c>
      <c r="C2173" s="323">
        <v>41200</v>
      </c>
      <c r="D2173" s="323">
        <v>143</v>
      </c>
      <c r="E2173" s="324">
        <f t="shared" si="33"/>
        <v>69743.960000000006</v>
      </c>
    </row>
    <row r="2174" spans="1:5" x14ac:dyDescent="0.25">
      <c r="A2174" s="323" t="s">
        <v>988</v>
      </c>
      <c r="B2174" s="323" t="s">
        <v>803</v>
      </c>
      <c r="C2174" s="323">
        <v>41200</v>
      </c>
      <c r="D2174" s="323">
        <v>183</v>
      </c>
      <c r="E2174" s="324">
        <f t="shared" si="33"/>
        <v>89252.760000000009</v>
      </c>
    </row>
    <row r="2175" spans="1:5" x14ac:dyDescent="0.25">
      <c r="A2175" s="323" t="s">
        <v>988</v>
      </c>
      <c r="B2175" s="323" t="s">
        <v>803</v>
      </c>
      <c r="C2175" s="323">
        <v>41200</v>
      </c>
      <c r="D2175" s="323">
        <v>72</v>
      </c>
      <c r="E2175" s="324">
        <f t="shared" si="33"/>
        <v>35115.840000000004</v>
      </c>
    </row>
    <row r="2176" spans="1:5" x14ac:dyDescent="0.25">
      <c r="A2176" s="323" t="s">
        <v>988</v>
      </c>
      <c r="B2176" s="323" t="s">
        <v>809</v>
      </c>
      <c r="C2176" s="323">
        <v>41200</v>
      </c>
      <c r="D2176" s="323">
        <v>85</v>
      </c>
      <c r="E2176" s="324">
        <f t="shared" si="33"/>
        <v>41456.200000000004</v>
      </c>
    </row>
    <row r="2177" spans="1:5" x14ac:dyDescent="0.25">
      <c r="A2177" s="323" t="s">
        <v>988</v>
      </c>
      <c r="B2177" s="323" t="s">
        <v>803</v>
      </c>
      <c r="C2177" s="323">
        <v>41200</v>
      </c>
      <c r="D2177" s="323">
        <v>352</v>
      </c>
      <c r="E2177" s="324">
        <f t="shared" si="33"/>
        <v>171677.44</v>
      </c>
    </row>
    <row r="2178" spans="1:5" x14ac:dyDescent="0.25">
      <c r="A2178" s="323" t="s">
        <v>988</v>
      </c>
      <c r="B2178" s="323" t="s">
        <v>803</v>
      </c>
      <c r="C2178" s="323">
        <v>41200</v>
      </c>
      <c r="D2178" s="323">
        <v>35</v>
      </c>
      <c r="E2178" s="324">
        <f t="shared" ref="E2178:E2241" si="34">D2178*IF(B2178=$G$9,WerkdrukbedragPerLeerlingBo,IF(B2178=$G$10,WerkdrukbedragPerLeerlingSbo,IF(B2178=$G$11,WerkdrukbedragPerLeerlingSo,IF(B2178=$G$12,WerkdrukbedragPerLeerlingVso,0))))</f>
        <v>17070.2</v>
      </c>
    </row>
    <row r="2179" spans="1:5" x14ac:dyDescent="0.25">
      <c r="A2179" s="323" t="s">
        <v>2873</v>
      </c>
      <c r="B2179" s="323" t="s">
        <v>809</v>
      </c>
      <c r="C2179" s="323">
        <v>41200</v>
      </c>
      <c r="D2179" s="323">
        <v>151</v>
      </c>
      <c r="E2179" s="324">
        <f t="shared" si="34"/>
        <v>73645.72</v>
      </c>
    </row>
    <row r="2180" spans="1:5" x14ac:dyDescent="0.25">
      <c r="A2180" s="323" t="s">
        <v>2873</v>
      </c>
      <c r="B2180" s="323" t="s">
        <v>809</v>
      </c>
      <c r="C2180" s="323">
        <v>41200</v>
      </c>
      <c r="D2180" s="323">
        <v>127</v>
      </c>
      <c r="E2180" s="324">
        <f t="shared" si="34"/>
        <v>61940.44</v>
      </c>
    </row>
    <row r="2181" spans="1:5" x14ac:dyDescent="0.25">
      <c r="A2181" s="323" t="s">
        <v>6935</v>
      </c>
      <c r="B2181" s="323" t="s">
        <v>803</v>
      </c>
      <c r="C2181" s="323">
        <v>41200</v>
      </c>
      <c r="D2181" s="323">
        <v>28</v>
      </c>
      <c r="E2181" s="324">
        <f t="shared" si="34"/>
        <v>13656.16</v>
      </c>
    </row>
    <row r="2182" spans="1:5" x14ac:dyDescent="0.25">
      <c r="A2182" s="323" t="s">
        <v>6935</v>
      </c>
      <c r="B2182" s="323" t="s">
        <v>803</v>
      </c>
      <c r="C2182" s="323">
        <v>41200</v>
      </c>
      <c r="D2182" s="323">
        <v>63</v>
      </c>
      <c r="E2182" s="324">
        <f t="shared" si="34"/>
        <v>30726.36</v>
      </c>
    </row>
    <row r="2183" spans="1:5" x14ac:dyDescent="0.25">
      <c r="A2183" s="323" t="s">
        <v>6935</v>
      </c>
      <c r="B2183" s="323" t="s">
        <v>809</v>
      </c>
      <c r="C2183" s="323">
        <v>41200</v>
      </c>
      <c r="D2183" s="323">
        <v>193</v>
      </c>
      <c r="E2183" s="324">
        <f t="shared" si="34"/>
        <v>94129.96</v>
      </c>
    </row>
    <row r="2184" spans="1:5" x14ac:dyDescent="0.25">
      <c r="A2184" s="323" t="s">
        <v>1422</v>
      </c>
      <c r="B2184" s="323" t="s">
        <v>816</v>
      </c>
      <c r="C2184" s="323">
        <v>41202</v>
      </c>
      <c r="D2184" s="323">
        <v>54</v>
      </c>
      <c r="E2184" s="324">
        <f t="shared" si="34"/>
        <v>19752.66</v>
      </c>
    </row>
    <row r="2185" spans="1:5" x14ac:dyDescent="0.25">
      <c r="A2185" s="323" t="s">
        <v>5655</v>
      </c>
      <c r="B2185" s="323" t="s">
        <v>803</v>
      </c>
      <c r="C2185" s="323">
        <v>41208</v>
      </c>
      <c r="D2185" s="323">
        <v>90</v>
      </c>
      <c r="E2185" s="324">
        <f t="shared" si="34"/>
        <v>43894.8</v>
      </c>
    </row>
    <row r="2186" spans="1:5" x14ac:dyDescent="0.25">
      <c r="A2186" s="323" t="s">
        <v>5655</v>
      </c>
      <c r="B2186" s="323" t="s">
        <v>803</v>
      </c>
      <c r="C2186" s="323">
        <v>41208</v>
      </c>
      <c r="D2186" s="323">
        <v>122</v>
      </c>
      <c r="E2186" s="324">
        <f t="shared" si="34"/>
        <v>59501.840000000004</v>
      </c>
    </row>
    <row r="2187" spans="1:5" x14ac:dyDescent="0.25">
      <c r="A2187" s="323" t="s">
        <v>5655</v>
      </c>
      <c r="B2187" s="323" t="s">
        <v>803</v>
      </c>
      <c r="C2187" s="323">
        <v>41208</v>
      </c>
      <c r="D2187" s="323">
        <v>133</v>
      </c>
      <c r="E2187" s="324">
        <f t="shared" si="34"/>
        <v>64866.76</v>
      </c>
    </row>
    <row r="2188" spans="1:5" x14ac:dyDescent="0.25">
      <c r="A2188" s="323" t="s">
        <v>921</v>
      </c>
      <c r="B2188" s="323" t="s">
        <v>803</v>
      </c>
      <c r="C2188" s="323">
        <v>41210</v>
      </c>
      <c r="D2188" s="323">
        <v>29</v>
      </c>
      <c r="E2188" s="324">
        <f t="shared" si="34"/>
        <v>14143.880000000001</v>
      </c>
    </row>
    <row r="2189" spans="1:5" x14ac:dyDescent="0.25">
      <c r="A2189" s="323" t="s">
        <v>921</v>
      </c>
      <c r="B2189" s="323" t="s">
        <v>809</v>
      </c>
      <c r="C2189" s="323">
        <v>41210</v>
      </c>
      <c r="D2189" s="323">
        <v>53</v>
      </c>
      <c r="E2189" s="324">
        <f t="shared" si="34"/>
        <v>25849.16</v>
      </c>
    </row>
    <row r="2190" spans="1:5" x14ac:dyDescent="0.25">
      <c r="A2190" s="323" t="s">
        <v>921</v>
      </c>
      <c r="B2190" s="323" t="s">
        <v>803</v>
      </c>
      <c r="C2190" s="323">
        <v>41210</v>
      </c>
      <c r="D2190" s="323">
        <v>90</v>
      </c>
      <c r="E2190" s="324">
        <f t="shared" si="34"/>
        <v>43894.8</v>
      </c>
    </row>
    <row r="2191" spans="1:5" x14ac:dyDescent="0.25">
      <c r="A2191" s="323" t="s">
        <v>921</v>
      </c>
      <c r="B2191" s="323" t="s">
        <v>803</v>
      </c>
      <c r="C2191" s="323">
        <v>41210</v>
      </c>
      <c r="D2191" s="323">
        <v>125</v>
      </c>
      <c r="E2191" s="324">
        <f t="shared" si="34"/>
        <v>60965</v>
      </c>
    </row>
    <row r="2192" spans="1:5" x14ac:dyDescent="0.25">
      <c r="A2192" s="323" t="s">
        <v>7238</v>
      </c>
      <c r="B2192" s="323" t="s">
        <v>805</v>
      </c>
      <c r="C2192" s="323">
        <v>41213</v>
      </c>
      <c r="D2192" s="323">
        <v>353</v>
      </c>
      <c r="E2192" s="324">
        <f t="shared" si="34"/>
        <v>86082.58</v>
      </c>
    </row>
    <row r="2193" spans="1:5" x14ac:dyDescent="0.25">
      <c r="A2193" s="323" t="s">
        <v>1298</v>
      </c>
      <c r="B2193" s="323" t="s">
        <v>805</v>
      </c>
      <c r="C2193" s="323">
        <v>41223</v>
      </c>
      <c r="D2193" s="323">
        <v>119</v>
      </c>
      <c r="E2193" s="324">
        <f t="shared" si="34"/>
        <v>29019.34</v>
      </c>
    </row>
    <row r="2194" spans="1:5" x14ac:dyDescent="0.25">
      <c r="A2194" s="323" t="s">
        <v>1299</v>
      </c>
      <c r="B2194" s="323" t="s">
        <v>805</v>
      </c>
      <c r="C2194" s="323">
        <v>41223</v>
      </c>
      <c r="D2194" s="323">
        <v>223</v>
      </c>
      <c r="E2194" s="324">
        <f t="shared" si="34"/>
        <v>54380.780000000006</v>
      </c>
    </row>
    <row r="2195" spans="1:5" x14ac:dyDescent="0.25">
      <c r="A2195" s="323" t="s">
        <v>1310</v>
      </c>
      <c r="B2195" s="323" t="s">
        <v>805</v>
      </c>
      <c r="C2195" s="323">
        <v>41223</v>
      </c>
      <c r="D2195" s="323">
        <v>190</v>
      </c>
      <c r="E2195" s="324">
        <f t="shared" si="34"/>
        <v>46333.4</v>
      </c>
    </row>
    <row r="2196" spans="1:5" x14ac:dyDescent="0.25">
      <c r="A2196" s="323" t="s">
        <v>1753</v>
      </c>
      <c r="B2196" s="323" t="s">
        <v>805</v>
      </c>
      <c r="C2196" s="323">
        <v>41223</v>
      </c>
      <c r="D2196" s="323">
        <v>110</v>
      </c>
      <c r="E2196" s="324">
        <f t="shared" si="34"/>
        <v>26824.600000000002</v>
      </c>
    </row>
    <row r="2197" spans="1:5" x14ac:dyDescent="0.25">
      <c r="A2197" s="323" t="s">
        <v>2221</v>
      </c>
      <c r="B2197" s="323" t="s">
        <v>816</v>
      </c>
      <c r="C2197" s="323">
        <v>41223</v>
      </c>
      <c r="D2197" s="323">
        <v>104</v>
      </c>
      <c r="E2197" s="324">
        <f t="shared" si="34"/>
        <v>38042.160000000003</v>
      </c>
    </row>
    <row r="2198" spans="1:5" x14ac:dyDescent="0.25">
      <c r="A2198" s="323" t="s">
        <v>2221</v>
      </c>
      <c r="B2198" s="323" t="s">
        <v>816</v>
      </c>
      <c r="C2198" s="323">
        <v>41223</v>
      </c>
      <c r="D2198" s="323">
        <v>85</v>
      </c>
      <c r="E2198" s="324">
        <f t="shared" si="34"/>
        <v>31092.15</v>
      </c>
    </row>
    <row r="2199" spans="1:5" x14ac:dyDescent="0.25">
      <c r="A2199" s="323" t="s">
        <v>2297</v>
      </c>
      <c r="B2199" s="323" t="s">
        <v>805</v>
      </c>
      <c r="C2199" s="323">
        <v>41223</v>
      </c>
      <c r="D2199" s="323">
        <v>249</v>
      </c>
      <c r="E2199" s="324">
        <f t="shared" si="34"/>
        <v>60721.140000000007</v>
      </c>
    </row>
    <row r="2200" spans="1:5" x14ac:dyDescent="0.25">
      <c r="A2200" s="323" t="s">
        <v>2461</v>
      </c>
      <c r="B2200" s="323" t="s">
        <v>805</v>
      </c>
      <c r="C2200" s="323">
        <v>41223</v>
      </c>
      <c r="D2200" s="323">
        <v>156</v>
      </c>
      <c r="E2200" s="324">
        <f t="shared" si="34"/>
        <v>38042.160000000003</v>
      </c>
    </row>
    <row r="2201" spans="1:5" x14ac:dyDescent="0.25">
      <c r="A2201" s="323" t="s">
        <v>2483</v>
      </c>
      <c r="B2201" s="323" t="s">
        <v>805</v>
      </c>
      <c r="C2201" s="323">
        <v>41223</v>
      </c>
      <c r="D2201" s="323">
        <v>139</v>
      </c>
      <c r="E2201" s="324">
        <f t="shared" si="34"/>
        <v>33896.54</v>
      </c>
    </row>
    <row r="2202" spans="1:5" x14ac:dyDescent="0.25">
      <c r="A2202" s="323" t="s">
        <v>2815</v>
      </c>
      <c r="B2202" s="323" t="s">
        <v>805</v>
      </c>
      <c r="C2202" s="323">
        <v>41223</v>
      </c>
      <c r="D2202" s="323">
        <v>219</v>
      </c>
      <c r="E2202" s="324">
        <f t="shared" si="34"/>
        <v>53405.340000000004</v>
      </c>
    </row>
    <row r="2203" spans="1:5" x14ac:dyDescent="0.25">
      <c r="A2203" s="323" t="s">
        <v>3127</v>
      </c>
      <c r="B2203" s="323" t="s">
        <v>805</v>
      </c>
      <c r="C2203" s="323">
        <v>41223</v>
      </c>
      <c r="D2203" s="323">
        <v>89</v>
      </c>
      <c r="E2203" s="324">
        <f t="shared" si="34"/>
        <v>21703.54</v>
      </c>
    </row>
    <row r="2204" spans="1:5" x14ac:dyDescent="0.25">
      <c r="A2204" s="323" t="s">
        <v>3128</v>
      </c>
      <c r="B2204" s="323" t="s">
        <v>805</v>
      </c>
      <c r="C2204" s="323">
        <v>41223</v>
      </c>
      <c r="D2204" s="323">
        <v>136</v>
      </c>
      <c r="E2204" s="324">
        <f t="shared" si="34"/>
        <v>33164.959999999999</v>
      </c>
    </row>
    <row r="2205" spans="1:5" x14ac:dyDescent="0.25">
      <c r="A2205" s="323" t="s">
        <v>3284</v>
      </c>
      <c r="B2205" s="323" t="s">
        <v>805</v>
      </c>
      <c r="C2205" s="323">
        <v>41223</v>
      </c>
      <c r="D2205" s="323">
        <v>333</v>
      </c>
      <c r="E2205" s="324">
        <f t="shared" si="34"/>
        <v>81205.38</v>
      </c>
    </row>
    <row r="2206" spans="1:5" x14ac:dyDescent="0.25">
      <c r="A2206" s="323" t="s">
        <v>3456</v>
      </c>
      <c r="B2206" s="323" t="s">
        <v>805</v>
      </c>
      <c r="C2206" s="323">
        <v>41223</v>
      </c>
      <c r="D2206" s="323">
        <v>120</v>
      </c>
      <c r="E2206" s="324">
        <f t="shared" si="34"/>
        <v>29263.200000000001</v>
      </c>
    </row>
    <row r="2207" spans="1:5" x14ac:dyDescent="0.25">
      <c r="A2207" s="323" t="s">
        <v>3480</v>
      </c>
      <c r="B2207" s="323" t="s">
        <v>805</v>
      </c>
      <c r="C2207" s="323">
        <v>41223</v>
      </c>
      <c r="D2207" s="323">
        <v>285</v>
      </c>
      <c r="E2207" s="324">
        <f t="shared" si="34"/>
        <v>69500.100000000006</v>
      </c>
    </row>
    <row r="2208" spans="1:5" x14ac:dyDescent="0.25">
      <c r="A2208" s="323" t="s">
        <v>3481</v>
      </c>
      <c r="B2208" s="323" t="s">
        <v>805</v>
      </c>
      <c r="C2208" s="323">
        <v>41223</v>
      </c>
      <c r="D2208" s="323">
        <v>86</v>
      </c>
      <c r="E2208" s="324">
        <f t="shared" si="34"/>
        <v>20971.960000000003</v>
      </c>
    </row>
    <row r="2209" spans="1:5" x14ac:dyDescent="0.25">
      <c r="A2209" s="323" t="s">
        <v>3715</v>
      </c>
      <c r="B2209" s="323" t="s">
        <v>805</v>
      </c>
      <c r="C2209" s="323">
        <v>41223</v>
      </c>
      <c r="D2209" s="323">
        <v>80</v>
      </c>
      <c r="E2209" s="324">
        <f t="shared" si="34"/>
        <v>19508.800000000003</v>
      </c>
    </row>
    <row r="2210" spans="1:5" x14ac:dyDescent="0.25">
      <c r="A2210" s="323" t="s">
        <v>3729</v>
      </c>
      <c r="B2210" s="323" t="s">
        <v>805</v>
      </c>
      <c r="C2210" s="323">
        <v>41223</v>
      </c>
      <c r="D2210" s="323">
        <v>255</v>
      </c>
      <c r="E2210" s="324">
        <f t="shared" si="34"/>
        <v>62184.3</v>
      </c>
    </row>
    <row r="2211" spans="1:5" x14ac:dyDescent="0.25">
      <c r="A2211" s="323" t="s">
        <v>3748</v>
      </c>
      <c r="B2211" s="323" t="s">
        <v>805</v>
      </c>
      <c r="C2211" s="323">
        <v>41223</v>
      </c>
      <c r="D2211" s="323">
        <v>194</v>
      </c>
      <c r="E2211" s="324">
        <f t="shared" si="34"/>
        <v>47308.840000000004</v>
      </c>
    </row>
    <row r="2212" spans="1:5" x14ac:dyDescent="0.25">
      <c r="A2212" s="323" t="s">
        <v>3938</v>
      </c>
      <c r="B2212" s="323" t="s">
        <v>805</v>
      </c>
      <c r="C2212" s="323">
        <v>41223</v>
      </c>
      <c r="D2212" s="323">
        <v>133</v>
      </c>
      <c r="E2212" s="324">
        <f t="shared" si="34"/>
        <v>32433.38</v>
      </c>
    </row>
    <row r="2213" spans="1:5" x14ac:dyDescent="0.25">
      <c r="A2213" s="323" t="s">
        <v>4103</v>
      </c>
      <c r="B2213" s="323" t="s">
        <v>805</v>
      </c>
      <c r="C2213" s="323">
        <v>41223</v>
      </c>
      <c r="D2213" s="323">
        <v>206</v>
      </c>
      <c r="E2213" s="324">
        <f t="shared" si="34"/>
        <v>50235.16</v>
      </c>
    </row>
    <row r="2214" spans="1:5" x14ac:dyDescent="0.25">
      <c r="A2214" s="323" t="s">
        <v>4138</v>
      </c>
      <c r="B2214" s="323" t="s">
        <v>805</v>
      </c>
      <c r="C2214" s="323">
        <v>41223</v>
      </c>
      <c r="D2214" s="323">
        <v>174</v>
      </c>
      <c r="E2214" s="324">
        <f t="shared" si="34"/>
        <v>42431.64</v>
      </c>
    </row>
    <row r="2215" spans="1:5" x14ac:dyDescent="0.25">
      <c r="A2215" s="323" t="s">
        <v>4246</v>
      </c>
      <c r="B2215" s="323" t="s">
        <v>805</v>
      </c>
      <c r="C2215" s="323">
        <v>41223</v>
      </c>
      <c r="D2215" s="323">
        <v>98</v>
      </c>
      <c r="E2215" s="324">
        <f t="shared" si="34"/>
        <v>23898.280000000002</v>
      </c>
    </row>
    <row r="2216" spans="1:5" x14ac:dyDescent="0.25">
      <c r="A2216" s="323" t="s">
        <v>5676</v>
      </c>
      <c r="B2216" s="323" t="s">
        <v>805</v>
      </c>
      <c r="C2216" s="323">
        <v>41223</v>
      </c>
      <c r="D2216" s="323">
        <v>233</v>
      </c>
      <c r="E2216" s="324">
        <f t="shared" si="34"/>
        <v>56819.380000000005</v>
      </c>
    </row>
    <row r="2217" spans="1:5" x14ac:dyDescent="0.25">
      <c r="A2217" s="323" t="s">
        <v>5682</v>
      </c>
      <c r="B2217" s="323" t="s">
        <v>805</v>
      </c>
      <c r="C2217" s="323">
        <v>41223</v>
      </c>
      <c r="D2217" s="323">
        <v>302</v>
      </c>
      <c r="E2217" s="324">
        <f t="shared" si="34"/>
        <v>73645.72</v>
      </c>
    </row>
    <row r="2218" spans="1:5" x14ac:dyDescent="0.25">
      <c r="A2218" s="323" t="s">
        <v>954</v>
      </c>
      <c r="B2218" s="323" t="s">
        <v>805</v>
      </c>
      <c r="C2218" s="323">
        <v>41226</v>
      </c>
      <c r="D2218" s="323">
        <v>220</v>
      </c>
      <c r="E2218" s="324">
        <f t="shared" si="34"/>
        <v>53649.200000000004</v>
      </c>
    </row>
    <row r="2219" spans="1:5" x14ac:dyDescent="0.25">
      <c r="A2219" s="323" t="s">
        <v>2040</v>
      </c>
      <c r="B2219" s="323" t="s">
        <v>805</v>
      </c>
      <c r="C2219" s="323">
        <v>41226</v>
      </c>
      <c r="D2219" s="323">
        <v>305</v>
      </c>
      <c r="E2219" s="324">
        <f t="shared" si="34"/>
        <v>74377.3</v>
      </c>
    </row>
    <row r="2220" spans="1:5" x14ac:dyDescent="0.25">
      <c r="A2220" s="323" t="s">
        <v>2040</v>
      </c>
      <c r="B2220" s="323" t="s">
        <v>805</v>
      </c>
      <c r="C2220" s="323">
        <v>41226</v>
      </c>
      <c r="D2220" s="323">
        <v>61</v>
      </c>
      <c r="E2220" s="324">
        <f t="shared" si="34"/>
        <v>14875.460000000001</v>
      </c>
    </row>
    <row r="2221" spans="1:5" x14ac:dyDescent="0.25">
      <c r="A2221" s="323" t="s">
        <v>5360</v>
      </c>
      <c r="B2221" s="323" t="s">
        <v>805</v>
      </c>
      <c r="C2221" s="323">
        <v>41226</v>
      </c>
      <c r="D2221" s="323">
        <v>51</v>
      </c>
      <c r="E2221" s="324">
        <f t="shared" si="34"/>
        <v>12436.86</v>
      </c>
    </row>
    <row r="2222" spans="1:5" x14ac:dyDescent="0.25">
      <c r="A2222" s="323" t="s">
        <v>5360</v>
      </c>
      <c r="B2222" s="323" t="s">
        <v>805</v>
      </c>
      <c r="C2222" s="323">
        <v>41226</v>
      </c>
      <c r="D2222" s="323">
        <v>25</v>
      </c>
      <c r="E2222" s="324">
        <f t="shared" si="34"/>
        <v>6096.5</v>
      </c>
    </row>
    <row r="2223" spans="1:5" x14ac:dyDescent="0.25">
      <c r="A2223" s="323" t="s">
        <v>5388</v>
      </c>
      <c r="B2223" s="323" t="s">
        <v>805</v>
      </c>
      <c r="C2223" s="323">
        <v>41226</v>
      </c>
      <c r="D2223" s="323">
        <v>248</v>
      </c>
      <c r="E2223" s="324">
        <f t="shared" si="34"/>
        <v>60477.280000000006</v>
      </c>
    </row>
    <row r="2224" spans="1:5" x14ac:dyDescent="0.25">
      <c r="A2224" s="323" t="s">
        <v>6889</v>
      </c>
      <c r="B2224" s="323" t="s">
        <v>805</v>
      </c>
      <c r="C2224" s="323">
        <v>41226</v>
      </c>
      <c r="D2224" s="323">
        <v>84</v>
      </c>
      <c r="E2224" s="324">
        <f t="shared" si="34"/>
        <v>20484.240000000002</v>
      </c>
    </row>
    <row r="2225" spans="1:5" x14ac:dyDescent="0.25">
      <c r="A2225" s="323" t="s">
        <v>6908</v>
      </c>
      <c r="B2225" s="323" t="s">
        <v>805</v>
      </c>
      <c r="C2225" s="323">
        <v>41226</v>
      </c>
      <c r="D2225" s="323">
        <v>147</v>
      </c>
      <c r="E2225" s="324">
        <f t="shared" si="34"/>
        <v>35847.420000000006</v>
      </c>
    </row>
    <row r="2226" spans="1:5" x14ac:dyDescent="0.25">
      <c r="A2226" s="323" t="s">
        <v>7278</v>
      </c>
      <c r="B2226" s="323" t="s">
        <v>805</v>
      </c>
      <c r="C2226" s="323">
        <v>41226</v>
      </c>
      <c r="D2226" s="323">
        <v>350</v>
      </c>
      <c r="E2226" s="324">
        <f t="shared" si="34"/>
        <v>85351</v>
      </c>
    </row>
    <row r="2227" spans="1:5" x14ac:dyDescent="0.25">
      <c r="A2227" s="323" t="s">
        <v>7478</v>
      </c>
      <c r="B2227" s="323" t="s">
        <v>805</v>
      </c>
      <c r="C2227" s="323">
        <v>41226</v>
      </c>
      <c r="D2227" s="323">
        <v>46</v>
      </c>
      <c r="E2227" s="324">
        <f t="shared" si="34"/>
        <v>11217.560000000001</v>
      </c>
    </row>
    <row r="2228" spans="1:5" x14ac:dyDescent="0.25">
      <c r="A2228" s="323" t="s">
        <v>817</v>
      </c>
      <c r="B2228" s="323" t="s">
        <v>805</v>
      </c>
      <c r="C2228" s="323">
        <v>41228</v>
      </c>
      <c r="D2228" s="323">
        <v>160</v>
      </c>
      <c r="E2228" s="324">
        <f t="shared" si="34"/>
        <v>39017.600000000006</v>
      </c>
    </row>
    <row r="2229" spans="1:5" x14ac:dyDescent="0.25">
      <c r="A2229" s="323" t="s">
        <v>1079</v>
      </c>
      <c r="B2229" s="323" t="s">
        <v>805</v>
      </c>
      <c r="C2229" s="323">
        <v>41228</v>
      </c>
      <c r="D2229" s="323">
        <v>501</v>
      </c>
      <c r="E2229" s="324">
        <f t="shared" si="34"/>
        <v>122173.86</v>
      </c>
    </row>
    <row r="2230" spans="1:5" x14ac:dyDescent="0.25">
      <c r="A2230" s="323" t="s">
        <v>1206</v>
      </c>
      <c r="B2230" s="323" t="s">
        <v>805</v>
      </c>
      <c r="C2230" s="323">
        <v>41228</v>
      </c>
      <c r="D2230" s="323">
        <v>134</v>
      </c>
      <c r="E2230" s="324">
        <f t="shared" si="34"/>
        <v>32677.24</v>
      </c>
    </row>
    <row r="2231" spans="1:5" x14ac:dyDescent="0.25">
      <c r="A2231" s="323" t="s">
        <v>1739</v>
      </c>
      <c r="B2231" s="323" t="s">
        <v>805</v>
      </c>
      <c r="C2231" s="323">
        <v>41228</v>
      </c>
      <c r="D2231" s="323">
        <v>241</v>
      </c>
      <c r="E2231" s="324">
        <f t="shared" si="34"/>
        <v>58770.26</v>
      </c>
    </row>
    <row r="2232" spans="1:5" x14ac:dyDescent="0.25">
      <c r="A2232" s="323" t="s">
        <v>1740</v>
      </c>
      <c r="B2232" s="323" t="s">
        <v>805</v>
      </c>
      <c r="C2232" s="323">
        <v>41228</v>
      </c>
      <c r="D2232" s="323">
        <v>79</v>
      </c>
      <c r="E2232" s="324">
        <f t="shared" si="34"/>
        <v>19264.940000000002</v>
      </c>
    </row>
    <row r="2233" spans="1:5" x14ac:dyDescent="0.25">
      <c r="A2233" s="323" t="s">
        <v>2153</v>
      </c>
      <c r="B2233" s="323" t="s">
        <v>805</v>
      </c>
      <c r="C2233" s="323">
        <v>41228</v>
      </c>
      <c r="D2233" s="323">
        <v>97</v>
      </c>
      <c r="E2233" s="324">
        <f t="shared" si="34"/>
        <v>23654.420000000002</v>
      </c>
    </row>
    <row r="2234" spans="1:5" x14ac:dyDescent="0.25">
      <c r="A2234" s="323" t="s">
        <v>2247</v>
      </c>
      <c r="B2234" s="323" t="s">
        <v>805</v>
      </c>
      <c r="C2234" s="323">
        <v>41228</v>
      </c>
      <c r="D2234" s="323">
        <v>443</v>
      </c>
      <c r="E2234" s="324">
        <f t="shared" si="34"/>
        <v>108029.98000000001</v>
      </c>
    </row>
    <row r="2235" spans="1:5" x14ac:dyDescent="0.25">
      <c r="A2235" s="323" t="s">
        <v>2467</v>
      </c>
      <c r="B2235" s="323" t="s">
        <v>805</v>
      </c>
      <c r="C2235" s="323">
        <v>41228</v>
      </c>
      <c r="D2235" s="323">
        <v>100</v>
      </c>
      <c r="E2235" s="324">
        <f t="shared" si="34"/>
        <v>24386</v>
      </c>
    </row>
    <row r="2236" spans="1:5" x14ac:dyDescent="0.25">
      <c r="A2236" s="323" t="s">
        <v>2566</v>
      </c>
      <c r="B2236" s="323" t="s">
        <v>805</v>
      </c>
      <c r="C2236" s="323">
        <v>41228</v>
      </c>
      <c r="D2236" s="323">
        <v>440</v>
      </c>
      <c r="E2236" s="324">
        <f t="shared" si="34"/>
        <v>107298.40000000001</v>
      </c>
    </row>
    <row r="2237" spans="1:5" x14ac:dyDescent="0.25">
      <c r="A2237" s="323" t="s">
        <v>2812</v>
      </c>
      <c r="B2237" s="323" t="s">
        <v>805</v>
      </c>
      <c r="C2237" s="323">
        <v>41228</v>
      </c>
      <c r="D2237" s="323">
        <v>383</v>
      </c>
      <c r="E2237" s="324">
        <f t="shared" si="34"/>
        <v>93398.38</v>
      </c>
    </row>
    <row r="2238" spans="1:5" x14ac:dyDescent="0.25">
      <c r="A2238" s="323" t="s">
        <v>3129</v>
      </c>
      <c r="B2238" s="323" t="s">
        <v>805</v>
      </c>
      <c r="C2238" s="323">
        <v>41228</v>
      </c>
      <c r="D2238" s="323">
        <v>397</v>
      </c>
      <c r="E2238" s="324">
        <f t="shared" si="34"/>
        <v>96812.42</v>
      </c>
    </row>
    <row r="2239" spans="1:5" x14ac:dyDescent="0.25">
      <c r="A2239" s="323" t="s">
        <v>5177</v>
      </c>
      <c r="B2239" s="323" t="s">
        <v>805</v>
      </c>
      <c r="C2239" s="323">
        <v>41228</v>
      </c>
      <c r="D2239" s="323">
        <v>96</v>
      </c>
      <c r="E2239" s="324">
        <f t="shared" si="34"/>
        <v>23410.560000000001</v>
      </c>
    </row>
    <row r="2240" spans="1:5" x14ac:dyDescent="0.25">
      <c r="A2240" s="323" t="s">
        <v>7108</v>
      </c>
      <c r="B2240" s="323" t="s">
        <v>805</v>
      </c>
      <c r="C2240" s="323">
        <v>41228</v>
      </c>
      <c r="D2240" s="323">
        <v>206</v>
      </c>
      <c r="E2240" s="324">
        <f t="shared" si="34"/>
        <v>50235.16</v>
      </c>
    </row>
    <row r="2241" spans="1:5" x14ac:dyDescent="0.25">
      <c r="A2241" s="323" t="s">
        <v>2528</v>
      </c>
      <c r="B2241" s="323" t="s">
        <v>805</v>
      </c>
      <c r="C2241" s="323">
        <v>41233</v>
      </c>
      <c r="D2241" s="323">
        <v>63</v>
      </c>
      <c r="E2241" s="324">
        <f t="shared" si="34"/>
        <v>15363.18</v>
      </c>
    </row>
    <row r="2242" spans="1:5" x14ac:dyDescent="0.25">
      <c r="A2242" s="323" t="s">
        <v>2699</v>
      </c>
      <c r="B2242" s="323" t="s">
        <v>805</v>
      </c>
      <c r="C2242" s="323">
        <v>41233</v>
      </c>
      <c r="D2242" s="323">
        <v>79</v>
      </c>
      <c r="E2242" s="324">
        <f t="shared" ref="E2242:E2305" si="35">D2242*IF(B2242=$G$9,WerkdrukbedragPerLeerlingBo,IF(B2242=$G$10,WerkdrukbedragPerLeerlingSbo,IF(B2242=$G$11,WerkdrukbedragPerLeerlingSo,IF(B2242=$G$12,WerkdrukbedragPerLeerlingVso,0))))</f>
        <v>19264.940000000002</v>
      </c>
    </row>
    <row r="2243" spans="1:5" x14ac:dyDescent="0.25">
      <c r="A2243" s="323" t="s">
        <v>4106</v>
      </c>
      <c r="B2243" s="323" t="s">
        <v>805</v>
      </c>
      <c r="C2243" s="323">
        <v>41233</v>
      </c>
      <c r="D2243" s="323">
        <v>73</v>
      </c>
      <c r="E2243" s="324">
        <f t="shared" si="35"/>
        <v>17801.780000000002</v>
      </c>
    </row>
    <row r="2244" spans="1:5" x14ac:dyDescent="0.25">
      <c r="A2244" s="323" t="s">
        <v>4248</v>
      </c>
      <c r="B2244" s="323" t="s">
        <v>805</v>
      </c>
      <c r="C2244" s="323">
        <v>41233</v>
      </c>
      <c r="D2244" s="323">
        <v>203</v>
      </c>
      <c r="E2244" s="324">
        <f t="shared" si="35"/>
        <v>49503.58</v>
      </c>
    </row>
    <row r="2245" spans="1:5" x14ac:dyDescent="0.25">
      <c r="A2245" s="323" t="s">
        <v>4360</v>
      </c>
      <c r="B2245" s="323" t="s">
        <v>805</v>
      </c>
      <c r="C2245" s="323">
        <v>41233</v>
      </c>
      <c r="D2245" s="323">
        <v>180</v>
      </c>
      <c r="E2245" s="324">
        <f t="shared" si="35"/>
        <v>43894.8</v>
      </c>
    </row>
    <row r="2246" spans="1:5" x14ac:dyDescent="0.25">
      <c r="A2246" s="323" t="s">
        <v>1456</v>
      </c>
      <c r="B2246" s="323" t="s">
        <v>805</v>
      </c>
      <c r="C2246" s="323">
        <v>41239</v>
      </c>
      <c r="D2246" s="323">
        <v>188</v>
      </c>
      <c r="E2246" s="324">
        <f t="shared" si="35"/>
        <v>45845.68</v>
      </c>
    </row>
    <row r="2247" spans="1:5" x14ac:dyDescent="0.25">
      <c r="A2247" s="323" t="s">
        <v>1610</v>
      </c>
      <c r="B2247" s="323" t="s">
        <v>805</v>
      </c>
      <c r="C2247" s="323">
        <v>41239</v>
      </c>
      <c r="D2247" s="323">
        <v>279</v>
      </c>
      <c r="E2247" s="324">
        <f t="shared" si="35"/>
        <v>68036.94</v>
      </c>
    </row>
    <row r="2248" spans="1:5" x14ac:dyDescent="0.25">
      <c r="A2248" s="323" t="s">
        <v>1658</v>
      </c>
      <c r="B2248" s="323" t="s">
        <v>805</v>
      </c>
      <c r="C2248" s="323">
        <v>41239</v>
      </c>
      <c r="D2248" s="323">
        <v>50</v>
      </c>
      <c r="E2248" s="324">
        <f t="shared" si="35"/>
        <v>12193</v>
      </c>
    </row>
    <row r="2249" spans="1:5" x14ac:dyDescent="0.25">
      <c r="A2249" s="323" t="s">
        <v>1713</v>
      </c>
      <c r="B2249" s="323" t="s">
        <v>805</v>
      </c>
      <c r="C2249" s="323">
        <v>41239</v>
      </c>
      <c r="D2249" s="323">
        <v>41</v>
      </c>
      <c r="E2249" s="324">
        <f t="shared" si="35"/>
        <v>9998.26</v>
      </c>
    </row>
    <row r="2250" spans="1:5" x14ac:dyDescent="0.25">
      <c r="A2250" s="323" t="s">
        <v>1903</v>
      </c>
      <c r="B2250" s="323" t="s">
        <v>805</v>
      </c>
      <c r="C2250" s="323">
        <v>41239</v>
      </c>
      <c r="D2250" s="323">
        <v>51</v>
      </c>
      <c r="E2250" s="324">
        <f t="shared" si="35"/>
        <v>12436.86</v>
      </c>
    </row>
    <row r="2251" spans="1:5" x14ac:dyDescent="0.25">
      <c r="A2251" s="323" t="s">
        <v>2339</v>
      </c>
      <c r="B2251" s="323" t="s">
        <v>805</v>
      </c>
      <c r="C2251" s="323">
        <v>41239</v>
      </c>
      <c r="D2251" s="323">
        <v>151</v>
      </c>
      <c r="E2251" s="324">
        <f t="shared" si="35"/>
        <v>36822.86</v>
      </c>
    </row>
    <row r="2252" spans="1:5" x14ac:dyDescent="0.25">
      <c r="A2252" s="323" t="s">
        <v>2472</v>
      </c>
      <c r="B2252" s="323" t="s">
        <v>805</v>
      </c>
      <c r="C2252" s="323">
        <v>41239</v>
      </c>
      <c r="D2252" s="323">
        <v>176</v>
      </c>
      <c r="E2252" s="324">
        <f t="shared" si="35"/>
        <v>42919.360000000001</v>
      </c>
    </row>
    <row r="2253" spans="1:5" x14ac:dyDescent="0.25">
      <c r="A2253" s="323" t="s">
        <v>2658</v>
      </c>
      <c r="B2253" s="323" t="s">
        <v>805</v>
      </c>
      <c r="C2253" s="323">
        <v>41239</v>
      </c>
      <c r="D2253" s="323">
        <v>208</v>
      </c>
      <c r="E2253" s="324">
        <f t="shared" si="35"/>
        <v>50722.880000000005</v>
      </c>
    </row>
    <row r="2254" spans="1:5" x14ac:dyDescent="0.25">
      <c r="A2254" s="323" t="s">
        <v>2932</v>
      </c>
      <c r="B2254" s="323" t="s">
        <v>805</v>
      </c>
      <c r="C2254" s="323">
        <v>41239</v>
      </c>
      <c r="D2254" s="323">
        <v>241</v>
      </c>
      <c r="E2254" s="324">
        <f t="shared" si="35"/>
        <v>58770.26</v>
      </c>
    </row>
    <row r="2255" spans="1:5" x14ac:dyDescent="0.25">
      <c r="A2255" s="323" t="s">
        <v>2958</v>
      </c>
      <c r="B2255" s="323" t="s">
        <v>805</v>
      </c>
      <c r="C2255" s="323">
        <v>41239</v>
      </c>
      <c r="D2255" s="323">
        <v>350</v>
      </c>
      <c r="E2255" s="324">
        <f t="shared" si="35"/>
        <v>85351</v>
      </c>
    </row>
    <row r="2256" spans="1:5" x14ac:dyDescent="0.25">
      <c r="A2256" s="323" t="s">
        <v>3566</v>
      </c>
      <c r="B2256" s="323" t="s">
        <v>805</v>
      </c>
      <c r="C2256" s="323">
        <v>41239</v>
      </c>
      <c r="D2256" s="323">
        <v>240</v>
      </c>
      <c r="E2256" s="324">
        <f t="shared" si="35"/>
        <v>58526.400000000001</v>
      </c>
    </row>
    <row r="2257" spans="1:5" x14ac:dyDescent="0.25">
      <c r="A2257" s="323" t="s">
        <v>1712</v>
      </c>
      <c r="B2257" s="323" t="s">
        <v>805</v>
      </c>
      <c r="C2257" s="323">
        <v>41240</v>
      </c>
      <c r="D2257" s="323">
        <v>346</v>
      </c>
      <c r="E2257" s="324">
        <f t="shared" si="35"/>
        <v>84375.56</v>
      </c>
    </row>
    <row r="2258" spans="1:5" x14ac:dyDescent="0.25">
      <c r="A2258" s="323" t="s">
        <v>3308</v>
      </c>
      <c r="B2258" s="323" t="s">
        <v>805</v>
      </c>
      <c r="C2258" s="323">
        <v>41240</v>
      </c>
      <c r="D2258" s="323">
        <v>106</v>
      </c>
      <c r="E2258" s="324">
        <f t="shared" si="35"/>
        <v>25849.16</v>
      </c>
    </row>
    <row r="2259" spans="1:5" x14ac:dyDescent="0.25">
      <c r="A2259" s="323" t="s">
        <v>3606</v>
      </c>
      <c r="B2259" s="323" t="s">
        <v>805</v>
      </c>
      <c r="C2259" s="323">
        <v>41240</v>
      </c>
      <c r="D2259" s="323">
        <v>535</v>
      </c>
      <c r="E2259" s="324">
        <f t="shared" si="35"/>
        <v>130465.1</v>
      </c>
    </row>
    <row r="2260" spans="1:5" x14ac:dyDescent="0.25">
      <c r="A2260" s="323" t="s">
        <v>3851</v>
      </c>
      <c r="B2260" s="323" t="s">
        <v>805</v>
      </c>
      <c r="C2260" s="323">
        <v>41240</v>
      </c>
      <c r="D2260" s="323">
        <v>99</v>
      </c>
      <c r="E2260" s="324">
        <f t="shared" si="35"/>
        <v>24142.140000000003</v>
      </c>
    </row>
    <row r="2261" spans="1:5" x14ac:dyDescent="0.25">
      <c r="A2261" s="323" t="s">
        <v>4031</v>
      </c>
      <c r="B2261" s="323" t="s">
        <v>805</v>
      </c>
      <c r="C2261" s="323">
        <v>41240</v>
      </c>
      <c r="D2261" s="323">
        <v>218</v>
      </c>
      <c r="E2261" s="324">
        <f t="shared" si="35"/>
        <v>53161.48</v>
      </c>
    </row>
    <row r="2262" spans="1:5" x14ac:dyDescent="0.25">
      <c r="A2262" s="323" t="s">
        <v>1542</v>
      </c>
      <c r="B2262" s="323" t="s">
        <v>805</v>
      </c>
      <c r="C2262" s="323">
        <v>41241</v>
      </c>
      <c r="D2262" s="323">
        <v>160</v>
      </c>
      <c r="E2262" s="324">
        <f t="shared" si="35"/>
        <v>39017.600000000006</v>
      </c>
    </row>
    <row r="2263" spans="1:5" x14ac:dyDescent="0.25">
      <c r="A2263" s="323" t="s">
        <v>3770</v>
      </c>
      <c r="B2263" s="323" t="s">
        <v>805</v>
      </c>
      <c r="C2263" s="323">
        <v>41241</v>
      </c>
      <c r="D2263" s="323">
        <v>145</v>
      </c>
      <c r="E2263" s="324">
        <f t="shared" si="35"/>
        <v>35359.700000000004</v>
      </c>
    </row>
    <row r="2264" spans="1:5" x14ac:dyDescent="0.25">
      <c r="A2264" s="323" t="s">
        <v>3965</v>
      </c>
      <c r="B2264" s="323" t="s">
        <v>805</v>
      </c>
      <c r="C2264" s="323">
        <v>41241</v>
      </c>
      <c r="D2264" s="323">
        <v>199</v>
      </c>
      <c r="E2264" s="324">
        <f t="shared" si="35"/>
        <v>48528.14</v>
      </c>
    </row>
    <row r="2265" spans="1:5" x14ac:dyDescent="0.25">
      <c r="A2265" s="323" t="s">
        <v>4677</v>
      </c>
      <c r="B2265" s="323" t="s">
        <v>805</v>
      </c>
      <c r="C2265" s="323">
        <v>41241</v>
      </c>
      <c r="D2265" s="323">
        <v>142</v>
      </c>
      <c r="E2265" s="324">
        <f t="shared" si="35"/>
        <v>34628.120000000003</v>
      </c>
    </row>
    <row r="2266" spans="1:5" x14ac:dyDescent="0.25">
      <c r="A2266" s="323" t="s">
        <v>4737</v>
      </c>
      <c r="B2266" s="323" t="s">
        <v>805</v>
      </c>
      <c r="C2266" s="323">
        <v>41241</v>
      </c>
      <c r="D2266" s="323">
        <v>360</v>
      </c>
      <c r="E2266" s="324">
        <f t="shared" si="35"/>
        <v>87789.6</v>
      </c>
    </row>
    <row r="2267" spans="1:5" x14ac:dyDescent="0.25">
      <c r="A2267" s="323" t="s">
        <v>4806</v>
      </c>
      <c r="B2267" s="323" t="s">
        <v>805</v>
      </c>
      <c r="C2267" s="323">
        <v>41241</v>
      </c>
      <c r="D2267" s="323">
        <v>234</v>
      </c>
      <c r="E2267" s="324">
        <f t="shared" si="35"/>
        <v>57063.240000000005</v>
      </c>
    </row>
    <row r="2268" spans="1:5" x14ac:dyDescent="0.25">
      <c r="A2268" s="323" t="s">
        <v>2202</v>
      </c>
      <c r="B2268" s="323" t="s">
        <v>805</v>
      </c>
      <c r="C2268" s="323">
        <v>41242</v>
      </c>
      <c r="D2268" s="323">
        <v>282</v>
      </c>
      <c r="E2268" s="324">
        <f t="shared" si="35"/>
        <v>68768.52</v>
      </c>
    </row>
    <row r="2269" spans="1:5" x14ac:dyDescent="0.25">
      <c r="A2269" s="323" t="s">
        <v>2447</v>
      </c>
      <c r="B2269" s="323" t="s">
        <v>805</v>
      </c>
      <c r="C2269" s="323">
        <v>41242</v>
      </c>
      <c r="D2269" s="323">
        <v>186</v>
      </c>
      <c r="E2269" s="324">
        <f t="shared" si="35"/>
        <v>45357.96</v>
      </c>
    </row>
    <row r="2270" spans="1:5" x14ac:dyDescent="0.25">
      <c r="A2270" s="323" t="s">
        <v>2884</v>
      </c>
      <c r="B2270" s="323" t="s">
        <v>805</v>
      </c>
      <c r="C2270" s="323">
        <v>41242</v>
      </c>
      <c r="D2270" s="323">
        <v>193</v>
      </c>
      <c r="E2270" s="324">
        <f t="shared" si="35"/>
        <v>47064.98</v>
      </c>
    </row>
    <row r="2271" spans="1:5" x14ac:dyDescent="0.25">
      <c r="A2271" s="323" t="s">
        <v>3081</v>
      </c>
      <c r="B2271" s="323" t="s">
        <v>805</v>
      </c>
      <c r="C2271" s="323">
        <v>41242</v>
      </c>
      <c r="D2271" s="323">
        <v>237</v>
      </c>
      <c r="E2271" s="324">
        <f t="shared" si="35"/>
        <v>57794.82</v>
      </c>
    </row>
    <row r="2272" spans="1:5" x14ac:dyDescent="0.25">
      <c r="A2272" s="323" t="s">
        <v>3330</v>
      </c>
      <c r="B2272" s="323" t="s">
        <v>805</v>
      </c>
      <c r="C2272" s="323">
        <v>41242</v>
      </c>
      <c r="D2272" s="323">
        <v>188</v>
      </c>
      <c r="E2272" s="324">
        <f t="shared" si="35"/>
        <v>45845.68</v>
      </c>
    </row>
    <row r="2273" spans="1:5" x14ac:dyDescent="0.25">
      <c r="A2273" s="323" t="s">
        <v>6499</v>
      </c>
      <c r="B2273" s="323" t="s">
        <v>805</v>
      </c>
      <c r="C2273" s="323">
        <v>41242</v>
      </c>
      <c r="D2273" s="323">
        <v>311</v>
      </c>
      <c r="E2273" s="324">
        <f t="shared" si="35"/>
        <v>75840.460000000006</v>
      </c>
    </row>
    <row r="2274" spans="1:5" x14ac:dyDescent="0.25">
      <c r="A2274" s="323" t="s">
        <v>6518</v>
      </c>
      <c r="B2274" s="323" t="s">
        <v>805</v>
      </c>
      <c r="C2274" s="323">
        <v>41242</v>
      </c>
      <c r="D2274" s="323">
        <v>221</v>
      </c>
      <c r="E2274" s="324">
        <f t="shared" si="35"/>
        <v>53893.060000000005</v>
      </c>
    </row>
    <row r="2275" spans="1:5" x14ac:dyDescent="0.25">
      <c r="A2275" s="323" t="s">
        <v>6532</v>
      </c>
      <c r="B2275" s="323" t="s">
        <v>805</v>
      </c>
      <c r="C2275" s="323">
        <v>41242</v>
      </c>
      <c r="D2275" s="323">
        <v>227</v>
      </c>
      <c r="E2275" s="324">
        <f t="shared" si="35"/>
        <v>55356.22</v>
      </c>
    </row>
    <row r="2276" spans="1:5" x14ac:dyDescent="0.25">
      <c r="A2276" s="323" t="s">
        <v>6555</v>
      </c>
      <c r="B2276" s="323" t="s">
        <v>805</v>
      </c>
      <c r="C2276" s="323">
        <v>41242</v>
      </c>
      <c r="D2276" s="323">
        <v>236</v>
      </c>
      <c r="E2276" s="324">
        <f t="shared" si="35"/>
        <v>57550.960000000006</v>
      </c>
    </row>
    <row r="2277" spans="1:5" x14ac:dyDescent="0.25">
      <c r="A2277" s="323" t="s">
        <v>6555</v>
      </c>
      <c r="B2277" s="323" t="s">
        <v>805</v>
      </c>
      <c r="C2277" s="323">
        <v>41242</v>
      </c>
      <c r="D2277" s="323">
        <v>96</v>
      </c>
      <c r="E2277" s="324">
        <f t="shared" si="35"/>
        <v>23410.560000000001</v>
      </c>
    </row>
    <row r="2278" spans="1:5" x14ac:dyDescent="0.25">
      <c r="A2278" s="323" t="s">
        <v>820</v>
      </c>
      <c r="B2278" s="323" t="s">
        <v>805</v>
      </c>
      <c r="C2278" s="323">
        <v>41246</v>
      </c>
      <c r="D2278" s="323">
        <v>87</v>
      </c>
      <c r="E2278" s="324">
        <f t="shared" si="35"/>
        <v>21215.82</v>
      </c>
    </row>
    <row r="2279" spans="1:5" x14ac:dyDescent="0.25">
      <c r="A2279" s="323" t="s">
        <v>1387</v>
      </c>
      <c r="B2279" s="323" t="s">
        <v>805</v>
      </c>
      <c r="C2279" s="323">
        <v>41246</v>
      </c>
      <c r="D2279" s="323">
        <v>94</v>
      </c>
      <c r="E2279" s="324">
        <f t="shared" si="35"/>
        <v>22922.84</v>
      </c>
    </row>
    <row r="2280" spans="1:5" x14ac:dyDescent="0.25">
      <c r="A2280" s="323" t="s">
        <v>1391</v>
      </c>
      <c r="B2280" s="323" t="s">
        <v>805</v>
      </c>
      <c r="C2280" s="323">
        <v>41246</v>
      </c>
      <c r="D2280" s="323">
        <v>168</v>
      </c>
      <c r="E2280" s="324">
        <f t="shared" si="35"/>
        <v>40968.480000000003</v>
      </c>
    </row>
    <row r="2281" spans="1:5" x14ac:dyDescent="0.25">
      <c r="A2281" s="323" t="s">
        <v>1403</v>
      </c>
      <c r="B2281" s="323" t="s">
        <v>805</v>
      </c>
      <c r="C2281" s="323">
        <v>41246</v>
      </c>
      <c r="D2281" s="323">
        <v>226</v>
      </c>
      <c r="E2281" s="324">
        <f t="shared" si="35"/>
        <v>55112.36</v>
      </c>
    </row>
    <row r="2282" spans="1:5" x14ac:dyDescent="0.25">
      <c r="A2282" s="323" t="s">
        <v>1426</v>
      </c>
      <c r="B2282" s="323" t="s">
        <v>805</v>
      </c>
      <c r="C2282" s="323">
        <v>41246</v>
      </c>
      <c r="D2282" s="323">
        <v>192</v>
      </c>
      <c r="E2282" s="324">
        <f t="shared" si="35"/>
        <v>46821.120000000003</v>
      </c>
    </row>
    <row r="2283" spans="1:5" x14ac:dyDescent="0.25">
      <c r="A2283" s="323" t="s">
        <v>2429</v>
      </c>
      <c r="B2283" s="323" t="s">
        <v>805</v>
      </c>
      <c r="C2283" s="323">
        <v>41246</v>
      </c>
      <c r="D2283" s="323">
        <v>179</v>
      </c>
      <c r="E2283" s="324">
        <f t="shared" si="35"/>
        <v>43650.94</v>
      </c>
    </row>
    <row r="2284" spans="1:5" x14ac:dyDescent="0.25">
      <c r="A2284" s="323" t="s">
        <v>2436</v>
      </c>
      <c r="B2284" s="323" t="s">
        <v>805</v>
      </c>
      <c r="C2284" s="323">
        <v>41246</v>
      </c>
      <c r="D2284" s="323">
        <v>168</v>
      </c>
      <c r="E2284" s="324">
        <f t="shared" si="35"/>
        <v>40968.480000000003</v>
      </c>
    </row>
    <row r="2285" spans="1:5" x14ac:dyDescent="0.25">
      <c r="A2285" s="323" t="s">
        <v>2440</v>
      </c>
      <c r="B2285" s="323" t="s">
        <v>805</v>
      </c>
      <c r="C2285" s="323">
        <v>41246</v>
      </c>
      <c r="D2285" s="323">
        <v>187</v>
      </c>
      <c r="E2285" s="324">
        <f t="shared" si="35"/>
        <v>45601.82</v>
      </c>
    </row>
    <row r="2286" spans="1:5" x14ac:dyDescent="0.25">
      <c r="A2286" s="323" t="s">
        <v>2492</v>
      </c>
      <c r="B2286" s="323" t="s">
        <v>805</v>
      </c>
      <c r="C2286" s="323">
        <v>41246</v>
      </c>
      <c r="D2286" s="323">
        <v>269</v>
      </c>
      <c r="E2286" s="324">
        <f t="shared" si="35"/>
        <v>65598.34</v>
      </c>
    </row>
    <row r="2287" spans="1:5" x14ac:dyDescent="0.25">
      <c r="A2287" s="323" t="s">
        <v>2571</v>
      </c>
      <c r="B2287" s="323" t="s">
        <v>805</v>
      </c>
      <c r="C2287" s="323">
        <v>41246</v>
      </c>
      <c r="D2287" s="323">
        <v>293</v>
      </c>
      <c r="E2287" s="324">
        <f t="shared" si="35"/>
        <v>71450.98000000001</v>
      </c>
    </row>
    <row r="2288" spans="1:5" x14ac:dyDescent="0.25">
      <c r="A2288" s="323" t="s">
        <v>2580</v>
      </c>
      <c r="B2288" s="323" t="s">
        <v>805</v>
      </c>
      <c r="C2288" s="323">
        <v>41246</v>
      </c>
      <c r="D2288" s="323">
        <v>250</v>
      </c>
      <c r="E2288" s="324">
        <f t="shared" si="35"/>
        <v>60965</v>
      </c>
    </row>
    <row r="2289" spans="1:5" x14ac:dyDescent="0.25">
      <c r="A2289" s="323" t="s">
        <v>3502</v>
      </c>
      <c r="B2289" s="323" t="s">
        <v>805</v>
      </c>
      <c r="C2289" s="323">
        <v>41246</v>
      </c>
      <c r="D2289" s="323">
        <v>452</v>
      </c>
      <c r="E2289" s="324">
        <f t="shared" si="35"/>
        <v>110224.72</v>
      </c>
    </row>
    <row r="2290" spans="1:5" x14ac:dyDescent="0.25">
      <c r="A2290" s="323" t="s">
        <v>3514</v>
      </c>
      <c r="B2290" s="323" t="s">
        <v>805</v>
      </c>
      <c r="C2290" s="323">
        <v>41246</v>
      </c>
      <c r="D2290" s="323">
        <v>110</v>
      </c>
      <c r="E2290" s="324">
        <f t="shared" si="35"/>
        <v>26824.600000000002</v>
      </c>
    </row>
    <row r="2291" spans="1:5" x14ac:dyDescent="0.25">
      <c r="A2291" s="323" t="s">
        <v>6756</v>
      </c>
      <c r="B2291" s="323" t="s">
        <v>805</v>
      </c>
      <c r="C2291" s="323">
        <v>41246</v>
      </c>
      <c r="D2291" s="323">
        <v>227</v>
      </c>
      <c r="E2291" s="324">
        <f t="shared" si="35"/>
        <v>55356.22</v>
      </c>
    </row>
    <row r="2292" spans="1:5" x14ac:dyDescent="0.25">
      <c r="A2292" s="323" t="s">
        <v>6861</v>
      </c>
      <c r="B2292" s="323" t="s">
        <v>805</v>
      </c>
      <c r="C2292" s="323">
        <v>41246</v>
      </c>
      <c r="D2292" s="323">
        <v>236</v>
      </c>
      <c r="E2292" s="324">
        <f t="shared" si="35"/>
        <v>57550.960000000006</v>
      </c>
    </row>
    <row r="2293" spans="1:5" x14ac:dyDescent="0.25">
      <c r="A2293" s="323" t="s">
        <v>6861</v>
      </c>
      <c r="B2293" s="323" t="s">
        <v>805</v>
      </c>
      <c r="C2293" s="323">
        <v>41246</v>
      </c>
      <c r="D2293" s="323">
        <v>74</v>
      </c>
      <c r="E2293" s="324">
        <f t="shared" si="35"/>
        <v>18045.64</v>
      </c>
    </row>
    <row r="2294" spans="1:5" x14ac:dyDescent="0.25">
      <c r="A2294" s="323" t="s">
        <v>7469</v>
      </c>
      <c r="B2294" s="323" t="s">
        <v>805</v>
      </c>
      <c r="C2294" s="323">
        <v>41246</v>
      </c>
      <c r="D2294" s="323">
        <v>86</v>
      </c>
      <c r="E2294" s="324">
        <f t="shared" si="35"/>
        <v>20971.960000000003</v>
      </c>
    </row>
    <row r="2295" spans="1:5" x14ac:dyDescent="0.25">
      <c r="A2295" s="323" t="s">
        <v>4339</v>
      </c>
      <c r="B2295" s="323" t="s">
        <v>816</v>
      </c>
      <c r="C2295" s="323">
        <v>41248</v>
      </c>
      <c r="D2295" s="323">
        <v>101</v>
      </c>
      <c r="E2295" s="324">
        <f t="shared" si="35"/>
        <v>36944.79</v>
      </c>
    </row>
    <row r="2296" spans="1:5" x14ac:dyDescent="0.25">
      <c r="A2296" s="323" t="s">
        <v>4646</v>
      </c>
      <c r="B2296" s="323" t="s">
        <v>805</v>
      </c>
      <c r="C2296" s="323">
        <v>41248</v>
      </c>
      <c r="D2296" s="323">
        <v>317</v>
      </c>
      <c r="E2296" s="324">
        <f t="shared" si="35"/>
        <v>77303.62000000001</v>
      </c>
    </row>
    <row r="2297" spans="1:5" x14ac:dyDescent="0.25">
      <c r="A2297" s="323" t="s">
        <v>4712</v>
      </c>
      <c r="B2297" s="323" t="s">
        <v>805</v>
      </c>
      <c r="C2297" s="323">
        <v>41248</v>
      </c>
      <c r="D2297" s="323">
        <v>96</v>
      </c>
      <c r="E2297" s="324">
        <f t="shared" si="35"/>
        <v>23410.560000000001</v>
      </c>
    </row>
    <row r="2298" spans="1:5" x14ac:dyDescent="0.25">
      <c r="A2298" s="323" t="s">
        <v>4780</v>
      </c>
      <c r="B2298" s="323" t="s">
        <v>805</v>
      </c>
      <c r="C2298" s="323">
        <v>41248</v>
      </c>
      <c r="D2298" s="323">
        <v>337</v>
      </c>
      <c r="E2298" s="324">
        <f t="shared" si="35"/>
        <v>82180.820000000007</v>
      </c>
    </row>
    <row r="2299" spans="1:5" x14ac:dyDescent="0.25">
      <c r="A2299" s="323" t="s">
        <v>4841</v>
      </c>
      <c r="B2299" s="323" t="s">
        <v>805</v>
      </c>
      <c r="C2299" s="323">
        <v>41248</v>
      </c>
      <c r="D2299" s="323">
        <v>177</v>
      </c>
      <c r="E2299" s="324">
        <f t="shared" si="35"/>
        <v>43163.22</v>
      </c>
    </row>
    <row r="2300" spans="1:5" x14ac:dyDescent="0.25">
      <c r="A2300" s="323" t="s">
        <v>4933</v>
      </c>
      <c r="B2300" s="323" t="s">
        <v>805</v>
      </c>
      <c r="C2300" s="323">
        <v>41248</v>
      </c>
      <c r="D2300" s="323">
        <v>183</v>
      </c>
      <c r="E2300" s="324">
        <f t="shared" si="35"/>
        <v>44626.380000000005</v>
      </c>
    </row>
    <row r="2301" spans="1:5" x14ac:dyDescent="0.25">
      <c r="A2301" s="323" t="s">
        <v>4974</v>
      </c>
      <c r="B2301" s="323" t="s">
        <v>805</v>
      </c>
      <c r="C2301" s="323">
        <v>41248</v>
      </c>
      <c r="D2301" s="323">
        <v>189</v>
      </c>
      <c r="E2301" s="324">
        <f t="shared" si="35"/>
        <v>46089.54</v>
      </c>
    </row>
    <row r="2302" spans="1:5" x14ac:dyDescent="0.25">
      <c r="A2302" s="323" t="s">
        <v>5011</v>
      </c>
      <c r="B2302" s="323" t="s">
        <v>805</v>
      </c>
      <c r="C2302" s="323">
        <v>41248</v>
      </c>
      <c r="D2302" s="323">
        <v>247</v>
      </c>
      <c r="E2302" s="324">
        <f t="shared" si="35"/>
        <v>60233.420000000006</v>
      </c>
    </row>
    <row r="2303" spans="1:5" x14ac:dyDescent="0.25">
      <c r="A2303" s="323" t="s">
        <v>5049</v>
      </c>
      <c r="B2303" s="323" t="s">
        <v>805</v>
      </c>
      <c r="C2303" s="323">
        <v>41248</v>
      </c>
      <c r="D2303" s="323">
        <v>330</v>
      </c>
      <c r="E2303" s="324">
        <f t="shared" si="35"/>
        <v>80473.8</v>
      </c>
    </row>
    <row r="2304" spans="1:5" x14ac:dyDescent="0.25">
      <c r="A2304" s="323" t="s">
        <v>5844</v>
      </c>
      <c r="B2304" s="323" t="s">
        <v>805</v>
      </c>
      <c r="C2304" s="323">
        <v>41248</v>
      </c>
      <c r="D2304" s="323">
        <v>116</v>
      </c>
      <c r="E2304" s="324">
        <f t="shared" si="35"/>
        <v>28287.760000000002</v>
      </c>
    </row>
    <row r="2305" spans="1:5" x14ac:dyDescent="0.25">
      <c r="A2305" s="323" t="s">
        <v>5856</v>
      </c>
      <c r="B2305" s="323" t="s">
        <v>805</v>
      </c>
      <c r="C2305" s="323">
        <v>41248</v>
      </c>
      <c r="D2305" s="323">
        <v>370</v>
      </c>
      <c r="E2305" s="324">
        <f t="shared" si="35"/>
        <v>90228.200000000012</v>
      </c>
    </row>
    <row r="2306" spans="1:5" x14ac:dyDescent="0.25">
      <c r="A2306" s="323" t="s">
        <v>5884</v>
      </c>
      <c r="B2306" s="323" t="s">
        <v>805</v>
      </c>
      <c r="C2306" s="323">
        <v>41248</v>
      </c>
      <c r="D2306" s="323">
        <v>169</v>
      </c>
      <c r="E2306" s="324">
        <f t="shared" ref="E2306:E2369" si="36">D2306*IF(B2306=$G$9,WerkdrukbedragPerLeerlingBo,IF(B2306=$G$10,WerkdrukbedragPerLeerlingSbo,IF(B2306=$G$11,WerkdrukbedragPerLeerlingSo,IF(B2306=$G$12,WerkdrukbedragPerLeerlingVso,0))))</f>
        <v>41212.340000000004</v>
      </c>
    </row>
    <row r="2307" spans="1:5" x14ac:dyDescent="0.25">
      <c r="A2307" s="323" t="s">
        <v>5893</v>
      </c>
      <c r="B2307" s="323" t="s">
        <v>805</v>
      </c>
      <c r="C2307" s="323">
        <v>41248</v>
      </c>
      <c r="D2307" s="323">
        <v>398</v>
      </c>
      <c r="E2307" s="324">
        <f t="shared" si="36"/>
        <v>97056.28</v>
      </c>
    </row>
    <row r="2308" spans="1:5" x14ac:dyDescent="0.25">
      <c r="A2308" s="323" t="s">
        <v>5908</v>
      </c>
      <c r="B2308" s="323" t="s">
        <v>805</v>
      </c>
      <c r="C2308" s="323">
        <v>41248</v>
      </c>
      <c r="D2308" s="323">
        <v>405</v>
      </c>
      <c r="E2308" s="324">
        <f t="shared" si="36"/>
        <v>98763.3</v>
      </c>
    </row>
    <row r="2309" spans="1:5" x14ac:dyDescent="0.25">
      <c r="A2309" s="323" t="s">
        <v>5925</v>
      </c>
      <c r="B2309" s="323" t="s">
        <v>805</v>
      </c>
      <c r="C2309" s="323">
        <v>41248</v>
      </c>
      <c r="D2309" s="323">
        <v>179</v>
      </c>
      <c r="E2309" s="324">
        <f t="shared" si="36"/>
        <v>43650.94</v>
      </c>
    </row>
    <row r="2310" spans="1:5" x14ac:dyDescent="0.25">
      <c r="A2310" s="323" t="s">
        <v>5940</v>
      </c>
      <c r="B2310" s="323" t="s">
        <v>805</v>
      </c>
      <c r="C2310" s="323">
        <v>41248</v>
      </c>
      <c r="D2310" s="323">
        <v>560</v>
      </c>
      <c r="E2310" s="324">
        <f t="shared" si="36"/>
        <v>136561.60000000001</v>
      </c>
    </row>
    <row r="2311" spans="1:5" x14ac:dyDescent="0.25">
      <c r="A2311" s="323" t="s">
        <v>5947</v>
      </c>
      <c r="B2311" s="323" t="s">
        <v>805</v>
      </c>
      <c r="C2311" s="323">
        <v>41248</v>
      </c>
      <c r="D2311" s="323">
        <v>631</v>
      </c>
      <c r="E2311" s="324">
        <f t="shared" si="36"/>
        <v>153875.66</v>
      </c>
    </row>
    <row r="2312" spans="1:5" x14ac:dyDescent="0.25">
      <c r="A2312" s="323" t="s">
        <v>6714</v>
      </c>
      <c r="B2312" s="323" t="s">
        <v>816</v>
      </c>
      <c r="C2312" s="323">
        <v>41248</v>
      </c>
      <c r="D2312" s="323">
        <v>80</v>
      </c>
      <c r="E2312" s="324">
        <f t="shared" si="36"/>
        <v>29263.200000000001</v>
      </c>
    </row>
    <row r="2313" spans="1:5" x14ac:dyDescent="0.25">
      <c r="A2313" s="323" t="s">
        <v>6755</v>
      </c>
      <c r="B2313" s="323" t="s">
        <v>805</v>
      </c>
      <c r="C2313" s="323">
        <v>41248</v>
      </c>
      <c r="D2313" s="323">
        <v>165</v>
      </c>
      <c r="E2313" s="324">
        <f t="shared" si="36"/>
        <v>40236.9</v>
      </c>
    </row>
    <row r="2314" spans="1:5" x14ac:dyDescent="0.25">
      <c r="A2314" s="323" t="s">
        <v>6960</v>
      </c>
      <c r="B2314" s="323" t="s">
        <v>805</v>
      </c>
      <c r="C2314" s="323">
        <v>41248</v>
      </c>
      <c r="D2314" s="323">
        <v>280</v>
      </c>
      <c r="E2314" s="324">
        <f t="shared" si="36"/>
        <v>68280.800000000003</v>
      </c>
    </row>
    <row r="2315" spans="1:5" x14ac:dyDescent="0.25">
      <c r="A2315" s="323" t="s">
        <v>7026</v>
      </c>
      <c r="B2315" s="323" t="s">
        <v>805</v>
      </c>
      <c r="C2315" s="323">
        <v>41248</v>
      </c>
      <c r="D2315" s="323">
        <v>505</v>
      </c>
      <c r="E2315" s="324">
        <f t="shared" si="36"/>
        <v>123149.3</v>
      </c>
    </row>
    <row r="2316" spans="1:5" x14ac:dyDescent="0.25">
      <c r="A2316" s="323" t="s">
        <v>7192</v>
      </c>
      <c r="B2316" s="323" t="s">
        <v>805</v>
      </c>
      <c r="C2316" s="323">
        <v>41248</v>
      </c>
      <c r="D2316" s="323">
        <v>674</v>
      </c>
      <c r="E2316" s="324">
        <f t="shared" si="36"/>
        <v>164361.64000000001</v>
      </c>
    </row>
    <row r="2317" spans="1:5" x14ac:dyDescent="0.25">
      <c r="A2317" s="323" t="s">
        <v>891</v>
      </c>
      <c r="B2317" s="323" t="s">
        <v>816</v>
      </c>
      <c r="C2317" s="323">
        <v>41251</v>
      </c>
      <c r="D2317" s="323">
        <v>107</v>
      </c>
      <c r="E2317" s="324">
        <f t="shared" si="36"/>
        <v>39139.53</v>
      </c>
    </row>
    <row r="2318" spans="1:5" x14ac:dyDescent="0.25">
      <c r="A2318" s="323" t="s">
        <v>1273</v>
      </c>
      <c r="B2318" s="323" t="s">
        <v>805</v>
      </c>
      <c r="C2318" s="323">
        <v>41251</v>
      </c>
      <c r="D2318" s="323">
        <v>268</v>
      </c>
      <c r="E2318" s="324">
        <f t="shared" si="36"/>
        <v>65354.48</v>
      </c>
    </row>
    <row r="2319" spans="1:5" x14ac:dyDescent="0.25">
      <c r="A2319" s="323" t="s">
        <v>1978</v>
      </c>
      <c r="B2319" s="323" t="s">
        <v>805</v>
      </c>
      <c r="C2319" s="323">
        <v>41251</v>
      </c>
      <c r="D2319" s="323">
        <v>299</v>
      </c>
      <c r="E2319" s="324">
        <f t="shared" si="36"/>
        <v>72914.14</v>
      </c>
    </row>
    <row r="2320" spans="1:5" x14ac:dyDescent="0.25">
      <c r="A2320" s="323" t="s">
        <v>2023</v>
      </c>
      <c r="B2320" s="323" t="s">
        <v>805</v>
      </c>
      <c r="C2320" s="323">
        <v>41251</v>
      </c>
      <c r="D2320" s="323">
        <v>165</v>
      </c>
      <c r="E2320" s="324">
        <f t="shared" si="36"/>
        <v>40236.9</v>
      </c>
    </row>
    <row r="2321" spans="1:5" x14ac:dyDescent="0.25">
      <c r="A2321" s="323" t="s">
        <v>2831</v>
      </c>
      <c r="B2321" s="323" t="s">
        <v>805</v>
      </c>
      <c r="C2321" s="323">
        <v>41251</v>
      </c>
      <c r="D2321" s="323">
        <v>288</v>
      </c>
      <c r="E2321" s="324">
        <f t="shared" si="36"/>
        <v>70231.680000000008</v>
      </c>
    </row>
    <row r="2322" spans="1:5" x14ac:dyDescent="0.25">
      <c r="A2322" s="323" t="s">
        <v>3267</v>
      </c>
      <c r="B2322" s="323" t="s">
        <v>805</v>
      </c>
      <c r="C2322" s="323">
        <v>41251</v>
      </c>
      <c r="D2322" s="323">
        <v>331</v>
      </c>
      <c r="E2322" s="324">
        <f t="shared" si="36"/>
        <v>80717.66</v>
      </c>
    </row>
    <row r="2323" spans="1:5" x14ac:dyDescent="0.25">
      <c r="A2323" s="323" t="s">
        <v>3277</v>
      </c>
      <c r="B2323" s="323" t="s">
        <v>805</v>
      </c>
      <c r="C2323" s="323">
        <v>41251</v>
      </c>
      <c r="D2323" s="323">
        <v>388</v>
      </c>
      <c r="E2323" s="324">
        <f t="shared" si="36"/>
        <v>94617.680000000008</v>
      </c>
    </row>
    <row r="2324" spans="1:5" x14ac:dyDescent="0.25">
      <c r="A2324" s="323" t="s">
        <v>3278</v>
      </c>
      <c r="B2324" s="323" t="s">
        <v>805</v>
      </c>
      <c r="C2324" s="323">
        <v>41251</v>
      </c>
      <c r="D2324" s="323">
        <v>421</v>
      </c>
      <c r="E2324" s="324">
        <f t="shared" si="36"/>
        <v>102665.06000000001</v>
      </c>
    </row>
    <row r="2325" spans="1:5" x14ac:dyDescent="0.25">
      <c r="A2325" s="323" t="s">
        <v>3348</v>
      </c>
      <c r="B2325" s="323" t="s">
        <v>805</v>
      </c>
      <c r="C2325" s="323">
        <v>41251</v>
      </c>
      <c r="D2325" s="323">
        <v>214</v>
      </c>
      <c r="E2325" s="324">
        <f t="shared" si="36"/>
        <v>52186.04</v>
      </c>
    </row>
    <row r="2326" spans="1:5" x14ac:dyDescent="0.25">
      <c r="A2326" s="323" t="s">
        <v>3578</v>
      </c>
      <c r="B2326" s="323" t="s">
        <v>805</v>
      </c>
      <c r="C2326" s="323">
        <v>41251</v>
      </c>
      <c r="D2326" s="323">
        <v>233</v>
      </c>
      <c r="E2326" s="324">
        <f t="shared" si="36"/>
        <v>56819.380000000005</v>
      </c>
    </row>
    <row r="2327" spans="1:5" x14ac:dyDescent="0.25">
      <c r="A2327" s="323" t="s">
        <v>3597</v>
      </c>
      <c r="B2327" s="323" t="s">
        <v>805</v>
      </c>
      <c r="C2327" s="323">
        <v>41251</v>
      </c>
      <c r="D2327" s="323">
        <v>280</v>
      </c>
      <c r="E2327" s="324">
        <f t="shared" si="36"/>
        <v>68280.800000000003</v>
      </c>
    </row>
    <row r="2328" spans="1:5" x14ac:dyDescent="0.25">
      <c r="A2328" s="323" t="s">
        <v>3831</v>
      </c>
      <c r="B2328" s="323" t="s">
        <v>805</v>
      </c>
      <c r="C2328" s="323">
        <v>41251</v>
      </c>
      <c r="D2328" s="323">
        <v>239</v>
      </c>
      <c r="E2328" s="324">
        <f t="shared" si="36"/>
        <v>58282.54</v>
      </c>
    </row>
    <row r="2329" spans="1:5" x14ac:dyDescent="0.25">
      <c r="A2329" s="323" t="s">
        <v>5432</v>
      </c>
      <c r="B2329" s="323" t="s">
        <v>805</v>
      </c>
      <c r="C2329" s="323">
        <v>41251</v>
      </c>
      <c r="D2329" s="323">
        <v>322</v>
      </c>
      <c r="E2329" s="324">
        <f t="shared" si="36"/>
        <v>78522.92</v>
      </c>
    </row>
    <row r="2330" spans="1:5" x14ac:dyDescent="0.25">
      <c r="A2330" s="323" t="s">
        <v>5462</v>
      </c>
      <c r="B2330" s="323" t="s">
        <v>805</v>
      </c>
      <c r="C2330" s="323">
        <v>41251</v>
      </c>
      <c r="D2330" s="323">
        <v>155</v>
      </c>
      <c r="E2330" s="324">
        <f t="shared" si="36"/>
        <v>37798.300000000003</v>
      </c>
    </row>
    <row r="2331" spans="1:5" x14ac:dyDescent="0.25">
      <c r="A2331" s="323" t="s">
        <v>5510</v>
      </c>
      <c r="B2331" s="323" t="s">
        <v>805</v>
      </c>
      <c r="C2331" s="323">
        <v>41251</v>
      </c>
      <c r="D2331" s="323">
        <v>248</v>
      </c>
      <c r="E2331" s="324">
        <f t="shared" si="36"/>
        <v>60477.280000000006</v>
      </c>
    </row>
    <row r="2332" spans="1:5" x14ac:dyDescent="0.25">
      <c r="A2332" s="323" t="s">
        <v>5546</v>
      </c>
      <c r="B2332" s="323" t="s">
        <v>805</v>
      </c>
      <c r="C2332" s="323">
        <v>41251</v>
      </c>
      <c r="D2332" s="323">
        <v>429</v>
      </c>
      <c r="E2332" s="324">
        <f t="shared" si="36"/>
        <v>104615.94</v>
      </c>
    </row>
    <row r="2333" spans="1:5" x14ac:dyDescent="0.25">
      <c r="A2333" s="323" t="s">
        <v>5715</v>
      </c>
      <c r="B2333" s="323" t="s">
        <v>805</v>
      </c>
      <c r="C2333" s="323">
        <v>41251</v>
      </c>
      <c r="D2333" s="323">
        <v>177</v>
      </c>
      <c r="E2333" s="324">
        <f t="shared" si="36"/>
        <v>43163.22</v>
      </c>
    </row>
    <row r="2334" spans="1:5" x14ac:dyDescent="0.25">
      <c r="A2334" s="323" t="s">
        <v>6823</v>
      </c>
      <c r="B2334" s="323" t="s">
        <v>805</v>
      </c>
      <c r="C2334" s="323">
        <v>41251</v>
      </c>
      <c r="D2334" s="323">
        <v>388</v>
      </c>
      <c r="E2334" s="324">
        <f t="shared" si="36"/>
        <v>94617.680000000008</v>
      </c>
    </row>
    <row r="2335" spans="1:5" x14ac:dyDescent="0.25">
      <c r="A2335" s="323" t="s">
        <v>6824</v>
      </c>
      <c r="B2335" s="323" t="s">
        <v>805</v>
      </c>
      <c r="C2335" s="323">
        <v>41251</v>
      </c>
      <c r="D2335" s="323">
        <v>277</v>
      </c>
      <c r="E2335" s="324">
        <f t="shared" si="36"/>
        <v>67549.22</v>
      </c>
    </row>
    <row r="2336" spans="1:5" x14ac:dyDescent="0.25">
      <c r="A2336" s="323" t="s">
        <v>7170</v>
      </c>
      <c r="B2336" s="323" t="s">
        <v>805</v>
      </c>
      <c r="C2336" s="323">
        <v>41251</v>
      </c>
      <c r="D2336" s="323">
        <v>179</v>
      </c>
      <c r="E2336" s="324">
        <f t="shared" si="36"/>
        <v>43650.94</v>
      </c>
    </row>
    <row r="2337" spans="1:5" x14ac:dyDescent="0.25">
      <c r="A2337" s="323" t="s">
        <v>7320</v>
      </c>
      <c r="B2337" s="323" t="s">
        <v>805</v>
      </c>
      <c r="C2337" s="323">
        <v>41251</v>
      </c>
      <c r="D2337" s="323">
        <v>196</v>
      </c>
      <c r="E2337" s="324">
        <f t="shared" si="36"/>
        <v>47796.560000000005</v>
      </c>
    </row>
    <row r="2338" spans="1:5" x14ac:dyDescent="0.25">
      <c r="A2338" s="323" t="s">
        <v>7389</v>
      </c>
      <c r="B2338" s="323" t="s">
        <v>805</v>
      </c>
      <c r="C2338" s="323">
        <v>41251</v>
      </c>
      <c r="D2338" s="323">
        <v>315</v>
      </c>
      <c r="E2338" s="324">
        <f t="shared" si="36"/>
        <v>76815.900000000009</v>
      </c>
    </row>
    <row r="2339" spans="1:5" x14ac:dyDescent="0.25">
      <c r="A2339" s="323" t="s">
        <v>7401</v>
      </c>
      <c r="B2339" s="323" t="s">
        <v>805</v>
      </c>
      <c r="C2339" s="323">
        <v>41251</v>
      </c>
      <c r="D2339" s="323">
        <v>591</v>
      </c>
      <c r="E2339" s="324">
        <f t="shared" si="36"/>
        <v>144121.26</v>
      </c>
    </row>
    <row r="2340" spans="1:5" x14ac:dyDescent="0.25">
      <c r="A2340" s="323" t="s">
        <v>7250</v>
      </c>
      <c r="B2340" s="323" t="s">
        <v>805</v>
      </c>
      <c r="C2340" s="323">
        <v>41256</v>
      </c>
      <c r="D2340" s="323">
        <v>310</v>
      </c>
      <c r="E2340" s="324">
        <f t="shared" si="36"/>
        <v>75596.600000000006</v>
      </c>
    </row>
    <row r="2341" spans="1:5" x14ac:dyDescent="0.25">
      <c r="A2341" s="323" t="s">
        <v>1130</v>
      </c>
      <c r="B2341" s="323" t="s">
        <v>805</v>
      </c>
      <c r="C2341" s="323">
        <v>41261</v>
      </c>
      <c r="D2341" s="323">
        <v>97</v>
      </c>
      <c r="E2341" s="324">
        <f t="shared" si="36"/>
        <v>23654.420000000002</v>
      </c>
    </row>
    <row r="2342" spans="1:5" x14ac:dyDescent="0.25">
      <c r="A2342" s="323" t="s">
        <v>2008</v>
      </c>
      <c r="B2342" s="323" t="s">
        <v>805</v>
      </c>
      <c r="C2342" s="323">
        <v>41261</v>
      </c>
      <c r="D2342" s="323">
        <v>137</v>
      </c>
      <c r="E2342" s="324">
        <f t="shared" si="36"/>
        <v>33408.82</v>
      </c>
    </row>
    <row r="2343" spans="1:5" x14ac:dyDescent="0.25">
      <c r="A2343" s="323" t="s">
        <v>2019</v>
      </c>
      <c r="B2343" s="323" t="s">
        <v>805</v>
      </c>
      <c r="C2343" s="323">
        <v>41261</v>
      </c>
      <c r="D2343" s="323">
        <v>39</v>
      </c>
      <c r="E2343" s="324">
        <f t="shared" si="36"/>
        <v>9510.5400000000009</v>
      </c>
    </row>
    <row r="2344" spans="1:5" x14ac:dyDescent="0.25">
      <c r="A2344" s="323" t="s">
        <v>2028</v>
      </c>
      <c r="B2344" s="323" t="s">
        <v>805</v>
      </c>
      <c r="C2344" s="323">
        <v>41261</v>
      </c>
      <c r="D2344" s="323">
        <v>138</v>
      </c>
      <c r="E2344" s="324">
        <f t="shared" si="36"/>
        <v>33652.68</v>
      </c>
    </row>
    <row r="2345" spans="1:5" x14ac:dyDescent="0.25">
      <c r="A2345" s="323" t="s">
        <v>2070</v>
      </c>
      <c r="B2345" s="323" t="s">
        <v>805</v>
      </c>
      <c r="C2345" s="323">
        <v>41261</v>
      </c>
      <c r="D2345" s="323">
        <v>161</v>
      </c>
      <c r="E2345" s="324">
        <f t="shared" si="36"/>
        <v>39261.46</v>
      </c>
    </row>
    <row r="2346" spans="1:5" x14ac:dyDescent="0.25">
      <c r="A2346" s="323" t="s">
        <v>2881</v>
      </c>
      <c r="B2346" s="323" t="s">
        <v>805</v>
      </c>
      <c r="C2346" s="323">
        <v>41261</v>
      </c>
      <c r="D2346" s="323">
        <v>62</v>
      </c>
      <c r="E2346" s="324">
        <f t="shared" si="36"/>
        <v>15119.320000000002</v>
      </c>
    </row>
    <row r="2347" spans="1:5" x14ac:dyDescent="0.25">
      <c r="A2347" s="323" t="s">
        <v>2925</v>
      </c>
      <c r="B2347" s="323" t="s">
        <v>805</v>
      </c>
      <c r="C2347" s="323">
        <v>41261</v>
      </c>
      <c r="D2347" s="323">
        <v>65</v>
      </c>
      <c r="E2347" s="324">
        <f t="shared" si="36"/>
        <v>15850.900000000001</v>
      </c>
    </row>
    <row r="2348" spans="1:5" x14ac:dyDescent="0.25">
      <c r="A2348" s="323" t="s">
        <v>2950</v>
      </c>
      <c r="B2348" s="323" t="s">
        <v>805</v>
      </c>
      <c r="C2348" s="323">
        <v>41261</v>
      </c>
      <c r="D2348" s="323">
        <v>53</v>
      </c>
      <c r="E2348" s="324">
        <f t="shared" si="36"/>
        <v>12924.58</v>
      </c>
    </row>
    <row r="2349" spans="1:5" x14ac:dyDescent="0.25">
      <c r="A2349" s="323" t="s">
        <v>2951</v>
      </c>
      <c r="B2349" s="323" t="s">
        <v>805</v>
      </c>
      <c r="C2349" s="323">
        <v>41261</v>
      </c>
      <c r="D2349" s="323">
        <v>45</v>
      </c>
      <c r="E2349" s="324">
        <f t="shared" si="36"/>
        <v>10973.7</v>
      </c>
    </row>
    <row r="2350" spans="1:5" x14ac:dyDescent="0.25">
      <c r="A2350" s="323" t="s">
        <v>2959</v>
      </c>
      <c r="B2350" s="323" t="s">
        <v>805</v>
      </c>
      <c r="C2350" s="323">
        <v>41261</v>
      </c>
      <c r="D2350" s="323">
        <v>69</v>
      </c>
      <c r="E2350" s="324">
        <f t="shared" si="36"/>
        <v>16826.34</v>
      </c>
    </row>
    <row r="2351" spans="1:5" x14ac:dyDescent="0.25">
      <c r="A2351" s="323" t="s">
        <v>2961</v>
      </c>
      <c r="B2351" s="323" t="s">
        <v>805</v>
      </c>
      <c r="C2351" s="323">
        <v>41261</v>
      </c>
      <c r="D2351" s="323">
        <v>118</v>
      </c>
      <c r="E2351" s="324">
        <f t="shared" si="36"/>
        <v>28775.480000000003</v>
      </c>
    </row>
    <row r="2352" spans="1:5" x14ac:dyDescent="0.25">
      <c r="A2352" s="323" t="s">
        <v>2967</v>
      </c>
      <c r="B2352" s="323" t="s">
        <v>805</v>
      </c>
      <c r="C2352" s="323">
        <v>41261</v>
      </c>
      <c r="D2352" s="323">
        <v>100</v>
      </c>
      <c r="E2352" s="324">
        <f t="shared" si="36"/>
        <v>24386</v>
      </c>
    </row>
    <row r="2353" spans="1:5" x14ac:dyDescent="0.25">
      <c r="A2353" s="323" t="s">
        <v>2968</v>
      </c>
      <c r="B2353" s="323" t="s">
        <v>805</v>
      </c>
      <c r="C2353" s="323">
        <v>41261</v>
      </c>
      <c r="D2353" s="323">
        <v>91</v>
      </c>
      <c r="E2353" s="324">
        <f t="shared" si="36"/>
        <v>22191.260000000002</v>
      </c>
    </row>
    <row r="2354" spans="1:5" x14ac:dyDescent="0.25">
      <c r="A2354" s="323" t="s">
        <v>3332</v>
      </c>
      <c r="B2354" s="323" t="s">
        <v>805</v>
      </c>
      <c r="C2354" s="323">
        <v>41261</v>
      </c>
      <c r="D2354" s="323">
        <v>250</v>
      </c>
      <c r="E2354" s="324">
        <f t="shared" si="36"/>
        <v>60965</v>
      </c>
    </row>
    <row r="2355" spans="1:5" x14ac:dyDescent="0.25">
      <c r="A2355" s="323" t="s">
        <v>5233</v>
      </c>
      <c r="B2355" s="323" t="s">
        <v>805</v>
      </c>
      <c r="C2355" s="323">
        <v>41261</v>
      </c>
      <c r="D2355" s="323">
        <v>78</v>
      </c>
      <c r="E2355" s="324">
        <f t="shared" si="36"/>
        <v>19021.080000000002</v>
      </c>
    </row>
    <row r="2356" spans="1:5" x14ac:dyDescent="0.25">
      <c r="A2356" s="323" t="s">
        <v>1568</v>
      </c>
      <c r="B2356" s="323" t="s">
        <v>805</v>
      </c>
      <c r="C2356" s="323">
        <v>41270</v>
      </c>
      <c r="D2356" s="323">
        <v>86</v>
      </c>
      <c r="E2356" s="324">
        <f t="shared" si="36"/>
        <v>20971.960000000003</v>
      </c>
    </row>
    <row r="2357" spans="1:5" x14ac:dyDescent="0.25">
      <c r="A2357" s="323" t="s">
        <v>1618</v>
      </c>
      <c r="B2357" s="323" t="s">
        <v>805</v>
      </c>
      <c r="C2357" s="323">
        <v>41270</v>
      </c>
      <c r="D2357" s="323">
        <v>43</v>
      </c>
      <c r="E2357" s="324">
        <f t="shared" si="36"/>
        <v>10485.980000000001</v>
      </c>
    </row>
    <row r="2358" spans="1:5" x14ac:dyDescent="0.25">
      <c r="A2358" s="323" t="s">
        <v>2015</v>
      </c>
      <c r="B2358" s="323" t="s">
        <v>805</v>
      </c>
      <c r="C2358" s="323">
        <v>41270</v>
      </c>
      <c r="D2358" s="323">
        <v>189</v>
      </c>
      <c r="E2358" s="324">
        <f t="shared" si="36"/>
        <v>46089.54</v>
      </c>
    </row>
    <row r="2359" spans="1:5" x14ac:dyDescent="0.25">
      <c r="A2359" s="323" t="s">
        <v>2167</v>
      </c>
      <c r="B2359" s="323" t="s">
        <v>805</v>
      </c>
      <c r="C2359" s="323">
        <v>41270</v>
      </c>
      <c r="D2359" s="323">
        <v>125</v>
      </c>
      <c r="E2359" s="324">
        <f t="shared" si="36"/>
        <v>30482.5</v>
      </c>
    </row>
    <row r="2360" spans="1:5" x14ac:dyDescent="0.25">
      <c r="A2360" s="323" t="s">
        <v>2510</v>
      </c>
      <c r="B2360" s="323" t="s">
        <v>805</v>
      </c>
      <c r="C2360" s="323">
        <v>41270</v>
      </c>
      <c r="D2360" s="323">
        <v>101</v>
      </c>
      <c r="E2360" s="324">
        <f t="shared" si="36"/>
        <v>24629.86</v>
      </c>
    </row>
    <row r="2361" spans="1:5" x14ac:dyDescent="0.25">
      <c r="A2361" s="323" t="s">
        <v>2603</v>
      </c>
      <c r="B2361" s="323" t="s">
        <v>805</v>
      </c>
      <c r="C2361" s="323">
        <v>41270</v>
      </c>
      <c r="D2361" s="323">
        <v>101</v>
      </c>
      <c r="E2361" s="324">
        <f t="shared" si="36"/>
        <v>24629.86</v>
      </c>
    </row>
    <row r="2362" spans="1:5" x14ac:dyDescent="0.25">
      <c r="A2362" s="323" t="s">
        <v>2670</v>
      </c>
      <c r="B2362" s="323" t="s">
        <v>805</v>
      </c>
      <c r="C2362" s="323">
        <v>41270</v>
      </c>
      <c r="D2362" s="323">
        <v>222</v>
      </c>
      <c r="E2362" s="324">
        <f t="shared" si="36"/>
        <v>54136.920000000006</v>
      </c>
    </row>
    <row r="2363" spans="1:5" x14ac:dyDescent="0.25">
      <c r="A2363" s="323" t="s">
        <v>2749</v>
      </c>
      <c r="B2363" s="323" t="s">
        <v>805</v>
      </c>
      <c r="C2363" s="323">
        <v>41270</v>
      </c>
      <c r="D2363" s="323">
        <v>81</v>
      </c>
      <c r="E2363" s="324">
        <f t="shared" si="36"/>
        <v>19752.66</v>
      </c>
    </row>
    <row r="2364" spans="1:5" x14ac:dyDescent="0.25">
      <c r="A2364" s="323" t="s">
        <v>3768</v>
      </c>
      <c r="B2364" s="323" t="s">
        <v>805</v>
      </c>
      <c r="C2364" s="323">
        <v>41270</v>
      </c>
      <c r="D2364" s="323">
        <v>203</v>
      </c>
      <c r="E2364" s="324">
        <f t="shared" si="36"/>
        <v>49503.58</v>
      </c>
    </row>
    <row r="2365" spans="1:5" x14ac:dyDescent="0.25">
      <c r="A2365" s="323" t="s">
        <v>4051</v>
      </c>
      <c r="B2365" s="323" t="s">
        <v>805</v>
      </c>
      <c r="C2365" s="323">
        <v>41270</v>
      </c>
      <c r="D2365" s="323">
        <v>162</v>
      </c>
      <c r="E2365" s="324">
        <f t="shared" si="36"/>
        <v>39505.32</v>
      </c>
    </row>
    <row r="2366" spans="1:5" x14ac:dyDescent="0.25">
      <c r="A2366" s="323" t="s">
        <v>4194</v>
      </c>
      <c r="B2366" s="323" t="s">
        <v>805</v>
      </c>
      <c r="C2366" s="323">
        <v>41270</v>
      </c>
      <c r="D2366" s="323">
        <v>112</v>
      </c>
      <c r="E2366" s="324">
        <f t="shared" si="36"/>
        <v>27312.32</v>
      </c>
    </row>
    <row r="2367" spans="1:5" x14ac:dyDescent="0.25">
      <c r="A2367" s="323" t="s">
        <v>4313</v>
      </c>
      <c r="B2367" s="323" t="s">
        <v>805</v>
      </c>
      <c r="C2367" s="323">
        <v>41270</v>
      </c>
      <c r="D2367" s="323">
        <v>112</v>
      </c>
      <c r="E2367" s="324">
        <f t="shared" si="36"/>
        <v>27312.32</v>
      </c>
    </row>
    <row r="2368" spans="1:5" x14ac:dyDescent="0.25">
      <c r="A2368" s="323" t="s">
        <v>4423</v>
      </c>
      <c r="B2368" s="323" t="s">
        <v>805</v>
      </c>
      <c r="C2368" s="323">
        <v>41270</v>
      </c>
      <c r="D2368" s="323">
        <v>311</v>
      </c>
      <c r="E2368" s="324">
        <f t="shared" si="36"/>
        <v>75840.460000000006</v>
      </c>
    </row>
    <row r="2369" spans="1:5" x14ac:dyDescent="0.25">
      <c r="A2369" s="323" t="s">
        <v>5232</v>
      </c>
      <c r="B2369" s="323" t="s">
        <v>805</v>
      </c>
      <c r="C2369" s="323">
        <v>41270</v>
      </c>
      <c r="D2369" s="323">
        <v>38</v>
      </c>
      <c r="E2369" s="324">
        <f t="shared" si="36"/>
        <v>9266.68</v>
      </c>
    </row>
    <row r="2370" spans="1:5" x14ac:dyDescent="0.25">
      <c r="A2370" s="323" t="s">
        <v>6490</v>
      </c>
      <c r="B2370" s="323" t="s">
        <v>816</v>
      </c>
      <c r="C2370" s="323">
        <v>41274</v>
      </c>
      <c r="D2370" s="323">
        <v>302</v>
      </c>
      <c r="E2370" s="324">
        <f t="shared" ref="E2370:E2433" si="37">D2370*IF(B2370=$G$9,WerkdrukbedragPerLeerlingBo,IF(B2370=$G$10,WerkdrukbedragPerLeerlingSbo,IF(B2370=$G$11,WerkdrukbedragPerLeerlingSo,IF(B2370=$G$12,WerkdrukbedragPerLeerlingVso,0))))</f>
        <v>110468.58</v>
      </c>
    </row>
    <row r="2371" spans="1:5" x14ac:dyDescent="0.25">
      <c r="A2371" s="323" t="s">
        <v>3575</v>
      </c>
      <c r="B2371" s="323" t="s">
        <v>805</v>
      </c>
      <c r="C2371" s="323">
        <v>41278</v>
      </c>
      <c r="D2371" s="323">
        <v>157</v>
      </c>
      <c r="E2371" s="324">
        <f t="shared" si="37"/>
        <v>38286.020000000004</v>
      </c>
    </row>
    <row r="2372" spans="1:5" x14ac:dyDescent="0.25">
      <c r="A2372" s="323" t="s">
        <v>1341</v>
      </c>
      <c r="B2372" s="323" t="s">
        <v>805</v>
      </c>
      <c r="C2372" s="323">
        <v>41282</v>
      </c>
      <c r="D2372" s="323">
        <v>107</v>
      </c>
      <c r="E2372" s="324">
        <f t="shared" si="37"/>
        <v>26093.02</v>
      </c>
    </row>
    <row r="2373" spans="1:5" x14ac:dyDescent="0.25">
      <c r="A2373" s="323" t="s">
        <v>1577</v>
      </c>
      <c r="B2373" s="323" t="s">
        <v>805</v>
      </c>
      <c r="C2373" s="323">
        <v>41282</v>
      </c>
      <c r="D2373" s="323">
        <v>241</v>
      </c>
      <c r="E2373" s="324">
        <f t="shared" si="37"/>
        <v>58770.26</v>
      </c>
    </row>
    <row r="2374" spans="1:5" x14ac:dyDescent="0.25">
      <c r="A2374" s="323" t="s">
        <v>1645</v>
      </c>
      <c r="B2374" s="323" t="s">
        <v>805</v>
      </c>
      <c r="C2374" s="323">
        <v>41282</v>
      </c>
      <c r="D2374" s="323">
        <v>160</v>
      </c>
      <c r="E2374" s="324">
        <f t="shared" si="37"/>
        <v>39017.600000000006</v>
      </c>
    </row>
    <row r="2375" spans="1:5" x14ac:dyDescent="0.25">
      <c r="A2375" s="323" t="s">
        <v>1883</v>
      </c>
      <c r="B2375" s="323" t="s">
        <v>805</v>
      </c>
      <c r="C2375" s="323">
        <v>41282</v>
      </c>
      <c r="D2375" s="323">
        <v>128</v>
      </c>
      <c r="E2375" s="324">
        <f t="shared" si="37"/>
        <v>31214.080000000002</v>
      </c>
    </row>
    <row r="2376" spans="1:5" x14ac:dyDescent="0.25">
      <c r="A2376" s="323" t="s">
        <v>2084</v>
      </c>
      <c r="B2376" s="323" t="s">
        <v>805</v>
      </c>
      <c r="C2376" s="323">
        <v>41282</v>
      </c>
      <c r="D2376" s="323">
        <v>58</v>
      </c>
      <c r="E2376" s="324">
        <f t="shared" si="37"/>
        <v>14143.880000000001</v>
      </c>
    </row>
    <row r="2377" spans="1:5" x14ac:dyDescent="0.25">
      <c r="A2377" s="323" t="s">
        <v>2314</v>
      </c>
      <c r="B2377" s="323" t="s">
        <v>805</v>
      </c>
      <c r="C2377" s="323">
        <v>41282</v>
      </c>
      <c r="D2377" s="323">
        <v>78</v>
      </c>
      <c r="E2377" s="324">
        <f t="shared" si="37"/>
        <v>19021.080000000002</v>
      </c>
    </row>
    <row r="2378" spans="1:5" x14ac:dyDescent="0.25">
      <c r="A2378" s="323" t="s">
        <v>2938</v>
      </c>
      <c r="B2378" s="323" t="s">
        <v>805</v>
      </c>
      <c r="C2378" s="323">
        <v>41282</v>
      </c>
      <c r="D2378" s="323">
        <v>94</v>
      </c>
      <c r="E2378" s="324">
        <f t="shared" si="37"/>
        <v>22922.84</v>
      </c>
    </row>
    <row r="2379" spans="1:5" x14ac:dyDescent="0.25">
      <c r="A2379" s="323" t="s">
        <v>3464</v>
      </c>
      <c r="B2379" s="323" t="s">
        <v>805</v>
      </c>
      <c r="C2379" s="323">
        <v>41282</v>
      </c>
      <c r="D2379" s="323">
        <v>85</v>
      </c>
      <c r="E2379" s="324">
        <f t="shared" si="37"/>
        <v>20728.100000000002</v>
      </c>
    </row>
    <row r="2380" spans="1:5" x14ac:dyDescent="0.25">
      <c r="A2380" s="323" t="s">
        <v>3739</v>
      </c>
      <c r="B2380" s="323" t="s">
        <v>805</v>
      </c>
      <c r="C2380" s="323">
        <v>41282</v>
      </c>
      <c r="D2380" s="323">
        <v>164</v>
      </c>
      <c r="E2380" s="324">
        <f t="shared" si="37"/>
        <v>39993.040000000001</v>
      </c>
    </row>
    <row r="2381" spans="1:5" x14ac:dyDescent="0.25">
      <c r="A2381" s="323" t="s">
        <v>1536</v>
      </c>
      <c r="B2381" s="323" t="s">
        <v>805</v>
      </c>
      <c r="C2381" s="323">
        <v>41286</v>
      </c>
      <c r="D2381" s="323">
        <v>120</v>
      </c>
      <c r="E2381" s="324">
        <f t="shared" si="37"/>
        <v>29263.200000000001</v>
      </c>
    </row>
    <row r="2382" spans="1:5" x14ac:dyDescent="0.25">
      <c r="A2382" s="323" t="s">
        <v>2350</v>
      </c>
      <c r="B2382" s="323" t="s">
        <v>805</v>
      </c>
      <c r="C2382" s="323">
        <v>41286</v>
      </c>
      <c r="D2382" s="323">
        <v>51</v>
      </c>
      <c r="E2382" s="324">
        <f t="shared" si="37"/>
        <v>12436.86</v>
      </c>
    </row>
    <row r="2383" spans="1:5" x14ac:dyDescent="0.25">
      <c r="A2383" s="323" t="s">
        <v>2677</v>
      </c>
      <c r="B2383" s="323" t="s">
        <v>805</v>
      </c>
      <c r="C2383" s="323">
        <v>41286</v>
      </c>
      <c r="D2383" s="323">
        <v>155</v>
      </c>
      <c r="E2383" s="324">
        <f t="shared" si="37"/>
        <v>37798.300000000003</v>
      </c>
    </row>
    <row r="2384" spans="1:5" x14ac:dyDescent="0.25">
      <c r="A2384" s="323" t="s">
        <v>2714</v>
      </c>
      <c r="B2384" s="323" t="s">
        <v>805</v>
      </c>
      <c r="C2384" s="323">
        <v>41286</v>
      </c>
      <c r="D2384" s="323">
        <v>230</v>
      </c>
      <c r="E2384" s="324">
        <f t="shared" si="37"/>
        <v>56087.8</v>
      </c>
    </row>
    <row r="2385" spans="1:5" x14ac:dyDescent="0.25">
      <c r="A2385" s="323" t="s">
        <v>2927</v>
      </c>
      <c r="B2385" s="323" t="s">
        <v>805</v>
      </c>
      <c r="C2385" s="323">
        <v>41286</v>
      </c>
      <c r="D2385" s="323">
        <v>158</v>
      </c>
      <c r="E2385" s="324">
        <f t="shared" si="37"/>
        <v>38529.880000000005</v>
      </c>
    </row>
    <row r="2386" spans="1:5" x14ac:dyDescent="0.25">
      <c r="A2386" s="323" t="s">
        <v>3145</v>
      </c>
      <c r="B2386" s="323" t="s">
        <v>805</v>
      </c>
      <c r="C2386" s="323">
        <v>41286</v>
      </c>
      <c r="D2386" s="323">
        <v>131</v>
      </c>
      <c r="E2386" s="324">
        <f t="shared" si="37"/>
        <v>31945.660000000003</v>
      </c>
    </row>
    <row r="2387" spans="1:5" x14ac:dyDescent="0.25">
      <c r="A2387" s="323" t="s">
        <v>3541</v>
      </c>
      <c r="B2387" s="323" t="s">
        <v>805</v>
      </c>
      <c r="C2387" s="323">
        <v>41286</v>
      </c>
      <c r="D2387" s="323">
        <v>209</v>
      </c>
      <c r="E2387" s="324">
        <f t="shared" si="37"/>
        <v>50966.740000000005</v>
      </c>
    </row>
    <row r="2388" spans="1:5" x14ac:dyDescent="0.25">
      <c r="A2388" s="323" t="s">
        <v>3804</v>
      </c>
      <c r="B2388" s="323" t="s">
        <v>805</v>
      </c>
      <c r="C2388" s="323">
        <v>41286</v>
      </c>
      <c r="D2388" s="323">
        <v>282</v>
      </c>
      <c r="E2388" s="324">
        <f t="shared" si="37"/>
        <v>68768.52</v>
      </c>
    </row>
    <row r="2389" spans="1:5" x14ac:dyDescent="0.25">
      <c r="A2389" s="323" t="s">
        <v>3990</v>
      </c>
      <c r="B2389" s="323" t="s">
        <v>805</v>
      </c>
      <c r="C2389" s="323">
        <v>41286</v>
      </c>
      <c r="D2389" s="323">
        <v>137</v>
      </c>
      <c r="E2389" s="324">
        <f t="shared" si="37"/>
        <v>33408.82</v>
      </c>
    </row>
    <row r="2390" spans="1:5" x14ac:dyDescent="0.25">
      <c r="A2390" s="323" t="s">
        <v>4147</v>
      </c>
      <c r="B2390" s="323" t="s">
        <v>805</v>
      </c>
      <c r="C2390" s="323">
        <v>41286</v>
      </c>
      <c r="D2390" s="323">
        <v>281</v>
      </c>
      <c r="E2390" s="324">
        <f t="shared" si="37"/>
        <v>68524.66</v>
      </c>
    </row>
    <row r="2391" spans="1:5" x14ac:dyDescent="0.25">
      <c r="A2391" s="323" t="s">
        <v>4282</v>
      </c>
      <c r="B2391" s="323" t="s">
        <v>805</v>
      </c>
      <c r="C2391" s="323">
        <v>41286</v>
      </c>
      <c r="D2391" s="323">
        <v>221</v>
      </c>
      <c r="E2391" s="324">
        <f t="shared" si="37"/>
        <v>53893.060000000005</v>
      </c>
    </row>
    <row r="2392" spans="1:5" x14ac:dyDescent="0.25">
      <c r="A2392" s="323" t="s">
        <v>4503</v>
      </c>
      <c r="B2392" s="323" t="s">
        <v>805</v>
      </c>
      <c r="C2392" s="323">
        <v>41286</v>
      </c>
      <c r="D2392" s="323">
        <v>205</v>
      </c>
      <c r="E2392" s="324">
        <f t="shared" si="37"/>
        <v>49991.3</v>
      </c>
    </row>
    <row r="2393" spans="1:5" x14ac:dyDescent="0.25">
      <c r="A2393" s="323" t="s">
        <v>7118</v>
      </c>
      <c r="B2393" s="323" t="s">
        <v>805</v>
      </c>
      <c r="C2393" s="323">
        <v>41286</v>
      </c>
      <c r="D2393" s="323">
        <v>435</v>
      </c>
      <c r="E2393" s="324">
        <f t="shared" si="37"/>
        <v>106079.1</v>
      </c>
    </row>
    <row r="2394" spans="1:5" x14ac:dyDescent="0.25">
      <c r="A2394" s="323" t="s">
        <v>883</v>
      </c>
      <c r="B2394" s="323" t="s">
        <v>809</v>
      </c>
      <c r="C2394" s="323">
        <v>41290</v>
      </c>
      <c r="D2394" s="323">
        <v>88</v>
      </c>
      <c r="E2394" s="324">
        <f t="shared" si="37"/>
        <v>42919.360000000001</v>
      </c>
    </row>
    <row r="2395" spans="1:5" x14ac:dyDescent="0.25">
      <c r="A2395" s="323" t="s">
        <v>883</v>
      </c>
      <c r="B2395" s="323" t="s">
        <v>803</v>
      </c>
      <c r="C2395" s="323">
        <v>41290</v>
      </c>
      <c r="D2395" s="323">
        <v>105</v>
      </c>
      <c r="E2395" s="324">
        <f t="shared" si="37"/>
        <v>51210.600000000006</v>
      </c>
    </row>
    <row r="2396" spans="1:5" x14ac:dyDescent="0.25">
      <c r="A2396" s="323" t="s">
        <v>3468</v>
      </c>
      <c r="B2396" s="323" t="s">
        <v>805</v>
      </c>
      <c r="C2396" s="323">
        <v>41293</v>
      </c>
      <c r="D2396" s="323">
        <v>294</v>
      </c>
      <c r="E2396" s="324">
        <f t="shared" si="37"/>
        <v>71694.840000000011</v>
      </c>
    </row>
    <row r="2397" spans="1:5" x14ac:dyDescent="0.25">
      <c r="A2397" s="323" t="s">
        <v>3978</v>
      </c>
      <c r="B2397" s="323" t="s">
        <v>805</v>
      </c>
      <c r="C2397" s="323">
        <v>41293</v>
      </c>
      <c r="D2397" s="323">
        <v>211</v>
      </c>
      <c r="E2397" s="324">
        <f t="shared" si="37"/>
        <v>51454.460000000006</v>
      </c>
    </row>
    <row r="2398" spans="1:5" x14ac:dyDescent="0.25">
      <c r="A2398" s="323" t="s">
        <v>4187</v>
      </c>
      <c r="B2398" s="323" t="s">
        <v>805</v>
      </c>
      <c r="C2398" s="323">
        <v>41293</v>
      </c>
      <c r="D2398" s="323">
        <v>186</v>
      </c>
      <c r="E2398" s="324">
        <f t="shared" si="37"/>
        <v>45357.96</v>
      </c>
    </row>
    <row r="2399" spans="1:5" x14ac:dyDescent="0.25">
      <c r="A2399" s="323" t="s">
        <v>4273</v>
      </c>
      <c r="B2399" s="323" t="s">
        <v>805</v>
      </c>
      <c r="C2399" s="323">
        <v>41293</v>
      </c>
      <c r="D2399" s="323">
        <v>224</v>
      </c>
      <c r="E2399" s="324">
        <f t="shared" si="37"/>
        <v>54624.639999999999</v>
      </c>
    </row>
    <row r="2400" spans="1:5" x14ac:dyDescent="0.25">
      <c r="A2400" s="323" t="s">
        <v>4419</v>
      </c>
      <c r="B2400" s="323" t="s">
        <v>805</v>
      </c>
      <c r="C2400" s="323">
        <v>41293</v>
      </c>
      <c r="D2400" s="323">
        <v>180</v>
      </c>
      <c r="E2400" s="324">
        <f t="shared" si="37"/>
        <v>43894.8</v>
      </c>
    </row>
    <row r="2401" spans="1:5" x14ac:dyDescent="0.25">
      <c r="A2401" s="323" t="s">
        <v>1509</v>
      </c>
      <c r="B2401" s="323" t="s">
        <v>805</v>
      </c>
      <c r="C2401" s="323">
        <v>41296</v>
      </c>
      <c r="D2401" s="323">
        <v>220</v>
      </c>
      <c r="E2401" s="324">
        <f t="shared" si="37"/>
        <v>53649.200000000004</v>
      </c>
    </row>
    <row r="2402" spans="1:5" x14ac:dyDescent="0.25">
      <c r="A2402" s="323" t="s">
        <v>2379</v>
      </c>
      <c r="B2402" s="323" t="s">
        <v>805</v>
      </c>
      <c r="C2402" s="323">
        <v>41296</v>
      </c>
      <c r="D2402" s="323">
        <v>208</v>
      </c>
      <c r="E2402" s="324">
        <f t="shared" si="37"/>
        <v>50722.880000000005</v>
      </c>
    </row>
    <row r="2403" spans="1:5" x14ac:dyDescent="0.25">
      <c r="A2403" s="323" t="s">
        <v>2381</v>
      </c>
      <c r="B2403" s="323" t="s">
        <v>805</v>
      </c>
      <c r="C2403" s="323">
        <v>41296</v>
      </c>
      <c r="D2403" s="323">
        <v>209</v>
      </c>
      <c r="E2403" s="324">
        <f t="shared" si="37"/>
        <v>50966.740000000005</v>
      </c>
    </row>
    <row r="2404" spans="1:5" x14ac:dyDescent="0.25">
      <c r="A2404" s="323" t="s">
        <v>3363</v>
      </c>
      <c r="B2404" s="323" t="s">
        <v>805</v>
      </c>
      <c r="C2404" s="323">
        <v>41296</v>
      </c>
      <c r="D2404" s="323">
        <v>574</v>
      </c>
      <c r="E2404" s="324">
        <f t="shared" si="37"/>
        <v>139975.64000000001</v>
      </c>
    </row>
    <row r="2405" spans="1:5" x14ac:dyDescent="0.25">
      <c r="A2405" s="323" t="s">
        <v>3498</v>
      </c>
      <c r="B2405" s="323" t="s">
        <v>805</v>
      </c>
      <c r="C2405" s="323">
        <v>41296</v>
      </c>
      <c r="D2405" s="323">
        <v>213</v>
      </c>
      <c r="E2405" s="324">
        <f t="shared" si="37"/>
        <v>51942.18</v>
      </c>
    </row>
    <row r="2406" spans="1:5" x14ac:dyDescent="0.25">
      <c r="A2406" s="323" t="s">
        <v>3498</v>
      </c>
      <c r="B2406" s="323" t="s">
        <v>805</v>
      </c>
      <c r="C2406" s="323">
        <v>41296</v>
      </c>
      <c r="D2406" s="323">
        <v>204</v>
      </c>
      <c r="E2406" s="324">
        <f t="shared" si="37"/>
        <v>49747.44</v>
      </c>
    </row>
    <row r="2407" spans="1:5" x14ac:dyDescent="0.25">
      <c r="A2407" s="323" t="s">
        <v>3641</v>
      </c>
      <c r="B2407" s="323" t="s">
        <v>805</v>
      </c>
      <c r="C2407" s="323">
        <v>41296</v>
      </c>
      <c r="D2407" s="323">
        <v>355</v>
      </c>
      <c r="E2407" s="324">
        <f t="shared" si="37"/>
        <v>86570.3</v>
      </c>
    </row>
    <row r="2408" spans="1:5" x14ac:dyDescent="0.25">
      <c r="A2408" s="323" t="s">
        <v>3641</v>
      </c>
      <c r="B2408" s="323" t="s">
        <v>805</v>
      </c>
      <c r="C2408" s="323">
        <v>41296</v>
      </c>
      <c r="D2408" s="323">
        <v>84</v>
      </c>
      <c r="E2408" s="324">
        <f t="shared" si="37"/>
        <v>20484.240000000002</v>
      </c>
    </row>
    <row r="2409" spans="1:5" x14ac:dyDescent="0.25">
      <c r="A2409" s="323" t="s">
        <v>7100</v>
      </c>
      <c r="B2409" s="323" t="s">
        <v>805</v>
      </c>
      <c r="C2409" s="323">
        <v>41296</v>
      </c>
      <c r="D2409" s="323">
        <v>167</v>
      </c>
      <c r="E2409" s="324">
        <f t="shared" si="37"/>
        <v>40724.620000000003</v>
      </c>
    </row>
    <row r="2410" spans="1:5" x14ac:dyDescent="0.25">
      <c r="A2410" s="323" t="s">
        <v>7101</v>
      </c>
      <c r="B2410" s="323" t="s">
        <v>805</v>
      </c>
      <c r="C2410" s="323">
        <v>41296</v>
      </c>
      <c r="D2410" s="323">
        <v>109</v>
      </c>
      <c r="E2410" s="324">
        <f t="shared" si="37"/>
        <v>26580.74</v>
      </c>
    </row>
    <row r="2411" spans="1:5" x14ac:dyDescent="0.25">
      <c r="A2411" s="323" t="s">
        <v>7470</v>
      </c>
      <c r="B2411" s="323" t="s">
        <v>805</v>
      </c>
      <c r="C2411" s="323">
        <v>41296</v>
      </c>
      <c r="D2411" s="323">
        <v>118</v>
      </c>
      <c r="E2411" s="324">
        <f t="shared" si="37"/>
        <v>28775.480000000003</v>
      </c>
    </row>
    <row r="2412" spans="1:5" x14ac:dyDescent="0.25">
      <c r="A2412" s="323" t="s">
        <v>869</v>
      </c>
      <c r="B2412" s="323" t="s">
        <v>809</v>
      </c>
      <c r="C2412" s="323">
        <v>41312</v>
      </c>
      <c r="D2412" s="323">
        <v>70</v>
      </c>
      <c r="E2412" s="324">
        <f t="shared" si="37"/>
        <v>34140.400000000001</v>
      </c>
    </row>
    <row r="2413" spans="1:5" x14ac:dyDescent="0.25">
      <c r="A2413" s="323" t="s">
        <v>869</v>
      </c>
      <c r="B2413" s="323" t="s">
        <v>803</v>
      </c>
      <c r="C2413" s="323">
        <v>41312</v>
      </c>
      <c r="D2413" s="323">
        <v>82</v>
      </c>
      <c r="E2413" s="324">
        <f t="shared" si="37"/>
        <v>39993.040000000001</v>
      </c>
    </row>
    <row r="2414" spans="1:5" x14ac:dyDescent="0.25">
      <c r="A2414" s="323" t="s">
        <v>966</v>
      </c>
      <c r="B2414" s="323" t="s">
        <v>809</v>
      </c>
      <c r="C2414" s="323">
        <v>41312</v>
      </c>
      <c r="D2414" s="323">
        <v>76</v>
      </c>
      <c r="E2414" s="324">
        <f t="shared" si="37"/>
        <v>37066.720000000001</v>
      </c>
    </row>
    <row r="2415" spans="1:5" x14ac:dyDescent="0.25">
      <c r="A2415" s="323" t="s">
        <v>966</v>
      </c>
      <c r="B2415" s="323" t="s">
        <v>803</v>
      </c>
      <c r="C2415" s="323">
        <v>41312</v>
      </c>
      <c r="D2415" s="323">
        <v>84</v>
      </c>
      <c r="E2415" s="324">
        <f t="shared" si="37"/>
        <v>40968.480000000003</v>
      </c>
    </row>
    <row r="2416" spans="1:5" x14ac:dyDescent="0.25">
      <c r="A2416" s="323" t="s">
        <v>1812</v>
      </c>
      <c r="B2416" s="323" t="s">
        <v>809</v>
      </c>
      <c r="C2416" s="323">
        <v>41312</v>
      </c>
      <c r="D2416" s="323">
        <v>38</v>
      </c>
      <c r="E2416" s="324">
        <f t="shared" si="37"/>
        <v>18533.36</v>
      </c>
    </row>
    <row r="2417" spans="1:5" x14ac:dyDescent="0.25">
      <c r="A2417" s="323" t="s">
        <v>1812</v>
      </c>
      <c r="B2417" s="323" t="s">
        <v>803</v>
      </c>
      <c r="C2417" s="323">
        <v>41312</v>
      </c>
      <c r="D2417" s="323">
        <v>80</v>
      </c>
      <c r="E2417" s="324">
        <f t="shared" si="37"/>
        <v>39017.600000000006</v>
      </c>
    </row>
    <row r="2418" spans="1:5" x14ac:dyDescent="0.25">
      <c r="A2418" s="323" t="s">
        <v>5115</v>
      </c>
      <c r="B2418" s="323" t="s">
        <v>809</v>
      </c>
      <c r="C2418" s="323">
        <v>41312</v>
      </c>
      <c r="D2418" s="323">
        <v>28</v>
      </c>
      <c r="E2418" s="324">
        <f t="shared" si="37"/>
        <v>13656.16</v>
      </c>
    </row>
    <row r="2419" spans="1:5" x14ac:dyDescent="0.25">
      <c r="A2419" s="323" t="s">
        <v>5115</v>
      </c>
      <c r="B2419" s="323" t="s">
        <v>803</v>
      </c>
      <c r="C2419" s="323">
        <v>41312</v>
      </c>
      <c r="D2419" s="323">
        <v>34</v>
      </c>
      <c r="E2419" s="324">
        <f t="shared" si="37"/>
        <v>16582.48</v>
      </c>
    </row>
    <row r="2420" spans="1:5" x14ac:dyDescent="0.25">
      <c r="A2420" s="323" t="s">
        <v>922</v>
      </c>
      <c r="B2420" s="323" t="s">
        <v>809</v>
      </c>
      <c r="C2420" s="323">
        <v>41314</v>
      </c>
      <c r="D2420" s="323">
        <v>216</v>
      </c>
      <c r="E2420" s="324">
        <f t="shared" si="37"/>
        <v>105347.52</v>
      </c>
    </row>
    <row r="2421" spans="1:5" x14ac:dyDescent="0.25">
      <c r="A2421" s="323" t="s">
        <v>922</v>
      </c>
      <c r="B2421" s="323" t="s">
        <v>809</v>
      </c>
      <c r="C2421" s="323">
        <v>41314</v>
      </c>
      <c r="D2421" s="323">
        <v>154</v>
      </c>
      <c r="E2421" s="324">
        <f t="shared" si="37"/>
        <v>75108.88</v>
      </c>
    </row>
    <row r="2422" spans="1:5" x14ac:dyDescent="0.25">
      <c r="A2422" s="323" t="s">
        <v>922</v>
      </c>
      <c r="B2422" s="323" t="s">
        <v>803</v>
      </c>
      <c r="C2422" s="323">
        <v>41314</v>
      </c>
      <c r="D2422" s="323">
        <v>82</v>
      </c>
      <c r="E2422" s="324">
        <f t="shared" si="37"/>
        <v>39993.040000000001</v>
      </c>
    </row>
    <row r="2423" spans="1:5" x14ac:dyDescent="0.25">
      <c r="A2423" s="323" t="s">
        <v>922</v>
      </c>
      <c r="B2423" s="323" t="s">
        <v>809</v>
      </c>
      <c r="C2423" s="323">
        <v>41314</v>
      </c>
      <c r="D2423" s="323">
        <v>137</v>
      </c>
      <c r="E2423" s="324">
        <f t="shared" si="37"/>
        <v>66817.64</v>
      </c>
    </row>
    <row r="2424" spans="1:5" x14ac:dyDescent="0.25">
      <c r="A2424" s="323" t="s">
        <v>922</v>
      </c>
      <c r="B2424" s="323" t="s">
        <v>809</v>
      </c>
      <c r="C2424" s="323">
        <v>41314</v>
      </c>
      <c r="D2424" s="323">
        <v>79</v>
      </c>
      <c r="E2424" s="324">
        <f t="shared" si="37"/>
        <v>38529.880000000005</v>
      </c>
    </row>
    <row r="2425" spans="1:5" x14ac:dyDescent="0.25">
      <c r="A2425" s="323" t="s">
        <v>922</v>
      </c>
      <c r="B2425" s="323" t="s">
        <v>809</v>
      </c>
      <c r="C2425" s="323">
        <v>41314</v>
      </c>
      <c r="D2425" s="323">
        <v>193</v>
      </c>
      <c r="E2425" s="324">
        <f t="shared" si="37"/>
        <v>94129.96</v>
      </c>
    </row>
    <row r="2426" spans="1:5" x14ac:dyDescent="0.25">
      <c r="A2426" s="323" t="s">
        <v>922</v>
      </c>
      <c r="B2426" s="323" t="s">
        <v>809</v>
      </c>
      <c r="C2426" s="323">
        <v>41314</v>
      </c>
      <c r="D2426" s="323">
        <v>160</v>
      </c>
      <c r="E2426" s="324">
        <f t="shared" si="37"/>
        <v>78035.200000000012</v>
      </c>
    </row>
    <row r="2427" spans="1:5" x14ac:dyDescent="0.25">
      <c r="A2427" s="323" t="s">
        <v>922</v>
      </c>
      <c r="B2427" s="323" t="s">
        <v>809</v>
      </c>
      <c r="C2427" s="323">
        <v>41314</v>
      </c>
      <c r="D2427" s="323">
        <v>116</v>
      </c>
      <c r="E2427" s="324">
        <f t="shared" si="37"/>
        <v>56575.520000000004</v>
      </c>
    </row>
    <row r="2428" spans="1:5" x14ac:dyDescent="0.25">
      <c r="A2428" s="323" t="s">
        <v>922</v>
      </c>
      <c r="B2428" s="323" t="s">
        <v>803</v>
      </c>
      <c r="C2428" s="323">
        <v>41314</v>
      </c>
      <c r="D2428" s="323">
        <v>105</v>
      </c>
      <c r="E2428" s="324">
        <f t="shared" si="37"/>
        <v>51210.600000000006</v>
      </c>
    </row>
    <row r="2429" spans="1:5" x14ac:dyDescent="0.25">
      <c r="A2429" s="323" t="s">
        <v>922</v>
      </c>
      <c r="B2429" s="323" t="s">
        <v>809</v>
      </c>
      <c r="C2429" s="323">
        <v>41314</v>
      </c>
      <c r="D2429" s="323">
        <v>187</v>
      </c>
      <c r="E2429" s="324">
        <f t="shared" si="37"/>
        <v>91203.64</v>
      </c>
    </row>
    <row r="2430" spans="1:5" x14ac:dyDescent="0.25">
      <c r="A2430" s="323" t="s">
        <v>922</v>
      </c>
      <c r="B2430" s="323" t="s">
        <v>809</v>
      </c>
      <c r="C2430" s="323">
        <v>41314</v>
      </c>
      <c r="D2430" s="323">
        <v>93</v>
      </c>
      <c r="E2430" s="324">
        <f t="shared" si="37"/>
        <v>45357.96</v>
      </c>
    </row>
    <row r="2431" spans="1:5" x14ac:dyDescent="0.25">
      <c r="A2431" s="323" t="s">
        <v>922</v>
      </c>
      <c r="B2431" s="323" t="s">
        <v>809</v>
      </c>
      <c r="C2431" s="323">
        <v>41314</v>
      </c>
      <c r="D2431" s="323">
        <v>175</v>
      </c>
      <c r="E2431" s="324">
        <f t="shared" si="37"/>
        <v>85351</v>
      </c>
    </row>
    <row r="2432" spans="1:5" x14ac:dyDescent="0.25">
      <c r="A2432" s="323" t="s">
        <v>922</v>
      </c>
      <c r="B2432" s="323" t="s">
        <v>809</v>
      </c>
      <c r="C2432" s="323">
        <v>41314</v>
      </c>
      <c r="D2432" s="323">
        <v>127</v>
      </c>
      <c r="E2432" s="324">
        <f t="shared" si="37"/>
        <v>61940.44</v>
      </c>
    </row>
    <row r="2433" spans="1:5" x14ac:dyDescent="0.25">
      <c r="A2433" s="323" t="s">
        <v>922</v>
      </c>
      <c r="B2433" s="323" t="s">
        <v>809</v>
      </c>
      <c r="C2433" s="323">
        <v>41314</v>
      </c>
      <c r="D2433" s="323">
        <v>111</v>
      </c>
      <c r="E2433" s="324">
        <f t="shared" si="37"/>
        <v>54136.920000000006</v>
      </c>
    </row>
    <row r="2434" spans="1:5" x14ac:dyDescent="0.25">
      <c r="A2434" s="323" t="s">
        <v>922</v>
      </c>
      <c r="B2434" s="323" t="s">
        <v>809</v>
      </c>
      <c r="C2434" s="323">
        <v>41314</v>
      </c>
      <c r="D2434" s="323">
        <v>147</v>
      </c>
      <c r="E2434" s="324">
        <f t="shared" ref="E2434:E2497" si="38">D2434*IF(B2434=$G$9,WerkdrukbedragPerLeerlingBo,IF(B2434=$G$10,WerkdrukbedragPerLeerlingSbo,IF(B2434=$G$11,WerkdrukbedragPerLeerlingSo,IF(B2434=$G$12,WerkdrukbedragPerLeerlingVso,0))))</f>
        <v>71694.840000000011</v>
      </c>
    </row>
    <row r="2435" spans="1:5" x14ac:dyDescent="0.25">
      <c r="A2435" s="323" t="s">
        <v>922</v>
      </c>
      <c r="B2435" s="323" t="s">
        <v>809</v>
      </c>
      <c r="C2435" s="323">
        <v>41314</v>
      </c>
      <c r="D2435" s="323">
        <v>95</v>
      </c>
      <c r="E2435" s="324">
        <f t="shared" si="38"/>
        <v>46333.4</v>
      </c>
    </row>
    <row r="2436" spans="1:5" x14ac:dyDescent="0.25">
      <c r="A2436" s="323" t="s">
        <v>922</v>
      </c>
      <c r="B2436" s="323" t="s">
        <v>809</v>
      </c>
      <c r="C2436" s="323">
        <v>41314</v>
      </c>
      <c r="D2436" s="323">
        <v>31</v>
      </c>
      <c r="E2436" s="324">
        <f t="shared" si="38"/>
        <v>15119.320000000002</v>
      </c>
    </row>
    <row r="2437" spans="1:5" x14ac:dyDescent="0.25">
      <c r="A2437" s="323" t="s">
        <v>922</v>
      </c>
      <c r="B2437" s="323" t="s">
        <v>809</v>
      </c>
      <c r="C2437" s="323">
        <v>41314</v>
      </c>
      <c r="D2437" s="323">
        <v>37</v>
      </c>
      <c r="E2437" s="324">
        <f t="shared" si="38"/>
        <v>18045.64</v>
      </c>
    </row>
    <row r="2438" spans="1:5" x14ac:dyDescent="0.25">
      <c r="A2438" s="323" t="s">
        <v>922</v>
      </c>
      <c r="B2438" s="323" t="s">
        <v>809</v>
      </c>
      <c r="C2438" s="323">
        <v>41314</v>
      </c>
      <c r="D2438" s="323">
        <v>176</v>
      </c>
      <c r="E2438" s="324">
        <f t="shared" si="38"/>
        <v>85838.720000000001</v>
      </c>
    </row>
    <row r="2439" spans="1:5" x14ac:dyDescent="0.25">
      <c r="A2439" s="323" t="s">
        <v>922</v>
      </c>
      <c r="B2439" s="323" t="s">
        <v>809</v>
      </c>
      <c r="C2439" s="323">
        <v>41314</v>
      </c>
      <c r="D2439" s="323">
        <v>97</v>
      </c>
      <c r="E2439" s="324">
        <f t="shared" si="38"/>
        <v>47308.840000000004</v>
      </c>
    </row>
    <row r="2440" spans="1:5" x14ac:dyDescent="0.25">
      <c r="A2440" s="323" t="s">
        <v>922</v>
      </c>
      <c r="B2440" s="323" t="s">
        <v>809</v>
      </c>
      <c r="C2440" s="323">
        <v>41314</v>
      </c>
      <c r="D2440" s="323">
        <v>44</v>
      </c>
      <c r="E2440" s="324">
        <f t="shared" si="38"/>
        <v>21459.68</v>
      </c>
    </row>
    <row r="2441" spans="1:5" x14ac:dyDescent="0.25">
      <c r="A2441" s="323" t="s">
        <v>922</v>
      </c>
      <c r="B2441" s="323" t="s">
        <v>803</v>
      </c>
      <c r="C2441" s="323">
        <v>41314</v>
      </c>
      <c r="D2441" s="323">
        <v>78</v>
      </c>
      <c r="E2441" s="324">
        <f t="shared" si="38"/>
        <v>38042.160000000003</v>
      </c>
    </row>
    <row r="2442" spans="1:5" x14ac:dyDescent="0.25">
      <c r="A2442" s="323" t="s">
        <v>4108</v>
      </c>
      <c r="B2442" s="323" t="s">
        <v>805</v>
      </c>
      <c r="C2442" s="323">
        <v>41316</v>
      </c>
      <c r="D2442" s="323">
        <v>267</v>
      </c>
      <c r="E2442" s="324">
        <f t="shared" si="38"/>
        <v>65110.62</v>
      </c>
    </row>
    <row r="2443" spans="1:5" x14ac:dyDescent="0.25">
      <c r="A2443" s="323" t="s">
        <v>4250</v>
      </c>
      <c r="B2443" s="323" t="s">
        <v>805</v>
      </c>
      <c r="C2443" s="323">
        <v>41316</v>
      </c>
      <c r="D2443" s="323">
        <v>281</v>
      </c>
      <c r="E2443" s="324">
        <f t="shared" si="38"/>
        <v>68524.66</v>
      </c>
    </row>
    <row r="2444" spans="1:5" x14ac:dyDescent="0.25">
      <c r="A2444" s="323" t="s">
        <v>4663</v>
      </c>
      <c r="B2444" s="323" t="s">
        <v>805</v>
      </c>
      <c r="C2444" s="323">
        <v>41316</v>
      </c>
      <c r="D2444" s="323">
        <v>197</v>
      </c>
      <c r="E2444" s="324">
        <f t="shared" si="38"/>
        <v>48040.420000000006</v>
      </c>
    </row>
    <row r="2445" spans="1:5" x14ac:dyDescent="0.25">
      <c r="A2445" s="323" t="s">
        <v>1275</v>
      </c>
      <c r="B2445" s="323" t="s">
        <v>805</v>
      </c>
      <c r="C2445" s="323">
        <v>41324</v>
      </c>
      <c r="D2445" s="323">
        <v>292</v>
      </c>
      <c r="E2445" s="324">
        <f t="shared" si="38"/>
        <v>71207.12000000001</v>
      </c>
    </row>
    <row r="2446" spans="1:5" x14ac:dyDescent="0.25">
      <c r="A2446" s="323" t="s">
        <v>1407</v>
      </c>
      <c r="B2446" s="323" t="s">
        <v>805</v>
      </c>
      <c r="C2446" s="323">
        <v>41324</v>
      </c>
      <c r="D2446" s="323">
        <v>245</v>
      </c>
      <c r="E2446" s="324">
        <f t="shared" si="38"/>
        <v>59745.700000000004</v>
      </c>
    </row>
    <row r="2447" spans="1:5" x14ac:dyDescent="0.25">
      <c r="A2447" s="323" t="s">
        <v>1515</v>
      </c>
      <c r="B2447" s="323" t="s">
        <v>805</v>
      </c>
      <c r="C2447" s="323">
        <v>41324</v>
      </c>
      <c r="D2447" s="323">
        <v>292</v>
      </c>
      <c r="E2447" s="324">
        <f t="shared" si="38"/>
        <v>71207.12000000001</v>
      </c>
    </row>
    <row r="2448" spans="1:5" x14ac:dyDescent="0.25">
      <c r="A2448" s="323" t="s">
        <v>2541</v>
      </c>
      <c r="B2448" s="323" t="s">
        <v>805</v>
      </c>
      <c r="C2448" s="323">
        <v>41324</v>
      </c>
      <c r="D2448" s="323">
        <v>167</v>
      </c>
      <c r="E2448" s="324">
        <f t="shared" si="38"/>
        <v>40724.620000000003</v>
      </c>
    </row>
    <row r="2449" spans="1:5" x14ac:dyDescent="0.25">
      <c r="A2449" s="323" t="s">
        <v>6925</v>
      </c>
      <c r="B2449" s="323" t="s">
        <v>805</v>
      </c>
      <c r="C2449" s="323">
        <v>41324</v>
      </c>
      <c r="D2449" s="323">
        <v>194</v>
      </c>
      <c r="E2449" s="324">
        <f t="shared" si="38"/>
        <v>47308.840000000004</v>
      </c>
    </row>
    <row r="2450" spans="1:5" x14ac:dyDescent="0.25">
      <c r="A2450" s="323" t="s">
        <v>843</v>
      </c>
      <c r="B2450" s="323" t="s">
        <v>805</v>
      </c>
      <c r="C2450" s="323">
        <v>41335</v>
      </c>
      <c r="D2450" s="323">
        <v>67</v>
      </c>
      <c r="E2450" s="324">
        <f t="shared" si="38"/>
        <v>16338.62</v>
      </c>
    </row>
    <row r="2451" spans="1:5" x14ac:dyDescent="0.25">
      <c r="A2451" s="323" t="s">
        <v>1613</v>
      </c>
      <c r="B2451" s="323" t="s">
        <v>805</v>
      </c>
      <c r="C2451" s="323">
        <v>41337</v>
      </c>
      <c r="D2451" s="323">
        <v>98</v>
      </c>
      <c r="E2451" s="324">
        <f t="shared" si="38"/>
        <v>23898.280000000002</v>
      </c>
    </row>
    <row r="2452" spans="1:5" x14ac:dyDescent="0.25">
      <c r="A2452" s="323" t="s">
        <v>3247</v>
      </c>
      <c r="B2452" s="323" t="s">
        <v>805</v>
      </c>
      <c r="C2452" s="323">
        <v>41337</v>
      </c>
      <c r="D2452" s="323">
        <v>100</v>
      </c>
      <c r="E2452" s="324">
        <f t="shared" si="38"/>
        <v>24386</v>
      </c>
    </row>
    <row r="2453" spans="1:5" x14ac:dyDescent="0.25">
      <c r="A2453" s="323" t="s">
        <v>3331</v>
      </c>
      <c r="B2453" s="323" t="s">
        <v>805</v>
      </c>
      <c r="C2453" s="323">
        <v>41337</v>
      </c>
      <c r="D2453" s="323">
        <v>220</v>
      </c>
      <c r="E2453" s="324">
        <f t="shared" si="38"/>
        <v>53649.200000000004</v>
      </c>
    </row>
    <row r="2454" spans="1:5" x14ac:dyDescent="0.25">
      <c r="A2454" s="323" t="s">
        <v>3569</v>
      </c>
      <c r="B2454" s="323" t="s">
        <v>805</v>
      </c>
      <c r="C2454" s="323">
        <v>41337</v>
      </c>
      <c r="D2454" s="323">
        <v>229</v>
      </c>
      <c r="E2454" s="324">
        <f t="shared" si="38"/>
        <v>55843.94</v>
      </c>
    </row>
    <row r="2455" spans="1:5" x14ac:dyDescent="0.25">
      <c r="A2455" s="323" t="s">
        <v>3619</v>
      </c>
      <c r="B2455" s="323" t="s">
        <v>805</v>
      </c>
      <c r="C2455" s="323">
        <v>41337</v>
      </c>
      <c r="D2455" s="323">
        <v>265</v>
      </c>
      <c r="E2455" s="324">
        <f t="shared" si="38"/>
        <v>64622.9</v>
      </c>
    </row>
    <row r="2456" spans="1:5" x14ac:dyDescent="0.25">
      <c r="A2456" s="323" t="s">
        <v>3627</v>
      </c>
      <c r="B2456" s="323" t="s">
        <v>805</v>
      </c>
      <c r="C2456" s="323">
        <v>41337</v>
      </c>
      <c r="D2456" s="323">
        <v>166</v>
      </c>
      <c r="E2456" s="324">
        <f t="shared" si="38"/>
        <v>40480.76</v>
      </c>
    </row>
    <row r="2457" spans="1:5" x14ac:dyDescent="0.25">
      <c r="A2457" s="323" t="s">
        <v>3880</v>
      </c>
      <c r="B2457" s="323" t="s">
        <v>805</v>
      </c>
      <c r="C2457" s="323">
        <v>41337</v>
      </c>
      <c r="D2457" s="323">
        <v>227</v>
      </c>
      <c r="E2457" s="324">
        <f t="shared" si="38"/>
        <v>55356.22</v>
      </c>
    </row>
    <row r="2458" spans="1:5" x14ac:dyDescent="0.25">
      <c r="A2458" s="323" t="s">
        <v>4004</v>
      </c>
      <c r="B2458" s="323" t="s">
        <v>805</v>
      </c>
      <c r="C2458" s="323">
        <v>41337</v>
      </c>
      <c r="D2458" s="323">
        <v>316</v>
      </c>
      <c r="E2458" s="324">
        <f t="shared" si="38"/>
        <v>77059.760000000009</v>
      </c>
    </row>
    <row r="2459" spans="1:5" x14ac:dyDescent="0.25">
      <c r="A2459" s="323" t="s">
        <v>4287</v>
      </c>
      <c r="B2459" s="323" t="s">
        <v>805</v>
      </c>
      <c r="C2459" s="323">
        <v>41337</v>
      </c>
      <c r="D2459" s="323">
        <v>186</v>
      </c>
      <c r="E2459" s="324">
        <f t="shared" si="38"/>
        <v>45357.96</v>
      </c>
    </row>
    <row r="2460" spans="1:5" x14ac:dyDescent="0.25">
      <c r="A2460" s="323" t="s">
        <v>4396</v>
      </c>
      <c r="B2460" s="323" t="s">
        <v>805</v>
      </c>
      <c r="C2460" s="323">
        <v>41337</v>
      </c>
      <c r="D2460" s="323">
        <v>249</v>
      </c>
      <c r="E2460" s="324">
        <f t="shared" si="38"/>
        <v>60721.140000000007</v>
      </c>
    </row>
    <row r="2461" spans="1:5" x14ac:dyDescent="0.25">
      <c r="A2461" s="323" t="s">
        <v>4508</v>
      </c>
      <c r="B2461" s="323" t="s">
        <v>805</v>
      </c>
      <c r="C2461" s="323">
        <v>41337</v>
      </c>
      <c r="D2461" s="323">
        <v>255</v>
      </c>
      <c r="E2461" s="324">
        <f t="shared" si="38"/>
        <v>62184.3</v>
      </c>
    </row>
    <row r="2462" spans="1:5" x14ac:dyDescent="0.25">
      <c r="A2462" s="323" t="s">
        <v>7104</v>
      </c>
      <c r="B2462" s="323" t="s">
        <v>805</v>
      </c>
      <c r="C2462" s="323">
        <v>41337</v>
      </c>
      <c r="D2462" s="323">
        <v>266</v>
      </c>
      <c r="E2462" s="324">
        <f t="shared" si="38"/>
        <v>64866.76</v>
      </c>
    </row>
    <row r="2463" spans="1:5" x14ac:dyDescent="0.25">
      <c r="A2463" s="323" t="s">
        <v>7441</v>
      </c>
      <c r="B2463" s="323" t="s">
        <v>805</v>
      </c>
      <c r="C2463" s="323">
        <v>41337</v>
      </c>
      <c r="D2463" s="323">
        <v>296</v>
      </c>
      <c r="E2463" s="324">
        <f t="shared" si="38"/>
        <v>72182.559999999998</v>
      </c>
    </row>
    <row r="2464" spans="1:5" x14ac:dyDescent="0.25">
      <c r="A2464" s="323" t="s">
        <v>2762</v>
      </c>
      <c r="B2464" s="323" t="s">
        <v>805</v>
      </c>
      <c r="C2464" s="323">
        <v>41338</v>
      </c>
      <c r="D2464" s="323">
        <v>309</v>
      </c>
      <c r="E2464" s="324">
        <f t="shared" si="38"/>
        <v>75352.740000000005</v>
      </c>
    </row>
    <row r="2465" spans="1:5" x14ac:dyDescent="0.25">
      <c r="A2465" s="323" t="s">
        <v>3251</v>
      </c>
      <c r="B2465" s="323" t="s">
        <v>805</v>
      </c>
      <c r="C2465" s="323">
        <v>41338</v>
      </c>
      <c r="D2465" s="323">
        <v>251</v>
      </c>
      <c r="E2465" s="324">
        <f t="shared" si="38"/>
        <v>61208.86</v>
      </c>
    </row>
    <row r="2466" spans="1:5" x14ac:dyDescent="0.25">
      <c r="A2466" s="323" t="s">
        <v>3824</v>
      </c>
      <c r="B2466" s="323" t="s">
        <v>805</v>
      </c>
      <c r="C2466" s="323">
        <v>41338</v>
      </c>
      <c r="D2466" s="323">
        <v>322</v>
      </c>
      <c r="E2466" s="324">
        <f t="shared" si="38"/>
        <v>78522.92</v>
      </c>
    </row>
    <row r="2467" spans="1:5" x14ac:dyDescent="0.25">
      <c r="A2467" s="323" t="s">
        <v>4161</v>
      </c>
      <c r="B2467" s="323" t="s">
        <v>805</v>
      </c>
      <c r="C2467" s="323">
        <v>41338</v>
      </c>
      <c r="D2467" s="323">
        <v>413</v>
      </c>
      <c r="E2467" s="324">
        <f t="shared" si="38"/>
        <v>100714.18000000001</v>
      </c>
    </row>
    <row r="2468" spans="1:5" x14ac:dyDescent="0.25">
      <c r="A2468" s="323" t="s">
        <v>4608</v>
      </c>
      <c r="B2468" s="323" t="s">
        <v>805</v>
      </c>
      <c r="C2468" s="323">
        <v>41338</v>
      </c>
      <c r="D2468" s="323">
        <v>306</v>
      </c>
      <c r="E2468" s="324">
        <f t="shared" si="38"/>
        <v>74621.16</v>
      </c>
    </row>
    <row r="2469" spans="1:5" x14ac:dyDescent="0.25">
      <c r="A2469" s="323" t="s">
        <v>5822</v>
      </c>
      <c r="B2469" s="323" t="s">
        <v>816</v>
      </c>
      <c r="C2469" s="323">
        <v>41338</v>
      </c>
      <c r="D2469" s="323">
        <v>56</v>
      </c>
      <c r="E2469" s="324">
        <f t="shared" si="38"/>
        <v>20484.240000000002</v>
      </c>
    </row>
    <row r="2470" spans="1:5" x14ac:dyDescent="0.25">
      <c r="A2470" s="323" t="s">
        <v>5845</v>
      </c>
      <c r="B2470" s="323" t="s">
        <v>805</v>
      </c>
      <c r="C2470" s="323">
        <v>41338</v>
      </c>
      <c r="D2470" s="323">
        <v>290</v>
      </c>
      <c r="E2470" s="324">
        <f t="shared" si="38"/>
        <v>70719.400000000009</v>
      </c>
    </row>
    <row r="2471" spans="1:5" x14ac:dyDescent="0.25">
      <c r="A2471" s="323" t="s">
        <v>5857</v>
      </c>
      <c r="B2471" s="323" t="s">
        <v>805</v>
      </c>
      <c r="C2471" s="323">
        <v>41338</v>
      </c>
      <c r="D2471" s="323">
        <v>358</v>
      </c>
      <c r="E2471" s="324">
        <f t="shared" si="38"/>
        <v>87301.88</v>
      </c>
    </row>
    <row r="2472" spans="1:5" x14ac:dyDescent="0.25">
      <c r="A2472" s="323" t="s">
        <v>5867</v>
      </c>
      <c r="B2472" s="323" t="s">
        <v>805</v>
      </c>
      <c r="C2472" s="323">
        <v>41338</v>
      </c>
      <c r="D2472" s="323">
        <v>434</v>
      </c>
      <c r="E2472" s="324">
        <f t="shared" si="38"/>
        <v>105835.24</v>
      </c>
    </row>
    <row r="2473" spans="1:5" x14ac:dyDescent="0.25">
      <c r="A2473" s="323" t="s">
        <v>5877</v>
      </c>
      <c r="B2473" s="323" t="s">
        <v>805</v>
      </c>
      <c r="C2473" s="323">
        <v>41338</v>
      </c>
      <c r="D2473" s="323">
        <v>202</v>
      </c>
      <c r="E2473" s="324">
        <f t="shared" si="38"/>
        <v>49259.72</v>
      </c>
    </row>
    <row r="2474" spans="1:5" x14ac:dyDescent="0.25">
      <c r="A2474" s="323" t="s">
        <v>5894</v>
      </c>
      <c r="B2474" s="323" t="s">
        <v>805</v>
      </c>
      <c r="C2474" s="323">
        <v>41338</v>
      </c>
      <c r="D2474" s="323">
        <v>286</v>
      </c>
      <c r="E2474" s="324">
        <f t="shared" si="38"/>
        <v>69743.960000000006</v>
      </c>
    </row>
    <row r="2475" spans="1:5" x14ac:dyDescent="0.25">
      <c r="A2475" s="323" t="s">
        <v>5901</v>
      </c>
      <c r="B2475" s="323" t="s">
        <v>805</v>
      </c>
      <c r="C2475" s="323">
        <v>41338</v>
      </c>
      <c r="D2475" s="323">
        <v>253</v>
      </c>
      <c r="E2475" s="324">
        <f t="shared" si="38"/>
        <v>61696.58</v>
      </c>
    </row>
    <row r="2476" spans="1:5" x14ac:dyDescent="0.25">
      <c r="A2476" s="323" t="s">
        <v>5910</v>
      </c>
      <c r="B2476" s="323" t="s">
        <v>805</v>
      </c>
      <c r="C2476" s="323">
        <v>41338</v>
      </c>
      <c r="D2476" s="323">
        <v>156</v>
      </c>
      <c r="E2476" s="324">
        <f t="shared" si="38"/>
        <v>38042.160000000003</v>
      </c>
    </row>
    <row r="2477" spans="1:5" x14ac:dyDescent="0.25">
      <c r="A2477" s="323" t="s">
        <v>5927</v>
      </c>
      <c r="B2477" s="323" t="s">
        <v>805</v>
      </c>
      <c r="C2477" s="323">
        <v>41338</v>
      </c>
      <c r="D2477" s="323">
        <v>407</v>
      </c>
      <c r="E2477" s="324">
        <f t="shared" si="38"/>
        <v>99251.02</v>
      </c>
    </row>
    <row r="2478" spans="1:5" x14ac:dyDescent="0.25">
      <c r="A2478" s="323" t="s">
        <v>5960</v>
      </c>
      <c r="B2478" s="323" t="s">
        <v>805</v>
      </c>
      <c r="C2478" s="323">
        <v>41338</v>
      </c>
      <c r="D2478" s="323">
        <v>540</v>
      </c>
      <c r="E2478" s="324">
        <f t="shared" si="38"/>
        <v>131684.4</v>
      </c>
    </row>
    <row r="2479" spans="1:5" x14ac:dyDescent="0.25">
      <c r="A2479" s="323" t="s">
        <v>1044</v>
      </c>
      <c r="B2479" s="323" t="s">
        <v>805</v>
      </c>
      <c r="C2479" s="323">
        <v>41340</v>
      </c>
      <c r="D2479" s="323">
        <v>275</v>
      </c>
      <c r="E2479" s="324">
        <f t="shared" si="38"/>
        <v>67061.5</v>
      </c>
    </row>
    <row r="2480" spans="1:5" x14ac:dyDescent="0.25">
      <c r="A2480" s="323" t="s">
        <v>1271</v>
      </c>
      <c r="B2480" s="323" t="s">
        <v>805</v>
      </c>
      <c r="C2480" s="323">
        <v>41340</v>
      </c>
      <c r="D2480" s="323">
        <v>123</v>
      </c>
      <c r="E2480" s="324">
        <f t="shared" si="38"/>
        <v>29994.780000000002</v>
      </c>
    </row>
    <row r="2481" spans="1:5" x14ac:dyDescent="0.25">
      <c r="A2481" s="323" t="s">
        <v>1288</v>
      </c>
      <c r="B2481" s="323" t="s">
        <v>805</v>
      </c>
      <c r="C2481" s="323">
        <v>41340</v>
      </c>
      <c r="D2481" s="323">
        <v>97</v>
      </c>
      <c r="E2481" s="324">
        <f t="shared" si="38"/>
        <v>23654.420000000002</v>
      </c>
    </row>
    <row r="2482" spans="1:5" x14ac:dyDescent="0.25">
      <c r="A2482" s="323" t="s">
        <v>1647</v>
      </c>
      <c r="B2482" s="323" t="s">
        <v>805</v>
      </c>
      <c r="C2482" s="323">
        <v>41340</v>
      </c>
      <c r="D2482" s="323">
        <v>56</v>
      </c>
      <c r="E2482" s="324">
        <f t="shared" si="38"/>
        <v>13656.16</v>
      </c>
    </row>
    <row r="2483" spans="1:5" x14ac:dyDescent="0.25">
      <c r="A2483" s="323" t="s">
        <v>2098</v>
      </c>
      <c r="B2483" s="323" t="s">
        <v>805</v>
      </c>
      <c r="C2483" s="323">
        <v>41340</v>
      </c>
      <c r="D2483" s="323">
        <v>297</v>
      </c>
      <c r="E2483" s="324">
        <f t="shared" si="38"/>
        <v>72426.42</v>
      </c>
    </row>
    <row r="2484" spans="1:5" x14ac:dyDescent="0.25">
      <c r="A2484" s="323" t="s">
        <v>2237</v>
      </c>
      <c r="B2484" s="323" t="s">
        <v>805</v>
      </c>
      <c r="C2484" s="323">
        <v>41340</v>
      </c>
      <c r="D2484" s="323">
        <v>154</v>
      </c>
      <c r="E2484" s="324">
        <f t="shared" si="38"/>
        <v>37554.44</v>
      </c>
    </row>
    <row r="2485" spans="1:5" x14ac:dyDescent="0.25">
      <c r="A2485" s="323" t="s">
        <v>2415</v>
      </c>
      <c r="B2485" s="323" t="s">
        <v>805</v>
      </c>
      <c r="C2485" s="323">
        <v>41340</v>
      </c>
      <c r="D2485" s="323">
        <v>130</v>
      </c>
      <c r="E2485" s="324">
        <f t="shared" si="38"/>
        <v>31701.800000000003</v>
      </c>
    </row>
    <row r="2486" spans="1:5" x14ac:dyDescent="0.25">
      <c r="A2486" s="323" t="s">
        <v>2448</v>
      </c>
      <c r="B2486" s="323" t="s">
        <v>805</v>
      </c>
      <c r="C2486" s="323">
        <v>41340</v>
      </c>
      <c r="D2486" s="323">
        <v>79</v>
      </c>
      <c r="E2486" s="324">
        <f t="shared" si="38"/>
        <v>19264.940000000002</v>
      </c>
    </row>
    <row r="2487" spans="1:5" x14ac:dyDescent="0.25">
      <c r="A2487" s="323" t="s">
        <v>2518</v>
      </c>
      <c r="B2487" s="323" t="s">
        <v>805</v>
      </c>
      <c r="C2487" s="323">
        <v>41340</v>
      </c>
      <c r="D2487" s="323">
        <v>122</v>
      </c>
      <c r="E2487" s="324">
        <f t="shared" si="38"/>
        <v>29750.920000000002</v>
      </c>
    </row>
    <row r="2488" spans="1:5" x14ac:dyDescent="0.25">
      <c r="A2488" s="323" t="s">
        <v>2575</v>
      </c>
      <c r="B2488" s="323" t="s">
        <v>805</v>
      </c>
      <c r="C2488" s="323">
        <v>41340</v>
      </c>
      <c r="D2488" s="323">
        <v>245</v>
      </c>
      <c r="E2488" s="324">
        <f t="shared" si="38"/>
        <v>59745.700000000004</v>
      </c>
    </row>
    <row r="2489" spans="1:5" x14ac:dyDescent="0.25">
      <c r="A2489" s="323" t="s">
        <v>3100</v>
      </c>
      <c r="B2489" s="323" t="s">
        <v>805</v>
      </c>
      <c r="C2489" s="323">
        <v>41340</v>
      </c>
      <c r="D2489" s="323">
        <v>210</v>
      </c>
      <c r="E2489" s="324">
        <f t="shared" si="38"/>
        <v>51210.600000000006</v>
      </c>
    </row>
    <row r="2490" spans="1:5" x14ac:dyDescent="0.25">
      <c r="A2490" s="323" t="s">
        <v>3461</v>
      </c>
      <c r="B2490" s="323" t="s">
        <v>805</v>
      </c>
      <c r="C2490" s="323">
        <v>41340</v>
      </c>
      <c r="D2490" s="323">
        <v>164</v>
      </c>
      <c r="E2490" s="324">
        <f t="shared" si="38"/>
        <v>39993.040000000001</v>
      </c>
    </row>
    <row r="2491" spans="1:5" x14ac:dyDescent="0.25">
      <c r="A2491" s="323" t="s">
        <v>3519</v>
      </c>
      <c r="B2491" s="323" t="s">
        <v>805</v>
      </c>
      <c r="C2491" s="323">
        <v>41340</v>
      </c>
      <c r="D2491" s="323">
        <v>596</v>
      </c>
      <c r="E2491" s="324">
        <f t="shared" si="38"/>
        <v>145340.56</v>
      </c>
    </row>
    <row r="2492" spans="1:5" x14ac:dyDescent="0.25">
      <c r="A2492" s="323" t="s">
        <v>3791</v>
      </c>
      <c r="B2492" s="323" t="s">
        <v>805</v>
      </c>
      <c r="C2492" s="323">
        <v>41340</v>
      </c>
      <c r="D2492" s="323">
        <v>201</v>
      </c>
      <c r="E2492" s="324">
        <f t="shared" si="38"/>
        <v>49015.86</v>
      </c>
    </row>
    <row r="2493" spans="1:5" x14ac:dyDescent="0.25">
      <c r="A2493" s="323" t="s">
        <v>5131</v>
      </c>
      <c r="B2493" s="323" t="s">
        <v>816</v>
      </c>
      <c r="C2493" s="323">
        <v>41340</v>
      </c>
      <c r="D2493" s="323">
        <v>85</v>
      </c>
      <c r="E2493" s="324">
        <f t="shared" si="38"/>
        <v>31092.15</v>
      </c>
    </row>
    <row r="2494" spans="1:5" x14ac:dyDescent="0.25">
      <c r="A2494" s="323" t="s">
        <v>2611</v>
      </c>
      <c r="B2494" s="323" t="s">
        <v>805</v>
      </c>
      <c r="C2494" s="323">
        <v>41343</v>
      </c>
      <c r="D2494" s="323">
        <v>127</v>
      </c>
      <c r="E2494" s="324">
        <f t="shared" si="38"/>
        <v>30970.22</v>
      </c>
    </row>
    <row r="2495" spans="1:5" x14ac:dyDescent="0.25">
      <c r="A2495" s="323" t="s">
        <v>2626</v>
      </c>
      <c r="B2495" s="323" t="s">
        <v>805</v>
      </c>
      <c r="C2495" s="323">
        <v>41343</v>
      </c>
      <c r="D2495" s="323">
        <v>184</v>
      </c>
      <c r="E2495" s="324">
        <f t="shared" si="38"/>
        <v>44870.240000000005</v>
      </c>
    </row>
    <row r="2496" spans="1:5" x14ac:dyDescent="0.25">
      <c r="A2496" s="323" t="s">
        <v>2626</v>
      </c>
      <c r="B2496" s="323" t="s">
        <v>805</v>
      </c>
      <c r="C2496" s="323">
        <v>41343</v>
      </c>
      <c r="D2496" s="323">
        <v>29</v>
      </c>
      <c r="E2496" s="324">
        <f t="shared" si="38"/>
        <v>7071.9400000000005</v>
      </c>
    </row>
    <row r="2497" spans="1:5" x14ac:dyDescent="0.25">
      <c r="A2497" s="323" t="s">
        <v>2914</v>
      </c>
      <c r="B2497" s="323" t="s">
        <v>805</v>
      </c>
      <c r="C2497" s="323">
        <v>41343</v>
      </c>
      <c r="D2497" s="323">
        <v>177</v>
      </c>
      <c r="E2497" s="324">
        <f t="shared" si="38"/>
        <v>43163.22</v>
      </c>
    </row>
    <row r="2498" spans="1:5" x14ac:dyDescent="0.25">
      <c r="A2498" s="323" t="s">
        <v>1060</v>
      </c>
      <c r="B2498" s="323" t="s">
        <v>805</v>
      </c>
      <c r="C2498" s="323">
        <v>41345</v>
      </c>
      <c r="D2498" s="323">
        <v>43</v>
      </c>
      <c r="E2498" s="324">
        <f t="shared" ref="E2498:E2561" si="39">D2498*IF(B2498=$G$9,WerkdrukbedragPerLeerlingBo,IF(B2498=$G$10,WerkdrukbedragPerLeerlingSbo,IF(B2498=$G$11,WerkdrukbedragPerLeerlingSo,IF(B2498=$G$12,WerkdrukbedragPerLeerlingVso,0))))</f>
        <v>10485.980000000001</v>
      </c>
    </row>
    <row r="2499" spans="1:5" x14ac:dyDescent="0.25">
      <c r="A2499" s="323" t="s">
        <v>3681</v>
      </c>
      <c r="B2499" s="323" t="s">
        <v>805</v>
      </c>
      <c r="C2499" s="323">
        <v>41345</v>
      </c>
      <c r="D2499" s="323">
        <v>62</v>
      </c>
      <c r="E2499" s="324">
        <f t="shared" si="39"/>
        <v>15119.320000000002</v>
      </c>
    </row>
    <row r="2500" spans="1:5" x14ac:dyDescent="0.25">
      <c r="A2500" s="323" t="s">
        <v>3916</v>
      </c>
      <c r="B2500" s="323" t="s">
        <v>805</v>
      </c>
      <c r="C2500" s="323">
        <v>41345</v>
      </c>
      <c r="D2500" s="323">
        <v>211</v>
      </c>
      <c r="E2500" s="324">
        <f t="shared" si="39"/>
        <v>51454.460000000006</v>
      </c>
    </row>
    <row r="2501" spans="1:5" x14ac:dyDescent="0.25">
      <c r="A2501" s="323" t="s">
        <v>4199</v>
      </c>
      <c r="B2501" s="323" t="s">
        <v>805</v>
      </c>
      <c r="C2501" s="323">
        <v>41345</v>
      </c>
      <c r="D2501" s="323">
        <v>109</v>
      </c>
      <c r="E2501" s="324">
        <f t="shared" si="39"/>
        <v>26580.74</v>
      </c>
    </row>
    <row r="2502" spans="1:5" x14ac:dyDescent="0.25">
      <c r="A2502" s="323" t="s">
        <v>4231</v>
      </c>
      <c r="B2502" s="323" t="s">
        <v>805</v>
      </c>
      <c r="C2502" s="323">
        <v>41345</v>
      </c>
      <c r="D2502" s="323">
        <v>74</v>
      </c>
      <c r="E2502" s="324">
        <f t="shared" si="39"/>
        <v>18045.64</v>
      </c>
    </row>
    <row r="2503" spans="1:5" x14ac:dyDescent="0.25">
      <c r="A2503" s="323" t="s">
        <v>4315</v>
      </c>
      <c r="B2503" s="323" t="s">
        <v>805</v>
      </c>
      <c r="C2503" s="323">
        <v>41345</v>
      </c>
      <c r="D2503" s="323">
        <v>121</v>
      </c>
      <c r="E2503" s="324">
        <f t="shared" si="39"/>
        <v>29507.06</v>
      </c>
    </row>
    <row r="2504" spans="1:5" x14ac:dyDescent="0.25">
      <c r="A2504" s="323" t="s">
        <v>4426</v>
      </c>
      <c r="B2504" s="323" t="s">
        <v>805</v>
      </c>
      <c r="C2504" s="323">
        <v>41345</v>
      </c>
      <c r="D2504" s="323">
        <v>76</v>
      </c>
      <c r="E2504" s="324">
        <f t="shared" si="39"/>
        <v>18533.36</v>
      </c>
    </row>
    <row r="2505" spans="1:5" x14ac:dyDescent="0.25">
      <c r="A2505" s="323" t="s">
        <v>4529</v>
      </c>
      <c r="B2505" s="323" t="s">
        <v>805</v>
      </c>
      <c r="C2505" s="323">
        <v>41345</v>
      </c>
      <c r="D2505" s="323">
        <v>90</v>
      </c>
      <c r="E2505" s="324">
        <f t="shared" si="39"/>
        <v>21947.4</v>
      </c>
    </row>
    <row r="2506" spans="1:5" x14ac:dyDescent="0.25">
      <c r="A2506" s="323" t="s">
        <v>4560</v>
      </c>
      <c r="B2506" s="323" t="s">
        <v>805</v>
      </c>
      <c r="C2506" s="323">
        <v>41345</v>
      </c>
      <c r="D2506" s="323">
        <v>163</v>
      </c>
      <c r="E2506" s="324">
        <f t="shared" si="39"/>
        <v>39749.18</v>
      </c>
    </row>
    <row r="2507" spans="1:5" x14ac:dyDescent="0.25">
      <c r="A2507" s="323" t="s">
        <v>4740</v>
      </c>
      <c r="B2507" s="323" t="s">
        <v>805</v>
      </c>
      <c r="C2507" s="323">
        <v>41345</v>
      </c>
      <c r="D2507" s="323">
        <v>57</v>
      </c>
      <c r="E2507" s="324">
        <f t="shared" si="39"/>
        <v>13900.02</v>
      </c>
    </row>
    <row r="2508" spans="1:5" x14ac:dyDescent="0.25">
      <c r="A2508" s="323" t="s">
        <v>4740</v>
      </c>
      <c r="B2508" s="323" t="s">
        <v>805</v>
      </c>
      <c r="C2508" s="323">
        <v>41345</v>
      </c>
      <c r="D2508" s="323">
        <v>77</v>
      </c>
      <c r="E2508" s="324">
        <f t="shared" si="39"/>
        <v>18777.22</v>
      </c>
    </row>
    <row r="2509" spans="1:5" x14ac:dyDescent="0.25">
      <c r="A2509" s="323" t="s">
        <v>4740</v>
      </c>
      <c r="B2509" s="323" t="s">
        <v>805</v>
      </c>
      <c r="C2509" s="323">
        <v>41345</v>
      </c>
      <c r="D2509" s="323">
        <v>94</v>
      </c>
      <c r="E2509" s="324">
        <f t="shared" si="39"/>
        <v>22922.84</v>
      </c>
    </row>
    <row r="2510" spans="1:5" x14ac:dyDescent="0.25">
      <c r="A2510" s="323" t="s">
        <v>4859</v>
      </c>
      <c r="B2510" s="323" t="s">
        <v>805</v>
      </c>
      <c r="C2510" s="323">
        <v>41345</v>
      </c>
      <c r="D2510" s="323">
        <v>58</v>
      </c>
      <c r="E2510" s="324">
        <f t="shared" si="39"/>
        <v>14143.880000000001</v>
      </c>
    </row>
    <row r="2511" spans="1:5" x14ac:dyDescent="0.25">
      <c r="A2511" s="323" t="s">
        <v>4899</v>
      </c>
      <c r="B2511" s="323" t="s">
        <v>805</v>
      </c>
      <c r="C2511" s="323">
        <v>41345</v>
      </c>
      <c r="D2511" s="323">
        <v>195</v>
      </c>
      <c r="E2511" s="324">
        <f t="shared" si="39"/>
        <v>47552.700000000004</v>
      </c>
    </row>
    <row r="2512" spans="1:5" x14ac:dyDescent="0.25">
      <c r="A2512" s="323" t="s">
        <v>4987</v>
      </c>
      <c r="B2512" s="323" t="s">
        <v>805</v>
      </c>
      <c r="C2512" s="323">
        <v>41345</v>
      </c>
      <c r="D2512" s="323">
        <v>62</v>
      </c>
      <c r="E2512" s="324">
        <f t="shared" si="39"/>
        <v>15119.320000000002</v>
      </c>
    </row>
    <row r="2513" spans="1:5" x14ac:dyDescent="0.25">
      <c r="A2513" s="323" t="s">
        <v>5027</v>
      </c>
      <c r="B2513" s="323" t="s">
        <v>805</v>
      </c>
      <c r="C2513" s="323">
        <v>41345</v>
      </c>
      <c r="D2513" s="323">
        <v>163</v>
      </c>
      <c r="E2513" s="324">
        <f t="shared" si="39"/>
        <v>39749.18</v>
      </c>
    </row>
    <row r="2514" spans="1:5" x14ac:dyDescent="0.25">
      <c r="A2514" s="323" t="s">
        <v>6100</v>
      </c>
      <c r="B2514" s="323" t="s">
        <v>805</v>
      </c>
      <c r="C2514" s="323">
        <v>41345</v>
      </c>
      <c r="D2514" s="323">
        <v>52</v>
      </c>
      <c r="E2514" s="324">
        <f t="shared" si="39"/>
        <v>12680.720000000001</v>
      </c>
    </row>
    <row r="2515" spans="1:5" x14ac:dyDescent="0.25">
      <c r="A2515" s="323" t="s">
        <v>6100</v>
      </c>
      <c r="B2515" s="323" t="s">
        <v>805</v>
      </c>
      <c r="C2515" s="323">
        <v>41345</v>
      </c>
      <c r="D2515" s="323">
        <v>58</v>
      </c>
      <c r="E2515" s="324">
        <f t="shared" si="39"/>
        <v>14143.880000000001</v>
      </c>
    </row>
    <row r="2516" spans="1:5" x14ac:dyDescent="0.25">
      <c r="A2516" s="323" t="s">
        <v>6439</v>
      </c>
      <c r="B2516" s="323" t="s">
        <v>805</v>
      </c>
      <c r="C2516" s="323">
        <v>41345</v>
      </c>
      <c r="D2516" s="323">
        <v>204</v>
      </c>
      <c r="E2516" s="324">
        <f t="shared" si="39"/>
        <v>49747.44</v>
      </c>
    </row>
    <row r="2517" spans="1:5" x14ac:dyDescent="0.25">
      <c r="A2517" s="323" t="s">
        <v>6810</v>
      </c>
      <c r="B2517" s="323" t="s">
        <v>805</v>
      </c>
      <c r="C2517" s="323">
        <v>41345</v>
      </c>
      <c r="D2517" s="323">
        <v>129</v>
      </c>
      <c r="E2517" s="324">
        <f t="shared" si="39"/>
        <v>31457.940000000002</v>
      </c>
    </row>
    <row r="2518" spans="1:5" x14ac:dyDescent="0.25">
      <c r="A2518" s="323" t="s">
        <v>7311</v>
      </c>
      <c r="B2518" s="323" t="s">
        <v>805</v>
      </c>
      <c r="C2518" s="323">
        <v>41345</v>
      </c>
      <c r="D2518" s="323">
        <v>141</v>
      </c>
      <c r="E2518" s="324">
        <f t="shared" si="39"/>
        <v>34384.26</v>
      </c>
    </row>
    <row r="2519" spans="1:5" x14ac:dyDescent="0.25">
      <c r="A2519" s="323" t="s">
        <v>3402</v>
      </c>
      <c r="B2519" s="323" t="s">
        <v>805</v>
      </c>
      <c r="C2519" s="323">
        <v>41349</v>
      </c>
      <c r="D2519" s="323">
        <v>532</v>
      </c>
      <c r="E2519" s="324">
        <f t="shared" si="39"/>
        <v>129733.52</v>
      </c>
    </row>
    <row r="2520" spans="1:5" x14ac:dyDescent="0.25">
      <c r="A2520" s="323" t="s">
        <v>3679</v>
      </c>
      <c r="B2520" s="323" t="s">
        <v>805</v>
      </c>
      <c r="C2520" s="323">
        <v>41349</v>
      </c>
      <c r="D2520" s="323">
        <v>344</v>
      </c>
      <c r="E2520" s="324">
        <f t="shared" si="39"/>
        <v>83887.840000000011</v>
      </c>
    </row>
    <row r="2521" spans="1:5" x14ac:dyDescent="0.25">
      <c r="A2521" s="323" t="s">
        <v>3904</v>
      </c>
      <c r="B2521" s="323" t="s">
        <v>805</v>
      </c>
      <c r="C2521" s="323">
        <v>41349</v>
      </c>
      <c r="D2521" s="323">
        <v>187</v>
      </c>
      <c r="E2521" s="324">
        <f t="shared" si="39"/>
        <v>45601.82</v>
      </c>
    </row>
    <row r="2522" spans="1:5" x14ac:dyDescent="0.25">
      <c r="A2522" s="323" t="s">
        <v>4078</v>
      </c>
      <c r="B2522" s="323" t="s">
        <v>805</v>
      </c>
      <c r="C2522" s="323">
        <v>41349</v>
      </c>
      <c r="D2522" s="323">
        <v>208</v>
      </c>
      <c r="E2522" s="324">
        <f t="shared" si="39"/>
        <v>50722.880000000005</v>
      </c>
    </row>
    <row r="2523" spans="1:5" x14ac:dyDescent="0.25">
      <c r="A2523" s="323" t="s">
        <v>4215</v>
      </c>
      <c r="B2523" s="323" t="s">
        <v>805</v>
      </c>
      <c r="C2523" s="323">
        <v>41349</v>
      </c>
      <c r="D2523" s="323">
        <v>102</v>
      </c>
      <c r="E2523" s="324">
        <f t="shared" si="39"/>
        <v>24873.72</v>
      </c>
    </row>
    <row r="2524" spans="1:5" x14ac:dyDescent="0.25">
      <c r="A2524" s="323" t="s">
        <v>6832</v>
      </c>
      <c r="B2524" s="323" t="s">
        <v>805</v>
      </c>
      <c r="C2524" s="323">
        <v>41349</v>
      </c>
      <c r="D2524" s="323">
        <v>189</v>
      </c>
      <c r="E2524" s="324">
        <f t="shared" si="39"/>
        <v>46089.54</v>
      </c>
    </row>
    <row r="2525" spans="1:5" x14ac:dyDescent="0.25">
      <c r="A2525" s="323" t="s">
        <v>7231</v>
      </c>
      <c r="B2525" s="323" t="s">
        <v>805</v>
      </c>
      <c r="C2525" s="323">
        <v>41349</v>
      </c>
      <c r="D2525" s="323">
        <v>595</v>
      </c>
      <c r="E2525" s="324">
        <f t="shared" si="39"/>
        <v>145096.70000000001</v>
      </c>
    </row>
    <row r="2526" spans="1:5" x14ac:dyDescent="0.25">
      <c r="A2526" s="323" t="s">
        <v>929</v>
      </c>
      <c r="B2526" s="323" t="s">
        <v>816</v>
      </c>
      <c r="C2526" s="323">
        <v>41358</v>
      </c>
      <c r="D2526" s="323">
        <v>194</v>
      </c>
      <c r="E2526" s="324">
        <f t="shared" si="39"/>
        <v>70963.260000000009</v>
      </c>
    </row>
    <row r="2527" spans="1:5" x14ac:dyDescent="0.25">
      <c r="A2527" s="323" t="s">
        <v>1866</v>
      </c>
      <c r="B2527" s="323" t="s">
        <v>805</v>
      </c>
      <c r="C2527" s="323">
        <v>41358</v>
      </c>
      <c r="D2527" s="323">
        <v>59</v>
      </c>
      <c r="E2527" s="324">
        <f t="shared" si="39"/>
        <v>14387.740000000002</v>
      </c>
    </row>
    <row r="2528" spans="1:5" x14ac:dyDescent="0.25">
      <c r="A2528" s="323" t="s">
        <v>1867</v>
      </c>
      <c r="B2528" s="323" t="s">
        <v>805</v>
      </c>
      <c r="C2528" s="323">
        <v>41358</v>
      </c>
      <c r="D2528" s="323">
        <v>101</v>
      </c>
      <c r="E2528" s="324">
        <f t="shared" si="39"/>
        <v>24629.86</v>
      </c>
    </row>
    <row r="2529" spans="1:5" x14ac:dyDescent="0.25">
      <c r="A2529" s="323" t="s">
        <v>2000</v>
      </c>
      <c r="B2529" s="323" t="s">
        <v>805</v>
      </c>
      <c r="C2529" s="323">
        <v>41358</v>
      </c>
      <c r="D2529" s="323">
        <v>52</v>
      </c>
      <c r="E2529" s="324">
        <f t="shared" si="39"/>
        <v>12680.720000000001</v>
      </c>
    </row>
    <row r="2530" spans="1:5" x14ac:dyDescent="0.25">
      <c r="A2530" s="323" t="s">
        <v>2005</v>
      </c>
      <c r="B2530" s="323" t="s">
        <v>805</v>
      </c>
      <c r="C2530" s="323">
        <v>41358</v>
      </c>
      <c r="D2530" s="323">
        <v>256</v>
      </c>
      <c r="E2530" s="324">
        <f t="shared" si="39"/>
        <v>62428.160000000003</v>
      </c>
    </row>
    <row r="2531" spans="1:5" x14ac:dyDescent="0.25">
      <c r="A2531" s="323" t="s">
        <v>2068</v>
      </c>
      <c r="B2531" s="323" t="s">
        <v>805</v>
      </c>
      <c r="C2531" s="323">
        <v>41358</v>
      </c>
      <c r="D2531" s="323">
        <v>159</v>
      </c>
      <c r="E2531" s="324">
        <f t="shared" si="39"/>
        <v>38773.740000000005</v>
      </c>
    </row>
    <row r="2532" spans="1:5" x14ac:dyDescent="0.25">
      <c r="A2532" s="323" t="s">
        <v>2071</v>
      </c>
      <c r="B2532" s="323" t="s">
        <v>805</v>
      </c>
      <c r="C2532" s="323">
        <v>41358</v>
      </c>
      <c r="D2532" s="323">
        <v>153</v>
      </c>
      <c r="E2532" s="324">
        <f t="shared" si="39"/>
        <v>37310.58</v>
      </c>
    </row>
    <row r="2533" spans="1:5" x14ac:dyDescent="0.25">
      <c r="A2533" s="323" t="s">
        <v>2715</v>
      </c>
      <c r="B2533" s="323" t="s">
        <v>805</v>
      </c>
      <c r="C2533" s="323">
        <v>41358</v>
      </c>
      <c r="D2533" s="323">
        <v>228</v>
      </c>
      <c r="E2533" s="324">
        <f t="shared" si="39"/>
        <v>55600.08</v>
      </c>
    </row>
    <row r="2534" spans="1:5" x14ac:dyDescent="0.25">
      <c r="A2534" s="323" t="s">
        <v>2878</v>
      </c>
      <c r="B2534" s="323" t="s">
        <v>805</v>
      </c>
      <c r="C2534" s="323">
        <v>41358</v>
      </c>
      <c r="D2534" s="323">
        <v>162</v>
      </c>
      <c r="E2534" s="324">
        <f t="shared" si="39"/>
        <v>39505.32</v>
      </c>
    </row>
    <row r="2535" spans="1:5" x14ac:dyDescent="0.25">
      <c r="A2535" s="323" t="s">
        <v>2880</v>
      </c>
      <c r="B2535" s="323" t="s">
        <v>805</v>
      </c>
      <c r="C2535" s="323">
        <v>41358</v>
      </c>
      <c r="D2535" s="323">
        <v>44</v>
      </c>
      <c r="E2535" s="324">
        <f t="shared" si="39"/>
        <v>10729.84</v>
      </c>
    </row>
    <row r="2536" spans="1:5" x14ac:dyDescent="0.25">
      <c r="A2536" s="323" t="s">
        <v>2964</v>
      </c>
      <c r="B2536" s="323" t="s">
        <v>805</v>
      </c>
      <c r="C2536" s="323">
        <v>41358</v>
      </c>
      <c r="D2536" s="323">
        <v>121</v>
      </c>
      <c r="E2536" s="324">
        <f t="shared" si="39"/>
        <v>29507.06</v>
      </c>
    </row>
    <row r="2537" spans="1:5" x14ac:dyDescent="0.25">
      <c r="A2537" s="323" t="s">
        <v>3328</v>
      </c>
      <c r="B2537" s="323" t="s">
        <v>805</v>
      </c>
      <c r="C2537" s="323">
        <v>41358</v>
      </c>
      <c r="D2537" s="323">
        <v>224</v>
      </c>
      <c r="E2537" s="324">
        <f t="shared" si="39"/>
        <v>54624.639999999999</v>
      </c>
    </row>
    <row r="2538" spans="1:5" x14ac:dyDescent="0.25">
      <c r="A2538" s="323" t="s">
        <v>5197</v>
      </c>
      <c r="B2538" s="323" t="s">
        <v>805</v>
      </c>
      <c r="C2538" s="323">
        <v>41358</v>
      </c>
      <c r="D2538" s="323">
        <v>71</v>
      </c>
      <c r="E2538" s="324">
        <f t="shared" si="39"/>
        <v>17314.060000000001</v>
      </c>
    </row>
    <row r="2539" spans="1:5" x14ac:dyDescent="0.25">
      <c r="A2539" s="323" t="s">
        <v>7179</v>
      </c>
      <c r="B2539" s="323" t="s">
        <v>809</v>
      </c>
      <c r="C2539" s="323">
        <v>41358</v>
      </c>
      <c r="D2539" s="323">
        <v>45</v>
      </c>
      <c r="E2539" s="324">
        <f t="shared" si="39"/>
        <v>21947.4</v>
      </c>
    </row>
    <row r="2540" spans="1:5" x14ac:dyDescent="0.25">
      <c r="A2540" s="323" t="s">
        <v>7179</v>
      </c>
      <c r="B2540" s="323" t="s">
        <v>803</v>
      </c>
      <c r="C2540" s="323">
        <v>41358</v>
      </c>
      <c r="D2540" s="323">
        <v>84</v>
      </c>
      <c r="E2540" s="324">
        <f t="shared" si="39"/>
        <v>40968.480000000003</v>
      </c>
    </row>
    <row r="2541" spans="1:5" x14ac:dyDescent="0.25">
      <c r="A2541" s="323" t="s">
        <v>2303</v>
      </c>
      <c r="B2541" s="323" t="s">
        <v>805</v>
      </c>
      <c r="C2541" s="323">
        <v>41359</v>
      </c>
      <c r="D2541" s="323">
        <v>205</v>
      </c>
      <c r="E2541" s="324">
        <f t="shared" si="39"/>
        <v>49991.3</v>
      </c>
    </row>
    <row r="2542" spans="1:5" x14ac:dyDescent="0.25">
      <c r="A2542" s="323" t="s">
        <v>2444</v>
      </c>
      <c r="B2542" s="323" t="s">
        <v>805</v>
      </c>
      <c r="C2542" s="323">
        <v>41359</v>
      </c>
      <c r="D2542" s="323">
        <v>298</v>
      </c>
      <c r="E2542" s="324">
        <f t="shared" si="39"/>
        <v>72670.28</v>
      </c>
    </row>
    <row r="2543" spans="1:5" x14ac:dyDescent="0.25">
      <c r="A2543" s="323" t="s">
        <v>3186</v>
      </c>
      <c r="B2543" s="323" t="s">
        <v>805</v>
      </c>
      <c r="C2543" s="323">
        <v>41359</v>
      </c>
      <c r="D2543" s="323">
        <v>136</v>
      </c>
      <c r="E2543" s="324">
        <f t="shared" si="39"/>
        <v>33164.959999999999</v>
      </c>
    </row>
    <row r="2544" spans="1:5" x14ac:dyDescent="0.25">
      <c r="A2544" s="323" t="s">
        <v>2082</v>
      </c>
      <c r="B2544" s="323" t="s">
        <v>805</v>
      </c>
      <c r="C2544" s="323">
        <v>41362</v>
      </c>
      <c r="D2544" s="323">
        <v>237</v>
      </c>
      <c r="E2544" s="324">
        <f t="shared" si="39"/>
        <v>57794.82</v>
      </c>
    </row>
    <row r="2545" spans="1:5" x14ac:dyDescent="0.25">
      <c r="A2545" s="323" t="s">
        <v>2092</v>
      </c>
      <c r="B2545" s="323" t="s">
        <v>805</v>
      </c>
      <c r="C2545" s="323">
        <v>41362</v>
      </c>
      <c r="D2545" s="323">
        <v>367</v>
      </c>
      <c r="E2545" s="324">
        <f t="shared" si="39"/>
        <v>89496.62000000001</v>
      </c>
    </row>
    <row r="2546" spans="1:5" x14ac:dyDescent="0.25">
      <c r="A2546" s="323" t="s">
        <v>2132</v>
      </c>
      <c r="B2546" s="323" t="s">
        <v>805</v>
      </c>
      <c r="C2546" s="323">
        <v>41362</v>
      </c>
      <c r="D2546" s="323">
        <v>429</v>
      </c>
      <c r="E2546" s="324">
        <f t="shared" si="39"/>
        <v>104615.94</v>
      </c>
    </row>
    <row r="2547" spans="1:5" x14ac:dyDescent="0.25">
      <c r="A2547" s="323" t="s">
        <v>3372</v>
      </c>
      <c r="B2547" s="323" t="s">
        <v>805</v>
      </c>
      <c r="C2547" s="323">
        <v>41362</v>
      </c>
      <c r="D2547" s="323">
        <v>323</v>
      </c>
      <c r="E2547" s="324">
        <f t="shared" si="39"/>
        <v>78766.78</v>
      </c>
    </row>
    <row r="2548" spans="1:5" x14ac:dyDescent="0.25">
      <c r="A2548" s="323" t="s">
        <v>3648</v>
      </c>
      <c r="B2548" s="323" t="s">
        <v>805</v>
      </c>
      <c r="C2548" s="323">
        <v>41362</v>
      </c>
      <c r="D2548" s="323">
        <v>370</v>
      </c>
      <c r="E2548" s="324">
        <f t="shared" si="39"/>
        <v>90228.200000000012</v>
      </c>
    </row>
    <row r="2549" spans="1:5" x14ac:dyDescent="0.25">
      <c r="A2549" s="323" t="s">
        <v>6080</v>
      </c>
      <c r="B2549" s="323" t="s">
        <v>805</v>
      </c>
      <c r="C2549" s="323">
        <v>41362</v>
      </c>
      <c r="D2549" s="323">
        <v>315</v>
      </c>
      <c r="E2549" s="324">
        <f t="shared" si="39"/>
        <v>76815.900000000009</v>
      </c>
    </row>
    <row r="2550" spans="1:5" x14ac:dyDescent="0.25">
      <c r="A2550" s="323" t="s">
        <v>6115</v>
      </c>
      <c r="B2550" s="323" t="s">
        <v>805</v>
      </c>
      <c r="C2550" s="323">
        <v>41362</v>
      </c>
      <c r="D2550" s="323">
        <v>184</v>
      </c>
      <c r="E2550" s="324">
        <f t="shared" si="39"/>
        <v>44870.240000000005</v>
      </c>
    </row>
    <row r="2551" spans="1:5" x14ac:dyDescent="0.25">
      <c r="A2551" s="323" t="s">
        <v>6581</v>
      </c>
      <c r="B2551" s="323" t="s">
        <v>805</v>
      </c>
      <c r="C2551" s="323">
        <v>41362</v>
      </c>
      <c r="D2551" s="323">
        <v>75</v>
      </c>
      <c r="E2551" s="324">
        <f t="shared" si="39"/>
        <v>18289.5</v>
      </c>
    </row>
    <row r="2552" spans="1:5" x14ac:dyDescent="0.25">
      <c r="A2552" s="323" t="s">
        <v>6820</v>
      </c>
      <c r="B2552" s="323" t="s">
        <v>805</v>
      </c>
      <c r="C2552" s="323">
        <v>41362</v>
      </c>
      <c r="D2552" s="323">
        <v>107</v>
      </c>
      <c r="E2552" s="324">
        <f t="shared" si="39"/>
        <v>26093.02</v>
      </c>
    </row>
    <row r="2553" spans="1:5" x14ac:dyDescent="0.25">
      <c r="A2553" s="323" t="s">
        <v>6850</v>
      </c>
      <c r="B2553" s="323" t="s">
        <v>805</v>
      </c>
      <c r="C2553" s="323">
        <v>41362</v>
      </c>
      <c r="D2553" s="323">
        <v>585</v>
      </c>
      <c r="E2553" s="324">
        <f t="shared" si="39"/>
        <v>142658.1</v>
      </c>
    </row>
    <row r="2554" spans="1:5" x14ac:dyDescent="0.25">
      <c r="A2554" s="323" t="s">
        <v>4428</v>
      </c>
      <c r="B2554" s="323" t="s">
        <v>805</v>
      </c>
      <c r="C2554" s="323">
        <v>41364</v>
      </c>
      <c r="D2554" s="323">
        <v>562</v>
      </c>
      <c r="E2554" s="324">
        <f t="shared" si="39"/>
        <v>137049.32</v>
      </c>
    </row>
    <row r="2555" spans="1:5" x14ac:dyDescent="0.25">
      <c r="A2555" s="323" t="s">
        <v>4533</v>
      </c>
      <c r="B2555" s="323" t="s">
        <v>805</v>
      </c>
      <c r="C2555" s="323">
        <v>41364</v>
      </c>
      <c r="D2555" s="323">
        <v>489</v>
      </c>
      <c r="E2555" s="324">
        <f t="shared" si="39"/>
        <v>119247.54000000001</v>
      </c>
    </row>
    <row r="2556" spans="1:5" x14ac:dyDescent="0.25">
      <c r="A2556" s="323" t="s">
        <v>4533</v>
      </c>
      <c r="B2556" s="323" t="s">
        <v>805</v>
      </c>
      <c r="C2556" s="323">
        <v>41364</v>
      </c>
      <c r="D2556" s="323">
        <v>100</v>
      </c>
      <c r="E2556" s="324">
        <f t="shared" si="39"/>
        <v>24386</v>
      </c>
    </row>
    <row r="2557" spans="1:5" x14ac:dyDescent="0.25">
      <c r="A2557" s="323" t="s">
        <v>4830</v>
      </c>
      <c r="B2557" s="323" t="s">
        <v>805</v>
      </c>
      <c r="C2557" s="323">
        <v>41364</v>
      </c>
      <c r="D2557" s="323">
        <v>120</v>
      </c>
      <c r="E2557" s="324">
        <f t="shared" si="39"/>
        <v>29263.200000000001</v>
      </c>
    </row>
    <row r="2558" spans="1:5" x14ac:dyDescent="0.25">
      <c r="A2558" s="323" t="s">
        <v>4879</v>
      </c>
      <c r="B2558" s="323" t="s">
        <v>805</v>
      </c>
      <c r="C2558" s="323">
        <v>41364</v>
      </c>
      <c r="D2558" s="323">
        <v>219</v>
      </c>
      <c r="E2558" s="324">
        <f t="shared" si="39"/>
        <v>53405.340000000004</v>
      </c>
    </row>
    <row r="2559" spans="1:5" x14ac:dyDescent="0.25">
      <c r="A2559" s="323" t="s">
        <v>5038</v>
      </c>
      <c r="B2559" s="323" t="s">
        <v>805</v>
      </c>
      <c r="C2559" s="323">
        <v>41364</v>
      </c>
      <c r="D2559" s="323">
        <v>268</v>
      </c>
      <c r="E2559" s="324">
        <f t="shared" si="39"/>
        <v>65354.48</v>
      </c>
    </row>
    <row r="2560" spans="1:5" x14ac:dyDescent="0.25">
      <c r="A2560" s="323" t="s">
        <v>5334</v>
      </c>
      <c r="B2560" s="323" t="s">
        <v>805</v>
      </c>
      <c r="C2560" s="323">
        <v>41364</v>
      </c>
      <c r="D2560" s="323">
        <v>89</v>
      </c>
      <c r="E2560" s="324">
        <f t="shared" si="39"/>
        <v>21703.54</v>
      </c>
    </row>
    <row r="2561" spans="1:5" x14ac:dyDescent="0.25">
      <c r="A2561" s="323" t="s">
        <v>5334</v>
      </c>
      <c r="B2561" s="323" t="s">
        <v>805</v>
      </c>
      <c r="C2561" s="323">
        <v>41364</v>
      </c>
      <c r="D2561" s="323">
        <v>94</v>
      </c>
      <c r="E2561" s="324">
        <f t="shared" si="39"/>
        <v>22922.84</v>
      </c>
    </row>
    <row r="2562" spans="1:5" x14ac:dyDescent="0.25">
      <c r="A2562" s="323" t="s">
        <v>7133</v>
      </c>
      <c r="B2562" s="323" t="s">
        <v>805</v>
      </c>
      <c r="C2562" s="323">
        <v>41364</v>
      </c>
      <c r="D2562" s="323">
        <v>340</v>
      </c>
      <c r="E2562" s="324">
        <f t="shared" ref="E2562:E2625" si="40">D2562*IF(B2562=$G$9,WerkdrukbedragPerLeerlingBo,IF(B2562=$G$10,WerkdrukbedragPerLeerlingSbo,IF(B2562=$G$11,WerkdrukbedragPerLeerlingSo,IF(B2562=$G$12,WerkdrukbedragPerLeerlingVso,0))))</f>
        <v>82912.400000000009</v>
      </c>
    </row>
    <row r="2563" spans="1:5" x14ac:dyDescent="0.25">
      <c r="A2563" s="323" t="s">
        <v>7244</v>
      </c>
      <c r="B2563" s="323" t="s">
        <v>805</v>
      </c>
      <c r="C2563" s="323">
        <v>41364</v>
      </c>
      <c r="D2563" s="323">
        <v>206</v>
      </c>
      <c r="E2563" s="324">
        <f t="shared" si="40"/>
        <v>50235.16</v>
      </c>
    </row>
    <row r="2564" spans="1:5" x14ac:dyDescent="0.25">
      <c r="A2564" s="323" t="s">
        <v>1055</v>
      </c>
      <c r="B2564" s="323" t="s">
        <v>805</v>
      </c>
      <c r="C2564" s="323">
        <v>41371</v>
      </c>
      <c r="D2564" s="323">
        <v>102</v>
      </c>
      <c r="E2564" s="324">
        <f t="shared" si="40"/>
        <v>24873.72</v>
      </c>
    </row>
    <row r="2565" spans="1:5" x14ac:dyDescent="0.25">
      <c r="A2565" s="323" t="s">
        <v>2077</v>
      </c>
      <c r="B2565" s="323" t="s">
        <v>805</v>
      </c>
      <c r="C2565" s="323">
        <v>41371</v>
      </c>
      <c r="D2565" s="323">
        <v>86</v>
      </c>
      <c r="E2565" s="324">
        <f t="shared" si="40"/>
        <v>20971.960000000003</v>
      </c>
    </row>
    <row r="2566" spans="1:5" x14ac:dyDescent="0.25">
      <c r="A2566" s="323" t="s">
        <v>3015</v>
      </c>
      <c r="B2566" s="323" t="s">
        <v>805</v>
      </c>
      <c r="C2566" s="323">
        <v>41371</v>
      </c>
      <c r="D2566" s="323">
        <v>102</v>
      </c>
      <c r="E2566" s="324">
        <f t="shared" si="40"/>
        <v>24873.72</v>
      </c>
    </row>
    <row r="2567" spans="1:5" x14ac:dyDescent="0.25">
      <c r="A2567" s="323" t="s">
        <v>3388</v>
      </c>
      <c r="B2567" s="323" t="s">
        <v>805</v>
      </c>
      <c r="C2567" s="323">
        <v>41371</v>
      </c>
      <c r="D2567" s="323">
        <v>153</v>
      </c>
      <c r="E2567" s="324">
        <f t="shared" si="40"/>
        <v>37310.58</v>
      </c>
    </row>
    <row r="2568" spans="1:5" x14ac:dyDescent="0.25">
      <c r="A2568" s="323" t="s">
        <v>3710</v>
      </c>
      <c r="B2568" s="323" t="s">
        <v>805</v>
      </c>
      <c r="C2568" s="323">
        <v>41371</v>
      </c>
      <c r="D2568" s="323">
        <v>231</v>
      </c>
      <c r="E2568" s="324">
        <f t="shared" si="40"/>
        <v>56331.66</v>
      </c>
    </row>
    <row r="2569" spans="1:5" x14ac:dyDescent="0.25">
      <c r="A2569" s="323" t="s">
        <v>4456</v>
      </c>
      <c r="B2569" s="323" t="s">
        <v>805</v>
      </c>
      <c r="C2569" s="323">
        <v>41371</v>
      </c>
      <c r="D2569" s="323">
        <v>186</v>
      </c>
      <c r="E2569" s="324">
        <f t="shared" si="40"/>
        <v>45357.96</v>
      </c>
    </row>
    <row r="2570" spans="1:5" x14ac:dyDescent="0.25">
      <c r="A2570" s="323" t="s">
        <v>4565</v>
      </c>
      <c r="B2570" s="323" t="s">
        <v>805</v>
      </c>
      <c r="C2570" s="323">
        <v>41371</v>
      </c>
      <c r="D2570" s="323">
        <v>440</v>
      </c>
      <c r="E2570" s="324">
        <f t="shared" si="40"/>
        <v>107298.40000000001</v>
      </c>
    </row>
    <row r="2571" spans="1:5" x14ac:dyDescent="0.25">
      <c r="A2571" s="323" t="s">
        <v>4652</v>
      </c>
      <c r="B2571" s="323" t="s">
        <v>805</v>
      </c>
      <c r="C2571" s="323">
        <v>41371</v>
      </c>
      <c r="D2571" s="323">
        <v>271</v>
      </c>
      <c r="E2571" s="324">
        <f t="shared" si="40"/>
        <v>66086.06</v>
      </c>
    </row>
    <row r="2572" spans="1:5" x14ac:dyDescent="0.25">
      <c r="A2572" s="323" t="s">
        <v>4715</v>
      </c>
      <c r="B2572" s="323" t="s">
        <v>805</v>
      </c>
      <c r="C2572" s="323">
        <v>41371</v>
      </c>
      <c r="D2572" s="323">
        <v>138</v>
      </c>
      <c r="E2572" s="324">
        <f t="shared" si="40"/>
        <v>33652.68</v>
      </c>
    </row>
    <row r="2573" spans="1:5" x14ac:dyDescent="0.25">
      <c r="A2573" s="323" t="s">
        <v>4786</v>
      </c>
      <c r="B2573" s="323" t="s">
        <v>805</v>
      </c>
      <c r="C2573" s="323">
        <v>41371</v>
      </c>
      <c r="D2573" s="323">
        <v>254</v>
      </c>
      <c r="E2573" s="324">
        <f t="shared" si="40"/>
        <v>61940.44</v>
      </c>
    </row>
    <row r="2574" spans="1:5" x14ac:dyDescent="0.25">
      <c r="A2574" s="323" t="s">
        <v>4888</v>
      </c>
      <c r="B2574" s="323" t="s">
        <v>805</v>
      </c>
      <c r="C2574" s="323">
        <v>41371</v>
      </c>
      <c r="D2574" s="323">
        <v>127</v>
      </c>
      <c r="E2574" s="324">
        <f t="shared" si="40"/>
        <v>30970.22</v>
      </c>
    </row>
    <row r="2575" spans="1:5" x14ac:dyDescent="0.25">
      <c r="A2575" s="323" t="s">
        <v>4935</v>
      </c>
      <c r="B2575" s="323" t="s">
        <v>805</v>
      </c>
      <c r="C2575" s="323">
        <v>41371</v>
      </c>
      <c r="D2575" s="323">
        <v>258</v>
      </c>
      <c r="E2575" s="324">
        <f t="shared" si="40"/>
        <v>62915.880000000005</v>
      </c>
    </row>
    <row r="2576" spans="1:5" x14ac:dyDescent="0.25">
      <c r="A2576" s="323" t="s">
        <v>6162</v>
      </c>
      <c r="B2576" s="323" t="s">
        <v>805</v>
      </c>
      <c r="C2576" s="323">
        <v>41371</v>
      </c>
      <c r="D2576" s="323">
        <v>182</v>
      </c>
      <c r="E2576" s="324">
        <f t="shared" si="40"/>
        <v>44382.520000000004</v>
      </c>
    </row>
    <row r="2577" spans="1:5" x14ac:dyDescent="0.25">
      <c r="A2577" s="323" t="s">
        <v>6192</v>
      </c>
      <c r="B2577" s="323" t="s">
        <v>805</v>
      </c>
      <c r="C2577" s="323">
        <v>41371</v>
      </c>
      <c r="D2577" s="323">
        <v>241</v>
      </c>
      <c r="E2577" s="324">
        <f t="shared" si="40"/>
        <v>58770.26</v>
      </c>
    </row>
    <row r="2578" spans="1:5" x14ac:dyDescent="0.25">
      <c r="A2578" s="323" t="s">
        <v>7241</v>
      </c>
      <c r="B2578" s="323" t="s">
        <v>805</v>
      </c>
      <c r="C2578" s="323">
        <v>41371</v>
      </c>
      <c r="D2578" s="323">
        <v>242</v>
      </c>
      <c r="E2578" s="324">
        <f t="shared" si="40"/>
        <v>59014.12</v>
      </c>
    </row>
    <row r="2579" spans="1:5" x14ac:dyDescent="0.25">
      <c r="A2579" s="323" t="s">
        <v>881</v>
      </c>
      <c r="B2579" s="323" t="s">
        <v>809</v>
      </c>
      <c r="C2579" s="323">
        <v>41373</v>
      </c>
      <c r="D2579" s="323">
        <v>97</v>
      </c>
      <c r="E2579" s="324">
        <f t="shared" si="40"/>
        <v>47308.840000000004</v>
      </c>
    </row>
    <row r="2580" spans="1:5" x14ac:dyDescent="0.25">
      <c r="A2580" s="323" t="s">
        <v>881</v>
      </c>
      <c r="B2580" s="323" t="s">
        <v>803</v>
      </c>
      <c r="C2580" s="323">
        <v>41373</v>
      </c>
      <c r="D2580" s="323">
        <v>182</v>
      </c>
      <c r="E2580" s="324">
        <f t="shared" si="40"/>
        <v>88765.040000000008</v>
      </c>
    </row>
    <row r="2581" spans="1:5" x14ac:dyDescent="0.25">
      <c r="A2581" s="323" t="s">
        <v>1001</v>
      </c>
      <c r="B2581" s="323" t="s">
        <v>809</v>
      </c>
      <c r="C2581" s="323">
        <v>41373</v>
      </c>
      <c r="D2581" s="323">
        <v>22</v>
      </c>
      <c r="E2581" s="324">
        <f t="shared" si="40"/>
        <v>10729.84</v>
      </c>
    </row>
    <row r="2582" spans="1:5" x14ac:dyDescent="0.25">
      <c r="A2582" s="323" t="s">
        <v>1001</v>
      </c>
      <c r="B2582" s="323" t="s">
        <v>803</v>
      </c>
      <c r="C2582" s="323">
        <v>41373</v>
      </c>
      <c r="D2582" s="323">
        <v>41</v>
      </c>
      <c r="E2582" s="324">
        <f t="shared" si="40"/>
        <v>19996.52</v>
      </c>
    </row>
    <row r="2583" spans="1:5" x14ac:dyDescent="0.25">
      <c r="A2583" s="323" t="s">
        <v>1111</v>
      </c>
      <c r="B2583" s="323" t="s">
        <v>805</v>
      </c>
      <c r="C2583" s="323">
        <v>41373</v>
      </c>
      <c r="D2583" s="323">
        <v>498</v>
      </c>
      <c r="E2583" s="324">
        <f t="shared" si="40"/>
        <v>121442.28000000001</v>
      </c>
    </row>
    <row r="2584" spans="1:5" x14ac:dyDescent="0.25">
      <c r="A2584" s="323" t="s">
        <v>1143</v>
      </c>
      <c r="B2584" s="323" t="s">
        <v>816</v>
      </c>
      <c r="C2584" s="323">
        <v>41373</v>
      </c>
      <c r="D2584" s="323">
        <v>187</v>
      </c>
      <c r="E2584" s="324">
        <f t="shared" si="40"/>
        <v>68402.73000000001</v>
      </c>
    </row>
    <row r="2585" spans="1:5" x14ac:dyDescent="0.25">
      <c r="A2585" s="323" t="s">
        <v>1164</v>
      </c>
      <c r="B2585" s="323" t="s">
        <v>805</v>
      </c>
      <c r="C2585" s="323">
        <v>41373</v>
      </c>
      <c r="D2585" s="323">
        <v>399</v>
      </c>
      <c r="E2585" s="324">
        <f t="shared" si="40"/>
        <v>97300.14</v>
      </c>
    </row>
    <row r="2586" spans="1:5" x14ac:dyDescent="0.25">
      <c r="A2586" s="323" t="s">
        <v>1187</v>
      </c>
      <c r="B2586" s="323" t="s">
        <v>805</v>
      </c>
      <c r="C2586" s="323">
        <v>41373</v>
      </c>
      <c r="D2586" s="323">
        <v>141</v>
      </c>
      <c r="E2586" s="324">
        <f t="shared" si="40"/>
        <v>34384.26</v>
      </c>
    </row>
    <row r="2587" spans="1:5" x14ac:dyDescent="0.25">
      <c r="A2587" s="323" t="s">
        <v>1212</v>
      </c>
      <c r="B2587" s="323" t="s">
        <v>805</v>
      </c>
      <c r="C2587" s="323">
        <v>41373</v>
      </c>
      <c r="D2587" s="323">
        <v>226</v>
      </c>
      <c r="E2587" s="324">
        <f t="shared" si="40"/>
        <v>55112.36</v>
      </c>
    </row>
    <row r="2588" spans="1:5" x14ac:dyDescent="0.25">
      <c r="A2588" s="323" t="s">
        <v>1448</v>
      </c>
      <c r="B2588" s="323" t="s">
        <v>805</v>
      </c>
      <c r="C2588" s="323">
        <v>41373</v>
      </c>
      <c r="D2588" s="323">
        <v>469</v>
      </c>
      <c r="E2588" s="324">
        <f t="shared" si="40"/>
        <v>114370.34000000001</v>
      </c>
    </row>
    <row r="2589" spans="1:5" x14ac:dyDescent="0.25">
      <c r="A2589" s="323" t="s">
        <v>1470</v>
      </c>
      <c r="B2589" s="323" t="s">
        <v>805</v>
      </c>
      <c r="C2589" s="323">
        <v>41373</v>
      </c>
      <c r="D2589" s="323">
        <v>107</v>
      </c>
      <c r="E2589" s="324">
        <f t="shared" si="40"/>
        <v>26093.02</v>
      </c>
    </row>
    <row r="2590" spans="1:5" x14ac:dyDescent="0.25">
      <c r="A2590" s="323" t="s">
        <v>1862</v>
      </c>
      <c r="B2590" s="323" t="s">
        <v>805</v>
      </c>
      <c r="C2590" s="323">
        <v>41373</v>
      </c>
      <c r="D2590" s="323">
        <v>147</v>
      </c>
      <c r="E2590" s="324">
        <f t="shared" si="40"/>
        <v>35847.420000000006</v>
      </c>
    </row>
    <row r="2591" spans="1:5" x14ac:dyDescent="0.25">
      <c r="A2591" s="323" t="s">
        <v>2330</v>
      </c>
      <c r="B2591" s="323" t="s">
        <v>805</v>
      </c>
      <c r="C2591" s="323">
        <v>41373</v>
      </c>
      <c r="D2591" s="323">
        <v>89</v>
      </c>
      <c r="E2591" s="324">
        <f t="shared" si="40"/>
        <v>21703.54</v>
      </c>
    </row>
    <row r="2592" spans="1:5" x14ac:dyDescent="0.25">
      <c r="A2592" s="323" t="s">
        <v>2883</v>
      </c>
      <c r="B2592" s="323" t="s">
        <v>805</v>
      </c>
      <c r="C2592" s="323">
        <v>41373</v>
      </c>
      <c r="D2592" s="323">
        <v>154</v>
      </c>
      <c r="E2592" s="324">
        <f t="shared" si="40"/>
        <v>37554.44</v>
      </c>
    </row>
    <row r="2593" spans="1:5" x14ac:dyDescent="0.25">
      <c r="A2593" s="323" t="s">
        <v>3168</v>
      </c>
      <c r="B2593" s="323" t="s">
        <v>805</v>
      </c>
      <c r="C2593" s="323">
        <v>41373</v>
      </c>
      <c r="D2593" s="323">
        <v>305</v>
      </c>
      <c r="E2593" s="324">
        <f t="shared" si="40"/>
        <v>74377.3</v>
      </c>
    </row>
    <row r="2594" spans="1:5" x14ac:dyDescent="0.25">
      <c r="A2594" s="323" t="s">
        <v>3732</v>
      </c>
      <c r="B2594" s="323" t="s">
        <v>805</v>
      </c>
      <c r="C2594" s="323">
        <v>41373</v>
      </c>
      <c r="D2594" s="323">
        <v>661</v>
      </c>
      <c r="E2594" s="324">
        <f t="shared" si="40"/>
        <v>161191.46000000002</v>
      </c>
    </row>
    <row r="2595" spans="1:5" x14ac:dyDescent="0.25">
      <c r="A2595" s="323" t="s">
        <v>5255</v>
      </c>
      <c r="B2595" s="323" t="s">
        <v>805</v>
      </c>
      <c r="C2595" s="323">
        <v>41373</v>
      </c>
      <c r="D2595" s="323">
        <v>257</v>
      </c>
      <c r="E2595" s="324">
        <f t="shared" si="40"/>
        <v>62672.020000000004</v>
      </c>
    </row>
    <row r="2596" spans="1:5" x14ac:dyDescent="0.25">
      <c r="A2596" s="323" t="s">
        <v>5293</v>
      </c>
      <c r="B2596" s="323" t="s">
        <v>805</v>
      </c>
      <c r="C2596" s="323">
        <v>41373</v>
      </c>
      <c r="D2596" s="323">
        <v>364</v>
      </c>
      <c r="E2596" s="324">
        <f t="shared" si="40"/>
        <v>88765.040000000008</v>
      </c>
    </row>
    <row r="2597" spans="1:5" x14ac:dyDescent="0.25">
      <c r="A2597" s="323" t="s">
        <v>5677</v>
      </c>
      <c r="B2597" s="323" t="s">
        <v>805</v>
      </c>
      <c r="C2597" s="323">
        <v>41373</v>
      </c>
      <c r="D2597" s="323">
        <v>163</v>
      </c>
      <c r="E2597" s="324">
        <f t="shared" si="40"/>
        <v>39749.18</v>
      </c>
    </row>
    <row r="2598" spans="1:5" x14ac:dyDescent="0.25">
      <c r="A2598" s="323" t="s">
        <v>5690</v>
      </c>
      <c r="B2598" s="323" t="s">
        <v>805</v>
      </c>
      <c r="C2598" s="323">
        <v>41373</v>
      </c>
      <c r="D2598" s="323">
        <v>192</v>
      </c>
      <c r="E2598" s="324">
        <f t="shared" si="40"/>
        <v>46821.120000000003</v>
      </c>
    </row>
    <row r="2599" spans="1:5" x14ac:dyDescent="0.25">
      <c r="A2599" s="323" t="s">
        <v>5855</v>
      </c>
      <c r="B2599" s="323" t="s">
        <v>809</v>
      </c>
      <c r="C2599" s="323">
        <v>41373</v>
      </c>
      <c r="D2599" s="323">
        <v>79</v>
      </c>
      <c r="E2599" s="324">
        <f t="shared" si="40"/>
        <v>38529.880000000005</v>
      </c>
    </row>
    <row r="2600" spans="1:5" x14ac:dyDescent="0.25">
      <c r="A2600" s="323" t="s">
        <v>5855</v>
      </c>
      <c r="B2600" s="323" t="s">
        <v>803</v>
      </c>
      <c r="C2600" s="323">
        <v>41373</v>
      </c>
      <c r="D2600" s="323">
        <v>47</v>
      </c>
      <c r="E2600" s="324">
        <f t="shared" si="40"/>
        <v>22922.84</v>
      </c>
    </row>
    <row r="2601" spans="1:5" x14ac:dyDescent="0.25">
      <c r="A2601" s="323" t="s">
        <v>6548</v>
      </c>
      <c r="B2601" s="323" t="s">
        <v>805</v>
      </c>
      <c r="C2601" s="323">
        <v>41373</v>
      </c>
      <c r="D2601" s="323">
        <v>188</v>
      </c>
      <c r="E2601" s="324">
        <f t="shared" si="40"/>
        <v>45845.68</v>
      </c>
    </row>
    <row r="2602" spans="1:5" x14ac:dyDescent="0.25">
      <c r="A2602" s="323" t="s">
        <v>4386</v>
      </c>
      <c r="B2602" s="323" t="s">
        <v>805</v>
      </c>
      <c r="C2602" s="323">
        <v>41375</v>
      </c>
      <c r="D2602" s="323">
        <v>179</v>
      </c>
      <c r="E2602" s="324">
        <f t="shared" si="40"/>
        <v>43650.94</v>
      </c>
    </row>
    <row r="2603" spans="1:5" x14ac:dyDescent="0.25">
      <c r="A2603" s="323" t="s">
        <v>4597</v>
      </c>
      <c r="B2603" s="323" t="s">
        <v>805</v>
      </c>
      <c r="C2603" s="323">
        <v>41375</v>
      </c>
      <c r="D2603" s="323">
        <v>295</v>
      </c>
      <c r="E2603" s="324">
        <f t="shared" si="40"/>
        <v>71938.7</v>
      </c>
    </row>
    <row r="2604" spans="1:5" x14ac:dyDescent="0.25">
      <c r="A2604" s="323" t="s">
        <v>4858</v>
      </c>
      <c r="B2604" s="323" t="s">
        <v>805</v>
      </c>
      <c r="C2604" s="323">
        <v>41375</v>
      </c>
      <c r="D2604" s="323">
        <v>173</v>
      </c>
      <c r="E2604" s="324">
        <f t="shared" si="40"/>
        <v>42187.78</v>
      </c>
    </row>
    <row r="2605" spans="1:5" x14ac:dyDescent="0.25">
      <c r="A2605" s="323" t="s">
        <v>4949</v>
      </c>
      <c r="B2605" s="323" t="s">
        <v>805</v>
      </c>
      <c r="C2605" s="323">
        <v>41375</v>
      </c>
      <c r="D2605" s="323">
        <v>262</v>
      </c>
      <c r="E2605" s="324">
        <f t="shared" si="40"/>
        <v>63891.320000000007</v>
      </c>
    </row>
    <row r="2606" spans="1:5" x14ac:dyDescent="0.25">
      <c r="A2606" s="323" t="s">
        <v>4986</v>
      </c>
      <c r="B2606" s="323" t="s">
        <v>805</v>
      </c>
      <c r="C2606" s="323">
        <v>41375</v>
      </c>
      <c r="D2606" s="323">
        <v>132</v>
      </c>
      <c r="E2606" s="324">
        <f t="shared" si="40"/>
        <v>32189.52</v>
      </c>
    </row>
    <row r="2607" spans="1:5" x14ac:dyDescent="0.25">
      <c r="A2607" s="323" t="s">
        <v>5025</v>
      </c>
      <c r="B2607" s="323" t="s">
        <v>805</v>
      </c>
      <c r="C2607" s="323">
        <v>41375</v>
      </c>
      <c r="D2607" s="323">
        <v>181</v>
      </c>
      <c r="E2607" s="324">
        <f t="shared" si="40"/>
        <v>44138.66</v>
      </c>
    </row>
    <row r="2608" spans="1:5" x14ac:dyDescent="0.25">
      <c r="A2608" s="323" t="s">
        <v>5121</v>
      </c>
      <c r="B2608" s="323" t="s">
        <v>805</v>
      </c>
      <c r="C2608" s="323">
        <v>41375</v>
      </c>
      <c r="D2608" s="323">
        <v>262</v>
      </c>
      <c r="E2608" s="324">
        <f t="shared" si="40"/>
        <v>63891.320000000007</v>
      </c>
    </row>
    <row r="2609" spans="1:5" x14ac:dyDescent="0.25">
      <c r="A2609" s="323" t="s">
        <v>5185</v>
      </c>
      <c r="B2609" s="323" t="s">
        <v>805</v>
      </c>
      <c r="C2609" s="323">
        <v>41375</v>
      </c>
      <c r="D2609" s="323">
        <v>224</v>
      </c>
      <c r="E2609" s="324">
        <f t="shared" si="40"/>
        <v>54624.639999999999</v>
      </c>
    </row>
    <row r="2610" spans="1:5" x14ac:dyDescent="0.25">
      <c r="A2610" s="323" t="s">
        <v>5264</v>
      </c>
      <c r="B2610" s="323" t="s">
        <v>805</v>
      </c>
      <c r="C2610" s="323">
        <v>41375</v>
      </c>
      <c r="D2610" s="323">
        <v>263</v>
      </c>
      <c r="E2610" s="324">
        <f t="shared" si="40"/>
        <v>64135.18</v>
      </c>
    </row>
    <row r="2611" spans="1:5" x14ac:dyDescent="0.25">
      <c r="A2611" s="323" t="s">
        <v>6231</v>
      </c>
      <c r="B2611" s="323" t="s">
        <v>805</v>
      </c>
      <c r="C2611" s="323">
        <v>41375</v>
      </c>
      <c r="D2611" s="323">
        <v>245</v>
      </c>
      <c r="E2611" s="324">
        <f t="shared" si="40"/>
        <v>59745.700000000004</v>
      </c>
    </row>
    <row r="2612" spans="1:5" x14ac:dyDescent="0.25">
      <c r="A2612" s="323" t="s">
        <v>6248</v>
      </c>
      <c r="B2612" s="323" t="s">
        <v>805</v>
      </c>
      <c r="C2612" s="323">
        <v>41375</v>
      </c>
      <c r="D2612" s="323">
        <v>234</v>
      </c>
      <c r="E2612" s="324">
        <f t="shared" si="40"/>
        <v>57063.240000000005</v>
      </c>
    </row>
    <row r="2613" spans="1:5" x14ac:dyDescent="0.25">
      <c r="A2613" s="323" t="s">
        <v>6274</v>
      </c>
      <c r="B2613" s="323" t="s">
        <v>805</v>
      </c>
      <c r="C2613" s="323">
        <v>41375</v>
      </c>
      <c r="D2613" s="323">
        <v>236</v>
      </c>
      <c r="E2613" s="324">
        <f t="shared" si="40"/>
        <v>57550.960000000006</v>
      </c>
    </row>
    <row r="2614" spans="1:5" x14ac:dyDescent="0.25">
      <c r="A2614" s="323" t="s">
        <v>6515</v>
      </c>
      <c r="B2614" s="323" t="s">
        <v>816</v>
      </c>
      <c r="C2614" s="323">
        <v>41375</v>
      </c>
      <c r="D2614" s="323">
        <v>97</v>
      </c>
      <c r="E2614" s="324">
        <f t="shared" si="40"/>
        <v>35481.630000000005</v>
      </c>
    </row>
    <row r="2615" spans="1:5" x14ac:dyDescent="0.25">
      <c r="A2615" s="323" t="s">
        <v>6993</v>
      </c>
      <c r="B2615" s="323" t="s">
        <v>805</v>
      </c>
      <c r="C2615" s="323">
        <v>41375</v>
      </c>
      <c r="D2615" s="323">
        <v>166</v>
      </c>
      <c r="E2615" s="324">
        <f t="shared" si="40"/>
        <v>40480.76</v>
      </c>
    </row>
    <row r="2616" spans="1:5" x14ac:dyDescent="0.25">
      <c r="A2616" s="323" t="s">
        <v>7256</v>
      </c>
      <c r="B2616" s="323" t="s">
        <v>805</v>
      </c>
      <c r="C2616" s="323">
        <v>41375</v>
      </c>
      <c r="D2616" s="323">
        <v>346</v>
      </c>
      <c r="E2616" s="324">
        <f t="shared" si="40"/>
        <v>84375.56</v>
      </c>
    </row>
    <row r="2617" spans="1:5" x14ac:dyDescent="0.25">
      <c r="A2617" s="323" t="s">
        <v>1436</v>
      </c>
      <c r="B2617" s="323" t="s">
        <v>805</v>
      </c>
      <c r="C2617" s="323">
        <v>41376</v>
      </c>
      <c r="D2617" s="323">
        <v>260</v>
      </c>
      <c r="E2617" s="324">
        <f t="shared" si="40"/>
        <v>63403.600000000006</v>
      </c>
    </row>
    <row r="2618" spans="1:5" x14ac:dyDescent="0.25">
      <c r="A2618" s="323" t="s">
        <v>2056</v>
      </c>
      <c r="B2618" s="323" t="s">
        <v>805</v>
      </c>
      <c r="C2618" s="323">
        <v>41376</v>
      </c>
      <c r="D2618" s="323">
        <v>251</v>
      </c>
      <c r="E2618" s="324">
        <f t="shared" si="40"/>
        <v>61208.86</v>
      </c>
    </row>
    <row r="2619" spans="1:5" x14ac:dyDescent="0.25">
      <c r="A2619" s="323" t="s">
        <v>2099</v>
      </c>
      <c r="B2619" s="323" t="s">
        <v>805</v>
      </c>
      <c r="C2619" s="323">
        <v>41376</v>
      </c>
      <c r="D2619" s="323">
        <v>210</v>
      </c>
      <c r="E2619" s="324">
        <f t="shared" si="40"/>
        <v>51210.600000000006</v>
      </c>
    </row>
    <row r="2620" spans="1:5" x14ac:dyDescent="0.25">
      <c r="A2620" s="323" t="s">
        <v>2125</v>
      </c>
      <c r="B2620" s="323" t="s">
        <v>805</v>
      </c>
      <c r="C2620" s="323">
        <v>41376</v>
      </c>
      <c r="D2620" s="323">
        <v>198</v>
      </c>
      <c r="E2620" s="324">
        <f t="shared" si="40"/>
        <v>48284.280000000006</v>
      </c>
    </row>
    <row r="2621" spans="1:5" x14ac:dyDescent="0.25">
      <c r="A2621" s="323" t="s">
        <v>3017</v>
      </c>
      <c r="B2621" s="323" t="s">
        <v>805</v>
      </c>
      <c r="C2621" s="323">
        <v>41376</v>
      </c>
      <c r="D2621" s="323">
        <v>106</v>
      </c>
      <c r="E2621" s="324">
        <f t="shared" si="40"/>
        <v>25849.16</v>
      </c>
    </row>
    <row r="2622" spans="1:5" x14ac:dyDescent="0.25">
      <c r="A2622" s="323" t="s">
        <v>3017</v>
      </c>
      <c r="B2622" s="323" t="s">
        <v>805</v>
      </c>
      <c r="C2622" s="323">
        <v>41376</v>
      </c>
      <c r="D2622" s="323">
        <v>72</v>
      </c>
      <c r="E2622" s="324">
        <f t="shared" si="40"/>
        <v>17557.920000000002</v>
      </c>
    </row>
    <row r="2623" spans="1:5" x14ac:dyDescent="0.25">
      <c r="A2623" s="323" t="s">
        <v>3070</v>
      </c>
      <c r="B2623" s="323" t="s">
        <v>805</v>
      </c>
      <c r="C2623" s="323">
        <v>41376</v>
      </c>
      <c r="D2623" s="323">
        <v>321</v>
      </c>
      <c r="E2623" s="324">
        <f t="shared" si="40"/>
        <v>78279.06</v>
      </c>
    </row>
    <row r="2624" spans="1:5" x14ac:dyDescent="0.25">
      <c r="A2624" s="323" t="s">
        <v>3441</v>
      </c>
      <c r="B2624" s="323" t="s">
        <v>805</v>
      </c>
      <c r="C2624" s="323">
        <v>41376</v>
      </c>
      <c r="D2624" s="323">
        <v>202</v>
      </c>
      <c r="E2624" s="324">
        <f t="shared" si="40"/>
        <v>49259.72</v>
      </c>
    </row>
    <row r="2625" spans="1:5" x14ac:dyDescent="0.25">
      <c r="A2625" s="323" t="s">
        <v>3666</v>
      </c>
      <c r="B2625" s="323" t="s">
        <v>805</v>
      </c>
      <c r="C2625" s="323">
        <v>41376</v>
      </c>
      <c r="D2625" s="323">
        <v>204</v>
      </c>
      <c r="E2625" s="324">
        <f t="shared" si="40"/>
        <v>49747.44</v>
      </c>
    </row>
    <row r="2626" spans="1:5" x14ac:dyDescent="0.25">
      <c r="A2626" s="323" t="s">
        <v>3689</v>
      </c>
      <c r="B2626" s="323" t="s">
        <v>805</v>
      </c>
      <c r="C2626" s="323">
        <v>41376</v>
      </c>
      <c r="D2626" s="323">
        <v>220</v>
      </c>
      <c r="E2626" s="324">
        <f t="shared" ref="E2626:E2689" si="41">D2626*IF(B2626=$G$9,WerkdrukbedragPerLeerlingBo,IF(B2626=$G$10,WerkdrukbedragPerLeerlingSbo,IF(B2626=$G$11,WerkdrukbedragPerLeerlingSo,IF(B2626=$G$12,WerkdrukbedragPerLeerlingVso,0))))</f>
        <v>53649.200000000004</v>
      </c>
    </row>
    <row r="2627" spans="1:5" x14ac:dyDescent="0.25">
      <c r="A2627" s="323" t="s">
        <v>3986</v>
      </c>
      <c r="B2627" s="323" t="s">
        <v>805</v>
      </c>
      <c r="C2627" s="323">
        <v>41376</v>
      </c>
      <c r="D2627" s="323">
        <v>617</v>
      </c>
      <c r="E2627" s="324">
        <f t="shared" si="41"/>
        <v>150461.62</v>
      </c>
    </row>
    <row r="2628" spans="1:5" x14ac:dyDescent="0.25">
      <c r="A2628" s="323" t="s">
        <v>4141</v>
      </c>
      <c r="B2628" s="323" t="s">
        <v>805</v>
      </c>
      <c r="C2628" s="323">
        <v>41376</v>
      </c>
      <c r="D2628" s="323">
        <v>73</v>
      </c>
      <c r="E2628" s="324">
        <f t="shared" si="41"/>
        <v>17801.780000000002</v>
      </c>
    </row>
    <row r="2629" spans="1:5" x14ac:dyDescent="0.25">
      <c r="A2629" s="323" t="s">
        <v>4143</v>
      </c>
      <c r="B2629" s="323" t="s">
        <v>805</v>
      </c>
      <c r="C2629" s="323">
        <v>41376</v>
      </c>
      <c r="D2629" s="323">
        <v>145</v>
      </c>
      <c r="E2629" s="324">
        <f t="shared" si="41"/>
        <v>35359.700000000004</v>
      </c>
    </row>
    <row r="2630" spans="1:5" x14ac:dyDescent="0.25">
      <c r="A2630" s="323" t="s">
        <v>4222</v>
      </c>
      <c r="B2630" s="323" t="s">
        <v>805</v>
      </c>
      <c r="C2630" s="323">
        <v>41376</v>
      </c>
      <c r="D2630" s="323">
        <v>154</v>
      </c>
      <c r="E2630" s="324">
        <f t="shared" si="41"/>
        <v>37554.44</v>
      </c>
    </row>
    <row r="2631" spans="1:5" x14ac:dyDescent="0.25">
      <c r="A2631" s="323" t="s">
        <v>4499</v>
      </c>
      <c r="B2631" s="323" t="s">
        <v>805</v>
      </c>
      <c r="C2631" s="323">
        <v>41376</v>
      </c>
      <c r="D2631" s="323">
        <v>89</v>
      </c>
      <c r="E2631" s="324">
        <f t="shared" si="41"/>
        <v>21703.54</v>
      </c>
    </row>
    <row r="2632" spans="1:5" x14ac:dyDescent="0.25">
      <c r="A2632" s="323" t="s">
        <v>6063</v>
      </c>
      <c r="B2632" s="323" t="s">
        <v>805</v>
      </c>
      <c r="C2632" s="323">
        <v>41376</v>
      </c>
      <c r="D2632" s="323">
        <v>121</v>
      </c>
      <c r="E2632" s="324">
        <f t="shared" si="41"/>
        <v>29507.06</v>
      </c>
    </row>
    <row r="2633" spans="1:5" x14ac:dyDescent="0.25">
      <c r="A2633" s="323" t="s">
        <v>6093</v>
      </c>
      <c r="B2633" s="323" t="s">
        <v>805</v>
      </c>
      <c r="C2633" s="323">
        <v>41376</v>
      </c>
      <c r="D2633" s="323">
        <v>70</v>
      </c>
      <c r="E2633" s="324">
        <f t="shared" si="41"/>
        <v>17070.2</v>
      </c>
    </row>
    <row r="2634" spans="1:5" x14ac:dyDescent="0.25">
      <c r="A2634" s="323" t="s">
        <v>6119</v>
      </c>
      <c r="B2634" s="323" t="s">
        <v>805</v>
      </c>
      <c r="C2634" s="323">
        <v>41376</v>
      </c>
      <c r="D2634" s="323">
        <v>187</v>
      </c>
      <c r="E2634" s="324">
        <f t="shared" si="41"/>
        <v>45601.82</v>
      </c>
    </row>
    <row r="2635" spans="1:5" x14ac:dyDescent="0.25">
      <c r="A2635" s="323" t="s">
        <v>6143</v>
      </c>
      <c r="B2635" s="323" t="s">
        <v>805</v>
      </c>
      <c r="C2635" s="323">
        <v>41376</v>
      </c>
      <c r="D2635" s="323">
        <v>436</v>
      </c>
      <c r="E2635" s="324">
        <f t="shared" si="41"/>
        <v>106322.96</v>
      </c>
    </row>
    <row r="2636" spans="1:5" x14ac:dyDescent="0.25">
      <c r="A2636" s="323" t="s">
        <v>6148</v>
      </c>
      <c r="B2636" s="323" t="s">
        <v>805</v>
      </c>
      <c r="C2636" s="323">
        <v>41376</v>
      </c>
      <c r="D2636" s="323">
        <v>85</v>
      </c>
      <c r="E2636" s="324">
        <f t="shared" si="41"/>
        <v>20728.100000000002</v>
      </c>
    </row>
    <row r="2637" spans="1:5" x14ac:dyDescent="0.25">
      <c r="A2637" s="323" t="s">
        <v>6170</v>
      </c>
      <c r="B2637" s="323" t="s">
        <v>805</v>
      </c>
      <c r="C2637" s="323">
        <v>41376</v>
      </c>
      <c r="D2637" s="323">
        <v>126</v>
      </c>
      <c r="E2637" s="324">
        <f t="shared" si="41"/>
        <v>30726.36</v>
      </c>
    </row>
    <row r="2638" spans="1:5" x14ac:dyDescent="0.25">
      <c r="A2638" s="323" t="s">
        <v>6176</v>
      </c>
      <c r="B2638" s="323" t="s">
        <v>805</v>
      </c>
      <c r="C2638" s="323">
        <v>41376</v>
      </c>
      <c r="D2638" s="323">
        <v>379</v>
      </c>
      <c r="E2638" s="324">
        <f t="shared" si="41"/>
        <v>92422.94</v>
      </c>
    </row>
    <row r="2639" spans="1:5" x14ac:dyDescent="0.25">
      <c r="A2639" s="323" t="s">
        <v>6411</v>
      </c>
      <c r="B2639" s="323" t="s">
        <v>805</v>
      </c>
      <c r="C2639" s="323">
        <v>41376</v>
      </c>
      <c r="D2639" s="323">
        <v>187</v>
      </c>
      <c r="E2639" s="324">
        <f t="shared" si="41"/>
        <v>45601.82</v>
      </c>
    </row>
    <row r="2640" spans="1:5" x14ac:dyDescent="0.25">
      <c r="A2640" s="323" t="s">
        <v>1386</v>
      </c>
      <c r="B2640" s="323" t="s">
        <v>805</v>
      </c>
      <c r="C2640" s="323">
        <v>41385</v>
      </c>
      <c r="D2640" s="323">
        <v>69</v>
      </c>
      <c r="E2640" s="324">
        <f t="shared" si="41"/>
        <v>16826.34</v>
      </c>
    </row>
    <row r="2641" spans="1:5" x14ac:dyDescent="0.25">
      <c r="A2641" s="323" t="s">
        <v>1505</v>
      </c>
      <c r="B2641" s="323" t="s">
        <v>805</v>
      </c>
      <c r="C2641" s="323">
        <v>41385</v>
      </c>
      <c r="D2641" s="323">
        <v>39</v>
      </c>
      <c r="E2641" s="324">
        <f t="shared" si="41"/>
        <v>9510.5400000000009</v>
      </c>
    </row>
    <row r="2642" spans="1:5" x14ac:dyDescent="0.25">
      <c r="A2642" s="323" t="s">
        <v>1615</v>
      </c>
      <c r="B2642" s="323" t="s">
        <v>805</v>
      </c>
      <c r="C2642" s="323">
        <v>41385</v>
      </c>
      <c r="D2642" s="323">
        <v>30</v>
      </c>
      <c r="E2642" s="324">
        <f t="shared" si="41"/>
        <v>7315.8</v>
      </c>
    </row>
    <row r="2643" spans="1:5" x14ac:dyDescent="0.25">
      <c r="A2643" s="323" t="s">
        <v>1873</v>
      </c>
      <c r="B2643" s="323" t="s">
        <v>805</v>
      </c>
      <c r="C2643" s="323">
        <v>41385</v>
      </c>
      <c r="D2643" s="323">
        <v>284</v>
      </c>
      <c r="E2643" s="324">
        <f t="shared" si="41"/>
        <v>69256.240000000005</v>
      </c>
    </row>
    <row r="2644" spans="1:5" x14ac:dyDescent="0.25">
      <c r="A2644" s="323" t="s">
        <v>1972</v>
      </c>
      <c r="B2644" s="323" t="s">
        <v>805</v>
      </c>
      <c r="C2644" s="323">
        <v>41385</v>
      </c>
      <c r="D2644" s="323">
        <v>37</v>
      </c>
      <c r="E2644" s="324">
        <f t="shared" si="41"/>
        <v>9022.82</v>
      </c>
    </row>
    <row r="2645" spans="1:5" x14ac:dyDescent="0.25">
      <c r="A2645" s="323" t="s">
        <v>2003</v>
      </c>
      <c r="B2645" s="323" t="s">
        <v>805</v>
      </c>
      <c r="C2645" s="323">
        <v>41385</v>
      </c>
      <c r="D2645" s="323">
        <v>69</v>
      </c>
      <c r="E2645" s="324">
        <f t="shared" si="41"/>
        <v>16826.34</v>
      </c>
    </row>
    <row r="2646" spans="1:5" x14ac:dyDescent="0.25">
      <c r="A2646" s="323" t="s">
        <v>2006</v>
      </c>
      <c r="B2646" s="323" t="s">
        <v>805</v>
      </c>
      <c r="C2646" s="323">
        <v>41385</v>
      </c>
      <c r="D2646" s="323">
        <v>78</v>
      </c>
      <c r="E2646" s="324">
        <f t="shared" si="41"/>
        <v>19021.080000000002</v>
      </c>
    </row>
    <row r="2647" spans="1:5" x14ac:dyDescent="0.25">
      <c r="A2647" s="323" t="s">
        <v>2370</v>
      </c>
      <c r="B2647" s="323" t="s">
        <v>805</v>
      </c>
      <c r="C2647" s="323">
        <v>41385</v>
      </c>
      <c r="D2647" s="323">
        <v>230</v>
      </c>
      <c r="E2647" s="324">
        <f t="shared" si="41"/>
        <v>56087.8</v>
      </c>
    </row>
    <row r="2648" spans="1:5" x14ac:dyDescent="0.25">
      <c r="A2648" s="323" t="s">
        <v>2442</v>
      </c>
      <c r="B2648" s="323" t="s">
        <v>805</v>
      </c>
      <c r="C2648" s="323">
        <v>41385</v>
      </c>
      <c r="D2648" s="323">
        <v>97</v>
      </c>
      <c r="E2648" s="324">
        <f t="shared" si="41"/>
        <v>23654.420000000002</v>
      </c>
    </row>
    <row r="2649" spans="1:5" x14ac:dyDescent="0.25">
      <c r="A2649" s="323" t="s">
        <v>3762</v>
      </c>
      <c r="B2649" s="323" t="s">
        <v>805</v>
      </c>
      <c r="C2649" s="323">
        <v>41385</v>
      </c>
      <c r="D2649" s="323">
        <v>155</v>
      </c>
      <c r="E2649" s="324">
        <f t="shared" si="41"/>
        <v>37798.300000000003</v>
      </c>
    </row>
    <row r="2650" spans="1:5" x14ac:dyDescent="0.25">
      <c r="A2650" s="323" t="s">
        <v>2454</v>
      </c>
      <c r="B2650" s="323" t="s">
        <v>805</v>
      </c>
      <c r="C2650" s="323">
        <v>41386</v>
      </c>
      <c r="D2650" s="323">
        <v>218</v>
      </c>
      <c r="E2650" s="324">
        <f t="shared" si="41"/>
        <v>53161.48</v>
      </c>
    </row>
    <row r="2651" spans="1:5" x14ac:dyDescent="0.25">
      <c r="A2651" s="323" t="s">
        <v>3903</v>
      </c>
      <c r="B2651" s="323" t="s">
        <v>805</v>
      </c>
      <c r="C2651" s="323">
        <v>41386</v>
      </c>
      <c r="D2651" s="323">
        <v>143</v>
      </c>
      <c r="E2651" s="324">
        <f t="shared" si="41"/>
        <v>34871.980000000003</v>
      </c>
    </row>
    <row r="2652" spans="1:5" x14ac:dyDescent="0.25">
      <c r="A2652" s="323" t="s">
        <v>4214</v>
      </c>
      <c r="B2652" s="323" t="s">
        <v>805</v>
      </c>
      <c r="C2652" s="323">
        <v>41386</v>
      </c>
      <c r="D2652" s="323">
        <v>244</v>
      </c>
      <c r="E2652" s="324">
        <f t="shared" si="41"/>
        <v>59501.840000000004</v>
      </c>
    </row>
    <row r="2653" spans="1:5" x14ac:dyDescent="0.25">
      <c r="A2653" s="323" t="s">
        <v>4700</v>
      </c>
      <c r="B2653" s="323" t="s">
        <v>805</v>
      </c>
      <c r="C2653" s="323">
        <v>41386</v>
      </c>
      <c r="D2653" s="323">
        <v>177</v>
      </c>
      <c r="E2653" s="324">
        <f t="shared" si="41"/>
        <v>43163.22</v>
      </c>
    </row>
    <row r="2654" spans="1:5" x14ac:dyDescent="0.25">
      <c r="A2654" s="323" t="s">
        <v>4876</v>
      </c>
      <c r="B2654" s="323" t="s">
        <v>805</v>
      </c>
      <c r="C2654" s="323">
        <v>41386</v>
      </c>
      <c r="D2654" s="323">
        <v>274</v>
      </c>
      <c r="E2654" s="324">
        <f t="shared" si="41"/>
        <v>66817.64</v>
      </c>
    </row>
    <row r="2655" spans="1:5" x14ac:dyDescent="0.25">
      <c r="A2655" s="323" t="s">
        <v>4918</v>
      </c>
      <c r="B2655" s="323" t="s">
        <v>805</v>
      </c>
      <c r="C2655" s="323">
        <v>41386</v>
      </c>
      <c r="D2655" s="323">
        <v>500</v>
      </c>
      <c r="E2655" s="324">
        <f t="shared" si="41"/>
        <v>121930</v>
      </c>
    </row>
    <row r="2656" spans="1:5" x14ac:dyDescent="0.25">
      <c r="A2656" s="323" t="s">
        <v>5091</v>
      </c>
      <c r="B2656" s="323" t="s">
        <v>805</v>
      </c>
      <c r="C2656" s="323">
        <v>41386</v>
      </c>
      <c r="D2656" s="323">
        <v>394</v>
      </c>
      <c r="E2656" s="324">
        <f t="shared" si="41"/>
        <v>96080.840000000011</v>
      </c>
    </row>
    <row r="2657" spans="1:5" x14ac:dyDescent="0.25">
      <c r="A2657" s="323" t="s">
        <v>1020</v>
      </c>
      <c r="B2657" s="323" t="s">
        <v>809</v>
      </c>
      <c r="C2657" s="323">
        <v>41388</v>
      </c>
      <c r="D2657" s="323">
        <v>59</v>
      </c>
      <c r="E2657" s="324">
        <f t="shared" si="41"/>
        <v>28775.480000000003</v>
      </c>
    </row>
    <row r="2658" spans="1:5" x14ac:dyDescent="0.25">
      <c r="A2658" s="323" t="s">
        <v>1020</v>
      </c>
      <c r="B2658" s="323" t="s">
        <v>803</v>
      </c>
      <c r="C2658" s="323">
        <v>41388</v>
      </c>
      <c r="D2658" s="323">
        <v>142</v>
      </c>
      <c r="E2658" s="324">
        <f t="shared" si="41"/>
        <v>69256.240000000005</v>
      </c>
    </row>
    <row r="2659" spans="1:5" x14ac:dyDescent="0.25">
      <c r="A2659" s="323" t="s">
        <v>1022</v>
      </c>
      <c r="B2659" s="323" t="s">
        <v>809</v>
      </c>
      <c r="C2659" s="323">
        <v>41388</v>
      </c>
      <c r="D2659" s="323">
        <v>133</v>
      </c>
      <c r="E2659" s="324">
        <f t="shared" si="41"/>
        <v>64866.76</v>
      </c>
    </row>
    <row r="2660" spans="1:5" x14ac:dyDescent="0.25">
      <c r="A2660" s="323" t="s">
        <v>1022</v>
      </c>
      <c r="B2660" s="323" t="s">
        <v>803</v>
      </c>
      <c r="C2660" s="323">
        <v>41388</v>
      </c>
      <c r="D2660" s="323">
        <v>137</v>
      </c>
      <c r="E2660" s="324">
        <f t="shared" si="41"/>
        <v>66817.64</v>
      </c>
    </row>
    <row r="2661" spans="1:5" x14ac:dyDescent="0.25">
      <c r="A2661" s="323" t="s">
        <v>1165</v>
      </c>
      <c r="B2661" s="323" t="s">
        <v>809</v>
      </c>
      <c r="C2661" s="323">
        <v>41388</v>
      </c>
      <c r="D2661" s="323">
        <v>66</v>
      </c>
      <c r="E2661" s="324">
        <f t="shared" si="41"/>
        <v>32189.52</v>
      </c>
    </row>
    <row r="2662" spans="1:5" x14ac:dyDescent="0.25">
      <c r="A2662" s="323" t="s">
        <v>5348</v>
      </c>
      <c r="B2662" s="323" t="s">
        <v>805</v>
      </c>
      <c r="C2662" s="323">
        <v>41390</v>
      </c>
      <c r="D2662" s="323">
        <v>191</v>
      </c>
      <c r="E2662" s="324">
        <f t="shared" si="41"/>
        <v>46577.26</v>
      </c>
    </row>
    <row r="2663" spans="1:5" x14ac:dyDescent="0.25">
      <c r="A2663" s="323" t="s">
        <v>5375</v>
      </c>
      <c r="B2663" s="323" t="s">
        <v>805</v>
      </c>
      <c r="C2663" s="323">
        <v>41390</v>
      </c>
      <c r="D2663" s="323">
        <v>136</v>
      </c>
      <c r="E2663" s="324">
        <f t="shared" si="41"/>
        <v>33164.959999999999</v>
      </c>
    </row>
    <row r="2664" spans="1:5" x14ac:dyDescent="0.25">
      <c r="A2664" s="323" t="s">
        <v>5375</v>
      </c>
      <c r="B2664" s="323" t="s">
        <v>805</v>
      </c>
      <c r="C2664" s="323">
        <v>41390</v>
      </c>
      <c r="D2664" s="323">
        <v>216</v>
      </c>
      <c r="E2664" s="324">
        <f t="shared" si="41"/>
        <v>52673.760000000002</v>
      </c>
    </row>
    <row r="2665" spans="1:5" x14ac:dyDescent="0.25">
      <c r="A2665" s="323" t="s">
        <v>5422</v>
      </c>
      <c r="B2665" s="323" t="s">
        <v>805</v>
      </c>
      <c r="C2665" s="323">
        <v>41390</v>
      </c>
      <c r="D2665" s="323">
        <v>245</v>
      </c>
      <c r="E2665" s="324">
        <f t="shared" si="41"/>
        <v>59745.700000000004</v>
      </c>
    </row>
    <row r="2666" spans="1:5" x14ac:dyDescent="0.25">
      <c r="A2666" s="323" t="s">
        <v>5480</v>
      </c>
      <c r="B2666" s="323" t="s">
        <v>805</v>
      </c>
      <c r="C2666" s="323">
        <v>41390</v>
      </c>
      <c r="D2666" s="323">
        <v>393</v>
      </c>
      <c r="E2666" s="324">
        <f t="shared" si="41"/>
        <v>95836.98000000001</v>
      </c>
    </row>
    <row r="2667" spans="1:5" x14ac:dyDescent="0.25">
      <c r="A2667" s="323" t="s">
        <v>5523</v>
      </c>
      <c r="B2667" s="323" t="s">
        <v>805</v>
      </c>
      <c r="C2667" s="323">
        <v>41390</v>
      </c>
      <c r="D2667" s="323">
        <v>219</v>
      </c>
      <c r="E2667" s="324">
        <f t="shared" si="41"/>
        <v>53405.340000000004</v>
      </c>
    </row>
    <row r="2668" spans="1:5" x14ac:dyDescent="0.25">
      <c r="A2668" s="323" t="s">
        <v>5568</v>
      </c>
      <c r="B2668" s="323" t="s">
        <v>805</v>
      </c>
      <c r="C2668" s="323">
        <v>41390</v>
      </c>
      <c r="D2668" s="323">
        <v>451</v>
      </c>
      <c r="E2668" s="324">
        <f t="shared" si="41"/>
        <v>109980.86</v>
      </c>
    </row>
    <row r="2669" spans="1:5" x14ac:dyDescent="0.25">
      <c r="A2669" s="323" t="s">
        <v>5586</v>
      </c>
      <c r="B2669" s="323" t="s">
        <v>805</v>
      </c>
      <c r="C2669" s="323">
        <v>41390</v>
      </c>
      <c r="D2669" s="323">
        <v>444</v>
      </c>
      <c r="E2669" s="324">
        <f t="shared" si="41"/>
        <v>108273.84000000001</v>
      </c>
    </row>
    <row r="2670" spans="1:5" x14ac:dyDescent="0.25">
      <c r="A2670" s="323" t="s">
        <v>5612</v>
      </c>
      <c r="B2670" s="323" t="s">
        <v>805</v>
      </c>
      <c r="C2670" s="323">
        <v>41390</v>
      </c>
      <c r="D2670" s="323">
        <v>397</v>
      </c>
      <c r="E2670" s="324">
        <f t="shared" si="41"/>
        <v>96812.42</v>
      </c>
    </row>
    <row r="2671" spans="1:5" x14ac:dyDescent="0.25">
      <c r="A2671" s="323" t="s">
        <v>5644</v>
      </c>
      <c r="B2671" s="323" t="s">
        <v>805</v>
      </c>
      <c r="C2671" s="323">
        <v>41390</v>
      </c>
      <c r="D2671" s="323">
        <v>359</v>
      </c>
      <c r="E2671" s="324">
        <f t="shared" si="41"/>
        <v>87545.74</v>
      </c>
    </row>
    <row r="2672" spans="1:5" x14ac:dyDescent="0.25">
      <c r="A2672" s="323" t="s">
        <v>6417</v>
      </c>
      <c r="B2672" s="323" t="s">
        <v>816</v>
      </c>
      <c r="C2672" s="323">
        <v>41390</v>
      </c>
      <c r="D2672" s="323">
        <v>156</v>
      </c>
      <c r="E2672" s="324">
        <f t="shared" si="41"/>
        <v>57063.240000000005</v>
      </c>
    </row>
    <row r="2673" spans="1:5" x14ac:dyDescent="0.25">
      <c r="A2673" s="323" t="s">
        <v>6856</v>
      </c>
      <c r="B2673" s="323" t="s">
        <v>805</v>
      </c>
      <c r="C2673" s="323">
        <v>41390</v>
      </c>
      <c r="D2673" s="323">
        <v>149</v>
      </c>
      <c r="E2673" s="324">
        <f t="shared" si="41"/>
        <v>36335.14</v>
      </c>
    </row>
    <row r="2674" spans="1:5" x14ac:dyDescent="0.25">
      <c r="A2674" s="323" t="s">
        <v>7044</v>
      </c>
      <c r="B2674" s="323" t="s">
        <v>805</v>
      </c>
      <c r="C2674" s="323">
        <v>41390</v>
      </c>
      <c r="D2674" s="323">
        <v>493</v>
      </c>
      <c r="E2674" s="324">
        <f t="shared" si="41"/>
        <v>120222.98000000001</v>
      </c>
    </row>
    <row r="2675" spans="1:5" x14ac:dyDescent="0.25">
      <c r="A2675" s="323" t="s">
        <v>7254</v>
      </c>
      <c r="B2675" s="323" t="s">
        <v>805</v>
      </c>
      <c r="C2675" s="323">
        <v>41390</v>
      </c>
      <c r="D2675" s="323">
        <v>189</v>
      </c>
      <c r="E2675" s="324">
        <f t="shared" si="41"/>
        <v>46089.54</v>
      </c>
    </row>
    <row r="2676" spans="1:5" x14ac:dyDescent="0.25">
      <c r="A2676" s="323" t="s">
        <v>7330</v>
      </c>
      <c r="B2676" s="323" t="s">
        <v>805</v>
      </c>
      <c r="C2676" s="323">
        <v>41390</v>
      </c>
      <c r="D2676" s="323">
        <v>687</v>
      </c>
      <c r="E2676" s="324">
        <f t="shared" si="41"/>
        <v>167531.82</v>
      </c>
    </row>
    <row r="2677" spans="1:5" x14ac:dyDescent="0.25">
      <c r="A2677" s="323" t="s">
        <v>893</v>
      </c>
      <c r="B2677" s="323" t="s">
        <v>816</v>
      </c>
      <c r="C2677" s="323">
        <v>41396</v>
      </c>
      <c r="D2677" s="323">
        <v>119</v>
      </c>
      <c r="E2677" s="324">
        <f t="shared" si="41"/>
        <v>43529.01</v>
      </c>
    </row>
    <row r="2678" spans="1:5" x14ac:dyDescent="0.25">
      <c r="A2678" s="323" t="s">
        <v>1522</v>
      </c>
      <c r="B2678" s="323" t="s">
        <v>805</v>
      </c>
      <c r="C2678" s="323">
        <v>41396</v>
      </c>
      <c r="D2678" s="323">
        <v>140</v>
      </c>
      <c r="E2678" s="324">
        <f t="shared" si="41"/>
        <v>34140.400000000001</v>
      </c>
    </row>
    <row r="2679" spans="1:5" x14ac:dyDescent="0.25">
      <c r="A2679" s="323" t="s">
        <v>1620</v>
      </c>
      <c r="B2679" s="323" t="s">
        <v>805</v>
      </c>
      <c r="C2679" s="323">
        <v>41396</v>
      </c>
      <c r="D2679" s="323">
        <v>37</v>
      </c>
      <c r="E2679" s="324">
        <f t="shared" si="41"/>
        <v>9022.82</v>
      </c>
    </row>
    <row r="2680" spans="1:5" x14ac:dyDescent="0.25">
      <c r="A2680" s="323" t="s">
        <v>2178</v>
      </c>
      <c r="B2680" s="323" t="s">
        <v>805</v>
      </c>
      <c r="C2680" s="323">
        <v>41396</v>
      </c>
      <c r="D2680" s="323">
        <v>77</v>
      </c>
      <c r="E2680" s="324">
        <f t="shared" si="41"/>
        <v>18777.22</v>
      </c>
    </row>
    <row r="2681" spans="1:5" x14ac:dyDescent="0.25">
      <c r="A2681" s="323" t="s">
        <v>2324</v>
      </c>
      <c r="B2681" s="323" t="s">
        <v>805</v>
      </c>
      <c r="C2681" s="323">
        <v>41396</v>
      </c>
      <c r="D2681" s="323">
        <v>140</v>
      </c>
      <c r="E2681" s="324">
        <f t="shared" si="41"/>
        <v>34140.400000000001</v>
      </c>
    </row>
    <row r="2682" spans="1:5" x14ac:dyDescent="0.25">
      <c r="A2682" s="323" t="s">
        <v>2672</v>
      </c>
      <c r="B2682" s="323" t="s">
        <v>805</v>
      </c>
      <c r="C2682" s="323">
        <v>41396</v>
      </c>
      <c r="D2682" s="323">
        <v>168</v>
      </c>
      <c r="E2682" s="324">
        <f t="shared" si="41"/>
        <v>40968.480000000003</v>
      </c>
    </row>
    <row r="2683" spans="1:5" x14ac:dyDescent="0.25">
      <c r="A2683" s="323" t="s">
        <v>3871</v>
      </c>
      <c r="B2683" s="323" t="s">
        <v>805</v>
      </c>
      <c r="C2683" s="323">
        <v>41396</v>
      </c>
      <c r="D2683" s="323">
        <v>198</v>
      </c>
      <c r="E2683" s="324">
        <f t="shared" si="41"/>
        <v>48284.280000000006</v>
      </c>
    </row>
    <row r="2684" spans="1:5" x14ac:dyDescent="0.25">
      <c r="A2684" s="323" t="s">
        <v>4046</v>
      </c>
      <c r="B2684" s="323" t="s">
        <v>805</v>
      </c>
      <c r="C2684" s="323">
        <v>41396</v>
      </c>
      <c r="D2684" s="323">
        <v>120</v>
      </c>
      <c r="E2684" s="324">
        <f t="shared" si="41"/>
        <v>29263.200000000001</v>
      </c>
    </row>
    <row r="2685" spans="1:5" x14ac:dyDescent="0.25">
      <c r="A2685" s="323" t="s">
        <v>4189</v>
      </c>
      <c r="B2685" s="323" t="s">
        <v>805</v>
      </c>
      <c r="C2685" s="323">
        <v>41396</v>
      </c>
      <c r="D2685" s="323">
        <v>209</v>
      </c>
      <c r="E2685" s="324">
        <f t="shared" si="41"/>
        <v>50966.740000000005</v>
      </c>
    </row>
    <row r="2686" spans="1:5" x14ac:dyDescent="0.25">
      <c r="A2686" s="323" t="s">
        <v>4621</v>
      </c>
      <c r="B2686" s="323" t="s">
        <v>805</v>
      </c>
      <c r="C2686" s="323">
        <v>41396</v>
      </c>
      <c r="D2686" s="323">
        <v>127</v>
      </c>
      <c r="E2686" s="324">
        <f t="shared" si="41"/>
        <v>30970.22</v>
      </c>
    </row>
    <row r="2687" spans="1:5" x14ac:dyDescent="0.25">
      <c r="A2687" s="323" t="s">
        <v>4760</v>
      </c>
      <c r="B2687" s="323" t="s">
        <v>805</v>
      </c>
      <c r="C2687" s="323">
        <v>41396</v>
      </c>
      <c r="D2687" s="323">
        <v>321</v>
      </c>
      <c r="E2687" s="324">
        <f t="shared" si="41"/>
        <v>78279.06</v>
      </c>
    </row>
    <row r="2688" spans="1:5" x14ac:dyDescent="0.25">
      <c r="A2688" s="323" t="s">
        <v>6880</v>
      </c>
      <c r="B2688" s="323" t="s">
        <v>805</v>
      </c>
      <c r="C2688" s="323">
        <v>41396</v>
      </c>
      <c r="D2688" s="323">
        <v>521</v>
      </c>
      <c r="E2688" s="324">
        <f t="shared" si="41"/>
        <v>127051.06000000001</v>
      </c>
    </row>
    <row r="2689" spans="1:5" x14ac:dyDescent="0.25">
      <c r="A2689" s="323" t="s">
        <v>7178</v>
      </c>
      <c r="B2689" s="323" t="s">
        <v>809</v>
      </c>
      <c r="C2689" s="323">
        <v>41396</v>
      </c>
      <c r="D2689" s="323">
        <v>33</v>
      </c>
      <c r="E2689" s="324">
        <f t="shared" si="41"/>
        <v>16094.76</v>
      </c>
    </row>
    <row r="2690" spans="1:5" x14ac:dyDescent="0.25">
      <c r="A2690" s="323" t="s">
        <v>7178</v>
      </c>
      <c r="B2690" s="323" t="s">
        <v>803</v>
      </c>
      <c r="C2690" s="323">
        <v>41396</v>
      </c>
      <c r="D2690" s="323">
        <v>63</v>
      </c>
      <c r="E2690" s="324">
        <f t="shared" ref="E2690:E2753" si="42">D2690*IF(B2690=$G$9,WerkdrukbedragPerLeerlingBo,IF(B2690=$G$10,WerkdrukbedragPerLeerlingSbo,IF(B2690=$G$11,WerkdrukbedragPerLeerlingSo,IF(B2690=$G$12,WerkdrukbedragPerLeerlingVso,0))))</f>
        <v>30726.36</v>
      </c>
    </row>
    <row r="2691" spans="1:5" x14ac:dyDescent="0.25">
      <c r="A2691" s="323" t="s">
        <v>1053</v>
      </c>
      <c r="B2691" s="323" t="s">
        <v>805</v>
      </c>
      <c r="C2691" s="323">
        <v>41398</v>
      </c>
      <c r="D2691" s="323">
        <v>171</v>
      </c>
      <c r="E2691" s="324">
        <f t="shared" si="42"/>
        <v>41700.060000000005</v>
      </c>
    </row>
    <row r="2692" spans="1:5" x14ac:dyDescent="0.25">
      <c r="A2692" s="323" t="s">
        <v>2101</v>
      </c>
      <c r="B2692" s="323" t="s">
        <v>805</v>
      </c>
      <c r="C2692" s="323">
        <v>41398</v>
      </c>
      <c r="D2692" s="323">
        <v>127</v>
      </c>
      <c r="E2692" s="324">
        <f t="shared" si="42"/>
        <v>30970.22</v>
      </c>
    </row>
    <row r="2693" spans="1:5" x14ac:dyDescent="0.25">
      <c r="A2693" s="323" t="s">
        <v>3025</v>
      </c>
      <c r="B2693" s="323" t="s">
        <v>805</v>
      </c>
      <c r="C2693" s="323">
        <v>41398</v>
      </c>
      <c r="D2693" s="323">
        <v>341</v>
      </c>
      <c r="E2693" s="324">
        <f t="shared" si="42"/>
        <v>83156.260000000009</v>
      </c>
    </row>
    <row r="2694" spans="1:5" x14ac:dyDescent="0.25">
      <c r="A2694" s="323" t="s">
        <v>3657</v>
      </c>
      <c r="B2694" s="323" t="s">
        <v>805</v>
      </c>
      <c r="C2694" s="323">
        <v>41398</v>
      </c>
      <c r="D2694" s="323">
        <v>241</v>
      </c>
      <c r="E2694" s="324">
        <f t="shared" si="42"/>
        <v>58770.26</v>
      </c>
    </row>
    <row r="2695" spans="1:5" x14ac:dyDescent="0.25">
      <c r="A2695" s="323" t="s">
        <v>6749</v>
      </c>
      <c r="B2695" s="323" t="s">
        <v>805</v>
      </c>
      <c r="C2695" s="323">
        <v>41398</v>
      </c>
      <c r="D2695" s="323">
        <v>194</v>
      </c>
      <c r="E2695" s="324">
        <f t="shared" si="42"/>
        <v>47308.840000000004</v>
      </c>
    </row>
    <row r="2696" spans="1:5" x14ac:dyDescent="0.25">
      <c r="A2696" s="323" t="s">
        <v>6818</v>
      </c>
      <c r="B2696" s="323" t="s">
        <v>805</v>
      </c>
      <c r="C2696" s="323">
        <v>41398</v>
      </c>
      <c r="D2696" s="323">
        <v>152</v>
      </c>
      <c r="E2696" s="324">
        <f t="shared" si="42"/>
        <v>37066.720000000001</v>
      </c>
    </row>
    <row r="2697" spans="1:5" x14ac:dyDescent="0.25">
      <c r="A2697" s="323" t="s">
        <v>7047</v>
      </c>
      <c r="B2697" s="323" t="s">
        <v>805</v>
      </c>
      <c r="C2697" s="323">
        <v>41398</v>
      </c>
      <c r="D2697" s="323">
        <v>310</v>
      </c>
      <c r="E2697" s="324">
        <f t="shared" si="42"/>
        <v>75596.600000000006</v>
      </c>
    </row>
    <row r="2698" spans="1:5" x14ac:dyDescent="0.25">
      <c r="A2698" s="323" t="s">
        <v>7140</v>
      </c>
      <c r="B2698" s="323" t="s">
        <v>805</v>
      </c>
      <c r="C2698" s="323">
        <v>41398</v>
      </c>
      <c r="D2698" s="323">
        <v>570</v>
      </c>
      <c r="E2698" s="324">
        <f t="shared" si="42"/>
        <v>139000.20000000001</v>
      </c>
    </row>
    <row r="2699" spans="1:5" x14ac:dyDescent="0.25">
      <c r="A2699" s="323" t="s">
        <v>7463</v>
      </c>
      <c r="B2699" s="323" t="s">
        <v>805</v>
      </c>
      <c r="C2699" s="323">
        <v>41398</v>
      </c>
      <c r="D2699" s="323">
        <v>72</v>
      </c>
      <c r="E2699" s="324">
        <f t="shared" si="42"/>
        <v>17557.920000000002</v>
      </c>
    </row>
    <row r="2700" spans="1:5" x14ac:dyDescent="0.25">
      <c r="A2700" s="323" t="s">
        <v>873</v>
      </c>
      <c r="B2700" s="323" t="s">
        <v>809</v>
      </c>
      <c r="C2700" s="323">
        <v>41400</v>
      </c>
      <c r="D2700" s="323">
        <v>133</v>
      </c>
      <c r="E2700" s="324">
        <f t="shared" si="42"/>
        <v>64866.76</v>
      </c>
    </row>
    <row r="2701" spans="1:5" x14ac:dyDescent="0.25">
      <c r="A2701" s="323" t="s">
        <v>873</v>
      </c>
      <c r="B2701" s="323" t="s">
        <v>803</v>
      </c>
      <c r="C2701" s="323">
        <v>41400</v>
      </c>
      <c r="D2701" s="323">
        <v>150</v>
      </c>
      <c r="E2701" s="324">
        <f t="shared" si="42"/>
        <v>73158</v>
      </c>
    </row>
    <row r="2702" spans="1:5" x14ac:dyDescent="0.25">
      <c r="A2702" s="323" t="s">
        <v>3042</v>
      </c>
      <c r="B2702" s="323" t="s">
        <v>805</v>
      </c>
      <c r="C2702" s="323">
        <v>41400</v>
      </c>
      <c r="D2702" s="323">
        <v>262</v>
      </c>
      <c r="E2702" s="324">
        <f t="shared" si="42"/>
        <v>63891.320000000007</v>
      </c>
    </row>
    <row r="2703" spans="1:5" x14ac:dyDescent="0.25">
      <c r="A2703" s="323" t="s">
        <v>3415</v>
      </c>
      <c r="B2703" s="323" t="s">
        <v>805</v>
      </c>
      <c r="C2703" s="323">
        <v>41400</v>
      </c>
      <c r="D2703" s="323">
        <v>296</v>
      </c>
      <c r="E2703" s="324">
        <f t="shared" si="42"/>
        <v>72182.559999999998</v>
      </c>
    </row>
    <row r="2704" spans="1:5" x14ac:dyDescent="0.25">
      <c r="A2704" s="323" t="s">
        <v>3697</v>
      </c>
      <c r="B2704" s="323" t="s">
        <v>805</v>
      </c>
      <c r="C2704" s="323">
        <v>41400</v>
      </c>
      <c r="D2704" s="323">
        <v>299</v>
      </c>
      <c r="E2704" s="324">
        <f t="shared" si="42"/>
        <v>72914.14</v>
      </c>
    </row>
    <row r="2705" spans="1:5" x14ac:dyDescent="0.25">
      <c r="A2705" s="323" t="s">
        <v>5515</v>
      </c>
      <c r="B2705" s="323" t="s">
        <v>805</v>
      </c>
      <c r="C2705" s="323">
        <v>41400</v>
      </c>
      <c r="D2705" s="323">
        <v>321</v>
      </c>
      <c r="E2705" s="324">
        <f t="shared" si="42"/>
        <v>78279.06</v>
      </c>
    </row>
    <row r="2706" spans="1:5" x14ac:dyDescent="0.25">
      <c r="A2706" s="323" t="s">
        <v>5515</v>
      </c>
      <c r="B2706" s="323" t="s">
        <v>805</v>
      </c>
      <c r="C2706" s="323">
        <v>41400</v>
      </c>
      <c r="D2706" s="323">
        <v>100</v>
      </c>
      <c r="E2706" s="324">
        <f t="shared" si="42"/>
        <v>24386</v>
      </c>
    </row>
    <row r="2707" spans="1:5" x14ac:dyDescent="0.25">
      <c r="A2707" s="323" t="s">
        <v>5551</v>
      </c>
      <c r="B2707" s="323" t="s">
        <v>805</v>
      </c>
      <c r="C2707" s="323">
        <v>41400</v>
      </c>
      <c r="D2707" s="323">
        <v>179</v>
      </c>
      <c r="E2707" s="324">
        <f t="shared" si="42"/>
        <v>43650.94</v>
      </c>
    </row>
    <row r="2708" spans="1:5" x14ac:dyDescent="0.25">
      <c r="A2708" s="323" t="s">
        <v>5595</v>
      </c>
      <c r="B2708" s="323" t="s">
        <v>805</v>
      </c>
      <c r="C2708" s="323">
        <v>41400</v>
      </c>
      <c r="D2708" s="323">
        <v>252</v>
      </c>
      <c r="E2708" s="324">
        <f t="shared" si="42"/>
        <v>61452.72</v>
      </c>
    </row>
    <row r="2709" spans="1:5" x14ac:dyDescent="0.25">
      <c r="A2709" s="323" t="s">
        <v>5606</v>
      </c>
      <c r="B2709" s="323" t="s">
        <v>805</v>
      </c>
      <c r="C2709" s="323">
        <v>41400</v>
      </c>
      <c r="D2709" s="323">
        <v>173</v>
      </c>
      <c r="E2709" s="324">
        <f t="shared" si="42"/>
        <v>42187.78</v>
      </c>
    </row>
    <row r="2710" spans="1:5" x14ac:dyDescent="0.25">
      <c r="A2710" s="323" t="s">
        <v>5646</v>
      </c>
      <c r="B2710" s="323" t="s">
        <v>805</v>
      </c>
      <c r="C2710" s="323">
        <v>41400</v>
      </c>
      <c r="D2710" s="323">
        <v>677</v>
      </c>
      <c r="E2710" s="324">
        <f t="shared" si="42"/>
        <v>165093.22</v>
      </c>
    </row>
    <row r="2711" spans="1:5" x14ac:dyDescent="0.25">
      <c r="A2711" s="323" t="s">
        <v>5754</v>
      </c>
      <c r="B2711" s="323" t="s">
        <v>805</v>
      </c>
      <c r="C2711" s="323">
        <v>41400</v>
      </c>
      <c r="D2711" s="323">
        <v>390</v>
      </c>
      <c r="E2711" s="324">
        <f t="shared" si="42"/>
        <v>95105.400000000009</v>
      </c>
    </row>
    <row r="2712" spans="1:5" x14ac:dyDescent="0.25">
      <c r="A2712" s="323" t="s">
        <v>5758</v>
      </c>
      <c r="B2712" s="323" t="s">
        <v>805</v>
      </c>
      <c r="C2712" s="323">
        <v>41400</v>
      </c>
      <c r="D2712" s="323">
        <v>646</v>
      </c>
      <c r="E2712" s="324">
        <f t="shared" si="42"/>
        <v>157533.56</v>
      </c>
    </row>
    <row r="2713" spans="1:5" x14ac:dyDescent="0.25">
      <c r="A2713" s="323" t="s">
        <v>5762</v>
      </c>
      <c r="B2713" s="323" t="s">
        <v>805</v>
      </c>
      <c r="C2713" s="323">
        <v>41400</v>
      </c>
      <c r="D2713" s="323">
        <v>339</v>
      </c>
      <c r="E2713" s="324">
        <f t="shared" si="42"/>
        <v>82668.540000000008</v>
      </c>
    </row>
    <row r="2714" spans="1:5" x14ac:dyDescent="0.25">
      <c r="A2714" s="323" t="s">
        <v>5767</v>
      </c>
      <c r="B2714" s="323" t="s">
        <v>805</v>
      </c>
      <c r="C2714" s="323">
        <v>41400</v>
      </c>
      <c r="D2714" s="323">
        <v>449</v>
      </c>
      <c r="E2714" s="324">
        <f t="shared" si="42"/>
        <v>109493.14</v>
      </c>
    </row>
    <row r="2715" spans="1:5" x14ac:dyDescent="0.25">
      <c r="A2715" s="323" t="s">
        <v>5782</v>
      </c>
      <c r="B2715" s="323" t="s">
        <v>805</v>
      </c>
      <c r="C2715" s="323">
        <v>41400</v>
      </c>
      <c r="D2715" s="323">
        <v>371</v>
      </c>
      <c r="E2715" s="324">
        <f t="shared" si="42"/>
        <v>90472.060000000012</v>
      </c>
    </row>
    <row r="2716" spans="1:5" x14ac:dyDescent="0.25">
      <c r="A2716" s="323" t="s">
        <v>5788</v>
      </c>
      <c r="B2716" s="323" t="s">
        <v>805</v>
      </c>
      <c r="C2716" s="323">
        <v>41400</v>
      </c>
      <c r="D2716" s="323">
        <v>292</v>
      </c>
      <c r="E2716" s="324">
        <f t="shared" si="42"/>
        <v>71207.12000000001</v>
      </c>
    </row>
    <row r="2717" spans="1:5" x14ac:dyDescent="0.25">
      <c r="A2717" s="323" t="s">
        <v>5795</v>
      </c>
      <c r="B2717" s="323" t="s">
        <v>805</v>
      </c>
      <c r="C2717" s="323">
        <v>41400</v>
      </c>
      <c r="D2717" s="323">
        <v>176</v>
      </c>
      <c r="E2717" s="324">
        <f t="shared" si="42"/>
        <v>42919.360000000001</v>
      </c>
    </row>
    <row r="2718" spans="1:5" x14ac:dyDescent="0.25">
      <c r="A2718" s="323" t="s">
        <v>5810</v>
      </c>
      <c r="B2718" s="323" t="s">
        <v>805</v>
      </c>
      <c r="C2718" s="323">
        <v>41400</v>
      </c>
      <c r="D2718" s="323">
        <v>208</v>
      </c>
      <c r="E2718" s="324">
        <f t="shared" si="42"/>
        <v>50722.880000000005</v>
      </c>
    </row>
    <row r="2719" spans="1:5" x14ac:dyDescent="0.25">
      <c r="A2719" s="323" t="s">
        <v>5810</v>
      </c>
      <c r="B2719" s="323" t="s">
        <v>805</v>
      </c>
      <c r="C2719" s="323">
        <v>41400</v>
      </c>
      <c r="D2719" s="323">
        <v>104</v>
      </c>
      <c r="E2719" s="324">
        <f t="shared" si="42"/>
        <v>25361.440000000002</v>
      </c>
    </row>
    <row r="2720" spans="1:5" x14ac:dyDescent="0.25">
      <c r="A2720" s="323" t="s">
        <v>5892</v>
      </c>
      <c r="B2720" s="323" t="s">
        <v>805</v>
      </c>
      <c r="C2720" s="323">
        <v>41400</v>
      </c>
      <c r="D2720" s="323">
        <v>262</v>
      </c>
      <c r="E2720" s="324">
        <f t="shared" si="42"/>
        <v>63891.320000000007</v>
      </c>
    </row>
    <row r="2721" spans="1:5" x14ac:dyDescent="0.25">
      <c r="A2721" s="323" t="s">
        <v>5899</v>
      </c>
      <c r="B2721" s="323" t="s">
        <v>805</v>
      </c>
      <c r="C2721" s="323">
        <v>41400</v>
      </c>
      <c r="D2721" s="323">
        <v>872</v>
      </c>
      <c r="E2721" s="324">
        <f t="shared" si="42"/>
        <v>212645.92</v>
      </c>
    </row>
    <row r="2722" spans="1:5" x14ac:dyDescent="0.25">
      <c r="A2722" s="323" t="s">
        <v>5923</v>
      </c>
      <c r="B2722" s="323" t="s">
        <v>805</v>
      </c>
      <c r="C2722" s="323">
        <v>41400</v>
      </c>
      <c r="D2722" s="323">
        <v>175</v>
      </c>
      <c r="E2722" s="324">
        <f t="shared" si="42"/>
        <v>42675.5</v>
      </c>
    </row>
    <row r="2723" spans="1:5" x14ac:dyDescent="0.25">
      <c r="A2723" s="323" t="s">
        <v>5938</v>
      </c>
      <c r="B2723" s="323" t="s">
        <v>805</v>
      </c>
      <c r="C2723" s="323">
        <v>41400</v>
      </c>
      <c r="D2723" s="323">
        <v>143</v>
      </c>
      <c r="E2723" s="324">
        <f t="shared" si="42"/>
        <v>34871.980000000003</v>
      </c>
    </row>
    <row r="2724" spans="1:5" x14ac:dyDescent="0.25">
      <c r="A2724" s="323" t="s">
        <v>5938</v>
      </c>
      <c r="B2724" s="323" t="s">
        <v>805</v>
      </c>
      <c r="C2724" s="323">
        <v>41400</v>
      </c>
      <c r="D2724" s="323">
        <v>387</v>
      </c>
      <c r="E2724" s="324">
        <f t="shared" si="42"/>
        <v>94373.82</v>
      </c>
    </row>
    <row r="2725" spans="1:5" x14ac:dyDescent="0.25">
      <c r="A2725" s="323" t="s">
        <v>5951</v>
      </c>
      <c r="B2725" s="323" t="s">
        <v>805</v>
      </c>
      <c r="C2725" s="323">
        <v>41400</v>
      </c>
      <c r="D2725" s="323">
        <v>288</v>
      </c>
      <c r="E2725" s="324">
        <f t="shared" si="42"/>
        <v>70231.680000000008</v>
      </c>
    </row>
    <row r="2726" spans="1:5" x14ac:dyDescent="0.25">
      <c r="A2726" s="323" t="s">
        <v>6740</v>
      </c>
      <c r="B2726" s="323" t="s">
        <v>816</v>
      </c>
      <c r="C2726" s="323">
        <v>41400</v>
      </c>
      <c r="D2726" s="323">
        <v>166</v>
      </c>
      <c r="E2726" s="324">
        <f t="shared" si="42"/>
        <v>60721.140000000007</v>
      </c>
    </row>
    <row r="2727" spans="1:5" x14ac:dyDescent="0.25">
      <c r="A2727" s="323" t="s">
        <v>6897</v>
      </c>
      <c r="B2727" s="323" t="s">
        <v>805</v>
      </c>
      <c r="C2727" s="323">
        <v>41400</v>
      </c>
      <c r="D2727" s="323">
        <v>190</v>
      </c>
      <c r="E2727" s="324">
        <f t="shared" si="42"/>
        <v>46333.4</v>
      </c>
    </row>
    <row r="2728" spans="1:5" x14ac:dyDescent="0.25">
      <c r="A2728" s="323" t="s">
        <v>7173</v>
      </c>
      <c r="B2728" s="323" t="s">
        <v>809</v>
      </c>
      <c r="C2728" s="323">
        <v>41400</v>
      </c>
      <c r="D2728" s="323">
        <v>78</v>
      </c>
      <c r="E2728" s="324">
        <f t="shared" si="42"/>
        <v>38042.160000000003</v>
      </c>
    </row>
    <row r="2729" spans="1:5" x14ac:dyDescent="0.25">
      <c r="A2729" s="323" t="s">
        <v>7222</v>
      </c>
      <c r="B2729" s="323" t="s">
        <v>805</v>
      </c>
      <c r="C2729" s="323">
        <v>41400</v>
      </c>
      <c r="D2729" s="323">
        <v>76</v>
      </c>
      <c r="E2729" s="324">
        <f t="shared" si="42"/>
        <v>18533.36</v>
      </c>
    </row>
    <row r="2730" spans="1:5" x14ac:dyDescent="0.25">
      <c r="A2730" s="323" t="s">
        <v>7224</v>
      </c>
      <c r="B2730" s="323" t="s">
        <v>805</v>
      </c>
      <c r="C2730" s="323">
        <v>41400</v>
      </c>
      <c r="D2730" s="323">
        <v>176</v>
      </c>
      <c r="E2730" s="324">
        <f t="shared" si="42"/>
        <v>42919.360000000001</v>
      </c>
    </row>
    <row r="2731" spans="1:5" x14ac:dyDescent="0.25">
      <c r="A2731" s="323" t="s">
        <v>7313</v>
      </c>
      <c r="B2731" s="323" t="s">
        <v>805</v>
      </c>
      <c r="C2731" s="323">
        <v>41400</v>
      </c>
      <c r="D2731" s="323">
        <v>426</v>
      </c>
      <c r="E2731" s="324">
        <f t="shared" si="42"/>
        <v>103884.36</v>
      </c>
    </row>
    <row r="2732" spans="1:5" x14ac:dyDescent="0.25">
      <c r="A2732" s="323" t="s">
        <v>7338</v>
      </c>
      <c r="B2732" s="323" t="s">
        <v>805</v>
      </c>
      <c r="C2732" s="323">
        <v>41400</v>
      </c>
      <c r="D2732" s="323">
        <v>342</v>
      </c>
      <c r="E2732" s="324">
        <f t="shared" si="42"/>
        <v>83400.12000000001</v>
      </c>
    </row>
    <row r="2733" spans="1:5" x14ac:dyDescent="0.25">
      <c r="A2733" s="323" t="s">
        <v>7361</v>
      </c>
      <c r="B2733" s="323" t="s">
        <v>805</v>
      </c>
      <c r="C2733" s="323">
        <v>41400</v>
      </c>
      <c r="D2733" s="323">
        <v>358</v>
      </c>
      <c r="E2733" s="324">
        <f t="shared" si="42"/>
        <v>87301.88</v>
      </c>
    </row>
    <row r="2734" spans="1:5" x14ac:dyDescent="0.25">
      <c r="A2734" s="323" t="s">
        <v>7487</v>
      </c>
      <c r="B2734" s="323" t="s">
        <v>805</v>
      </c>
      <c r="C2734" s="323">
        <v>41400</v>
      </c>
      <c r="D2734" s="323">
        <v>207</v>
      </c>
      <c r="E2734" s="324">
        <f t="shared" si="42"/>
        <v>50479.020000000004</v>
      </c>
    </row>
    <row r="2735" spans="1:5" x14ac:dyDescent="0.25">
      <c r="A2735" s="323" t="s">
        <v>7492</v>
      </c>
      <c r="B2735" s="323" t="s">
        <v>805</v>
      </c>
      <c r="C2735" s="323">
        <v>41400</v>
      </c>
      <c r="D2735" s="323">
        <v>37</v>
      </c>
      <c r="E2735" s="324">
        <f t="shared" si="42"/>
        <v>9022.82</v>
      </c>
    </row>
    <row r="2736" spans="1:5" x14ac:dyDescent="0.25">
      <c r="A2736" s="323" t="s">
        <v>1043</v>
      </c>
      <c r="B2736" s="323" t="s">
        <v>805</v>
      </c>
      <c r="C2736" s="323">
        <v>41401</v>
      </c>
      <c r="D2736" s="323">
        <v>160</v>
      </c>
      <c r="E2736" s="324">
        <f t="shared" si="42"/>
        <v>39017.600000000006</v>
      </c>
    </row>
    <row r="2737" spans="1:5" x14ac:dyDescent="0.25">
      <c r="A2737" s="323" t="s">
        <v>1056</v>
      </c>
      <c r="B2737" s="323" t="s">
        <v>805</v>
      </c>
      <c r="C2737" s="323">
        <v>41401</v>
      </c>
      <c r="D2737" s="323">
        <v>162</v>
      </c>
      <c r="E2737" s="324">
        <f t="shared" si="42"/>
        <v>39505.32</v>
      </c>
    </row>
    <row r="2738" spans="1:5" x14ac:dyDescent="0.25">
      <c r="A2738" s="323" t="s">
        <v>1067</v>
      </c>
      <c r="B2738" s="323" t="s">
        <v>805</v>
      </c>
      <c r="C2738" s="323">
        <v>41401</v>
      </c>
      <c r="D2738" s="323">
        <v>248</v>
      </c>
      <c r="E2738" s="324">
        <f t="shared" si="42"/>
        <v>60477.280000000006</v>
      </c>
    </row>
    <row r="2739" spans="1:5" x14ac:dyDescent="0.25">
      <c r="A2739" s="323" t="s">
        <v>2116</v>
      </c>
      <c r="B2739" s="323" t="s">
        <v>805</v>
      </c>
      <c r="C2739" s="323">
        <v>41401</v>
      </c>
      <c r="D2739" s="323">
        <v>90</v>
      </c>
      <c r="E2739" s="324">
        <f t="shared" si="42"/>
        <v>21947.4</v>
      </c>
    </row>
    <row r="2740" spans="1:5" x14ac:dyDescent="0.25">
      <c r="A2740" s="323" t="s">
        <v>3010</v>
      </c>
      <c r="B2740" s="323" t="s">
        <v>805</v>
      </c>
      <c r="C2740" s="323">
        <v>41401</v>
      </c>
      <c r="D2740" s="323">
        <v>121</v>
      </c>
      <c r="E2740" s="324">
        <f t="shared" si="42"/>
        <v>29507.06</v>
      </c>
    </row>
    <row r="2741" spans="1:5" x14ac:dyDescent="0.25">
      <c r="A2741" s="323" t="s">
        <v>3018</v>
      </c>
      <c r="B2741" s="323" t="s">
        <v>805</v>
      </c>
      <c r="C2741" s="323">
        <v>41401</v>
      </c>
      <c r="D2741" s="323">
        <v>353</v>
      </c>
      <c r="E2741" s="324">
        <f t="shared" si="42"/>
        <v>86082.58</v>
      </c>
    </row>
    <row r="2742" spans="1:5" x14ac:dyDescent="0.25">
      <c r="A2742" s="323" t="s">
        <v>3029</v>
      </c>
      <c r="B2742" s="323" t="s">
        <v>805</v>
      </c>
      <c r="C2742" s="323">
        <v>41401</v>
      </c>
      <c r="D2742" s="323">
        <v>213</v>
      </c>
      <c r="E2742" s="324">
        <f t="shared" si="42"/>
        <v>51942.18</v>
      </c>
    </row>
    <row r="2743" spans="1:5" x14ac:dyDescent="0.25">
      <c r="A2743" s="323" t="s">
        <v>3049</v>
      </c>
      <c r="B2743" s="323" t="s">
        <v>805</v>
      </c>
      <c r="C2743" s="323">
        <v>41401</v>
      </c>
      <c r="D2743" s="323">
        <v>177</v>
      </c>
      <c r="E2743" s="324">
        <f t="shared" si="42"/>
        <v>43163.22</v>
      </c>
    </row>
    <row r="2744" spans="1:5" x14ac:dyDescent="0.25">
      <c r="A2744" s="323" t="s">
        <v>3669</v>
      </c>
      <c r="B2744" s="323" t="s">
        <v>805</v>
      </c>
      <c r="C2744" s="323">
        <v>41401</v>
      </c>
      <c r="D2744" s="323">
        <v>219</v>
      </c>
      <c r="E2744" s="324">
        <f t="shared" si="42"/>
        <v>53405.340000000004</v>
      </c>
    </row>
    <row r="2745" spans="1:5" x14ac:dyDescent="0.25">
      <c r="A2745" s="323" t="s">
        <v>3704</v>
      </c>
      <c r="B2745" s="323" t="s">
        <v>805</v>
      </c>
      <c r="C2745" s="323">
        <v>41401</v>
      </c>
      <c r="D2745" s="323">
        <v>69</v>
      </c>
      <c r="E2745" s="324">
        <f t="shared" si="42"/>
        <v>16826.34</v>
      </c>
    </row>
    <row r="2746" spans="1:5" x14ac:dyDescent="0.25">
      <c r="A2746" s="323" t="s">
        <v>3705</v>
      </c>
      <c r="B2746" s="323" t="s">
        <v>805</v>
      </c>
      <c r="C2746" s="323">
        <v>41401</v>
      </c>
      <c r="D2746" s="323">
        <v>67</v>
      </c>
      <c r="E2746" s="324">
        <f t="shared" si="42"/>
        <v>16338.62</v>
      </c>
    </row>
    <row r="2747" spans="1:5" x14ac:dyDescent="0.25">
      <c r="A2747" s="323" t="s">
        <v>3896</v>
      </c>
      <c r="B2747" s="323" t="s">
        <v>805</v>
      </c>
      <c r="C2747" s="323">
        <v>41401</v>
      </c>
      <c r="D2747" s="323">
        <v>48</v>
      </c>
      <c r="E2747" s="324">
        <f t="shared" si="42"/>
        <v>11705.28</v>
      </c>
    </row>
    <row r="2748" spans="1:5" x14ac:dyDescent="0.25">
      <c r="A2748" s="323" t="s">
        <v>4881</v>
      </c>
      <c r="B2748" s="323" t="s">
        <v>805</v>
      </c>
      <c r="C2748" s="323">
        <v>41401</v>
      </c>
      <c r="D2748" s="323">
        <v>263</v>
      </c>
      <c r="E2748" s="324">
        <f t="shared" si="42"/>
        <v>64135.18</v>
      </c>
    </row>
    <row r="2749" spans="1:5" x14ac:dyDescent="0.25">
      <c r="A2749" s="323" t="s">
        <v>4924</v>
      </c>
      <c r="B2749" s="323" t="s">
        <v>805</v>
      </c>
      <c r="C2749" s="323">
        <v>41401</v>
      </c>
      <c r="D2749" s="323">
        <v>23</v>
      </c>
      <c r="E2749" s="324">
        <f t="shared" si="42"/>
        <v>5608.7800000000007</v>
      </c>
    </row>
    <row r="2750" spans="1:5" x14ac:dyDescent="0.25">
      <c r="A2750" s="323" t="s">
        <v>4966</v>
      </c>
      <c r="B2750" s="323" t="s">
        <v>805</v>
      </c>
      <c r="C2750" s="323">
        <v>41401</v>
      </c>
      <c r="D2750" s="323">
        <v>166</v>
      </c>
      <c r="E2750" s="324">
        <f t="shared" si="42"/>
        <v>40480.76</v>
      </c>
    </row>
    <row r="2751" spans="1:5" x14ac:dyDescent="0.25">
      <c r="A2751" s="323" t="s">
        <v>6056</v>
      </c>
      <c r="B2751" s="323" t="s">
        <v>805</v>
      </c>
      <c r="C2751" s="323">
        <v>41401</v>
      </c>
      <c r="D2751" s="323">
        <v>255</v>
      </c>
      <c r="E2751" s="324">
        <f t="shared" si="42"/>
        <v>62184.3</v>
      </c>
    </row>
    <row r="2752" spans="1:5" x14ac:dyDescent="0.25">
      <c r="A2752" s="323" t="s">
        <v>6072</v>
      </c>
      <c r="B2752" s="323" t="s">
        <v>805</v>
      </c>
      <c r="C2752" s="323">
        <v>41401</v>
      </c>
      <c r="D2752" s="323">
        <v>69</v>
      </c>
      <c r="E2752" s="324">
        <f t="shared" si="42"/>
        <v>16826.34</v>
      </c>
    </row>
    <row r="2753" spans="1:5" x14ac:dyDescent="0.25">
      <c r="A2753" s="323" t="s">
        <v>6072</v>
      </c>
      <c r="B2753" s="323" t="s">
        <v>805</v>
      </c>
      <c r="C2753" s="323">
        <v>41401</v>
      </c>
      <c r="D2753" s="323">
        <v>58</v>
      </c>
      <c r="E2753" s="324">
        <f t="shared" si="42"/>
        <v>14143.880000000001</v>
      </c>
    </row>
    <row r="2754" spans="1:5" x14ac:dyDescent="0.25">
      <c r="A2754" s="323" t="s">
        <v>989</v>
      </c>
      <c r="B2754" s="323" t="s">
        <v>809</v>
      </c>
      <c r="C2754" s="323">
        <v>41407</v>
      </c>
      <c r="D2754" s="323">
        <v>390</v>
      </c>
      <c r="E2754" s="324">
        <f t="shared" ref="E2754:E2817" si="43">D2754*IF(B2754=$G$9,WerkdrukbedragPerLeerlingBo,IF(B2754=$G$10,WerkdrukbedragPerLeerlingSbo,IF(B2754=$G$11,WerkdrukbedragPerLeerlingSo,IF(B2754=$G$12,WerkdrukbedragPerLeerlingVso,0))))</f>
        <v>190210.80000000002</v>
      </c>
    </row>
    <row r="2755" spans="1:5" x14ac:dyDescent="0.25">
      <c r="A2755" s="323" t="s">
        <v>1114</v>
      </c>
      <c r="B2755" s="323" t="s">
        <v>805</v>
      </c>
      <c r="C2755" s="323">
        <v>41407</v>
      </c>
      <c r="D2755" s="323">
        <v>348</v>
      </c>
      <c r="E2755" s="324">
        <f t="shared" si="43"/>
        <v>84863.28</v>
      </c>
    </row>
    <row r="2756" spans="1:5" x14ac:dyDescent="0.25">
      <c r="A2756" s="323" t="s">
        <v>1159</v>
      </c>
      <c r="B2756" s="323" t="s">
        <v>805</v>
      </c>
      <c r="C2756" s="323">
        <v>41407</v>
      </c>
      <c r="D2756" s="323">
        <v>442</v>
      </c>
      <c r="E2756" s="324">
        <f t="shared" si="43"/>
        <v>107786.12000000001</v>
      </c>
    </row>
    <row r="2757" spans="1:5" x14ac:dyDescent="0.25">
      <c r="A2757" s="323" t="s">
        <v>1177</v>
      </c>
      <c r="B2757" s="323" t="s">
        <v>805</v>
      </c>
      <c r="C2757" s="323">
        <v>41407</v>
      </c>
      <c r="D2757" s="323">
        <v>706</v>
      </c>
      <c r="E2757" s="324">
        <f t="shared" si="43"/>
        <v>172165.16</v>
      </c>
    </row>
    <row r="2758" spans="1:5" x14ac:dyDescent="0.25">
      <c r="A2758" s="323" t="s">
        <v>2230</v>
      </c>
      <c r="B2758" s="323" t="s">
        <v>805</v>
      </c>
      <c r="C2758" s="323">
        <v>41407</v>
      </c>
      <c r="D2758" s="323">
        <v>565</v>
      </c>
      <c r="E2758" s="324">
        <f t="shared" si="43"/>
        <v>137780.9</v>
      </c>
    </row>
    <row r="2759" spans="1:5" x14ac:dyDescent="0.25">
      <c r="A2759" s="323" t="s">
        <v>2486</v>
      </c>
      <c r="B2759" s="323" t="s">
        <v>805</v>
      </c>
      <c r="C2759" s="323">
        <v>41407</v>
      </c>
      <c r="D2759" s="323">
        <v>320</v>
      </c>
      <c r="E2759" s="324">
        <f t="shared" si="43"/>
        <v>78035.200000000012</v>
      </c>
    </row>
    <row r="2760" spans="1:5" x14ac:dyDescent="0.25">
      <c r="A2760" s="323" t="s">
        <v>2775</v>
      </c>
      <c r="B2760" s="323" t="s">
        <v>805</v>
      </c>
      <c r="C2760" s="323">
        <v>41407</v>
      </c>
      <c r="D2760" s="323">
        <v>454</v>
      </c>
      <c r="E2760" s="324">
        <f t="shared" si="43"/>
        <v>110712.44</v>
      </c>
    </row>
    <row r="2761" spans="1:5" x14ac:dyDescent="0.25">
      <c r="A2761" s="323" t="s">
        <v>2838</v>
      </c>
      <c r="B2761" s="323" t="s">
        <v>805</v>
      </c>
      <c r="C2761" s="323">
        <v>41407</v>
      </c>
      <c r="D2761" s="323">
        <v>109</v>
      </c>
      <c r="E2761" s="324">
        <f t="shared" si="43"/>
        <v>26580.74</v>
      </c>
    </row>
    <row r="2762" spans="1:5" x14ac:dyDescent="0.25">
      <c r="A2762" s="323" t="s">
        <v>2859</v>
      </c>
      <c r="B2762" s="323" t="s">
        <v>805</v>
      </c>
      <c r="C2762" s="323">
        <v>41407</v>
      </c>
      <c r="D2762" s="323">
        <v>189</v>
      </c>
      <c r="E2762" s="324">
        <f t="shared" si="43"/>
        <v>46089.54</v>
      </c>
    </row>
    <row r="2763" spans="1:5" x14ac:dyDescent="0.25">
      <c r="A2763" s="323" t="s">
        <v>3065</v>
      </c>
      <c r="B2763" s="323" t="s">
        <v>805</v>
      </c>
      <c r="C2763" s="323">
        <v>41407</v>
      </c>
      <c r="D2763" s="323">
        <v>176</v>
      </c>
      <c r="E2763" s="324">
        <f t="shared" si="43"/>
        <v>42919.360000000001</v>
      </c>
    </row>
    <row r="2764" spans="1:5" x14ac:dyDescent="0.25">
      <c r="A2764" s="323" t="s">
        <v>3098</v>
      </c>
      <c r="B2764" s="323" t="s">
        <v>805</v>
      </c>
      <c r="C2764" s="323">
        <v>41407</v>
      </c>
      <c r="D2764" s="323">
        <v>385</v>
      </c>
      <c r="E2764" s="324">
        <f t="shared" si="43"/>
        <v>93886.1</v>
      </c>
    </row>
    <row r="2765" spans="1:5" x14ac:dyDescent="0.25">
      <c r="A2765" s="323" t="s">
        <v>3254</v>
      </c>
      <c r="B2765" s="323" t="s">
        <v>805</v>
      </c>
      <c r="C2765" s="323">
        <v>41407</v>
      </c>
      <c r="D2765" s="323">
        <v>340</v>
      </c>
      <c r="E2765" s="324">
        <f t="shared" si="43"/>
        <v>82912.400000000009</v>
      </c>
    </row>
    <row r="2766" spans="1:5" x14ac:dyDescent="0.25">
      <c r="A2766" s="323" t="s">
        <v>3439</v>
      </c>
      <c r="B2766" s="323" t="s">
        <v>805</v>
      </c>
      <c r="C2766" s="323">
        <v>41407</v>
      </c>
      <c r="D2766" s="323">
        <v>148</v>
      </c>
      <c r="E2766" s="324">
        <f t="shared" si="43"/>
        <v>36091.279999999999</v>
      </c>
    </row>
    <row r="2767" spans="1:5" x14ac:dyDescent="0.25">
      <c r="A2767" s="323" t="s">
        <v>3599</v>
      </c>
      <c r="B2767" s="323" t="s">
        <v>805</v>
      </c>
      <c r="C2767" s="323">
        <v>41407</v>
      </c>
      <c r="D2767" s="323">
        <v>427</v>
      </c>
      <c r="E2767" s="324">
        <f t="shared" si="43"/>
        <v>104128.22</v>
      </c>
    </row>
    <row r="2768" spans="1:5" x14ac:dyDescent="0.25">
      <c r="A2768" s="323" t="s">
        <v>3780</v>
      </c>
      <c r="B2768" s="323" t="s">
        <v>805</v>
      </c>
      <c r="C2768" s="323">
        <v>41407</v>
      </c>
      <c r="D2768" s="323">
        <v>159</v>
      </c>
      <c r="E2768" s="324">
        <f t="shared" si="43"/>
        <v>38773.740000000005</v>
      </c>
    </row>
    <row r="2769" spans="1:5" x14ac:dyDescent="0.25">
      <c r="A2769" s="323" t="s">
        <v>3943</v>
      </c>
      <c r="B2769" s="323" t="s">
        <v>805</v>
      </c>
      <c r="C2769" s="323">
        <v>41407</v>
      </c>
      <c r="D2769" s="323">
        <v>406</v>
      </c>
      <c r="E2769" s="324">
        <f t="shared" si="43"/>
        <v>99007.16</v>
      </c>
    </row>
    <row r="2770" spans="1:5" x14ac:dyDescent="0.25">
      <c r="A2770" s="323" t="s">
        <v>3970</v>
      </c>
      <c r="B2770" s="323" t="s">
        <v>805</v>
      </c>
      <c r="C2770" s="323">
        <v>41407</v>
      </c>
      <c r="D2770" s="323">
        <v>200</v>
      </c>
      <c r="E2770" s="324">
        <f t="shared" si="43"/>
        <v>48772</v>
      </c>
    </row>
    <row r="2771" spans="1:5" x14ac:dyDescent="0.25">
      <c r="A2771" s="323" t="s">
        <v>4249</v>
      </c>
      <c r="B2771" s="323" t="s">
        <v>805</v>
      </c>
      <c r="C2771" s="323">
        <v>41407</v>
      </c>
      <c r="D2771" s="323">
        <v>595</v>
      </c>
      <c r="E2771" s="324">
        <f t="shared" si="43"/>
        <v>145096.70000000001</v>
      </c>
    </row>
    <row r="2772" spans="1:5" x14ac:dyDescent="0.25">
      <c r="A2772" s="323" t="s">
        <v>4361</v>
      </c>
      <c r="B2772" s="323" t="s">
        <v>805</v>
      </c>
      <c r="C2772" s="323">
        <v>41407</v>
      </c>
      <c r="D2772" s="323">
        <v>57</v>
      </c>
      <c r="E2772" s="324">
        <f t="shared" si="43"/>
        <v>13900.02</v>
      </c>
    </row>
    <row r="2773" spans="1:5" x14ac:dyDescent="0.25">
      <c r="A2773" s="323" t="s">
        <v>4980</v>
      </c>
      <c r="B2773" s="323" t="s">
        <v>805</v>
      </c>
      <c r="C2773" s="323">
        <v>41407</v>
      </c>
      <c r="D2773" s="323">
        <v>617</v>
      </c>
      <c r="E2773" s="324">
        <f t="shared" si="43"/>
        <v>150461.62</v>
      </c>
    </row>
    <row r="2774" spans="1:5" x14ac:dyDescent="0.25">
      <c r="A2774" s="323" t="s">
        <v>5077</v>
      </c>
      <c r="B2774" s="323" t="s">
        <v>805</v>
      </c>
      <c r="C2774" s="323">
        <v>41407</v>
      </c>
      <c r="D2774" s="323">
        <v>140</v>
      </c>
      <c r="E2774" s="324">
        <f t="shared" si="43"/>
        <v>34140.400000000001</v>
      </c>
    </row>
    <row r="2775" spans="1:5" x14ac:dyDescent="0.25">
      <c r="A2775" s="323" t="s">
        <v>5223</v>
      </c>
      <c r="B2775" s="323" t="s">
        <v>805</v>
      </c>
      <c r="C2775" s="323">
        <v>41407</v>
      </c>
      <c r="D2775" s="323">
        <v>505</v>
      </c>
      <c r="E2775" s="324">
        <f t="shared" si="43"/>
        <v>123149.3</v>
      </c>
    </row>
    <row r="2776" spans="1:5" x14ac:dyDescent="0.25">
      <c r="A2776" s="323" t="s">
        <v>5335</v>
      </c>
      <c r="B2776" s="323" t="s">
        <v>816</v>
      </c>
      <c r="C2776" s="323">
        <v>41407</v>
      </c>
      <c r="D2776" s="323">
        <v>306</v>
      </c>
      <c r="E2776" s="324">
        <f t="shared" si="43"/>
        <v>111931.74</v>
      </c>
    </row>
    <row r="2777" spans="1:5" x14ac:dyDescent="0.25">
      <c r="A2777" s="323" t="s">
        <v>5492</v>
      </c>
      <c r="B2777" s="323" t="s">
        <v>805</v>
      </c>
      <c r="C2777" s="323">
        <v>41407</v>
      </c>
      <c r="D2777" s="323">
        <v>169</v>
      </c>
      <c r="E2777" s="324">
        <f t="shared" si="43"/>
        <v>41212.340000000004</v>
      </c>
    </row>
    <row r="2778" spans="1:5" x14ac:dyDescent="0.25">
      <c r="A2778" s="323" t="s">
        <v>5990</v>
      </c>
      <c r="B2778" s="323" t="s">
        <v>805</v>
      </c>
      <c r="C2778" s="323">
        <v>41407</v>
      </c>
      <c r="D2778" s="323">
        <v>458</v>
      </c>
      <c r="E2778" s="324">
        <f t="shared" si="43"/>
        <v>111687.88</v>
      </c>
    </row>
    <row r="2779" spans="1:5" x14ac:dyDescent="0.25">
      <c r="A2779" s="323" t="s">
        <v>5999</v>
      </c>
      <c r="B2779" s="323" t="s">
        <v>805</v>
      </c>
      <c r="C2779" s="323">
        <v>41407</v>
      </c>
      <c r="D2779" s="323">
        <v>386</v>
      </c>
      <c r="E2779" s="324">
        <f t="shared" si="43"/>
        <v>94129.96</v>
      </c>
    </row>
    <row r="2780" spans="1:5" x14ac:dyDescent="0.25">
      <c r="A2780" s="323" t="s">
        <v>6783</v>
      </c>
      <c r="B2780" s="323" t="s">
        <v>805</v>
      </c>
      <c r="C2780" s="323">
        <v>41407</v>
      </c>
      <c r="D2780" s="323">
        <v>188</v>
      </c>
      <c r="E2780" s="324">
        <f t="shared" si="43"/>
        <v>45845.68</v>
      </c>
    </row>
    <row r="2781" spans="1:5" x14ac:dyDescent="0.25">
      <c r="A2781" s="323" t="s">
        <v>6799</v>
      </c>
      <c r="B2781" s="323" t="s">
        <v>803</v>
      </c>
      <c r="C2781" s="323">
        <v>41407</v>
      </c>
      <c r="D2781" s="323">
        <v>324</v>
      </c>
      <c r="E2781" s="324">
        <f t="shared" si="43"/>
        <v>158021.28</v>
      </c>
    </row>
    <row r="2782" spans="1:5" x14ac:dyDescent="0.25">
      <c r="A2782" s="323" t="s">
        <v>2081</v>
      </c>
      <c r="B2782" s="323" t="s">
        <v>805</v>
      </c>
      <c r="C2782" s="323">
        <v>41413</v>
      </c>
      <c r="D2782" s="323">
        <v>253</v>
      </c>
      <c r="E2782" s="324">
        <f t="shared" si="43"/>
        <v>61696.58</v>
      </c>
    </row>
    <row r="2783" spans="1:5" x14ac:dyDescent="0.25">
      <c r="A2783" s="323" t="s">
        <v>2140</v>
      </c>
      <c r="B2783" s="323" t="s">
        <v>805</v>
      </c>
      <c r="C2783" s="323">
        <v>41413</v>
      </c>
      <c r="D2783" s="323">
        <v>30</v>
      </c>
      <c r="E2783" s="324">
        <f t="shared" si="43"/>
        <v>7315.8</v>
      </c>
    </row>
    <row r="2784" spans="1:5" x14ac:dyDescent="0.25">
      <c r="A2784" s="323" t="s">
        <v>2998</v>
      </c>
      <c r="B2784" s="323" t="s">
        <v>805</v>
      </c>
      <c r="C2784" s="323">
        <v>41413</v>
      </c>
      <c r="D2784" s="323">
        <v>49</v>
      </c>
      <c r="E2784" s="324">
        <f t="shared" si="43"/>
        <v>11949.140000000001</v>
      </c>
    </row>
    <row r="2785" spans="1:5" x14ac:dyDescent="0.25">
      <c r="A2785" s="323" t="s">
        <v>3535</v>
      </c>
      <c r="B2785" s="323" t="s">
        <v>805</v>
      </c>
      <c r="C2785" s="323">
        <v>41413</v>
      </c>
      <c r="D2785" s="323">
        <v>214</v>
      </c>
      <c r="E2785" s="324">
        <f t="shared" si="43"/>
        <v>52186.04</v>
      </c>
    </row>
    <row r="2786" spans="1:5" x14ac:dyDescent="0.25">
      <c r="A2786" s="323" t="s">
        <v>3798</v>
      </c>
      <c r="B2786" s="323" t="s">
        <v>805</v>
      </c>
      <c r="C2786" s="323">
        <v>41413</v>
      </c>
      <c r="D2786" s="323">
        <v>175</v>
      </c>
      <c r="E2786" s="324">
        <f t="shared" si="43"/>
        <v>42675.5</v>
      </c>
    </row>
    <row r="2787" spans="1:5" x14ac:dyDescent="0.25">
      <c r="A2787" s="323" t="s">
        <v>4140</v>
      </c>
      <c r="B2787" s="323" t="s">
        <v>805</v>
      </c>
      <c r="C2787" s="323">
        <v>41413</v>
      </c>
      <c r="D2787" s="323">
        <v>72</v>
      </c>
      <c r="E2787" s="324">
        <f t="shared" si="43"/>
        <v>17557.920000000002</v>
      </c>
    </row>
    <row r="2788" spans="1:5" x14ac:dyDescent="0.25">
      <c r="A2788" s="323" t="s">
        <v>4211</v>
      </c>
      <c r="B2788" s="323" t="s">
        <v>805</v>
      </c>
      <c r="C2788" s="323">
        <v>41413</v>
      </c>
      <c r="D2788" s="323">
        <v>51</v>
      </c>
      <c r="E2788" s="324">
        <f t="shared" si="43"/>
        <v>12436.86</v>
      </c>
    </row>
    <row r="2789" spans="1:5" x14ac:dyDescent="0.25">
      <c r="A2789" s="323" t="s">
        <v>4326</v>
      </c>
      <c r="B2789" s="323" t="s">
        <v>805</v>
      </c>
      <c r="C2789" s="323">
        <v>41413</v>
      </c>
      <c r="D2789" s="323">
        <v>131</v>
      </c>
      <c r="E2789" s="324">
        <f t="shared" si="43"/>
        <v>31945.660000000003</v>
      </c>
    </row>
    <row r="2790" spans="1:5" x14ac:dyDescent="0.25">
      <c r="A2790" s="323" t="s">
        <v>4437</v>
      </c>
      <c r="B2790" s="323" t="s">
        <v>805</v>
      </c>
      <c r="C2790" s="323">
        <v>41413</v>
      </c>
      <c r="D2790" s="323">
        <v>72</v>
      </c>
      <c r="E2790" s="324">
        <f t="shared" si="43"/>
        <v>17557.920000000002</v>
      </c>
    </row>
    <row r="2791" spans="1:5" x14ac:dyDescent="0.25">
      <c r="A2791" s="323" t="s">
        <v>4544</v>
      </c>
      <c r="B2791" s="323" t="s">
        <v>805</v>
      </c>
      <c r="C2791" s="323">
        <v>41413</v>
      </c>
      <c r="D2791" s="323">
        <v>192</v>
      </c>
      <c r="E2791" s="324">
        <f t="shared" si="43"/>
        <v>46821.120000000003</v>
      </c>
    </row>
    <row r="2792" spans="1:5" x14ac:dyDescent="0.25">
      <c r="A2792" s="323" t="s">
        <v>4634</v>
      </c>
      <c r="B2792" s="323" t="s">
        <v>805</v>
      </c>
      <c r="C2792" s="323">
        <v>41413</v>
      </c>
      <c r="D2792" s="323">
        <v>80</v>
      </c>
      <c r="E2792" s="324">
        <f t="shared" si="43"/>
        <v>19508.800000000003</v>
      </c>
    </row>
    <row r="2793" spans="1:5" x14ac:dyDescent="0.25">
      <c r="A2793" s="323" t="s">
        <v>4702</v>
      </c>
      <c r="B2793" s="323" t="s">
        <v>805</v>
      </c>
      <c r="C2793" s="323">
        <v>41413</v>
      </c>
      <c r="D2793" s="323">
        <v>43</v>
      </c>
      <c r="E2793" s="324">
        <f t="shared" si="43"/>
        <v>10485.980000000001</v>
      </c>
    </row>
    <row r="2794" spans="1:5" x14ac:dyDescent="0.25">
      <c r="A2794" s="323" t="s">
        <v>6270</v>
      </c>
      <c r="B2794" s="323" t="s">
        <v>805</v>
      </c>
      <c r="C2794" s="323">
        <v>41413</v>
      </c>
      <c r="D2794" s="323">
        <v>139</v>
      </c>
      <c r="E2794" s="324">
        <f t="shared" si="43"/>
        <v>33896.54</v>
      </c>
    </row>
    <row r="2795" spans="1:5" x14ac:dyDescent="0.25">
      <c r="A2795" s="323" t="s">
        <v>6279</v>
      </c>
      <c r="B2795" s="323" t="s">
        <v>805</v>
      </c>
      <c r="C2795" s="323">
        <v>41413</v>
      </c>
      <c r="D2795" s="323">
        <v>44</v>
      </c>
      <c r="E2795" s="324">
        <f t="shared" si="43"/>
        <v>10729.84</v>
      </c>
    </row>
    <row r="2796" spans="1:5" x14ac:dyDescent="0.25">
      <c r="A2796" s="323" t="s">
        <v>6288</v>
      </c>
      <c r="B2796" s="323" t="s">
        <v>805</v>
      </c>
      <c r="C2796" s="323">
        <v>41413</v>
      </c>
      <c r="D2796" s="323">
        <v>151</v>
      </c>
      <c r="E2796" s="324">
        <f t="shared" si="43"/>
        <v>36822.86</v>
      </c>
    </row>
    <row r="2797" spans="1:5" x14ac:dyDescent="0.25">
      <c r="A2797" s="323" t="s">
        <v>6556</v>
      </c>
      <c r="B2797" s="323" t="s">
        <v>816</v>
      </c>
      <c r="C2797" s="323">
        <v>41413</v>
      </c>
      <c r="D2797" s="323">
        <v>142</v>
      </c>
      <c r="E2797" s="324">
        <f t="shared" si="43"/>
        <v>51942.18</v>
      </c>
    </row>
    <row r="2798" spans="1:5" x14ac:dyDescent="0.25">
      <c r="A2798" s="323" t="s">
        <v>851</v>
      </c>
      <c r="B2798" s="323" t="s">
        <v>816</v>
      </c>
      <c r="C2798" s="323">
        <v>41414</v>
      </c>
      <c r="D2798" s="323">
        <v>40</v>
      </c>
      <c r="E2798" s="324">
        <f t="shared" si="43"/>
        <v>14631.6</v>
      </c>
    </row>
    <row r="2799" spans="1:5" x14ac:dyDescent="0.25">
      <c r="A2799" s="323" t="s">
        <v>865</v>
      </c>
      <c r="B2799" s="323" t="s">
        <v>809</v>
      </c>
      <c r="C2799" s="323">
        <v>41414</v>
      </c>
      <c r="D2799" s="323">
        <v>63</v>
      </c>
      <c r="E2799" s="324">
        <f t="shared" si="43"/>
        <v>30726.36</v>
      </c>
    </row>
    <row r="2800" spans="1:5" x14ac:dyDescent="0.25">
      <c r="A2800" s="323" t="s">
        <v>865</v>
      </c>
      <c r="B2800" s="323" t="s">
        <v>809</v>
      </c>
      <c r="C2800" s="323">
        <v>41414</v>
      </c>
      <c r="D2800" s="323">
        <v>9</v>
      </c>
      <c r="E2800" s="324">
        <f t="shared" si="43"/>
        <v>4389.4800000000005</v>
      </c>
    </row>
    <row r="2801" spans="1:5" x14ac:dyDescent="0.25">
      <c r="A2801" s="323" t="s">
        <v>900</v>
      </c>
      <c r="B2801" s="323" t="s">
        <v>803</v>
      </c>
      <c r="C2801" s="323">
        <v>41414</v>
      </c>
      <c r="D2801" s="323">
        <v>115</v>
      </c>
      <c r="E2801" s="324">
        <f t="shared" si="43"/>
        <v>56087.8</v>
      </c>
    </row>
    <row r="2802" spans="1:5" x14ac:dyDescent="0.25">
      <c r="A2802" s="323" t="s">
        <v>900</v>
      </c>
      <c r="B2802" s="323" t="s">
        <v>803</v>
      </c>
      <c r="C2802" s="323">
        <v>41414</v>
      </c>
      <c r="D2802" s="323">
        <v>177</v>
      </c>
      <c r="E2802" s="324">
        <f t="shared" si="43"/>
        <v>86326.44</v>
      </c>
    </row>
    <row r="2803" spans="1:5" x14ac:dyDescent="0.25">
      <c r="A2803" s="323" t="s">
        <v>900</v>
      </c>
      <c r="B2803" s="323" t="s">
        <v>803</v>
      </c>
      <c r="C2803" s="323">
        <v>41414</v>
      </c>
      <c r="D2803" s="323">
        <v>117</v>
      </c>
      <c r="E2803" s="324">
        <f t="shared" si="43"/>
        <v>57063.240000000005</v>
      </c>
    </row>
    <row r="2804" spans="1:5" x14ac:dyDescent="0.25">
      <c r="A2804" s="323" t="s">
        <v>900</v>
      </c>
      <c r="B2804" s="323" t="s">
        <v>803</v>
      </c>
      <c r="C2804" s="323">
        <v>41414</v>
      </c>
      <c r="D2804" s="323">
        <v>90</v>
      </c>
      <c r="E2804" s="324">
        <f t="shared" si="43"/>
        <v>43894.8</v>
      </c>
    </row>
    <row r="2805" spans="1:5" x14ac:dyDescent="0.25">
      <c r="A2805" s="323" t="s">
        <v>975</v>
      </c>
      <c r="B2805" s="323" t="s">
        <v>809</v>
      </c>
      <c r="C2805" s="323">
        <v>41414</v>
      </c>
      <c r="D2805" s="323">
        <v>141</v>
      </c>
      <c r="E2805" s="324">
        <f t="shared" si="43"/>
        <v>68768.52</v>
      </c>
    </row>
    <row r="2806" spans="1:5" x14ac:dyDescent="0.25">
      <c r="A2806" s="323" t="s">
        <v>975</v>
      </c>
      <c r="B2806" s="323" t="s">
        <v>809</v>
      </c>
      <c r="C2806" s="323">
        <v>41414</v>
      </c>
      <c r="D2806" s="323">
        <v>10</v>
      </c>
      <c r="E2806" s="324">
        <f t="shared" si="43"/>
        <v>4877.2000000000007</v>
      </c>
    </row>
    <row r="2807" spans="1:5" x14ac:dyDescent="0.25">
      <c r="A2807" s="323" t="s">
        <v>1018</v>
      </c>
      <c r="B2807" s="323" t="s">
        <v>803</v>
      </c>
      <c r="C2807" s="323">
        <v>41414</v>
      </c>
      <c r="D2807" s="323">
        <v>172</v>
      </c>
      <c r="E2807" s="324">
        <f t="shared" si="43"/>
        <v>83887.840000000011</v>
      </c>
    </row>
    <row r="2808" spans="1:5" x14ac:dyDescent="0.25">
      <c r="A2808" s="323" t="s">
        <v>1021</v>
      </c>
      <c r="B2808" s="323" t="s">
        <v>809</v>
      </c>
      <c r="C2808" s="323">
        <v>41414</v>
      </c>
      <c r="D2808" s="323">
        <v>116</v>
      </c>
      <c r="E2808" s="324">
        <f t="shared" si="43"/>
        <v>56575.520000000004</v>
      </c>
    </row>
    <row r="2809" spans="1:5" x14ac:dyDescent="0.25">
      <c r="A2809" s="323" t="s">
        <v>1021</v>
      </c>
      <c r="B2809" s="323" t="s">
        <v>809</v>
      </c>
      <c r="C2809" s="323">
        <v>41414</v>
      </c>
      <c r="D2809" s="323">
        <v>52</v>
      </c>
      <c r="E2809" s="324">
        <f t="shared" si="43"/>
        <v>25361.440000000002</v>
      </c>
    </row>
    <row r="2810" spans="1:5" x14ac:dyDescent="0.25">
      <c r="A2810" s="323" t="s">
        <v>1021</v>
      </c>
      <c r="B2810" s="323" t="s">
        <v>809</v>
      </c>
      <c r="C2810" s="323">
        <v>41414</v>
      </c>
      <c r="D2810" s="323">
        <v>54</v>
      </c>
      <c r="E2810" s="324">
        <f t="shared" si="43"/>
        <v>26336.880000000001</v>
      </c>
    </row>
    <row r="2811" spans="1:5" x14ac:dyDescent="0.25">
      <c r="A2811" s="323" t="s">
        <v>1021</v>
      </c>
      <c r="B2811" s="323" t="s">
        <v>809</v>
      </c>
      <c r="C2811" s="323">
        <v>41414</v>
      </c>
      <c r="D2811" s="323">
        <v>24</v>
      </c>
      <c r="E2811" s="324">
        <f t="shared" si="43"/>
        <v>11705.28</v>
      </c>
    </row>
    <row r="2812" spans="1:5" x14ac:dyDescent="0.25">
      <c r="A2812" s="323" t="s">
        <v>2414</v>
      </c>
      <c r="B2812" s="323" t="s">
        <v>809</v>
      </c>
      <c r="C2812" s="323">
        <v>41414</v>
      </c>
      <c r="D2812" s="323">
        <v>49</v>
      </c>
      <c r="E2812" s="324">
        <f t="shared" si="43"/>
        <v>23898.280000000002</v>
      </c>
    </row>
    <row r="2813" spans="1:5" x14ac:dyDescent="0.25">
      <c r="A2813" s="323" t="s">
        <v>2414</v>
      </c>
      <c r="B2813" s="323" t="s">
        <v>809</v>
      </c>
      <c r="C2813" s="323">
        <v>41414</v>
      </c>
      <c r="D2813" s="323">
        <v>39</v>
      </c>
      <c r="E2813" s="324">
        <f t="shared" si="43"/>
        <v>19021.080000000002</v>
      </c>
    </row>
    <row r="2814" spans="1:5" x14ac:dyDescent="0.25">
      <c r="A2814" s="323" t="s">
        <v>2414</v>
      </c>
      <c r="B2814" s="323" t="s">
        <v>809</v>
      </c>
      <c r="C2814" s="323">
        <v>41414</v>
      </c>
      <c r="D2814" s="323">
        <v>32</v>
      </c>
      <c r="E2814" s="324">
        <f t="shared" si="43"/>
        <v>15607.04</v>
      </c>
    </row>
    <row r="2815" spans="1:5" x14ac:dyDescent="0.25">
      <c r="A2815" s="323" t="s">
        <v>2721</v>
      </c>
      <c r="B2815" s="323" t="s">
        <v>816</v>
      </c>
      <c r="C2815" s="323">
        <v>41414</v>
      </c>
      <c r="D2815" s="323">
        <v>113</v>
      </c>
      <c r="E2815" s="324">
        <f t="shared" si="43"/>
        <v>41334.270000000004</v>
      </c>
    </row>
    <row r="2816" spans="1:5" x14ac:dyDescent="0.25">
      <c r="A2816" s="323" t="s">
        <v>5112</v>
      </c>
      <c r="B2816" s="323" t="s">
        <v>803</v>
      </c>
      <c r="C2816" s="323">
        <v>41414</v>
      </c>
      <c r="D2816" s="323">
        <v>144</v>
      </c>
      <c r="E2816" s="324">
        <f t="shared" si="43"/>
        <v>70231.680000000008</v>
      </c>
    </row>
    <row r="2817" spans="1:5" x14ac:dyDescent="0.25">
      <c r="A2817" s="323" t="s">
        <v>5112</v>
      </c>
      <c r="B2817" s="323" t="s">
        <v>803</v>
      </c>
      <c r="C2817" s="323">
        <v>41414</v>
      </c>
      <c r="D2817" s="323">
        <v>22</v>
      </c>
      <c r="E2817" s="324">
        <f t="shared" si="43"/>
        <v>10729.84</v>
      </c>
    </row>
    <row r="2818" spans="1:5" x14ac:dyDescent="0.25">
      <c r="A2818" s="323" t="s">
        <v>5112</v>
      </c>
      <c r="B2818" s="323" t="s">
        <v>803</v>
      </c>
      <c r="C2818" s="323">
        <v>41414</v>
      </c>
      <c r="D2818" s="323">
        <v>44</v>
      </c>
      <c r="E2818" s="324">
        <f t="shared" ref="E2818:E2881" si="44">D2818*IF(B2818=$G$9,WerkdrukbedragPerLeerlingBo,IF(B2818=$G$10,WerkdrukbedragPerLeerlingSbo,IF(B2818=$G$11,WerkdrukbedragPerLeerlingSo,IF(B2818=$G$12,WerkdrukbedragPerLeerlingVso,0))))</f>
        <v>21459.68</v>
      </c>
    </row>
    <row r="2819" spans="1:5" x14ac:dyDescent="0.25">
      <c r="A2819" s="323" t="s">
        <v>5663</v>
      </c>
      <c r="B2819" s="323" t="s">
        <v>809</v>
      </c>
      <c r="C2819" s="323">
        <v>41414</v>
      </c>
      <c r="D2819" s="323">
        <v>37</v>
      </c>
      <c r="E2819" s="324">
        <f t="shared" si="44"/>
        <v>18045.64</v>
      </c>
    </row>
    <row r="2820" spans="1:5" x14ac:dyDescent="0.25">
      <c r="A2820" s="323" t="s">
        <v>5663</v>
      </c>
      <c r="B2820" s="323" t="s">
        <v>803</v>
      </c>
      <c r="C2820" s="323">
        <v>41414</v>
      </c>
      <c r="D2820" s="323">
        <v>80</v>
      </c>
      <c r="E2820" s="324">
        <f t="shared" si="44"/>
        <v>39017.600000000006</v>
      </c>
    </row>
    <row r="2821" spans="1:5" x14ac:dyDescent="0.25">
      <c r="A2821" s="323" t="s">
        <v>6487</v>
      </c>
      <c r="B2821" s="323" t="s">
        <v>816</v>
      </c>
      <c r="C2821" s="323">
        <v>41414</v>
      </c>
      <c r="D2821" s="323">
        <v>71</v>
      </c>
      <c r="E2821" s="324">
        <f t="shared" si="44"/>
        <v>25971.09</v>
      </c>
    </row>
    <row r="2822" spans="1:5" x14ac:dyDescent="0.25">
      <c r="A2822" s="323" t="s">
        <v>6559</v>
      </c>
      <c r="B2822" s="323" t="s">
        <v>803</v>
      </c>
      <c r="C2822" s="323">
        <v>41414</v>
      </c>
      <c r="D2822" s="323">
        <v>93</v>
      </c>
      <c r="E2822" s="324">
        <f t="shared" si="44"/>
        <v>45357.96</v>
      </c>
    </row>
    <row r="2823" spans="1:5" x14ac:dyDescent="0.25">
      <c r="A2823" s="323" t="s">
        <v>6577</v>
      </c>
      <c r="B2823" s="323" t="s">
        <v>816</v>
      </c>
      <c r="C2823" s="323">
        <v>41414</v>
      </c>
      <c r="D2823" s="323">
        <v>83</v>
      </c>
      <c r="E2823" s="324">
        <f t="shared" si="44"/>
        <v>30360.570000000003</v>
      </c>
    </row>
    <row r="2824" spans="1:5" x14ac:dyDescent="0.25">
      <c r="A2824" s="323" t="s">
        <v>6942</v>
      </c>
      <c r="B2824" s="323" t="s">
        <v>803</v>
      </c>
      <c r="C2824" s="323">
        <v>41414</v>
      </c>
      <c r="D2824" s="323">
        <v>268</v>
      </c>
      <c r="E2824" s="324">
        <f t="shared" si="44"/>
        <v>130708.96</v>
      </c>
    </row>
    <row r="2825" spans="1:5" x14ac:dyDescent="0.25">
      <c r="A2825" s="323" t="s">
        <v>6942</v>
      </c>
      <c r="B2825" s="323" t="s">
        <v>803</v>
      </c>
      <c r="C2825" s="323">
        <v>41414</v>
      </c>
      <c r="D2825" s="323">
        <v>30</v>
      </c>
      <c r="E2825" s="324">
        <f t="shared" si="44"/>
        <v>14631.6</v>
      </c>
    </row>
    <row r="2826" spans="1:5" x14ac:dyDescent="0.25">
      <c r="A2826" s="323" t="s">
        <v>6942</v>
      </c>
      <c r="B2826" s="323" t="s">
        <v>803</v>
      </c>
      <c r="C2826" s="323">
        <v>41414</v>
      </c>
      <c r="D2826" s="323">
        <v>40</v>
      </c>
      <c r="E2826" s="324">
        <f t="shared" si="44"/>
        <v>19508.800000000003</v>
      </c>
    </row>
    <row r="2827" spans="1:5" x14ac:dyDescent="0.25">
      <c r="A2827" s="323" t="s">
        <v>854</v>
      </c>
      <c r="B2827" s="323" t="s">
        <v>809</v>
      </c>
      <c r="C2827" s="323">
        <v>41417</v>
      </c>
      <c r="D2827" s="323">
        <v>230</v>
      </c>
      <c r="E2827" s="324">
        <f t="shared" si="44"/>
        <v>112175.6</v>
      </c>
    </row>
    <row r="2828" spans="1:5" x14ac:dyDescent="0.25">
      <c r="A2828" s="323" t="s">
        <v>854</v>
      </c>
      <c r="B2828" s="323" t="s">
        <v>803</v>
      </c>
      <c r="C2828" s="323">
        <v>41417</v>
      </c>
      <c r="D2828" s="323">
        <v>10</v>
      </c>
      <c r="E2828" s="324">
        <f t="shared" si="44"/>
        <v>4877.2000000000007</v>
      </c>
    </row>
    <row r="2829" spans="1:5" x14ac:dyDescent="0.25">
      <c r="A2829" s="323" t="s">
        <v>875</v>
      </c>
      <c r="B2829" s="323" t="s">
        <v>803</v>
      </c>
      <c r="C2829" s="323">
        <v>41417</v>
      </c>
      <c r="D2829" s="323">
        <v>74</v>
      </c>
      <c r="E2829" s="324">
        <f t="shared" si="44"/>
        <v>36091.279999999999</v>
      </c>
    </row>
    <row r="2830" spans="1:5" x14ac:dyDescent="0.25">
      <c r="A2830" s="323" t="s">
        <v>889</v>
      </c>
      <c r="B2830" s="323" t="s">
        <v>816</v>
      </c>
      <c r="C2830" s="323">
        <v>41417</v>
      </c>
      <c r="D2830" s="323">
        <v>164</v>
      </c>
      <c r="E2830" s="324">
        <f t="shared" si="44"/>
        <v>59989.560000000005</v>
      </c>
    </row>
    <row r="2831" spans="1:5" x14ac:dyDescent="0.25">
      <c r="A2831" s="323" t="s">
        <v>896</v>
      </c>
      <c r="B2831" s="323" t="s">
        <v>816</v>
      </c>
      <c r="C2831" s="323">
        <v>41417</v>
      </c>
      <c r="D2831" s="323">
        <v>140</v>
      </c>
      <c r="E2831" s="324">
        <f t="shared" si="44"/>
        <v>51210.600000000006</v>
      </c>
    </row>
    <row r="2832" spans="1:5" x14ac:dyDescent="0.25">
      <c r="A2832" s="323" t="s">
        <v>4540</v>
      </c>
      <c r="B2832" s="323" t="s">
        <v>816</v>
      </c>
      <c r="C2832" s="323">
        <v>41417</v>
      </c>
      <c r="D2832" s="323">
        <v>121</v>
      </c>
      <c r="E2832" s="324">
        <f t="shared" si="44"/>
        <v>44260.590000000004</v>
      </c>
    </row>
    <row r="2833" spans="1:5" x14ac:dyDescent="0.25">
      <c r="A2833" s="323" t="s">
        <v>5109</v>
      </c>
      <c r="B2833" s="323" t="s">
        <v>809</v>
      </c>
      <c r="C2833" s="323">
        <v>41417</v>
      </c>
      <c r="D2833" s="323">
        <v>42</v>
      </c>
      <c r="E2833" s="324">
        <f t="shared" si="44"/>
        <v>20484.240000000002</v>
      </c>
    </row>
    <row r="2834" spans="1:5" x14ac:dyDescent="0.25">
      <c r="A2834" s="323" t="s">
        <v>5109</v>
      </c>
      <c r="B2834" s="323" t="s">
        <v>803</v>
      </c>
      <c r="C2834" s="323">
        <v>41417</v>
      </c>
      <c r="D2834" s="323">
        <v>73</v>
      </c>
      <c r="E2834" s="324">
        <f t="shared" si="44"/>
        <v>35603.560000000005</v>
      </c>
    </row>
    <row r="2835" spans="1:5" x14ac:dyDescent="0.25">
      <c r="A2835" s="323" t="s">
        <v>5109</v>
      </c>
      <c r="B2835" s="323" t="s">
        <v>809</v>
      </c>
      <c r="C2835" s="323">
        <v>41417</v>
      </c>
      <c r="D2835" s="323">
        <v>27</v>
      </c>
      <c r="E2835" s="324">
        <f t="shared" si="44"/>
        <v>13168.44</v>
      </c>
    </row>
    <row r="2836" spans="1:5" x14ac:dyDescent="0.25">
      <c r="A2836" s="323" t="s">
        <v>5109</v>
      </c>
      <c r="B2836" s="323" t="s">
        <v>803</v>
      </c>
      <c r="C2836" s="323">
        <v>41417</v>
      </c>
      <c r="D2836" s="323">
        <v>26</v>
      </c>
      <c r="E2836" s="324">
        <f t="shared" si="44"/>
        <v>12680.720000000001</v>
      </c>
    </row>
    <row r="2837" spans="1:5" x14ac:dyDescent="0.25">
      <c r="A2837" s="323" t="s">
        <v>1398</v>
      </c>
      <c r="B2837" s="323" t="s">
        <v>805</v>
      </c>
      <c r="C2837" s="323">
        <v>41419</v>
      </c>
      <c r="D2837" s="323">
        <v>84</v>
      </c>
      <c r="E2837" s="324">
        <f t="shared" si="44"/>
        <v>20484.240000000002</v>
      </c>
    </row>
    <row r="2838" spans="1:5" x14ac:dyDescent="0.25">
      <c r="A2838" s="323" t="s">
        <v>1500</v>
      </c>
      <c r="B2838" s="323" t="s">
        <v>805</v>
      </c>
      <c r="C2838" s="323">
        <v>41419</v>
      </c>
      <c r="D2838" s="323">
        <v>149</v>
      </c>
      <c r="E2838" s="324">
        <f t="shared" si="44"/>
        <v>36335.14</v>
      </c>
    </row>
    <row r="2839" spans="1:5" x14ac:dyDescent="0.25">
      <c r="A2839" s="323" t="s">
        <v>2029</v>
      </c>
      <c r="B2839" s="323" t="s">
        <v>805</v>
      </c>
      <c r="C2839" s="323">
        <v>41419</v>
      </c>
      <c r="D2839" s="323">
        <v>44</v>
      </c>
      <c r="E2839" s="324">
        <f t="shared" si="44"/>
        <v>10729.84</v>
      </c>
    </row>
    <row r="2840" spans="1:5" x14ac:dyDescent="0.25">
      <c r="A2840" s="323" t="s">
        <v>3561</v>
      </c>
      <c r="B2840" s="323" t="s">
        <v>805</v>
      </c>
      <c r="C2840" s="323">
        <v>41419</v>
      </c>
      <c r="D2840" s="323">
        <v>282</v>
      </c>
      <c r="E2840" s="324">
        <f t="shared" si="44"/>
        <v>68768.52</v>
      </c>
    </row>
    <row r="2841" spans="1:5" x14ac:dyDescent="0.25">
      <c r="A2841" s="323" t="s">
        <v>4484</v>
      </c>
      <c r="B2841" s="323" t="s">
        <v>805</v>
      </c>
      <c r="C2841" s="323">
        <v>41419</v>
      </c>
      <c r="D2841" s="323">
        <v>410</v>
      </c>
      <c r="E2841" s="324">
        <f t="shared" si="44"/>
        <v>99982.6</v>
      </c>
    </row>
    <row r="2842" spans="1:5" x14ac:dyDescent="0.25">
      <c r="A2842" s="323" t="s">
        <v>4733</v>
      </c>
      <c r="B2842" s="323" t="s">
        <v>805</v>
      </c>
      <c r="C2842" s="323">
        <v>41419</v>
      </c>
      <c r="D2842" s="323">
        <v>310</v>
      </c>
      <c r="E2842" s="324">
        <f t="shared" si="44"/>
        <v>75596.600000000006</v>
      </c>
    </row>
    <row r="2843" spans="1:5" x14ac:dyDescent="0.25">
      <c r="A2843" s="323" t="s">
        <v>5118</v>
      </c>
      <c r="B2843" s="323" t="s">
        <v>805</v>
      </c>
      <c r="C2843" s="323">
        <v>41419</v>
      </c>
      <c r="D2843" s="323">
        <v>266</v>
      </c>
      <c r="E2843" s="324">
        <f t="shared" si="44"/>
        <v>64866.76</v>
      </c>
    </row>
    <row r="2844" spans="1:5" x14ac:dyDescent="0.25">
      <c r="A2844" s="323" t="s">
        <v>5180</v>
      </c>
      <c r="B2844" s="323" t="s">
        <v>805</v>
      </c>
      <c r="C2844" s="323">
        <v>41419</v>
      </c>
      <c r="D2844" s="323">
        <v>176</v>
      </c>
      <c r="E2844" s="324">
        <f t="shared" si="44"/>
        <v>42919.360000000001</v>
      </c>
    </row>
    <row r="2845" spans="1:5" x14ac:dyDescent="0.25">
      <c r="A2845" s="323" t="s">
        <v>5190</v>
      </c>
      <c r="B2845" s="323" t="s">
        <v>805</v>
      </c>
      <c r="C2845" s="323">
        <v>41419</v>
      </c>
      <c r="D2845" s="323">
        <v>154</v>
      </c>
      <c r="E2845" s="324">
        <f t="shared" si="44"/>
        <v>37554.44</v>
      </c>
    </row>
    <row r="2846" spans="1:5" x14ac:dyDescent="0.25">
      <c r="A2846" s="323" t="s">
        <v>5296</v>
      </c>
      <c r="B2846" s="323" t="s">
        <v>805</v>
      </c>
      <c r="C2846" s="323">
        <v>41419</v>
      </c>
      <c r="D2846" s="323">
        <v>177</v>
      </c>
      <c r="E2846" s="324">
        <f t="shared" si="44"/>
        <v>43163.22</v>
      </c>
    </row>
    <row r="2847" spans="1:5" x14ac:dyDescent="0.25">
      <c r="A2847" s="323" t="s">
        <v>5359</v>
      </c>
      <c r="B2847" s="323" t="s">
        <v>805</v>
      </c>
      <c r="C2847" s="323">
        <v>41419</v>
      </c>
      <c r="D2847" s="323">
        <v>175</v>
      </c>
      <c r="E2847" s="324">
        <f t="shared" si="44"/>
        <v>42675.5</v>
      </c>
    </row>
    <row r="2848" spans="1:5" x14ac:dyDescent="0.25">
      <c r="A2848" s="323" t="s">
        <v>5386</v>
      </c>
      <c r="B2848" s="323" t="s">
        <v>805</v>
      </c>
      <c r="C2848" s="323">
        <v>41419</v>
      </c>
      <c r="D2848" s="323">
        <v>407</v>
      </c>
      <c r="E2848" s="324">
        <f t="shared" si="44"/>
        <v>99251.02</v>
      </c>
    </row>
    <row r="2849" spans="1:5" x14ac:dyDescent="0.25">
      <c r="A2849" s="323" t="s">
        <v>5409</v>
      </c>
      <c r="B2849" s="323" t="s">
        <v>805</v>
      </c>
      <c r="C2849" s="323">
        <v>41419</v>
      </c>
      <c r="D2849" s="323">
        <v>218</v>
      </c>
      <c r="E2849" s="324">
        <f t="shared" si="44"/>
        <v>53161.48</v>
      </c>
    </row>
    <row r="2850" spans="1:5" x14ac:dyDescent="0.25">
      <c r="A2850" s="323" t="s">
        <v>7257</v>
      </c>
      <c r="B2850" s="323" t="s">
        <v>805</v>
      </c>
      <c r="C2850" s="323">
        <v>41419</v>
      </c>
      <c r="D2850" s="323">
        <v>368</v>
      </c>
      <c r="E2850" s="324">
        <f t="shared" si="44"/>
        <v>89740.48000000001</v>
      </c>
    </row>
    <row r="2851" spans="1:5" x14ac:dyDescent="0.25">
      <c r="A2851" s="323" t="s">
        <v>2095</v>
      </c>
      <c r="B2851" s="323" t="s">
        <v>805</v>
      </c>
      <c r="C2851" s="323">
        <v>41421</v>
      </c>
      <c r="D2851" s="323">
        <v>191</v>
      </c>
      <c r="E2851" s="324">
        <f t="shared" si="44"/>
        <v>46577.26</v>
      </c>
    </row>
    <row r="2852" spans="1:5" x14ac:dyDescent="0.25">
      <c r="A2852" s="323" t="s">
        <v>2113</v>
      </c>
      <c r="B2852" s="323" t="s">
        <v>805</v>
      </c>
      <c r="C2852" s="323">
        <v>41421</v>
      </c>
      <c r="D2852" s="323">
        <v>114</v>
      </c>
      <c r="E2852" s="324">
        <f t="shared" si="44"/>
        <v>27800.04</v>
      </c>
    </row>
    <row r="2853" spans="1:5" x14ac:dyDescent="0.25">
      <c r="A2853" s="323" t="s">
        <v>3405</v>
      </c>
      <c r="B2853" s="323" t="s">
        <v>805</v>
      </c>
      <c r="C2853" s="323">
        <v>41421</v>
      </c>
      <c r="D2853" s="323">
        <v>168</v>
      </c>
      <c r="E2853" s="324">
        <f t="shared" si="44"/>
        <v>40968.480000000003</v>
      </c>
    </row>
    <row r="2854" spans="1:5" x14ac:dyDescent="0.25">
      <c r="A2854" s="323" t="s">
        <v>4070</v>
      </c>
      <c r="B2854" s="323" t="s">
        <v>805</v>
      </c>
      <c r="C2854" s="323">
        <v>41421</v>
      </c>
      <c r="D2854" s="323">
        <v>147</v>
      </c>
      <c r="E2854" s="324">
        <f t="shared" si="44"/>
        <v>35847.420000000006</v>
      </c>
    </row>
    <row r="2855" spans="1:5" x14ac:dyDescent="0.25">
      <c r="A2855" s="323" t="s">
        <v>4210</v>
      </c>
      <c r="B2855" s="323" t="s">
        <v>805</v>
      </c>
      <c r="C2855" s="323">
        <v>41421</v>
      </c>
      <c r="D2855" s="323">
        <v>64</v>
      </c>
      <c r="E2855" s="324">
        <f t="shared" si="44"/>
        <v>15607.04</v>
      </c>
    </row>
    <row r="2856" spans="1:5" x14ac:dyDescent="0.25">
      <c r="A2856" s="323" t="s">
        <v>4325</v>
      </c>
      <c r="B2856" s="323" t="s">
        <v>805</v>
      </c>
      <c r="C2856" s="323">
        <v>41421</v>
      </c>
      <c r="D2856" s="323">
        <v>39</v>
      </c>
      <c r="E2856" s="324">
        <f t="shared" si="44"/>
        <v>9510.5400000000009</v>
      </c>
    </row>
    <row r="2857" spans="1:5" x14ac:dyDescent="0.25">
      <c r="A2857" s="323" t="s">
        <v>4341</v>
      </c>
      <c r="B2857" s="323" t="s">
        <v>805</v>
      </c>
      <c r="C2857" s="323">
        <v>41421</v>
      </c>
      <c r="D2857" s="323">
        <v>93</v>
      </c>
      <c r="E2857" s="324">
        <f t="shared" si="44"/>
        <v>22678.98</v>
      </c>
    </row>
    <row r="2858" spans="1:5" x14ac:dyDescent="0.25">
      <c r="A2858" s="323" t="s">
        <v>4453</v>
      </c>
      <c r="B2858" s="323" t="s">
        <v>805</v>
      </c>
      <c r="C2858" s="323">
        <v>41421</v>
      </c>
      <c r="D2858" s="323">
        <v>143</v>
      </c>
      <c r="E2858" s="324">
        <f t="shared" si="44"/>
        <v>34871.980000000003</v>
      </c>
    </row>
    <row r="2859" spans="1:5" x14ac:dyDescent="0.25">
      <c r="A2859" s="323" t="s">
        <v>4453</v>
      </c>
      <c r="B2859" s="323" t="s">
        <v>805</v>
      </c>
      <c r="C2859" s="323">
        <v>41421</v>
      </c>
      <c r="D2859" s="323">
        <v>77</v>
      </c>
      <c r="E2859" s="324">
        <f t="shared" si="44"/>
        <v>18777.22</v>
      </c>
    </row>
    <row r="2860" spans="1:5" x14ac:dyDescent="0.25">
      <c r="A2860" s="323" t="s">
        <v>4561</v>
      </c>
      <c r="B2860" s="323" t="s">
        <v>805</v>
      </c>
      <c r="C2860" s="323">
        <v>41421</v>
      </c>
      <c r="D2860" s="323">
        <v>72</v>
      </c>
      <c r="E2860" s="324">
        <f t="shared" si="44"/>
        <v>17557.920000000002</v>
      </c>
    </row>
    <row r="2861" spans="1:5" x14ac:dyDescent="0.25">
      <c r="A2861" s="323" t="s">
        <v>4648</v>
      </c>
      <c r="B2861" s="323" t="s">
        <v>805</v>
      </c>
      <c r="C2861" s="323">
        <v>41421</v>
      </c>
      <c r="D2861" s="323">
        <v>63</v>
      </c>
      <c r="E2861" s="324">
        <f t="shared" si="44"/>
        <v>15363.18</v>
      </c>
    </row>
    <row r="2862" spans="1:5" x14ac:dyDescent="0.25">
      <c r="A2862" s="323" t="s">
        <v>4649</v>
      </c>
      <c r="B2862" s="323" t="s">
        <v>805</v>
      </c>
      <c r="C2862" s="323">
        <v>41421</v>
      </c>
      <c r="D2862" s="323">
        <v>209</v>
      </c>
      <c r="E2862" s="324">
        <f t="shared" si="44"/>
        <v>50966.740000000005</v>
      </c>
    </row>
    <row r="2863" spans="1:5" x14ac:dyDescent="0.25">
      <c r="A2863" s="323" t="s">
        <v>4783</v>
      </c>
      <c r="B2863" s="323" t="s">
        <v>805</v>
      </c>
      <c r="C2863" s="323">
        <v>41421</v>
      </c>
      <c r="D2863" s="323">
        <v>182</v>
      </c>
      <c r="E2863" s="324">
        <f t="shared" si="44"/>
        <v>44382.520000000004</v>
      </c>
    </row>
    <row r="2864" spans="1:5" x14ac:dyDescent="0.25">
      <c r="A2864" s="323" t="s">
        <v>4784</v>
      </c>
      <c r="B2864" s="323" t="s">
        <v>805</v>
      </c>
      <c r="C2864" s="323">
        <v>41421</v>
      </c>
      <c r="D2864" s="323">
        <v>100</v>
      </c>
      <c r="E2864" s="324">
        <f t="shared" si="44"/>
        <v>24386</v>
      </c>
    </row>
    <row r="2865" spans="1:5" x14ac:dyDescent="0.25">
      <c r="A2865" s="323" t="s">
        <v>4843</v>
      </c>
      <c r="B2865" s="323" t="s">
        <v>805</v>
      </c>
      <c r="C2865" s="323">
        <v>41421</v>
      </c>
      <c r="D2865" s="323">
        <v>142</v>
      </c>
      <c r="E2865" s="324">
        <f t="shared" si="44"/>
        <v>34628.120000000003</v>
      </c>
    </row>
    <row r="2866" spans="1:5" x14ac:dyDescent="0.25">
      <c r="A2866" s="323" t="s">
        <v>1101</v>
      </c>
      <c r="B2866" s="323" t="s">
        <v>805</v>
      </c>
      <c r="C2866" s="323">
        <v>41424</v>
      </c>
      <c r="D2866" s="323">
        <v>48</v>
      </c>
      <c r="E2866" s="324">
        <f t="shared" si="44"/>
        <v>11705.28</v>
      </c>
    </row>
    <row r="2867" spans="1:5" x14ac:dyDescent="0.25">
      <c r="A2867" s="323" t="s">
        <v>1552</v>
      </c>
      <c r="B2867" s="323" t="s">
        <v>805</v>
      </c>
      <c r="C2867" s="323">
        <v>41424</v>
      </c>
      <c r="D2867" s="323">
        <v>311</v>
      </c>
      <c r="E2867" s="324">
        <f t="shared" si="44"/>
        <v>75840.460000000006</v>
      </c>
    </row>
    <row r="2868" spans="1:5" x14ac:dyDescent="0.25">
      <c r="A2868" s="323" t="s">
        <v>1654</v>
      </c>
      <c r="B2868" s="323" t="s">
        <v>805</v>
      </c>
      <c r="C2868" s="323">
        <v>41424</v>
      </c>
      <c r="D2868" s="323">
        <v>63</v>
      </c>
      <c r="E2868" s="324">
        <f t="shared" si="44"/>
        <v>15363.18</v>
      </c>
    </row>
    <row r="2869" spans="1:5" x14ac:dyDescent="0.25">
      <c r="A2869" s="323" t="s">
        <v>1923</v>
      </c>
      <c r="B2869" s="323" t="s">
        <v>805</v>
      </c>
      <c r="C2869" s="323">
        <v>41424</v>
      </c>
      <c r="D2869" s="323">
        <v>151</v>
      </c>
      <c r="E2869" s="324">
        <f t="shared" si="44"/>
        <v>36822.86</v>
      </c>
    </row>
    <row r="2870" spans="1:5" x14ac:dyDescent="0.25">
      <c r="A2870" s="323" t="s">
        <v>1936</v>
      </c>
      <c r="B2870" s="323" t="s">
        <v>805</v>
      </c>
      <c r="C2870" s="323">
        <v>41424</v>
      </c>
      <c r="D2870" s="323">
        <v>99</v>
      </c>
      <c r="E2870" s="324">
        <f t="shared" si="44"/>
        <v>24142.140000000003</v>
      </c>
    </row>
    <row r="2871" spans="1:5" x14ac:dyDescent="0.25">
      <c r="A2871" s="323" t="s">
        <v>2722</v>
      </c>
      <c r="B2871" s="323" t="s">
        <v>805</v>
      </c>
      <c r="C2871" s="323">
        <v>41424</v>
      </c>
      <c r="D2871" s="323">
        <v>176</v>
      </c>
      <c r="E2871" s="324">
        <f t="shared" si="44"/>
        <v>42919.360000000001</v>
      </c>
    </row>
    <row r="2872" spans="1:5" x14ac:dyDescent="0.25">
      <c r="A2872" s="323" t="s">
        <v>2952</v>
      </c>
      <c r="B2872" s="323" t="s">
        <v>805</v>
      </c>
      <c r="C2872" s="323">
        <v>41424</v>
      </c>
      <c r="D2872" s="323">
        <v>88</v>
      </c>
      <c r="E2872" s="324">
        <f t="shared" si="44"/>
        <v>21459.68</v>
      </c>
    </row>
    <row r="2873" spans="1:5" x14ac:dyDescent="0.25">
      <c r="A2873" s="323" t="s">
        <v>3238</v>
      </c>
      <c r="B2873" s="323" t="s">
        <v>805</v>
      </c>
      <c r="C2873" s="323">
        <v>41424</v>
      </c>
      <c r="D2873" s="323">
        <v>196</v>
      </c>
      <c r="E2873" s="324">
        <f t="shared" si="44"/>
        <v>47796.560000000005</v>
      </c>
    </row>
    <row r="2874" spans="1:5" x14ac:dyDescent="0.25">
      <c r="A2874" s="323" t="s">
        <v>3448</v>
      </c>
      <c r="B2874" s="323" t="s">
        <v>805</v>
      </c>
      <c r="C2874" s="323">
        <v>41424</v>
      </c>
      <c r="D2874" s="323">
        <v>210</v>
      </c>
      <c r="E2874" s="324">
        <f t="shared" si="44"/>
        <v>51210.600000000006</v>
      </c>
    </row>
    <row r="2875" spans="1:5" x14ac:dyDescent="0.25">
      <c r="A2875" s="323" t="s">
        <v>6337</v>
      </c>
      <c r="B2875" s="323" t="s">
        <v>816</v>
      </c>
      <c r="C2875" s="323">
        <v>41424</v>
      </c>
      <c r="D2875" s="323">
        <v>145</v>
      </c>
      <c r="E2875" s="324">
        <f t="shared" si="44"/>
        <v>53039.55</v>
      </c>
    </row>
    <row r="2876" spans="1:5" x14ac:dyDescent="0.25">
      <c r="A2876" s="323" t="s">
        <v>6568</v>
      </c>
      <c r="B2876" s="323" t="s">
        <v>805</v>
      </c>
      <c r="C2876" s="323">
        <v>41424</v>
      </c>
      <c r="D2876" s="323">
        <v>352</v>
      </c>
      <c r="E2876" s="324">
        <f t="shared" si="44"/>
        <v>85838.720000000001</v>
      </c>
    </row>
    <row r="2877" spans="1:5" x14ac:dyDescent="0.25">
      <c r="A2877" s="323" t="s">
        <v>6571</v>
      </c>
      <c r="B2877" s="323" t="s">
        <v>805</v>
      </c>
      <c r="C2877" s="323">
        <v>41424</v>
      </c>
      <c r="D2877" s="323">
        <v>268</v>
      </c>
      <c r="E2877" s="324">
        <f t="shared" si="44"/>
        <v>65354.48</v>
      </c>
    </row>
    <row r="2878" spans="1:5" x14ac:dyDescent="0.25">
      <c r="A2878" s="323" t="s">
        <v>6572</v>
      </c>
      <c r="B2878" s="323" t="s">
        <v>805</v>
      </c>
      <c r="C2878" s="323">
        <v>41424</v>
      </c>
      <c r="D2878" s="323">
        <v>85</v>
      </c>
      <c r="E2878" s="324">
        <f t="shared" si="44"/>
        <v>20728.100000000002</v>
      </c>
    </row>
    <row r="2879" spans="1:5" x14ac:dyDescent="0.25">
      <c r="A2879" s="323" t="s">
        <v>6575</v>
      </c>
      <c r="B2879" s="323" t="s">
        <v>805</v>
      </c>
      <c r="C2879" s="323">
        <v>41424</v>
      </c>
      <c r="D2879" s="323">
        <v>179</v>
      </c>
      <c r="E2879" s="324">
        <f t="shared" si="44"/>
        <v>43650.94</v>
      </c>
    </row>
    <row r="2880" spans="1:5" x14ac:dyDescent="0.25">
      <c r="A2880" s="323" t="s">
        <v>6585</v>
      </c>
      <c r="B2880" s="323" t="s">
        <v>805</v>
      </c>
      <c r="C2880" s="323">
        <v>41424</v>
      </c>
      <c r="D2880" s="323">
        <v>209</v>
      </c>
      <c r="E2880" s="324">
        <f t="shared" si="44"/>
        <v>50966.740000000005</v>
      </c>
    </row>
    <row r="2881" spans="1:5" x14ac:dyDescent="0.25">
      <c r="A2881" s="323" t="s">
        <v>6587</v>
      </c>
      <c r="B2881" s="323" t="s">
        <v>805</v>
      </c>
      <c r="C2881" s="323">
        <v>41424</v>
      </c>
      <c r="D2881" s="323">
        <v>284</v>
      </c>
      <c r="E2881" s="324">
        <f t="shared" si="44"/>
        <v>69256.240000000005</v>
      </c>
    </row>
    <row r="2882" spans="1:5" x14ac:dyDescent="0.25">
      <c r="A2882" s="323" t="s">
        <v>7029</v>
      </c>
      <c r="B2882" s="323" t="s">
        <v>805</v>
      </c>
      <c r="C2882" s="323">
        <v>41424</v>
      </c>
      <c r="D2882" s="323">
        <v>478</v>
      </c>
      <c r="E2882" s="324">
        <f t="shared" ref="E2882:E2945" si="45">D2882*IF(B2882=$G$9,WerkdrukbedragPerLeerlingBo,IF(B2882=$G$10,WerkdrukbedragPerLeerlingSbo,IF(B2882=$G$11,WerkdrukbedragPerLeerlingSo,IF(B2882=$G$12,WerkdrukbedragPerLeerlingVso,0))))</f>
        <v>116565.08</v>
      </c>
    </row>
    <row r="2883" spans="1:5" x14ac:dyDescent="0.25">
      <c r="A2883" s="323" t="s">
        <v>1445</v>
      </c>
      <c r="B2883" s="323" t="s">
        <v>805</v>
      </c>
      <c r="C2883" s="323">
        <v>41434</v>
      </c>
      <c r="D2883" s="323">
        <v>83</v>
      </c>
      <c r="E2883" s="324">
        <f t="shared" si="45"/>
        <v>20240.38</v>
      </c>
    </row>
    <row r="2884" spans="1:5" x14ac:dyDescent="0.25">
      <c r="A2884" s="323" t="s">
        <v>3371</v>
      </c>
      <c r="B2884" s="323" t="s">
        <v>805</v>
      </c>
      <c r="C2884" s="323">
        <v>41434</v>
      </c>
      <c r="D2884" s="323">
        <v>205</v>
      </c>
      <c r="E2884" s="324">
        <f t="shared" si="45"/>
        <v>49991.3</v>
      </c>
    </row>
    <row r="2885" spans="1:5" x14ac:dyDescent="0.25">
      <c r="A2885" s="323" t="s">
        <v>3380</v>
      </c>
      <c r="B2885" s="323" t="s">
        <v>805</v>
      </c>
      <c r="C2885" s="323">
        <v>41434</v>
      </c>
      <c r="D2885" s="323">
        <v>91</v>
      </c>
      <c r="E2885" s="324">
        <f t="shared" si="45"/>
        <v>22191.260000000002</v>
      </c>
    </row>
    <row r="2886" spans="1:5" x14ac:dyDescent="0.25">
      <c r="A2886" s="323" t="s">
        <v>3422</v>
      </c>
      <c r="B2886" s="323" t="s">
        <v>805</v>
      </c>
      <c r="C2886" s="323">
        <v>41434</v>
      </c>
      <c r="D2886" s="323">
        <v>351</v>
      </c>
      <c r="E2886" s="324">
        <f t="shared" si="45"/>
        <v>85594.86</v>
      </c>
    </row>
    <row r="2887" spans="1:5" x14ac:dyDescent="0.25">
      <c r="A2887" s="323" t="s">
        <v>3647</v>
      </c>
      <c r="B2887" s="323" t="s">
        <v>805</v>
      </c>
      <c r="C2887" s="323">
        <v>41434</v>
      </c>
      <c r="D2887" s="323">
        <v>218</v>
      </c>
      <c r="E2887" s="324">
        <f t="shared" si="45"/>
        <v>53161.48</v>
      </c>
    </row>
    <row r="2888" spans="1:5" x14ac:dyDescent="0.25">
      <c r="A2888" s="323" t="s">
        <v>3924</v>
      </c>
      <c r="B2888" s="323" t="s">
        <v>805</v>
      </c>
      <c r="C2888" s="323">
        <v>41434</v>
      </c>
      <c r="D2888" s="323">
        <v>424</v>
      </c>
      <c r="E2888" s="324">
        <f t="shared" si="45"/>
        <v>103396.64</v>
      </c>
    </row>
    <row r="2889" spans="1:5" x14ac:dyDescent="0.25">
      <c r="A2889" s="323" t="s">
        <v>4062</v>
      </c>
      <c r="B2889" s="323" t="s">
        <v>805</v>
      </c>
      <c r="C2889" s="323">
        <v>41434</v>
      </c>
      <c r="D2889" s="323">
        <v>140</v>
      </c>
      <c r="E2889" s="324">
        <f t="shared" si="45"/>
        <v>34140.400000000001</v>
      </c>
    </row>
    <row r="2890" spans="1:5" x14ac:dyDescent="0.25">
      <c r="A2890" s="323" t="s">
        <v>4205</v>
      </c>
      <c r="B2890" s="323" t="s">
        <v>805</v>
      </c>
      <c r="C2890" s="323">
        <v>41434</v>
      </c>
      <c r="D2890" s="323">
        <v>71</v>
      </c>
      <c r="E2890" s="324">
        <f t="shared" si="45"/>
        <v>17314.060000000001</v>
      </c>
    </row>
    <row r="2891" spans="1:5" x14ac:dyDescent="0.25">
      <c r="A2891" s="323" t="s">
        <v>6071</v>
      </c>
      <c r="B2891" s="323" t="s">
        <v>805</v>
      </c>
      <c r="C2891" s="323">
        <v>41434</v>
      </c>
      <c r="D2891" s="323">
        <v>107</v>
      </c>
      <c r="E2891" s="324">
        <f t="shared" si="45"/>
        <v>26093.02</v>
      </c>
    </row>
    <row r="2892" spans="1:5" x14ac:dyDescent="0.25">
      <c r="A2892" s="323" t="s">
        <v>6132</v>
      </c>
      <c r="B2892" s="323" t="s">
        <v>805</v>
      </c>
      <c r="C2892" s="323">
        <v>41434</v>
      </c>
      <c r="D2892" s="323">
        <v>101</v>
      </c>
      <c r="E2892" s="324">
        <f t="shared" si="45"/>
        <v>24629.86</v>
      </c>
    </row>
    <row r="2893" spans="1:5" x14ac:dyDescent="0.25">
      <c r="A2893" s="323" t="s">
        <v>6133</v>
      </c>
      <c r="B2893" s="323" t="s">
        <v>805</v>
      </c>
      <c r="C2893" s="323">
        <v>41434</v>
      </c>
      <c r="D2893" s="323">
        <v>301</v>
      </c>
      <c r="E2893" s="324">
        <f t="shared" si="45"/>
        <v>73401.86</v>
      </c>
    </row>
    <row r="2894" spans="1:5" x14ac:dyDescent="0.25">
      <c r="A2894" s="323" t="s">
        <v>6149</v>
      </c>
      <c r="B2894" s="323" t="s">
        <v>805</v>
      </c>
      <c r="C2894" s="323">
        <v>41434</v>
      </c>
      <c r="D2894" s="323">
        <v>294</v>
      </c>
      <c r="E2894" s="324">
        <f t="shared" si="45"/>
        <v>71694.840000000011</v>
      </c>
    </row>
    <row r="2895" spans="1:5" x14ac:dyDescent="0.25">
      <c r="A2895" s="323" t="s">
        <v>6156</v>
      </c>
      <c r="B2895" s="323" t="s">
        <v>805</v>
      </c>
      <c r="C2895" s="323">
        <v>41434</v>
      </c>
      <c r="D2895" s="323">
        <v>74</v>
      </c>
      <c r="E2895" s="324">
        <f t="shared" si="45"/>
        <v>18045.64</v>
      </c>
    </row>
    <row r="2896" spans="1:5" x14ac:dyDescent="0.25">
      <c r="A2896" s="323" t="s">
        <v>6171</v>
      </c>
      <c r="B2896" s="323" t="s">
        <v>805</v>
      </c>
      <c r="C2896" s="323">
        <v>41434</v>
      </c>
      <c r="D2896" s="323">
        <v>167</v>
      </c>
      <c r="E2896" s="324">
        <f t="shared" si="45"/>
        <v>40724.620000000003</v>
      </c>
    </row>
    <row r="2897" spans="1:5" x14ac:dyDescent="0.25">
      <c r="A2897" s="323" t="s">
        <v>6180</v>
      </c>
      <c r="B2897" s="323" t="s">
        <v>805</v>
      </c>
      <c r="C2897" s="323">
        <v>41434</v>
      </c>
      <c r="D2897" s="323">
        <v>226</v>
      </c>
      <c r="E2897" s="324">
        <f t="shared" si="45"/>
        <v>55112.36</v>
      </c>
    </row>
    <row r="2898" spans="1:5" x14ac:dyDescent="0.25">
      <c r="A2898" s="323" t="s">
        <v>6184</v>
      </c>
      <c r="B2898" s="323" t="s">
        <v>805</v>
      </c>
      <c r="C2898" s="323">
        <v>41434</v>
      </c>
      <c r="D2898" s="323">
        <v>390</v>
      </c>
      <c r="E2898" s="324">
        <f t="shared" si="45"/>
        <v>95105.400000000009</v>
      </c>
    </row>
    <row r="2899" spans="1:5" x14ac:dyDescent="0.25">
      <c r="A2899" s="323" t="s">
        <v>6197</v>
      </c>
      <c r="B2899" s="323" t="s">
        <v>805</v>
      </c>
      <c r="C2899" s="323">
        <v>41434</v>
      </c>
      <c r="D2899" s="323">
        <v>124</v>
      </c>
      <c r="E2899" s="324">
        <f t="shared" si="45"/>
        <v>30238.640000000003</v>
      </c>
    </row>
    <row r="2900" spans="1:5" x14ac:dyDescent="0.25">
      <c r="A2900" s="323" t="s">
        <v>6203</v>
      </c>
      <c r="B2900" s="323" t="s">
        <v>805</v>
      </c>
      <c r="C2900" s="323">
        <v>41434</v>
      </c>
      <c r="D2900" s="323">
        <v>333</v>
      </c>
      <c r="E2900" s="324">
        <f t="shared" si="45"/>
        <v>81205.38</v>
      </c>
    </row>
    <row r="2901" spans="1:5" x14ac:dyDescent="0.25">
      <c r="A2901" s="323" t="s">
        <v>6219</v>
      </c>
      <c r="B2901" s="323" t="s">
        <v>805</v>
      </c>
      <c r="C2901" s="323">
        <v>41434</v>
      </c>
      <c r="D2901" s="323">
        <v>72</v>
      </c>
      <c r="E2901" s="324">
        <f t="shared" si="45"/>
        <v>17557.920000000002</v>
      </c>
    </row>
    <row r="2902" spans="1:5" x14ac:dyDescent="0.25">
      <c r="A2902" s="323" t="s">
        <v>6237</v>
      </c>
      <c r="B2902" s="323" t="s">
        <v>805</v>
      </c>
      <c r="C2902" s="323">
        <v>41434</v>
      </c>
      <c r="D2902" s="323">
        <v>221</v>
      </c>
      <c r="E2902" s="324">
        <f t="shared" si="45"/>
        <v>53893.060000000005</v>
      </c>
    </row>
    <row r="2903" spans="1:5" x14ac:dyDescent="0.25">
      <c r="A2903" s="323" t="s">
        <v>6265</v>
      </c>
      <c r="B2903" s="323" t="s">
        <v>805</v>
      </c>
      <c r="C2903" s="323">
        <v>41434</v>
      </c>
      <c r="D2903" s="323">
        <v>71</v>
      </c>
      <c r="E2903" s="324">
        <f t="shared" si="45"/>
        <v>17314.060000000001</v>
      </c>
    </row>
    <row r="2904" spans="1:5" x14ac:dyDescent="0.25">
      <c r="A2904" s="323" t="s">
        <v>6277</v>
      </c>
      <c r="B2904" s="323" t="s">
        <v>805</v>
      </c>
      <c r="C2904" s="323">
        <v>41434</v>
      </c>
      <c r="D2904" s="323">
        <v>49</v>
      </c>
      <c r="E2904" s="324">
        <f t="shared" si="45"/>
        <v>11949.140000000001</v>
      </c>
    </row>
    <row r="2905" spans="1:5" x14ac:dyDescent="0.25">
      <c r="A2905" s="323" t="s">
        <v>6290</v>
      </c>
      <c r="B2905" s="323" t="s">
        <v>805</v>
      </c>
      <c r="C2905" s="323">
        <v>41434</v>
      </c>
      <c r="D2905" s="323">
        <v>51</v>
      </c>
      <c r="E2905" s="324">
        <f t="shared" si="45"/>
        <v>12436.86</v>
      </c>
    </row>
    <row r="2906" spans="1:5" x14ac:dyDescent="0.25">
      <c r="A2906" s="323" t="s">
        <v>1429</v>
      </c>
      <c r="B2906" s="323" t="s">
        <v>805</v>
      </c>
      <c r="C2906" s="323">
        <v>41435</v>
      </c>
      <c r="D2906" s="323">
        <v>52</v>
      </c>
      <c r="E2906" s="324">
        <f t="shared" si="45"/>
        <v>12680.720000000001</v>
      </c>
    </row>
    <row r="2907" spans="1:5" x14ac:dyDescent="0.25">
      <c r="A2907" s="323" t="s">
        <v>3004</v>
      </c>
      <c r="B2907" s="323" t="s">
        <v>805</v>
      </c>
      <c r="C2907" s="323">
        <v>41435</v>
      </c>
      <c r="D2907" s="323">
        <v>543</v>
      </c>
      <c r="E2907" s="324">
        <f t="shared" si="45"/>
        <v>132415.98000000001</v>
      </c>
    </row>
    <row r="2908" spans="1:5" x14ac:dyDescent="0.25">
      <c r="A2908" s="323" t="s">
        <v>3195</v>
      </c>
      <c r="B2908" s="323" t="s">
        <v>805</v>
      </c>
      <c r="C2908" s="323">
        <v>41435</v>
      </c>
      <c r="D2908" s="323">
        <v>86</v>
      </c>
      <c r="E2908" s="324">
        <f t="shared" si="45"/>
        <v>20971.960000000003</v>
      </c>
    </row>
    <row r="2909" spans="1:5" x14ac:dyDescent="0.25">
      <c r="A2909" s="323" t="s">
        <v>3195</v>
      </c>
      <c r="B2909" s="323" t="s">
        <v>805</v>
      </c>
      <c r="C2909" s="323">
        <v>41435</v>
      </c>
      <c r="D2909" s="323">
        <v>71</v>
      </c>
      <c r="E2909" s="324">
        <f t="shared" si="45"/>
        <v>17314.060000000001</v>
      </c>
    </row>
    <row r="2910" spans="1:5" x14ac:dyDescent="0.25">
      <c r="A2910" s="323" t="s">
        <v>3379</v>
      </c>
      <c r="B2910" s="323" t="s">
        <v>805</v>
      </c>
      <c r="C2910" s="323">
        <v>41435</v>
      </c>
      <c r="D2910" s="323">
        <v>72</v>
      </c>
      <c r="E2910" s="324">
        <f t="shared" si="45"/>
        <v>17557.920000000002</v>
      </c>
    </row>
    <row r="2911" spans="1:5" x14ac:dyDescent="0.25">
      <c r="A2911" s="323" t="s">
        <v>3530</v>
      </c>
      <c r="B2911" s="323" t="s">
        <v>805</v>
      </c>
      <c r="C2911" s="323">
        <v>41435</v>
      </c>
      <c r="D2911" s="323">
        <v>186</v>
      </c>
      <c r="E2911" s="324">
        <f t="shared" si="45"/>
        <v>45357.96</v>
      </c>
    </row>
    <row r="2912" spans="1:5" x14ac:dyDescent="0.25">
      <c r="A2912" s="323" t="s">
        <v>3532</v>
      </c>
      <c r="B2912" s="323" t="s">
        <v>805</v>
      </c>
      <c r="C2912" s="323">
        <v>41435</v>
      </c>
      <c r="D2912" s="323">
        <v>408</v>
      </c>
      <c r="E2912" s="324">
        <f t="shared" si="45"/>
        <v>99494.88</v>
      </c>
    </row>
    <row r="2913" spans="1:5" x14ac:dyDescent="0.25">
      <c r="A2913" s="323" t="s">
        <v>3794</v>
      </c>
      <c r="B2913" s="323" t="s">
        <v>805</v>
      </c>
      <c r="C2913" s="323">
        <v>41435</v>
      </c>
      <c r="D2913" s="323">
        <v>79</v>
      </c>
      <c r="E2913" s="324">
        <f t="shared" si="45"/>
        <v>19264.940000000002</v>
      </c>
    </row>
    <row r="2914" spans="1:5" x14ac:dyDescent="0.25">
      <c r="A2914" s="323" t="s">
        <v>6155</v>
      </c>
      <c r="B2914" s="323" t="s">
        <v>805</v>
      </c>
      <c r="C2914" s="323">
        <v>41435</v>
      </c>
      <c r="D2914" s="323">
        <v>162</v>
      </c>
      <c r="E2914" s="324">
        <f t="shared" si="45"/>
        <v>39505.32</v>
      </c>
    </row>
    <row r="2915" spans="1:5" x14ac:dyDescent="0.25">
      <c r="A2915" s="323" t="s">
        <v>6155</v>
      </c>
      <c r="B2915" s="323" t="s">
        <v>805</v>
      </c>
      <c r="C2915" s="323">
        <v>41435</v>
      </c>
      <c r="D2915" s="323">
        <v>22</v>
      </c>
      <c r="E2915" s="324">
        <f t="shared" si="45"/>
        <v>5364.92</v>
      </c>
    </row>
    <row r="2916" spans="1:5" x14ac:dyDescent="0.25">
      <c r="A2916" s="323" t="s">
        <v>6178</v>
      </c>
      <c r="B2916" s="323" t="s">
        <v>805</v>
      </c>
      <c r="C2916" s="323">
        <v>41435</v>
      </c>
      <c r="D2916" s="323">
        <v>71</v>
      </c>
      <c r="E2916" s="324">
        <f t="shared" si="45"/>
        <v>17314.060000000001</v>
      </c>
    </row>
    <row r="2917" spans="1:5" x14ac:dyDescent="0.25">
      <c r="A2917" s="323" t="s">
        <v>6837</v>
      </c>
      <c r="B2917" s="323" t="s">
        <v>805</v>
      </c>
      <c r="C2917" s="323">
        <v>41435</v>
      </c>
      <c r="D2917" s="323">
        <v>284</v>
      </c>
      <c r="E2917" s="324">
        <f t="shared" si="45"/>
        <v>69256.240000000005</v>
      </c>
    </row>
    <row r="2918" spans="1:5" x14ac:dyDescent="0.25">
      <c r="A2918" s="323" t="s">
        <v>1050</v>
      </c>
      <c r="B2918" s="323" t="s">
        <v>805</v>
      </c>
      <c r="C2918" s="323">
        <v>41438</v>
      </c>
      <c r="D2918" s="323">
        <v>63</v>
      </c>
      <c r="E2918" s="324">
        <f t="shared" si="45"/>
        <v>15363.18</v>
      </c>
    </row>
    <row r="2919" spans="1:5" x14ac:dyDescent="0.25">
      <c r="A2919" s="323" t="s">
        <v>3690</v>
      </c>
      <c r="B2919" s="323" t="s">
        <v>805</v>
      </c>
      <c r="C2919" s="323">
        <v>41438</v>
      </c>
      <c r="D2919" s="323">
        <v>166</v>
      </c>
      <c r="E2919" s="324">
        <f t="shared" si="45"/>
        <v>40480.76</v>
      </c>
    </row>
    <row r="2920" spans="1:5" x14ac:dyDescent="0.25">
      <c r="A2920" s="323" t="s">
        <v>3912</v>
      </c>
      <c r="B2920" s="323" t="s">
        <v>805</v>
      </c>
      <c r="C2920" s="323">
        <v>41438</v>
      </c>
      <c r="D2920" s="323">
        <v>112</v>
      </c>
      <c r="E2920" s="324">
        <f t="shared" si="45"/>
        <v>27312.32</v>
      </c>
    </row>
    <row r="2921" spans="1:5" x14ac:dyDescent="0.25">
      <c r="A2921" s="323" t="s">
        <v>3923</v>
      </c>
      <c r="B2921" s="323" t="s">
        <v>805</v>
      </c>
      <c r="C2921" s="323">
        <v>41438</v>
      </c>
      <c r="D2921" s="323">
        <v>186</v>
      </c>
      <c r="E2921" s="324">
        <f t="shared" si="45"/>
        <v>45357.96</v>
      </c>
    </row>
    <row r="2922" spans="1:5" x14ac:dyDescent="0.25">
      <c r="A2922" s="323" t="s">
        <v>4059</v>
      </c>
      <c r="B2922" s="323" t="s">
        <v>805</v>
      </c>
      <c r="C2922" s="323">
        <v>41438</v>
      </c>
      <c r="D2922" s="323">
        <v>173</v>
      </c>
      <c r="E2922" s="324">
        <f t="shared" si="45"/>
        <v>42187.78</v>
      </c>
    </row>
    <row r="2923" spans="1:5" x14ac:dyDescent="0.25">
      <c r="A2923" s="323" t="s">
        <v>4077</v>
      </c>
      <c r="B2923" s="323" t="s">
        <v>816</v>
      </c>
      <c r="C2923" s="323">
        <v>41438</v>
      </c>
      <c r="D2923" s="323">
        <v>92</v>
      </c>
      <c r="E2923" s="324">
        <f t="shared" si="45"/>
        <v>33652.68</v>
      </c>
    </row>
    <row r="2924" spans="1:5" x14ac:dyDescent="0.25">
      <c r="A2924" s="323" t="s">
        <v>4213</v>
      </c>
      <c r="B2924" s="323" t="s">
        <v>805</v>
      </c>
      <c r="C2924" s="323">
        <v>41438</v>
      </c>
      <c r="D2924" s="323">
        <v>334</v>
      </c>
      <c r="E2924" s="324">
        <f t="shared" si="45"/>
        <v>81449.240000000005</v>
      </c>
    </row>
    <row r="2925" spans="1:5" x14ac:dyDescent="0.25">
      <c r="A2925" s="323" t="s">
        <v>4340</v>
      </c>
      <c r="B2925" s="323" t="s">
        <v>805</v>
      </c>
      <c r="C2925" s="323">
        <v>41438</v>
      </c>
      <c r="D2925" s="323">
        <v>176</v>
      </c>
      <c r="E2925" s="324">
        <f t="shared" si="45"/>
        <v>42919.360000000001</v>
      </c>
    </row>
    <row r="2926" spans="1:5" x14ac:dyDescent="0.25">
      <c r="A2926" s="323" t="s">
        <v>4440</v>
      </c>
      <c r="B2926" s="323" t="s">
        <v>805</v>
      </c>
      <c r="C2926" s="323">
        <v>41438</v>
      </c>
      <c r="D2926" s="323">
        <v>161</v>
      </c>
      <c r="E2926" s="324">
        <f t="shared" si="45"/>
        <v>39261.46</v>
      </c>
    </row>
    <row r="2927" spans="1:5" x14ac:dyDescent="0.25">
      <c r="A2927" s="323" t="s">
        <v>4534</v>
      </c>
      <c r="B2927" s="323" t="s">
        <v>805</v>
      </c>
      <c r="C2927" s="323">
        <v>41438</v>
      </c>
      <c r="D2927" s="323">
        <v>185</v>
      </c>
      <c r="E2927" s="324">
        <f t="shared" si="45"/>
        <v>45114.100000000006</v>
      </c>
    </row>
    <row r="2928" spans="1:5" x14ac:dyDescent="0.25">
      <c r="A2928" s="323" t="s">
        <v>4545</v>
      </c>
      <c r="B2928" s="323" t="s">
        <v>805</v>
      </c>
      <c r="C2928" s="323">
        <v>41438</v>
      </c>
      <c r="D2928" s="323">
        <v>127</v>
      </c>
      <c r="E2928" s="324">
        <f t="shared" si="45"/>
        <v>30970.22</v>
      </c>
    </row>
    <row r="2929" spans="1:5" x14ac:dyDescent="0.25">
      <c r="A2929" s="323" t="s">
        <v>4599</v>
      </c>
      <c r="B2929" s="323" t="s">
        <v>805</v>
      </c>
      <c r="C2929" s="323">
        <v>41438</v>
      </c>
      <c r="D2929" s="323">
        <v>125</v>
      </c>
      <c r="E2929" s="324">
        <f t="shared" si="45"/>
        <v>30482.5</v>
      </c>
    </row>
    <row r="2930" spans="1:5" x14ac:dyDescent="0.25">
      <c r="A2930" s="323" t="s">
        <v>4683</v>
      </c>
      <c r="B2930" s="323" t="s">
        <v>805</v>
      </c>
      <c r="C2930" s="323">
        <v>41438</v>
      </c>
      <c r="D2930" s="323">
        <v>76</v>
      </c>
      <c r="E2930" s="324">
        <f t="shared" si="45"/>
        <v>18533.36</v>
      </c>
    </row>
    <row r="2931" spans="1:5" x14ac:dyDescent="0.25">
      <c r="A2931" s="323" t="s">
        <v>4743</v>
      </c>
      <c r="B2931" s="323" t="s">
        <v>805</v>
      </c>
      <c r="C2931" s="323">
        <v>41438</v>
      </c>
      <c r="D2931" s="323">
        <v>104</v>
      </c>
      <c r="E2931" s="324">
        <f t="shared" si="45"/>
        <v>25361.440000000002</v>
      </c>
    </row>
    <row r="2932" spans="1:5" x14ac:dyDescent="0.25">
      <c r="A2932" s="323" t="s">
        <v>6068</v>
      </c>
      <c r="B2932" s="323" t="s">
        <v>805</v>
      </c>
      <c r="C2932" s="323">
        <v>41438</v>
      </c>
      <c r="D2932" s="323">
        <v>96</v>
      </c>
      <c r="E2932" s="324">
        <f t="shared" si="45"/>
        <v>23410.560000000001</v>
      </c>
    </row>
    <row r="2933" spans="1:5" x14ac:dyDescent="0.25">
      <c r="A2933" s="323" t="s">
        <v>6082</v>
      </c>
      <c r="B2933" s="323" t="s">
        <v>805</v>
      </c>
      <c r="C2933" s="323">
        <v>41438</v>
      </c>
      <c r="D2933" s="323">
        <v>235</v>
      </c>
      <c r="E2933" s="324">
        <f t="shared" si="45"/>
        <v>57307.100000000006</v>
      </c>
    </row>
    <row r="2934" spans="1:5" x14ac:dyDescent="0.25">
      <c r="A2934" s="323" t="s">
        <v>6086</v>
      </c>
      <c r="B2934" s="323" t="s">
        <v>805</v>
      </c>
      <c r="C2934" s="323">
        <v>41438</v>
      </c>
      <c r="D2934" s="323">
        <v>102</v>
      </c>
      <c r="E2934" s="324">
        <f t="shared" si="45"/>
        <v>24873.72</v>
      </c>
    </row>
    <row r="2935" spans="1:5" x14ac:dyDescent="0.25">
      <c r="A2935" s="323" t="s">
        <v>6147</v>
      </c>
      <c r="B2935" s="323" t="s">
        <v>805</v>
      </c>
      <c r="C2935" s="323">
        <v>41438</v>
      </c>
      <c r="D2935" s="323">
        <v>211</v>
      </c>
      <c r="E2935" s="324">
        <f t="shared" si="45"/>
        <v>51454.460000000006</v>
      </c>
    </row>
    <row r="2936" spans="1:5" x14ac:dyDescent="0.25">
      <c r="A2936" s="323" t="s">
        <v>6168</v>
      </c>
      <c r="B2936" s="323" t="s">
        <v>805</v>
      </c>
      <c r="C2936" s="323">
        <v>41438</v>
      </c>
      <c r="D2936" s="323">
        <v>169</v>
      </c>
      <c r="E2936" s="324">
        <f t="shared" si="45"/>
        <v>41212.340000000004</v>
      </c>
    </row>
    <row r="2937" spans="1:5" x14ac:dyDescent="0.25">
      <c r="A2937" s="323" t="s">
        <v>6218</v>
      </c>
      <c r="B2937" s="323" t="s">
        <v>805</v>
      </c>
      <c r="C2937" s="323">
        <v>41438</v>
      </c>
      <c r="D2937" s="323">
        <v>66</v>
      </c>
      <c r="E2937" s="324">
        <f t="shared" si="45"/>
        <v>16094.76</v>
      </c>
    </row>
    <row r="2938" spans="1:5" x14ac:dyDescent="0.25">
      <c r="A2938" s="323" t="s">
        <v>6236</v>
      </c>
      <c r="B2938" s="323" t="s">
        <v>805</v>
      </c>
      <c r="C2938" s="323">
        <v>41438</v>
      </c>
      <c r="D2938" s="323">
        <v>115</v>
      </c>
      <c r="E2938" s="324">
        <f t="shared" si="45"/>
        <v>28043.9</v>
      </c>
    </row>
    <row r="2939" spans="1:5" x14ac:dyDescent="0.25">
      <c r="A2939" s="323" t="s">
        <v>6264</v>
      </c>
      <c r="B2939" s="323" t="s">
        <v>805</v>
      </c>
      <c r="C2939" s="323">
        <v>41438</v>
      </c>
      <c r="D2939" s="323">
        <v>141</v>
      </c>
      <c r="E2939" s="324">
        <f t="shared" si="45"/>
        <v>34384.26</v>
      </c>
    </row>
    <row r="2940" spans="1:5" x14ac:dyDescent="0.25">
      <c r="A2940" s="323" t="s">
        <v>6276</v>
      </c>
      <c r="B2940" s="323" t="s">
        <v>805</v>
      </c>
      <c r="C2940" s="323">
        <v>41438</v>
      </c>
      <c r="D2940" s="323">
        <v>64</v>
      </c>
      <c r="E2940" s="324">
        <f t="shared" si="45"/>
        <v>15607.04</v>
      </c>
    </row>
    <row r="2941" spans="1:5" x14ac:dyDescent="0.25">
      <c r="A2941" s="323" t="s">
        <v>1502</v>
      </c>
      <c r="B2941" s="323" t="s">
        <v>805</v>
      </c>
      <c r="C2941" s="323">
        <v>41439</v>
      </c>
      <c r="D2941" s="323">
        <v>164</v>
      </c>
      <c r="E2941" s="324">
        <f t="shared" si="45"/>
        <v>39993.040000000001</v>
      </c>
    </row>
    <row r="2942" spans="1:5" x14ac:dyDescent="0.25">
      <c r="A2942" s="323" t="s">
        <v>1565</v>
      </c>
      <c r="B2942" s="323" t="s">
        <v>805</v>
      </c>
      <c r="C2942" s="323">
        <v>41439</v>
      </c>
      <c r="D2942" s="323">
        <v>79</v>
      </c>
      <c r="E2942" s="324">
        <f t="shared" si="45"/>
        <v>19264.940000000002</v>
      </c>
    </row>
    <row r="2943" spans="1:5" x14ac:dyDescent="0.25">
      <c r="A2943" s="323" t="s">
        <v>1573</v>
      </c>
      <c r="B2943" s="323" t="s">
        <v>805</v>
      </c>
      <c r="C2943" s="323">
        <v>41439</v>
      </c>
      <c r="D2943" s="323">
        <v>160</v>
      </c>
      <c r="E2943" s="324">
        <f t="shared" si="45"/>
        <v>39017.600000000006</v>
      </c>
    </row>
    <row r="2944" spans="1:5" x14ac:dyDescent="0.25">
      <c r="A2944" s="323" t="s">
        <v>1637</v>
      </c>
      <c r="B2944" s="323" t="s">
        <v>805</v>
      </c>
      <c r="C2944" s="323">
        <v>41439</v>
      </c>
      <c r="D2944" s="323">
        <v>93</v>
      </c>
      <c r="E2944" s="324">
        <f t="shared" si="45"/>
        <v>22678.98</v>
      </c>
    </row>
    <row r="2945" spans="1:5" x14ac:dyDescent="0.25">
      <c r="A2945" s="323" t="s">
        <v>1915</v>
      </c>
      <c r="B2945" s="323" t="s">
        <v>805</v>
      </c>
      <c r="C2945" s="323">
        <v>41439</v>
      </c>
      <c r="D2945" s="323">
        <v>399</v>
      </c>
      <c r="E2945" s="324">
        <f t="shared" si="45"/>
        <v>97300.14</v>
      </c>
    </row>
    <row r="2946" spans="1:5" x14ac:dyDescent="0.25">
      <c r="A2946" s="323" t="s">
        <v>1928</v>
      </c>
      <c r="B2946" s="323" t="s">
        <v>805</v>
      </c>
      <c r="C2946" s="323">
        <v>41439</v>
      </c>
      <c r="D2946" s="323">
        <v>241</v>
      </c>
      <c r="E2946" s="324">
        <f t="shared" ref="E2946:E3009" si="46">D2946*IF(B2946=$G$9,WerkdrukbedragPerLeerlingBo,IF(B2946=$G$10,WerkdrukbedragPerLeerlingSbo,IF(B2946=$G$11,WerkdrukbedragPerLeerlingSo,IF(B2946=$G$12,WerkdrukbedragPerLeerlingVso,0))))</f>
        <v>58770.26</v>
      </c>
    </row>
    <row r="2947" spans="1:5" x14ac:dyDescent="0.25">
      <c r="A2947" s="323" t="s">
        <v>1943</v>
      </c>
      <c r="B2947" s="323" t="s">
        <v>805</v>
      </c>
      <c r="C2947" s="323">
        <v>41439</v>
      </c>
      <c r="D2947" s="323">
        <v>26</v>
      </c>
      <c r="E2947" s="324">
        <f t="shared" si="46"/>
        <v>6340.3600000000006</v>
      </c>
    </row>
    <row r="2948" spans="1:5" x14ac:dyDescent="0.25">
      <c r="A2948" s="323" t="s">
        <v>1959</v>
      </c>
      <c r="B2948" s="323" t="s">
        <v>805</v>
      </c>
      <c r="C2948" s="323">
        <v>41439</v>
      </c>
      <c r="D2948" s="323">
        <v>248</v>
      </c>
      <c r="E2948" s="324">
        <f t="shared" si="46"/>
        <v>60477.280000000006</v>
      </c>
    </row>
    <row r="2949" spans="1:5" x14ac:dyDescent="0.25">
      <c r="A2949" s="323" t="s">
        <v>1988</v>
      </c>
      <c r="B2949" s="323" t="s">
        <v>805</v>
      </c>
      <c r="C2949" s="323">
        <v>41439</v>
      </c>
      <c r="D2949" s="323">
        <v>116</v>
      </c>
      <c r="E2949" s="324">
        <f t="shared" si="46"/>
        <v>28287.760000000002</v>
      </c>
    </row>
    <row r="2950" spans="1:5" x14ac:dyDescent="0.25">
      <c r="A2950" s="323" t="s">
        <v>1999</v>
      </c>
      <c r="B2950" s="323" t="s">
        <v>805</v>
      </c>
      <c r="C2950" s="323">
        <v>41439</v>
      </c>
      <c r="D2950" s="323">
        <v>173</v>
      </c>
      <c r="E2950" s="324">
        <f t="shared" si="46"/>
        <v>42187.78</v>
      </c>
    </row>
    <row r="2951" spans="1:5" x14ac:dyDescent="0.25">
      <c r="A2951" s="323" t="s">
        <v>2065</v>
      </c>
      <c r="B2951" s="323" t="s">
        <v>805</v>
      </c>
      <c r="C2951" s="323">
        <v>41439</v>
      </c>
      <c r="D2951" s="323">
        <v>51</v>
      </c>
      <c r="E2951" s="324">
        <f t="shared" si="46"/>
        <v>12436.86</v>
      </c>
    </row>
    <row r="2952" spans="1:5" x14ac:dyDescent="0.25">
      <c r="A2952" s="323" t="s">
        <v>2663</v>
      </c>
      <c r="B2952" s="323" t="s">
        <v>805</v>
      </c>
      <c r="C2952" s="323">
        <v>41439</v>
      </c>
      <c r="D2952" s="323">
        <v>252</v>
      </c>
      <c r="E2952" s="324">
        <f t="shared" si="46"/>
        <v>61452.72</v>
      </c>
    </row>
    <row r="2953" spans="1:5" x14ac:dyDescent="0.25">
      <c r="A2953" s="323" t="s">
        <v>2675</v>
      </c>
      <c r="B2953" s="323" t="s">
        <v>805</v>
      </c>
      <c r="C2953" s="323">
        <v>41439</v>
      </c>
      <c r="D2953" s="323">
        <v>114</v>
      </c>
      <c r="E2953" s="324">
        <f t="shared" si="46"/>
        <v>27800.04</v>
      </c>
    </row>
    <row r="2954" spans="1:5" x14ac:dyDescent="0.25">
      <c r="A2954" s="323" t="s">
        <v>2692</v>
      </c>
      <c r="B2954" s="323" t="s">
        <v>805</v>
      </c>
      <c r="C2954" s="323">
        <v>41439</v>
      </c>
      <c r="D2954" s="323">
        <v>87</v>
      </c>
      <c r="E2954" s="324">
        <f t="shared" si="46"/>
        <v>21215.82</v>
      </c>
    </row>
    <row r="2955" spans="1:5" x14ac:dyDescent="0.25">
      <c r="A2955" s="323" t="s">
        <v>3340</v>
      </c>
      <c r="B2955" s="323" t="s">
        <v>805</v>
      </c>
      <c r="C2955" s="323">
        <v>41439</v>
      </c>
      <c r="D2955" s="323">
        <v>218</v>
      </c>
      <c r="E2955" s="324">
        <f t="shared" si="46"/>
        <v>53161.48</v>
      </c>
    </row>
    <row r="2956" spans="1:5" x14ac:dyDescent="0.25">
      <c r="A2956" s="323" t="s">
        <v>5193</v>
      </c>
      <c r="B2956" s="323" t="s">
        <v>805</v>
      </c>
      <c r="C2956" s="323">
        <v>41439</v>
      </c>
      <c r="D2956" s="323">
        <v>32</v>
      </c>
      <c r="E2956" s="324">
        <f t="shared" si="46"/>
        <v>7803.52</v>
      </c>
    </row>
    <row r="2957" spans="1:5" x14ac:dyDescent="0.25">
      <c r="A2957" s="323" t="s">
        <v>2768</v>
      </c>
      <c r="B2957" s="323" t="s">
        <v>805</v>
      </c>
      <c r="C2957" s="323">
        <v>41440</v>
      </c>
      <c r="D2957" s="323">
        <v>189</v>
      </c>
      <c r="E2957" s="324">
        <f t="shared" si="46"/>
        <v>46089.54</v>
      </c>
    </row>
    <row r="2958" spans="1:5" x14ac:dyDescent="0.25">
      <c r="A2958" s="323" t="s">
        <v>4343</v>
      </c>
      <c r="B2958" s="323" t="s">
        <v>805</v>
      </c>
      <c r="C2958" s="323">
        <v>41441</v>
      </c>
      <c r="D2958" s="323">
        <v>404</v>
      </c>
      <c r="E2958" s="324">
        <f t="shared" si="46"/>
        <v>98519.44</v>
      </c>
    </row>
    <row r="2959" spans="1:5" x14ac:dyDescent="0.25">
      <c r="A2959" s="323" t="s">
        <v>4566</v>
      </c>
      <c r="B2959" s="323" t="s">
        <v>805</v>
      </c>
      <c r="C2959" s="323">
        <v>41441</v>
      </c>
      <c r="D2959" s="323">
        <v>357</v>
      </c>
      <c r="E2959" s="324">
        <f t="shared" si="46"/>
        <v>87058.02</v>
      </c>
    </row>
    <row r="2960" spans="1:5" x14ac:dyDescent="0.25">
      <c r="A2960" s="323" t="s">
        <v>4716</v>
      </c>
      <c r="B2960" s="323" t="s">
        <v>805</v>
      </c>
      <c r="C2960" s="323">
        <v>41441</v>
      </c>
      <c r="D2960" s="323">
        <v>319</v>
      </c>
      <c r="E2960" s="324">
        <f t="shared" si="46"/>
        <v>77791.340000000011</v>
      </c>
    </row>
    <row r="2961" spans="1:5" x14ac:dyDescent="0.25">
      <c r="A2961" s="323" t="s">
        <v>4840</v>
      </c>
      <c r="B2961" s="323" t="s">
        <v>805</v>
      </c>
      <c r="C2961" s="323">
        <v>41441</v>
      </c>
      <c r="D2961" s="323">
        <v>356</v>
      </c>
      <c r="E2961" s="324">
        <f t="shared" si="46"/>
        <v>86814.16</v>
      </c>
    </row>
    <row r="2962" spans="1:5" x14ac:dyDescent="0.25">
      <c r="A2962" s="323" t="s">
        <v>4932</v>
      </c>
      <c r="B2962" s="323" t="s">
        <v>805</v>
      </c>
      <c r="C2962" s="323">
        <v>41441</v>
      </c>
      <c r="D2962" s="323">
        <v>457</v>
      </c>
      <c r="E2962" s="324">
        <f t="shared" si="46"/>
        <v>111444.02</v>
      </c>
    </row>
    <row r="2963" spans="1:5" x14ac:dyDescent="0.25">
      <c r="A2963" s="323" t="s">
        <v>5100</v>
      </c>
      <c r="B2963" s="323" t="s">
        <v>805</v>
      </c>
      <c r="C2963" s="323">
        <v>41441</v>
      </c>
      <c r="D2963" s="323">
        <v>353</v>
      </c>
      <c r="E2963" s="324">
        <f t="shared" si="46"/>
        <v>86082.58</v>
      </c>
    </row>
    <row r="2964" spans="1:5" x14ac:dyDescent="0.25">
      <c r="A2964" s="323" t="s">
        <v>5288</v>
      </c>
      <c r="B2964" s="323" t="s">
        <v>805</v>
      </c>
      <c r="C2964" s="323">
        <v>41441</v>
      </c>
      <c r="D2964" s="323">
        <v>433</v>
      </c>
      <c r="E2964" s="324">
        <f t="shared" si="46"/>
        <v>105591.38</v>
      </c>
    </row>
    <row r="2965" spans="1:5" x14ac:dyDescent="0.25">
      <c r="A2965" s="323" t="s">
        <v>5355</v>
      </c>
      <c r="B2965" s="323" t="s">
        <v>805</v>
      </c>
      <c r="C2965" s="323">
        <v>41441</v>
      </c>
      <c r="D2965" s="323">
        <v>218</v>
      </c>
      <c r="E2965" s="324">
        <f t="shared" si="46"/>
        <v>53161.48</v>
      </c>
    </row>
    <row r="2966" spans="1:5" x14ac:dyDescent="0.25">
      <c r="A2966" s="323" t="s">
        <v>5382</v>
      </c>
      <c r="B2966" s="323" t="s">
        <v>805</v>
      </c>
      <c r="C2966" s="323">
        <v>41441</v>
      </c>
      <c r="D2966" s="323">
        <v>174</v>
      </c>
      <c r="E2966" s="324">
        <f t="shared" si="46"/>
        <v>42431.64</v>
      </c>
    </row>
    <row r="2967" spans="1:5" x14ac:dyDescent="0.25">
      <c r="A2967" s="323" t="s">
        <v>6266</v>
      </c>
      <c r="B2967" s="323" t="s">
        <v>816</v>
      </c>
      <c r="C2967" s="323">
        <v>41441</v>
      </c>
      <c r="D2967" s="323">
        <v>80</v>
      </c>
      <c r="E2967" s="324">
        <f t="shared" si="46"/>
        <v>29263.200000000001</v>
      </c>
    </row>
    <row r="2968" spans="1:5" x14ac:dyDescent="0.25">
      <c r="A2968" s="323" t="s">
        <v>897</v>
      </c>
      <c r="B2968" s="323" t="s">
        <v>816</v>
      </c>
      <c r="C2968" s="323">
        <v>41443</v>
      </c>
      <c r="D2968" s="323">
        <v>104</v>
      </c>
      <c r="E2968" s="324">
        <f t="shared" si="46"/>
        <v>38042.160000000003</v>
      </c>
    </row>
    <row r="2969" spans="1:5" x14ac:dyDescent="0.25">
      <c r="A2969" s="323" t="s">
        <v>1068</v>
      </c>
      <c r="B2969" s="323" t="s">
        <v>805</v>
      </c>
      <c r="C2969" s="323">
        <v>41443</v>
      </c>
      <c r="D2969" s="323">
        <v>160</v>
      </c>
      <c r="E2969" s="324">
        <f t="shared" si="46"/>
        <v>39017.600000000006</v>
      </c>
    </row>
    <row r="2970" spans="1:5" x14ac:dyDescent="0.25">
      <c r="A2970" s="323" t="s">
        <v>3011</v>
      </c>
      <c r="B2970" s="323" t="s">
        <v>805</v>
      </c>
      <c r="C2970" s="323">
        <v>41443</v>
      </c>
      <c r="D2970" s="323">
        <v>141</v>
      </c>
      <c r="E2970" s="324">
        <f t="shared" si="46"/>
        <v>34384.26</v>
      </c>
    </row>
    <row r="2971" spans="1:5" x14ac:dyDescent="0.25">
      <c r="A2971" s="323" t="s">
        <v>3035</v>
      </c>
      <c r="B2971" s="323" t="s">
        <v>805</v>
      </c>
      <c r="C2971" s="323">
        <v>41443</v>
      </c>
      <c r="D2971" s="323">
        <v>291</v>
      </c>
      <c r="E2971" s="324">
        <f t="shared" si="46"/>
        <v>70963.260000000009</v>
      </c>
    </row>
    <row r="2972" spans="1:5" x14ac:dyDescent="0.25">
      <c r="A2972" s="323" t="s">
        <v>3370</v>
      </c>
      <c r="B2972" s="323" t="s">
        <v>805</v>
      </c>
      <c r="C2972" s="323">
        <v>41443</v>
      </c>
      <c r="D2972" s="323">
        <v>137</v>
      </c>
      <c r="E2972" s="324">
        <f t="shared" si="46"/>
        <v>33408.82</v>
      </c>
    </row>
    <row r="2973" spans="1:5" x14ac:dyDescent="0.25">
      <c r="A2973" s="323" t="s">
        <v>3384</v>
      </c>
      <c r="B2973" s="323" t="s">
        <v>805</v>
      </c>
      <c r="C2973" s="323">
        <v>41443</v>
      </c>
      <c r="D2973" s="323">
        <v>246</v>
      </c>
      <c r="E2973" s="324">
        <f t="shared" si="46"/>
        <v>59989.560000000005</v>
      </c>
    </row>
    <row r="2974" spans="1:5" x14ac:dyDescent="0.25">
      <c r="A2974" s="323" t="s">
        <v>3663</v>
      </c>
      <c r="B2974" s="323" t="s">
        <v>805</v>
      </c>
      <c r="C2974" s="323">
        <v>41443</v>
      </c>
      <c r="D2974" s="323">
        <v>304</v>
      </c>
      <c r="E2974" s="324">
        <f t="shared" si="46"/>
        <v>74133.440000000002</v>
      </c>
    </row>
    <row r="2975" spans="1:5" x14ac:dyDescent="0.25">
      <c r="A2975" s="323" t="s">
        <v>6076</v>
      </c>
      <c r="B2975" s="323" t="s">
        <v>805</v>
      </c>
      <c r="C2975" s="323">
        <v>41443</v>
      </c>
      <c r="D2975" s="323">
        <v>179</v>
      </c>
      <c r="E2975" s="324">
        <f t="shared" si="46"/>
        <v>43650.94</v>
      </c>
    </row>
    <row r="2976" spans="1:5" x14ac:dyDescent="0.25">
      <c r="A2976" s="323" t="s">
        <v>7215</v>
      </c>
      <c r="B2976" s="323" t="s">
        <v>805</v>
      </c>
      <c r="C2976" s="323">
        <v>41443</v>
      </c>
      <c r="D2976" s="323">
        <v>179</v>
      </c>
      <c r="E2976" s="324">
        <f t="shared" si="46"/>
        <v>43650.94</v>
      </c>
    </row>
    <row r="2977" spans="1:5" x14ac:dyDescent="0.25">
      <c r="A2977" s="323" t="s">
        <v>3387</v>
      </c>
      <c r="B2977" s="323" t="s">
        <v>805</v>
      </c>
      <c r="C2977" s="323">
        <v>41444</v>
      </c>
      <c r="D2977" s="323">
        <v>242</v>
      </c>
      <c r="E2977" s="324">
        <f t="shared" si="46"/>
        <v>59014.12</v>
      </c>
    </row>
    <row r="2978" spans="1:5" x14ac:dyDescent="0.25">
      <c r="A2978" s="323" t="s">
        <v>3649</v>
      </c>
      <c r="B2978" s="323" t="s">
        <v>805</v>
      </c>
      <c r="C2978" s="323">
        <v>41444</v>
      </c>
      <c r="D2978" s="323">
        <v>63</v>
      </c>
      <c r="E2978" s="324">
        <f t="shared" si="46"/>
        <v>15363.18</v>
      </c>
    </row>
    <row r="2979" spans="1:5" x14ac:dyDescent="0.25">
      <c r="A2979" s="323" t="s">
        <v>4057</v>
      </c>
      <c r="B2979" s="323" t="s">
        <v>805</v>
      </c>
      <c r="C2979" s="323">
        <v>41444</v>
      </c>
      <c r="D2979" s="323">
        <v>316</v>
      </c>
      <c r="E2979" s="324">
        <f t="shared" si="46"/>
        <v>77059.760000000009</v>
      </c>
    </row>
    <row r="2980" spans="1:5" x14ac:dyDescent="0.25">
      <c r="A2980" s="323" t="s">
        <v>4328</v>
      </c>
      <c r="B2980" s="323" t="s">
        <v>805</v>
      </c>
      <c r="C2980" s="323">
        <v>41444</v>
      </c>
      <c r="D2980" s="323">
        <v>221</v>
      </c>
      <c r="E2980" s="324">
        <f t="shared" si="46"/>
        <v>53893.060000000005</v>
      </c>
    </row>
    <row r="2981" spans="1:5" x14ac:dyDescent="0.25">
      <c r="A2981" s="323" t="s">
        <v>4436</v>
      </c>
      <c r="B2981" s="323" t="s">
        <v>805</v>
      </c>
      <c r="C2981" s="323">
        <v>41444</v>
      </c>
      <c r="D2981" s="323">
        <v>117</v>
      </c>
      <c r="E2981" s="324">
        <f t="shared" si="46"/>
        <v>28531.620000000003</v>
      </c>
    </row>
    <row r="2982" spans="1:5" x14ac:dyDescent="0.25">
      <c r="A2982" s="323" t="s">
        <v>4447</v>
      </c>
      <c r="B2982" s="323" t="s">
        <v>805</v>
      </c>
      <c r="C2982" s="323">
        <v>41444</v>
      </c>
      <c r="D2982" s="323">
        <v>107</v>
      </c>
      <c r="E2982" s="324">
        <f t="shared" si="46"/>
        <v>26093.02</v>
      </c>
    </row>
    <row r="2983" spans="1:5" x14ac:dyDescent="0.25">
      <c r="A2983" s="323" t="s">
        <v>4543</v>
      </c>
      <c r="B2983" s="323" t="s">
        <v>805</v>
      </c>
      <c r="C2983" s="323">
        <v>41444</v>
      </c>
      <c r="D2983" s="323">
        <v>155</v>
      </c>
      <c r="E2983" s="324">
        <f t="shared" si="46"/>
        <v>37798.300000000003</v>
      </c>
    </row>
    <row r="2984" spans="1:5" x14ac:dyDescent="0.25">
      <c r="A2984" s="323" t="s">
        <v>4554</v>
      </c>
      <c r="B2984" s="323" t="s">
        <v>805</v>
      </c>
      <c r="C2984" s="323">
        <v>41444</v>
      </c>
      <c r="D2984" s="323">
        <v>45</v>
      </c>
      <c r="E2984" s="324">
        <f t="shared" si="46"/>
        <v>10973.7</v>
      </c>
    </row>
    <row r="2985" spans="1:5" x14ac:dyDescent="0.25">
      <c r="A2985" s="323" t="s">
        <v>4633</v>
      </c>
      <c r="B2985" s="323" t="s">
        <v>805</v>
      </c>
      <c r="C2985" s="323">
        <v>41444</v>
      </c>
      <c r="D2985" s="323">
        <v>234</v>
      </c>
      <c r="E2985" s="324">
        <f t="shared" si="46"/>
        <v>57063.240000000005</v>
      </c>
    </row>
    <row r="2986" spans="1:5" x14ac:dyDescent="0.25">
      <c r="A2986" s="323" t="s">
        <v>4635</v>
      </c>
      <c r="B2986" s="323" t="s">
        <v>805</v>
      </c>
      <c r="C2986" s="323">
        <v>41444</v>
      </c>
      <c r="D2986" s="323">
        <v>500</v>
      </c>
      <c r="E2986" s="324">
        <f t="shared" si="46"/>
        <v>121930</v>
      </c>
    </row>
    <row r="2987" spans="1:5" x14ac:dyDescent="0.25">
      <c r="A2987" s="323" t="s">
        <v>4641</v>
      </c>
      <c r="B2987" s="323" t="s">
        <v>805</v>
      </c>
      <c r="C2987" s="323">
        <v>41444</v>
      </c>
      <c r="D2987" s="323">
        <v>122</v>
      </c>
      <c r="E2987" s="324">
        <f t="shared" si="46"/>
        <v>29750.920000000002</v>
      </c>
    </row>
    <row r="2988" spans="1:5" x14ac:dyDescent="0.25">
      <c r="A2988" s="323" t="s">
        <v>4708</v>
      </c>
      <c r="B2988" s="323" t="s">
        <v>805</v>
      </c>
      <c r="C2988" s="323">
        <v>41444</v>
      </c>
      <c r="D2988" s="323">
        <v>50</v>
      </c>
      <c r="E2988" s="324">
        <f t="shared" si="46"/>
        <v>12193</v>
      </c>
    </row>
    <row r="2989" spans="1:5" x14ac:dyDescent="0.25">
      <c r="A2989" s="323" t="s">
        <v>4889</v>
      </c>
      <c r="B2989" s="323" t="s">
        <v>805</v>
      </c>
      <c r="C2989" s="323">
        <v>41444</v>
      </c>
      <c r="D2989" s="323">
        <v>70</v>
      </c>
      <c r="E2989" s="324">
        <f t="shared" si="46"/>
        <v>17070.2</v>
      </c>
    </row>
    <row r="2990" spans="1:5" x14ac:dyDescent="0.25">
      <c r="A2990" s="323" t="s">
        <v>4937</v>
      </c>
      <c r="B2990" s="323" t="s">
        <v>805</v>
      </c>
      <c r="C2990" s="323">
        <v>41444</v>
      </c>
      <c r="D2990" s="323">
        <v>51</v>
      </c>
      <c r="E2990" s="324">
        <f t="shared" si="46"/>
        <v>12436.86</v>
      </c>
    </row>
    <row r="2991" spans="1:5" x14ac:dyDescent="0.25">
      <c r="A2991" s="323" t="s">
        <v>4977</v>
      </c>
      <c r="B2991" s="323" t="s">
        <v>805</v>
      </c>
      <c r="C2991" s="323">
        <v>41444</v>
      </c>
      <c r="D2991" s="323">
        <v>217</v>
      </c>
      <c r="E2991" s="324">
        <f t="shared" si="46"/>
        <v>52917.62</v>
      </c>
    </row>
    <row r="2992" spans="1:5" x14ac:dyDescent="0.25">
      <c r="A2992" s="323" t="s">
        <v>5015</v>
      </c>
      <c r="B2992" s="323" t="s">
        <v>805</v>
      </c>
      <c r="C2992" s="323">
        <v>41444</v>
      </c>
      <c r="D2992" s="323">
        <v>354</v>
      </c>
      <c r="E2992" s="324">
        <f t="shared" si="46"/>
        <v>86326.44</v>
      </c>
    </row>
    <row r="2993" spans="1:5" x14ac:dyDescent="0.25">
      <c r="A2993" s="323" t="s">
        <v>5073</v>
      </c>
      <c r="B2993" s="323" t="s">
        <v>805</v>
      </c>
      <c r="C2993" s="323">
        <v>41444</v>
      </c>
      <c r="D2993" s="323">
        <v>67</v>
      </c>
      <c r="E2993" s="324">
        <f t="shared" si="46"/>
        <v>16338.62</v>
      </c>
    </row>
    <row r="2994" spans="1:5" x14ac:dyDescent="0.25">
      <c r="A2994" s="323" t="s">
        <v>5104</v>
      </c>
      <c r="B2994" s="323" t="s">
        <v>805</v>
      </c>
      <c r="C2994" s="323">
        <v>41444</v>
      </c>
      <c r="D2994" s="323">
        <v>120</v>
      </c>
      <c r="E2994" s="324">
        <f t="shared" si="46"/>
        <v>29263.200000000001</v>
      </c>
    </row>
    <row r="2995" spans="1:5" x14ac:dyDescent="0.25">
      <c r="A2995" s="323" t="s">
        <v>5652</v>
      </c>
      <c r="B2995" s="323" t="s">
        <v>816</v>
      </c>
      <c r="C2995" s="323">
        <v>41444</v>
      </c>
      <c r="D2995" s="323">
        <v>86</v>
      </c>
      <c r="E2995" s="324">
        <f t="shared" si="46"/>
        <v>31457.940000000002</v>
      </c>
    </row>
    <row r="2996" spans="1:5" x14ac:dyDescent="0.25">
      <c r="A2996" s="323" t="s">
        <v>1175</v>
      </c>
      <c r="B2996" s="323" t="s">
        <v>805</v>
      </c>
      <c r="C2996" s="323">
        <v>41447</v>
      </c>
      <c r="D2996" s="323">
        <v>319</v>
      </c>
      <c r="E2996" s="324">
        <f t="shared" si="46"/>
        <v>77791.340000000011</v>
      </c>
    </row>
    <row r="2997" spans="1:5" x14ac:dyDescent="0.25">
      <c r="A2997" s="323" t="s">
        <v>1278</v>
      </c>
      <c r="B2997" s="323" t="s">
        <v>805</v>
      </c>
      <c r="C2997" s="323">
        <v>41447</v>
      </c>
      <c r="D2997" s="323">
        <v>474</v>
      </c>
      <c r="E2997" s="324">
        <f t="shared" si="46"/>
        <v>115589.64</v>
      </c>
    </row>
    <row r="2998" spans="1:5" x14ac:dyDescent="0.25">
      <c r="A2998" s="323" t="s">
        <v>1755</v>
      </c>
      <c r="B2998" s="323" t="s">
        <v>805</v>
      </c>
      <c r="C2998" s="323">
        <v>41447</v>
      </c>
      <c r="D2998" s="323">
        <v>153</v>
      </c>
      <c r="E2998" s="324">
        <f t="shared" si="46"/>
        <v>37310.58</v>
      </c>
    </row>
    <row r="2999" spans="1:5" x14ac:dyDescent="0.25">
      <c r="A2999" s="323" t="s">
        <v>2288</v>
      </c>
      <c r="B2999" s="323" t="s">
        <v>805</v>
      </c>
      <c r="C2999" s="323">
        <v>41447</v>
      </c>
      <c r="D2999" s="323">
        <v>328</v>
      </c>
      <c r="E2999" s="324">
        <f t="shared" si="46"/>
        <v>79986.080000000002</v>
      </c>
    </row>
    <row r="3000" spans="1:5" x14ac:dyDescent="0.25">
      <c r="A3000" s="323" t="s">
        <v>3124</v>
      </c>
      <c r="B3000" s="323" t="s">
        <v>805</v>
      </c>
      <c r="C3000" s="323">
        <v>41447</v>
      </c>
      <c r="D3000" s="323">
        <v>507</v>
      </c>
      <c r="E3000" s="324">
        <f t="shared" si="46"/>
        <v>123637.02</v>
      </c>
    </row>
    <row r="3001" spans="1:5" x14ac:dyDescent="0.25">
      <c r="A3001" s="323" t="s">
        <v>3459</v>
      </c>
      <c r="B3001" s="323" t="s">
        <v>805</v>
      </c>
      <c r="C3001" s="323">
        <v>41447</v>
      </c>
      <c r="D3001" s="323">
        <v>308</v>
      </c>
      <c r="E3001" s="324">
        <f t="shared" si="46"/>
        <v>75108.88</v>
      </c>
    </row>
    <row r="3002" spans="1:5" x14ac:dyDescent="0.25">
      <c r="A3002" s="323" t="s">
        <v>3479</v>
      </c>
      <c r="B3002" s="323" t="s">
        <v>805</v>
      </c>
      <c r="C3002" s="323">
        <v>41447</v>
      </c>
      <c r="D3002" s="323">
        <v>339</v>
      </c>
      <c r="E3002" s="324">
        <f t="shared" si="46"/>
        <v>82668.540000000008</v>
      </c>
    </row>
    <row r="3003" spans="1:5" x14ac:dyDescent="0.25">
      <c r="A3003" s="323" t="s">
        <v>3920</v>
      </c>
      <c r="B3003" s="323" t="s">
        <v>805</v>
      </c>
      <c r="C3003" s="323">
        <v>41447</v>
      </c>
      <c r="D3003" s="323">
        <v>114</v>
      </c>
      <c r="E3003" s="324">
        <f t="shared" si="46"/>
        <v>27800.04</v>
      </c>
    </row>
    <row r="3004" spans="1:5" x14ac:dyDescent="0.25">
      <c r="A3004" s="323" t="s">
        <v>4087</v>
      </c>
      <c r="B3004" s="323" t="s">
        <v>805</v>
      </c>
      <c r="C3004" s="323">
        <v>41447</v>
      </c>
      <c r="D3004" s="323">
        <v>225</v>
      </c>
      <c r="E3004" s="324">
        <f t="shared" si="46"/>
        <v>54868.5</v>
      </c>
    </row>
    <row r="3005" spans="1:5" x14ac:dyDescent="0.25">
      <c r="A3005" s="323" t="s">
        <v>4452</v>
      </c>
      <c r="B3005" s="323" t="s">
        <v>805</v>
      </c>
      <c r="C3005" s="323">
        <v>41447</v>
      </c>
      <c r="D3005" s="323">
        <v>235</v>
      </c>
      <c r="E3005" s="324">
        <f t="shared" si="46"/>
        <v>57307.100000000006</v>
      </c>
    </row>
    <row r="3006" spans="1:5" x14ac:dyDescent="0.25">
      <c r="A3006" s="323" t="s">
        <v>4542</v>
      </c>
      <c r="B3006" s="323" t="s">
        <v>805</v>
      </c>
      <c r="C3006" s="323">
        <v>41447</v>
      </c>
      <c r="D3006" s="323">
        <v>245</v>
      </c>
      <c r="E3006" s="324">
        <f t="shared" si="46"/>
        <v>59745.700000000004</v>
      </c>
    </row>
    <row r="3007" spans="1:5" x14ac:dyDescent="0.25">
      <c r="A3007" s="323" t="s">
        <v>4632</v>
      </c>
      <c r="B3007" s="323" t="s">
        <v>805</v>
      </c>
      <c r="C3007" s="323">
        <v>41447</v>
      </c>
      <c r="D3007" s="323">
        <v>199</v>
      </c>
      <c r="E3007" s="324">
        <f t="shared" si="46"/>
        <v>48528.14</v>
      </c>
    </row>
    <row r="3008" spans="1:5" x14ac:dyDescent="0.25">
      <c r="A3008" s="323" t="s">
        <v>6667</v>
      </c>
      <c r="B3008" s="323" t="s">
        <v>805</v>
      </c>
      <c r="C3008" s="323">
        <v>41447</v>
      </c>
      <c r="D3008" s="323">
        <v>172</v>
      </c>
      <c r="E3008" s="324">
        <f t="shared" si="46"/>
        <v>41943.920000000006</v>
      </c>
    </row>
    <row r="3009" spans="1:5" x14ac:dyDescent="0.25">
      <c r="A3009" s="323" t="s">
        <v>6669</v>
      </c>
      <c r="B3009" s="323" t="s">
        <v>805</v>
      </c>
      <c r="C3009" s="323">
        <v>41447</v>
      </c>
      <c r="D3009" s="323">
        <v>255</v>
      </c>
      <c r="E3009" s="324">
        <f t="shared" si="46"/>
        <v>62184.3</v>
      </c>
    </row>
    <row r="3010" spans="1:5" x14ac:dyDescent="0.25">
      <c r="A3010" s="323" t="s">
        <v>7201</v>
      </c>
      <c r="B3010" s="323" t="s">
        <v>805</v>
      </c>
      <c r="C3010" s="323">
        <v>41447</v>
      </c>
      <c r="D3010" s="323">
        <v>450</v>
      </c>
      <c r="E3010" s="324">
        <f t="shared" ref="E3010:E3073" si="47">D3010*IF(B3010=$G$9,WerkdrukbedragPerLeerlingBo,IF(B3010=$G$10,WerkdrukbedragPerLeerlingSbo,IF(B3010=$G$11,WerkdrukbedragPerLeerlingSo,IF(B3010=$G$12,WerkdrukbedragPerLeerlingVso,0))))</f>
        <v>109737</v>
      </c>
    </row>
    <row r="3011" spans="1:5" x14ac:dyDescent="0.25">
      <c r="A3011" s="323" t="s">
        <v>7385</v>
      </c>
      <c r="B3011" s="323" t="s">
        <v>805</v>
      </c>
      <c r="C3011" s="323">
        <v>41447</v>
      </c>
      <c r="D3011" s="323">
        <v>346</v>
      </c>
      <c r="E3011" s="324">
        <f t="shared" si="47"/>
        <v>84375.56</v>
      </c>
    </row>
    <row r="3012" spans="1:5" x14ac:dyDescent="0.25">
      <c r="A3012" s="323" t="s">
        <v>2066</v>
      </c>
      <c r="B3012" s="323" t="s">
        <v>809</v>
      </c>
      <c r="C3012" s="323">
        <v>41448</v>
      </c>
      <c r="D3012" s="323">
        <v>103</v>
      </c>
      <c r="E3012" s="324">
        <f t="shared" si="47"/>
        <v>50235.16</v>
      </c>
    </row>
    <row r="3013" spans="1:5" x14ac:dyDescent="0.25">
      <c r="A3013" s="323" t="s">
        <v>2066</v>
      </c>
      <c r="B3013" s="323" t="s">
        <v>809</v>
      </c>
      <c r="C3013" s="323">
        <v>41448</v>
      </c>
      <c r="D3013" s="323">
        <v>50</v>
      </c>
      <c r="E3013" s="324">
        <f t="shared" si="47"/>
        <v>24386</v>
      </c>
    </row>
    <row r="3014" spans="1:5" x14ac:dyDescent="0.25">
      <c r="A3014" s="323" t="s">
        <v>2066</v>
      </c>
      <c r="B3014" s="323" t="s">
        <v>809</v>
      </c>
      <c r="C3014" s="323">
        <v>41448</v>
      </c>
      <c r="D3014" s="323">
        <v>32</v>
      </c>
      <c r="E3014" s="324">
        <f t="shared" si="47"/>
        <v>15607.04</v>
      </c>
    </row>
    <row r="3015" spans="1:5" x14ac:dyDescent="0.25">
      <c r="A3015" s="323" t="s">
        <v>6919</v>
      </c>
      <c r="B3015" s="323" t="s">
        <v>809</v>
      </c>
      <c r="C3015" s="323">
        <v>41448</v>
      </c>
      <c r="D3015" s="323">
        <v>85</v>
      </c>
      <c r="E3015" s="324">
        <f t="shared" si="47"/>
        <v>41456.200000000004</v>
      </c>
    </row>
    <row r="3016" spans="1:5" x14ac:dyDescent="0.25">
      <c r="A3016" s="323" t="s">
        <v>6919</v>
      </c>
      <c r="B3016" s="323" t="s">
        <v>809</v>
      </c>
      <c r="C3016" s="323">
        <v>41448</v>
      </c>
      <c r="D3016" s="323">
        <v>41</v>
      </c>
      <c r="E3016" s="324">
        <f t="shared" si="47"/>
        <v>19996.52</v>
      </c>
    </row>
    <row r="3017" spans="1:5" x14ac:dyDescent="0.25">
      <c r="A3017" s="323" t="s">
        <v>5125</v>
      </c>
      <c r="B3017" s="323" t="s">
        <v>809</v>
      </c>
      <c r="C3017" s="323">
        <v>41450</v>
      </c>
      <c r="D3017" s="323">
        <v>75</v>
      </c>
      <c r="E3017" s="324">
        <f t="shared" si="47"/>
        <v>36579</v>
      </c>
    </row>
    <row r="3018" spans="1:5" x14ac:dyDescent="0.25">
      <c r="A3018" s="323" t="s">
        <v>5125</v>
      </c>
      <c r="B3018" s="323" t="s">
        <v>803</v>
      </c>
      <c r="C3018" s="323">
        <v>41450</v>
      </c>
      <c r="D3018" s="323">
        <v>117</v>
      </c>
      <c r="E3018" s="324">
        <f t="shared" si="47"/>
        <v>57063.240000000005</v>
      </c>
    </row>
    <row r="3019" spans="1:5" x14ac:dyDescent="0.25">
      <c r="A3019" s="323" t="s">
        <v>5125</v>
      </c>
      <c r="B3019" s="323" t="s">
        <v>809</v>
      </c>
      <c r="C3019" s="323">
        <v>41450</v>
      </c>
      <c r="D3019" s="323">
        <v>79</v>
      </c>
      <c r="E3019" s="324">
        <f t="shared" si="47"/>
        <v>38529.880000000005</v>
      </c>
    </row>
    <row r="3020" spans="1:5" x14ac:dyDescent="0.25">
      <c r="A3020" s="323" t="s">
        <v>977</v>
      </c>
      <c r="B3020" s="323" t="s">
        <v>816</v>
      </c>
      <c r="C3020" s="323">
        <v>41454</v>
      </c>
      <c r="D3020" s="323">
        <v>323</v>
      </c>
      <c r="E3020" s="324">
        <f t="shared" si="47"/>
        <v>118150.17000000001</v>
      </c>
    </row>
    <row r="3021" spans="1:5" x14ac:dyDescent="0.25">
      <c r="A3021" s="323" t="s">
        <v>2151</v>
      </c>
      <c r="B3021" s="323" t="s">
        <v>805</v>
      </c>
      <c r="C3021" s="323">
        <v>41454</v>
      </c>
      <c r="D3021" s="323">
        <v>428</v>
      </c>
      <c r="E3021" s="324">
        <f t="shared" si="47"/>
        <v>104372.08</v>
      </c>
    </row>
    <row r="3022" spans="1:5" x14ac:dyDescent="0.25">
      <c r="A3022" s="323" t="s">
        <v>2713</v>
      </c>
      <c r="B3022" s="323" t="s">
        <v>805</v>
      </c>
      <c r="C3022" s="323">
        <v>41454</v>
      </c>
      <c r="D3022" s="323">
        <v>181</v>
      </c>
      <c r="E3022" s="324">
        <f t="shared" si="47"/>
        <v>44138.66</v>
      </c>
    </row>
    <row r="3023" spans="1:5" x14ac:dyDescent="0.25">
      <c r="A3023" s="323" t="s">
        <v>3515</v>
      </c>
      <c r="B3023" s="323" t="s">
        <v>805</v>
      </c>
      <c r="C3023" s="323">
        <v>41454</v>
      </c>
      <c r="D3023" s="323">
        <v>225</v>
      </c>
      <c r="E3023" s="324">
        <f t="shared" si="47"/>
        <v>54868.5</v>
      </c>
    </row>
    <row r="3024" spans="1:5" x14ac:dyDescent="0.25">
      <c r="A3024" s="323" t="s">
        <v>3632</v>
      </c>
      <c r="B3024" s="323" t="s">
        <v>805</v>
      </c>
      <c r="C3024" s="323">
        <v>41454</v>
      </c>
      <c r="D3024" s="323">
        <v>220</v>
      </c>
      <c r="E3024" s="324">
        <f t="shared" si="47"/>
        <v>53649.200000000004</v>
      </c>
    </row>
    <row r="3025" spans="1:5" x14ac:dyDescent="0.25">
      <c r="A3025" s="323" t="s">
        <v>3778</v>
      </c>
      <c r="B3025" s="323" t="s">
        <v>805</v>
      </c>
      <c r="C3025" s="323">
        <v>41454</v>
      </c>
      <c r="D3025" s="323">
        <v>299</v>
      </c>
      <c r="E3025" s="324">
        <f t="shared" si="47"/>
        <v>72914.14</v>
      </c>
    </row>
    <row r="3026" spans="1:5" x14ac:dyDescent="0.25">
      <c r="A3026" s="323" t="s">
        <v>3815</v>
      </c>
      <c r="B3026" s="323" t="s">
        <v>805</v>
      </c>
      <c r="C3026" s="323">
        <v>41454</v>
      </c>
      <c r="D3026" s="323">
        <v>315</v>
      </c>
      <c r="E3026" s="324">
        <f t="shared" si="47"/>
        <v>76815.900000000009</v>
      </c>
    </row>
    <row r="3027" spans="1:5" x14ac:dyDescent="0.25">
      <c r="A3027" s="323" t="s">
        <v>3873</v>
      </c>
      <c r="B3027" s="323" t="s">
        <v>805</v>
      </c>
      <c r="C3027" s="323">
        <v>41454</v>
      </c>
      <c r="D3027" s="323">
        <v>392</v>
      </c>
      <c r="E3027" s="324">
        <f t="shared" si="47"/>
        <v>95593.12000000001</v>
      </c>
    </row>
    <row r="3028" spans="1:5" x14ac:dyDescent="0.25">
      <c r="A3028" s="323" t="s">
        <v>4001</v>
      </c>
      <c r="B3028" s="323" t="s">
        <v>805</v>
      </c>
      <c r="C3028" s="323">
        <v>41454</v>
      </c>
      <c r="D3028" s="323">
        <v>160</v>
      </c>
      <c r="E3028" s="324">
        <f t="shared" si="47"/>
        <v>39017.600000000006</v>
      </c>
    </row>
    <row r="3029" spans="1:5" x14ac:dyDescent="0.25">
      <c r="A3029" s="323" t="s">
        <v>4154</v>
      </c>
      <c r="B3029" s="323" t="s">
        <v>805</v>
      </c>
      <c r="C3029" s="323">
        <v>41454</v>
      </c>
      <c r="D3029" s="323">
        <v>216</v>
      </c>
      <c r="E3029" s="324">
        <f t="shared" si="47"/>
        <v>52673.760000000002</v>
      </c>
    </row>
    <row r="3030" spans="1:5" x14ac:dyDescent="0.25">
      <c r="A3030" s="323" t="s">
        <v>4286</v>
      </c>
      <c r="B3030" s="323" t="s">
        <v>805</v>
      </c>
      <c r="C3030" s="323">
        <v>41454</v>
      </c>
      <c r="D3030" s="323">
        <v>177</v>
      </c>
      <c r="E3030" s="324">
        <f t="shared" si="47"/>
        <v>43163.22</v>
      </c>
    </row>
    <row r="3031" spans="1:5" x14ac:dyDescent="0.25">
      <c r="A3031" s="323" t="s">
        <v>4673</v>
      </c>
      <c r="B3031" s="323" t="s">
        <v>805</v>
      </c>
      <c r="C3031" s="323">
        <v>41454</v>
      </c>
      <c r="D3031" s="323">
        <v>244</v>
      </c>
      <c r="E3031" s="324">
        <f t="shared" si="47"/>
        <v>59501.840000000004</v>
      </c>
    </row>
    <row r="3032" spans="1:5" x14ac:dyDescent="0.25">
      <c r="A3032" s="323" t="s">
        <v>4729</v>
      </c>
      <c r="B3032" s="323" t="s">
        <v>805</v>
      </c>
      <c r="C3032" s="323">
        <v>41454</v>
      </c>
      <c r="D3032" s="323">
        <v>560</v>
      </c>
      <c r="E3032" s="324">
        <f t="shared" si="47"/>
        <v>136561.60000000001</v>
      </c>
    </row>
    <row r="3033" spans="1:5" x14ac:dyDescent="0.25">
      <c r="A3033" s="323" t="s">
        <v>4851</v>
      </c>
      <c r="B3033" s="323" t="s">
        <v>805</v>
      </c>
      <c r="C3033" s="323">
        <v>41454</v>
      </c>
      <c r="D3033" s="323">
        <v>419</v>
      </c>
      <c r="E3033" s="324">
        <f t="shared" si="47"/>
        <v>102177.34000000001</v>
      </c>
    </row>
    <row r="3034" spans="1:5" x14ac:dyDescent="0.25">
      <c r="A3034" s="323" t="s">
        <v>1066</v>
      </c>
      <c r="B3034" s="323" t="s">
        <v>805</v>
      </c>
      <c r="C3034" s="323">
        <v>41455</v>
      </c>
      <c r="D3034" s="323">
        <v>123</v>
      </c>
      <c r="E3034" s="324">
        <f t="shared" si="47"/>
        <v>29994.780000000002</v>
      </c>
    </row>
    <row r="3035" spans="1:5" x14ac:dyDescent="0.25">
      <c r="A3035" s="323" t="s">
        <v>1443</v>
      </c>
      <c r="B3035" s="323" t="s">
        <v>805</v>
      </c>
      <c r="C3035" s="323">
        <v>41455</v>
      </c>
      <c r="D3035" s="323">
        <v>344</v>
      </c>
      <c r="E3035" s="324">
        <f t="shared" si="47"/>
        <v>83887.840000000011</v>
      </c>
    </row>
    <row r="3036" spans="1:5" x14ac:dyDescent="0.25">
      <c r="A3036" s="323" t="s">
        <v>2078</v>
      </c>
      <c r="B3036" s="323" t="s">
        <v>805</v>
      </c>
      <c r="C3036" s="323">
        <v>41455</v>
      </c>
      <c r="D3036" s="323">
        <v>193</v>
      </c>
      <c r="E3036" s="324">
        <f t="shared" si="47"/>
        <v>47064.98</v>
      </c>
    </row>
    <row r="3037" spans="1:5" x14ac:dyDescent="0.25">
      <c r="A3037" s="323" t="s">
        <v>2121</v>
      </c>
      <c r="B3037" s="323" t="s">
        <v>805</v>
      </c>
      <c r="C3037" s="323">
        <v>41455</v>
      </c>
      <c r="D3037" s="323">
        <v>148</v>
      </c>
      <c r="E3037" s="324">
        <f t="shared" si="47"/>
        <v>36091.279999999999</v>
      </c>
    </row>
    <row r="3038" spans="1:5" x14ac:dyDescent="0.25">
      <c r="A3038" s="323" t="s">
        <v>2143</v>
      </c>
      <c r="B3038" s="323" t="s">
        <v>805</v>
      </c>
      <c r="C3038" s="323">
        <v>41455</v>
      </c>
      <c r="D3038" s="323">
        <v>327</v>
      </c>
      <c r="E3038" s="324">
        <f t="shared" si="47"/>
        <v>79742.22</v>
      </c>
    </row>
    <row r="3039" spans="1:5" x14ac:dyDescent="0.25">
      <c r="A3039" s="323" t="s">
        <v>6169</v>
      </c>
      <c r="B3039" s="323" t="s">
        <v>805</v>
      </c>
      <c r="C3039" s="323">
        <v>41455</v>
      </c>
      <c r="D3039" s="323">
        <v>466</v>
      </c>
      <c r="E3039" s="324">
        <f t="shared" si="47"/>
        <v>113638.76000000001</v>
      </c>
    </row>
    <row r="3040" spans="1:5" x14ac:dyDescent="0.25">
      <c r="A3040" s="323" t="s">
        <v>6743</v>
      </c>
      <c r="B3040" s="323" t="s">
        <v>805</v>
      </c>
      <c r="C3040" s="323">
        <v>41455</v>
      </c>
      <c r="D3040" s="323">
        <v>193</v>
      </c>
      <c r="E3040" s="324">
        <f t="shared" si="47"/>
        <v>47064.98</v>
      </c>
    </row>
    <row r="3041" spans="1:5" x14ac:dyDescent="0.25">
      <c r="A3041" s="323" t="s">
        <v>4202</v>
      </c>
      <c r="B3041" s="323" t="s">
        <v>805</v>
      </c>
      <c r="C3041" s="323">
        <v>41456</v>
      </c>
      <c r="D3041" s="323">
        <v>310</v>
      </c>
      <c r="E3041" s="324">
        <f t="shared" si="47"/>
        <v>75596.600000000006</v>
      </c>
    </row>
    <row r="3042" spans="1:5" x14ac:dyDescent="0.25">
      <c r="A3042" s="323" t="s">
        <v>4429</v>
      </c>
      <c r="B3042" s="323" t="s">
        <v>805</v>
      </c>
      <c r="C3042" s="323">
        <v>41456</v>
      </c>
      <c r="D3042" s="323">
        <v>471</v>
      </c>
      <c r="E3042" s="324">
        <f t="shared" si="47"/>
        <v>114858.06000000001</v>
      </c>
    </row>
    <row r="3043" spans="1:5" x14ac:dyDescent="0.25">
      <c r="A3043" s="323" t="s">
        <v>1476</v>
      </c>
      <c r="B3043" s="323" t="s">
        <v>805</v>
      </c>
      <c r="C3043" s="323">
        <v>41460</v>
      </c>
      <c r="D3043" s="323">
        <v>56</v>
      </c>
      <c r="E3043" s="324">
        <f t="shared" si="47"/>
        <v>13656.16</v>
      </c>
    </row>
    <row r="3044" spans="1:5" x14ac:dyDescent="0.25">
      <c r="A3044" s="323" t="s">
        <v>1538</v>
      </c>
      <c r="B3044" s="323" t="s">
        <v>805</v>
      </c>
      <c r="C3044" s="323">
        <v>41460</v>
      </c>
      <c r="D3044" s="323">
        <v>157</v>
      </c>
      <c r="E3044" s="324">
        <f t="shared" si="47"/>
        <v>38286.020000000004</v>
      </c>
    </row>
    <row r="3045" spans="1:5" x14ac:dyDescent="0.25">
      <c r="A3045" s="323" t="s">
        <v>2075</v>
      </c>
      <c r="B3045" s="323" t="s">
        <v>805</v>
      </c>
      <c r="C3045" s="323">
        <v>41460</v>
      </c>
      <c r="D3045" s="323">
        <v>65</v>
      </c>
      <c r="E3045" s="324">
        <f t="shared" si="47"/>
        <v>15850.900000000001</v>
      </c>
    </row>
    <row r="3046" spans="1:5" x14ac:dyDescent="0.25">
      <c r="A3046" s="323" t="s">
        <v>2517</v>
      </c>
      <c r="B3046" s="323" t="s">
        <v>805</v>
      </c>
      <c r="C3046" s="323">
        <v>41460</v>
      </c>
      <c r="D3046" s="323">
        <v>204</v>
      </c>
      <c r="E3046" s="324">
        <f t="shared" si="47"/>
        <v>49747.44</v>
      </c>
    </row>
    <row r="3047" spans="1:5" x14ac:dyDescent="0.25">
      <c r="A3047" s="323" t="s">
        <v>2521</v>
      </c>
      <c r="B3047" s="323" t="s">
        <v>805</v>
      </c>
      <c r="C3047" s="323">
        <v>41460</v>
      </c>
      <c r="D3047" s="323">
        <v>208</v>
      </c>
      <c r="E3047" s="324">
        <f t="shared" si="47"/>
        <v>50722.880000000005</v>
      </c>
    </row>
    <row r="3048" spans="1:5" x14ac:dyDescent="0.25">
      <c r="A3048" s="323" t="s">
        <v>2917</v>
      </c>
      <c r="B3048" s="323" t="s">
        <v>805</v>
      </c>
      <c r="C3048" s="323">
        <v>41460</v>
      </c>
      <c r="D3048" s="323">
        <v>129</v>
      </c>
      <c r="E3048" s="324">
        <f t="shared" si="47"/>
        <v>31457.940000000002</v>
      </c>
    </row>
    <row r="3049" spans="1:5" x14ac:dyDescent="0.25">
      <c r="A3049" s="323" t="s">
        <v>3234</v>
      </c>
      <c r="B3049" s="323" t="s">
        <v>805</v>
      </c>
      <c r="C3049" s="323">
        <v>41460</v>
      </c>
      <c r="D3049" s="323">
        <v>344</v>
      </c>
      <c r="E3049" s="324">
        <f t="shared" si="47"/>
        <v>83887.840000000011</v>
      </c>
    </row>
    <row r="3050" spans="1:5" x14ac:dyDescent="0.25">
      <c r="A3050" s="323" t="s">
        <v>3344</v>
      </c>
      <c r="B3050" s="323" t="s">
        <v>805</v>
      </c>
      <c r="C3050" s="323">
        <v>41460</v>
      </c>
      <c r="D3050" s="323">
        <v>177</v>
      </c>
      <c r="E3050" s="324">
        <f t="shared" si="47"/>
        <v>43163.22</v>
      </c>
    </row>
    <row r="3051" spans="1:5" x14ac:dyDescent="0.25">
      <c r="A3051" s="323" t="s">
        <v>3556</v>
      </c>
      <c r="B3051" s="323" t="s">
        <v>805</v>
      </c>
      <c r="C3051" s="323">
        <v>41460</v>
      </c>
      <c r="D3051" s="323">
        <v>190</v>
      </c>
      <c r="E3051" s="324">
        <f t="shared" si="47"/>
        <v>46333.4</v>
      </c>
    </row>
    <row r="3052" spans="1:5" x14ac:dyDescent="0.25">
      <c r="A3052" s="323" t="s">
        <v>4269</v>
      </c>
      <c r="B3052" s="323" t="s">
        <v>805</v>
      </c>
      <c r="C3052" s="323">
        <v>41460</v>
      </c>
      <c r="D3052" s="323">
        <v>166</v>
      </c>
      <c r="E3052" s="324">
        <f t="shared" si="47"/>
        <v>40480.76</v>
      </c>
    </row>
    <row r="3053" spans="1:5" x14ac:dyDescent="0.25">
      <c r="A3053" s="323" t="s">
        <v>4376</v>
      </c>
      <c r="B3053" s="323" t="s">
        <v>805</v>
      </c>
      <c r="C3053" s="323">
        <v>41460</v>
      </c>
      <c r="D3053" s="323">
        <v>196</v>
      </c>
      <c r="E3053" s="324">
        <f t="shared" si="47"/>
        <v>47796.560000000005</v>
      </c>
    </row>
    <row r="3054" spans="1:5" x14ac:dyDescent="0.25">
      <c r="A3054" s="323" t="s">
        <v>4376</v>
      </c>
      <c r="B3054" s="323" t="s">
        <v>805</v>
      </c>
      <c r="C3054" s="323">
        <v>41460</v>
      </c>
      <c r="D3054" s="323">
        <v>67</v>
      </c>
      <c r="E3054" s="324">
        <f t="shared" si="47"/>
        <v>16338.62</v>
      </c>
    </row>
    <row r="3055" spans="1:5" x14ac:dyDescent="0.25">
      <c r="A3055" s="323" t="s">
        <v>4667</v>
      </c>
      <c r="B3055" s="323" t="s">
        <v>805</v>
      </c>
      <c r="C3055" s="323">
        <v>41460</v>
      </c>
      <c r="D3055" s="323">
        <v>203</v>
      </c>
      <c r="E3055" s="324">
        <f t="shared" si="47"/>
        <v>49503.58</v>
      </c>
    </row>
    <row r="3056" spans="1:5" x14ac:dyDescent="0.25">
      <c r="A3056" s="323" t="s">
        <v>4798</v>
      </c>
      <c r="B3056" s="323" t="s">
        <v>805</v>
      </c>
      <c r="C3056" s="323">
        <v>41460</v>
      </c>
      <c r="D3056" s="323">
        <v>95</v>
      </c>
      <c r="E3056" s="324">
        <f t="shared" si="47"/>
        <v>23166.7</v>
      </c>
    </row>
    <row r="3057" spans="1:5" x14ac:dyDescent="0.25">
      <c r="A3057" s="323" t="s">
        <v>6903</v>
      </c>
      <c r="B3057" s="323" t="s">
        <v>805</v>
      </c>
      <c r="C3057" s="323">
        <v>41460</v>
      </c>
      <c r="D3057" s="323">
        <v>281</v>
      </c>
      <c r="E3057" s="324">
        <f t="shared" si="47"/>
        <v>68524.66</v>
      </c>
    </row>
    <row r="3058" spans="1:5" x14ac:dyDescent="0.25">
      <c r="A3058" s="323" t="s">
        <v>4324</v>
      </c>
      <c r="B3058" s="323" t="s">
        <v>805</v>
      </c>
      <c r="C3058" s="323">
        <v>41461</v>
      </c>
      <c r="D3058" s="323">
        <v>337</v>
      </c>
      <c r="E3058" s="324">
        <f t="shared" si="47"/>
        <v>82180.820000000007</v>
      </c>
    </row>
    <row r="3059" spans="1:5" x14ac:dyDescent="0.25">
      <c r="A3059" s="323" t="s">
        <v>4538</v>
      </c>
      <c r="B3059" s="323" t="s">
        <v>805</v>
      </c>
      <c r="C3059" s="323">
        <v>41461</v>
      </c>
      <c r="D3059" s="323">
        <v>170</v>
      </c>
      <c r="E3059" s="324">
        <f t="shared" si="47"/>
        <v>41456.200000000004</v>
      </c>
    </row>
    <row r="3060" spans="1:5" x14ac:dyDescent="0.25">
      <c r="A3060" s="323" t="s">
        <v>4630</v>
      </c>
      <c r="B3060" s="323" t="s">
        <v>805</v>
      </c>
      <c r="C3060" s="323">
        <v>41461</v>
      </c>
      <c r="D3060" s="323">
        <v>346</v>
      </c>
      <c r="E3060" s="324">
        <f t="shared" si="47"/>
        <v>84375.56</v>
      </c>
    </row>
    <row r="3061" spans="1:5" x14ac:dyDescent="0.25">
      <c r="A3061" s="323" t="s">
        <v>6233</v>
      </c>
      <c r="B3061" s="323" t="s">
        <v>805</v>
      </c>
      <c r="C3061" s="323">
        <v>41461</v>
      </c>
      <c r="D3061" s="323">
        <v>238</v>
      </c>
      <c r="E3061" s="324">
        <f t="shared" si="47"/>
        <v>58038.68</v>
      </c>
    </row>
    <row r="3062" spans="1:5" x14ac:dyDescent="0.25">
      <c r="A3062" s="323" t="s">
        <v>6250</v>
      </c>
      <c r="B3062" s="323" t="s">
        <v>805</v>
      </c>
      <c r="C3062" s="323">
        <v>41461</v>
      </c>
      <c r="D3062" s="323">
        <v>167</v>
      </c>
      <c r="E3062" s="324">
        <f t="shared" si="47"/>
        <v>40724.620000000003</v>
      </c>
    </row>
    <row r="3063" spans="1:5" x14ac:dyDescent="0.25">
      <c r="A3063" s="323" t="s">
        <v>6283</v>
      </c>
      <c r="B3063" s="323" t="s">
        <v>805</v>
      </c>
      <c r="C3063" s="323">
        <v>41461</v>
      </c>
      <c r="D3063" s="323">
        <v>134</v>
      </c>
      <c r="E3063" s="324">
        <f t="shared" si="47"/>
        <v>32677.24</v>
      </c>
    </row>
    <row r="3064" spans="1:5" x14ac:dyDescent="0.25">
      <c r="A3064" s="323" t="s">
        <v>6482</v>
      </c>
      <c r="B3064" s="323" t="s">
        <v>816</v>
      </c>
      <c r="C3064" s="323">
        <v>41461</v>
      </c>
      <c r="D3064" s="323">
        <v>94</v>
      </c>
      <c r="E3064" s="324">
        <f t="shared" si="47"/>
        <v>34384.26</v>
      </c>
    </row>
    <row r="3065" spans="1:5" x14ac:dyDescent="0.25">
      <c r="A3065" s="323" t="s">
        <v>6893</v>
      </c>
      <c r="B3065" s="323" t="s">
        <v>805</v>
      </c>
      <c r="C3065" s="323">
        <v>41461</v>
      </c>
      <c r="D3065" s="323">
        <v>320</v>
      </c>
      <c r="E3065" s="324">
        <f t="shared" si="47"/>
        <v>78035.200000000012</v>
      </c>
    </row>
    <row r="3066" spans="1:5" x14ac:dyDescent="0.25">
      <c r="A3066" s="323" t="s">
        <v>6505</v>
      </c>
      <c r="B3066" s="323" t="s">
        <v>816</v>
      </c>
      <c r="C3066" s="323">
        <v>41463</v>
      </c>
      <c r="D3066" s="323">
        <v>116</v>
      </c>
      <c r="E3066" s="324">
        <f t="shared" si="47"/>
        <v>42431.64</v>
      </c>
    </row>
    <row r="3067" spans="1:5" x14ac:dyDescent="0.25">
      <c r="A3067" s="323" t="s">
        <v>1435</v>
      </c>
      <c r="B3067" s="323" t="s">
        <v>805</v>
      </c>
      <c r="C3067" s="323">
        <v>41471</v>
      </c>
      <c r="D3067" s="323">
        <v>55</v>
      </c>
      <c r="E3067" s="324">
        <f t="shared" si="47"/>
        <v>13412.300000000001</v>
      </c>
    </row>
    <row r="3068" spans="1:5" x14ac:dyDescent="0.25">
      <c r="A3068" s="323" t="s">
        <v>1444</v>
      </c>
      <c r="B3068" s="323" t="s">
        <v>805</v>
      </c>
      <c r="C3068" s="323">
        <v>41471</v>
      </c>
      <c r="D3068" s="323">
        <v>123</v>
      </c>
      <c r="E3068" s="324">
        <f t="shared" si="47"/>
        <v>29994.780000000002</v>
      </c>
    </row>
    <row r="3069" spans="1:5" x14ac:dyDescent="0.25">
      <c r="A3069" s="323" t="s">
        <v>2120</v>
      </c>
      <c r="B3069" s="323" t="s">
        <v>805</v>
      </c>
      <c r="C3069" s="323">
        <v>41471</v>
      </c>
      <c r="D3069" s="323">
        <v>44</v>
      </c>
      <c r="E3069" s="324">
        <f t="shared" si="47"/>
        <v>10729.84</v>
      </c>
    </row>
    <row r="3070" spans="1:5" x14ac:dyDescent="0.25">
      <c r="A3070" s="323" t="s">
        <v>2144</v>
      </c>
      <c r="B3070" s="323" t="s">
        <v>805</v>
      </c>
      <c r="C3070" s="323">
        <v>41471</v>
      </c>
      <c r="D3070" s="323">
        <v>199</v>
      </c>
      <c r="E3070" s="324">
        <f t="shared" si="47"/>
        <v>48528.14</v>
      </c>
    </row>
    <row r="3071" spans="1:5" x14ac:dyDescent="0.25">
      <c r="A3071" s="323" t="s">
        <v>2631</v>
      </c>
      <c r="B3071" s="323" t="s">
        <v>805</v>
      </c>
      <c r="C3071" s="323">
        <v>41471</v>
      </c>
      <c r="D3071" s="323">
        <v>249</v>
      </c>
      <c r="E3071" s="324">
        <f t="shared" si="47"/>
        <v>60721.140000000007</v>
      </c>
    </row>
    <row r="3072" spans="1:5" x14ac:dyDescent="0.25">
      <c r="A3072" s="323" t="s">
        <v>2996</v>
      </c>
      <c r="B3072" s="323" t="s">
        <v>805</v>
      </c>
      <c r="C3072" s="323">
        <v>41471</v>
      </c>
      <c r="D3072" s="323">
        <v>150</v>
      </c>
      <c r="E3072" s="324">
        <f t="shared" si="47"/>
        <v>36579</v>
      </c>
    </row>
    <row r="3073" spans="1:5" x14ac:dyDescent="0.25">
      <c r="A3073" s="323" t="s">
        <v>3396</v>
      </c>
      <c r="B3073" s="323" t="s">
        <v>805</v>
      </c>
      <c r="C3073" s="323">
        <v>41471</v>
      </c>
      <c r="D3073" s="323">
        <v>459</v>
      </c>
      <c r="E3073" s="324">
        <f t="shared" si="47"/>
        <v>111931.74</v>
      </c>
    </row>
    <row r="3074" spans="1:5" x14ac:dyDescent="0.25">
      <c r="A3074" s="323" t="s">
        <v>3676</v>
      </c>
      <c r="B3074" s="323" t="s">
        <v>805</v>
      </c>
      <c r="C3074" s="323">
        <v>41471</v>
      </c>
      <c r="D3074" s="323">
        <v>116</v>
      </c>
      <c r="E3074" s="324">
        <f t="shared" ref="E3074:E3137" si="48">D3074*IF(B3074=$G$9,WerkdrukbedragPerLeerlingBo,IF(B3074=$G$10,WerkdrukbedragPerLeerlingSbo,IF(B3074=$G$11,WerkdrukbedragPerLeerlingSo,IF(B3074=$G$12,WerkdrukbedragPerLeerlingVso,0))))</f>
        <v>28287.760000000002</v>
      </c>
    </row>
    <row r="3075" spans="1:5" x14ac:dyDescent="0.25">
      <c r="A3075" s="323" t="s">
        <v>3901</v>
      </c>
      <c r="B3075" s="323" t="s">
        <v>805</v>
      </c>
      <c r="C3075" s="323">
        <v>41471</v>
      </c>
      <c r="D3075" s="323">
        <v>217</v>
      </c>
      <c r="E3075" s="324">
        <f t="shared" si="48"/>
        <v>52917.62</v>
      </c>
    </row>
    <row r="3076" spans="1:5" x14ac:dyDescent="0.25">
      <c r="A3076" s="323" t="s">
        <v>6055</v>
      </c>
      <c r="B3076" s="323" t="s">
        <v>805</v>
      </c>
      <c r="C3076" s="323">
        <v>41471</v>
      </c>
      <c r="D3076" s="323">
        <v>125</v>
      </c>
      <c r="E3076" s="324">
        <f t="shared" si="48"/>
        <v>30482.5</v>
      </c>
    </row>
    <row r="3077" spans="1:5" x14ac:dyDescent="0.25">
      <c r="A3077" s="323" t="s">
        <v>6059</v>
      </c>
      <c r="B3077" s="323" t="s">
        <v>805</v>
      </c>
      <c r="C3077" s="323">
        <v>41471</v>
      </c>
      <c r="D3077" s="323">
        <v>192</v>
      </c>
      <c r="E3077" s="324">
        <f t="shared" si="48"/>
        <v>46821.120000000003</v>
      </c>
    </row>
    <row r="3078" spans="1:5" x14ac:dyDescent="0.25">
      <c r="A3078" s="323" t="s">
        <v>6776</v>
      </c>
      <c r="B3078" s="323" t="s">
        <v>805</v>
      </c>
      <c r="C3078" s="323">
        <v>41471</v>
      </c>
      <c r="D3078" s="323">
        <v>84</v>
      </c>
      <c r="E3078" s="324">
        <f t="shared" si="48"/>
        <v>20484.240000000002</v>
      </c>
    </row>
    <row r="3079" spans="1:5" x14ac:dyDescent="0.25">
      <c r="A3079" s="323" t="s">
        <v>6839</v>
      </c>
      <c r="B3079" s="323" t="s">
        <v>805</v>
      </c>
      <c r="C3079" s="323">
        <v>41471</v>
      </c>
      <c r="D3079" s="323">
        <v>292</v>
      </c>
      <c r="E3079" s="324">
        <f t="shared" si="48"/>
        <v>71207.12000000001</v>
      </c>
    </row>
    <row r="3080" spans="1:5" x14ac:dyDescent="0.25">
      <c r="A3080" s="323" t="s">
        <v>6840</v>
      </c>
      <c r="B3080" s="323" t="s">
        <v>805</v>
      </c>
      <c r="C3080" s="323">
        <v>41471</v>
      </c>
      <c r="D3080" s="323">
        <v>324</v>
      </c>
      <c r="E3080" s="324">
        <f t="shared" si="48"/>
        <v>79010.64</v>
      </c>
    </row>
    <row r="3081" spans="1:5" x14ac:dyDescent="0.25">
      <c r="A3081" s="323" t="s">
        <v>7084</v>
      </c>
      <c r="B3081" s="323" t="s">
        <v>805</v>
      </c>
      <c r="C3081" s="323">
        <v>41471</v>
      </c>
      <c r="D3081" s="323">
        <v>352</v>
      </c>
      <c r="E3081" s="324">
        <f t="shared" si="48"/>
        <v>85838.720000000001</v>
      </c>
    </row>
    <row r="3082" spans="1:5" x14ac:dyDescent="0.25">
      <c r="A3082" s="323" t="s">
        <v>2960</v>
      </c>
      <c r="B3082" s="323" t="s">
        <v>805</v>
      </c>
      <c r="C3082" s="323">
        <v>41472</v>
      </c>
      <c r="D3082" s="323">
        <v>119</v>
      </c>
      <c r="E3082" s="324">
        <f t="shared" si="48"/>
        <v>29019.34</v>
      </c>
    </row>
    <row r="3083" spans="1:5" x14ac:dyDescent="0.25">
      <c r="A3083" s="323" t="s">
        <v>5832</v>
      </c>
      <c r="B3083" s="323" t="s">
        <v>805</v>
      </c>
      <c r="C3083" s="323">
        <v>41472</v>
      </c>
      <c r="D3083" s="323">
        <v>346</v>
      </c>
      <c r="E3083" s="324">
        <f t="shared" si="48"/>
        <v>84375.56</v>
      </c>
    </row>
    <row r="3084" spans="1:5" x14ac:dyDescent="0.25">
      <c r="A3084" s="323" t="s">
        <v>5866</v>
      </c>
      <c r="B3084" s="323" t="s">
        <v>805</v>
      </c>
      <c r="C3084" s="323">
        <v>41472</v>
      </c>
      <c r="D3084" s="323">
        <v>237</v>
      </c>
      <c r="E3084" s="324">
        <f t="shared" si="48"/>
        <v>57794.82</v>
      </c>
    </row>
    <row r="3085" spans="1:5" x14ac:dyDescent="0.25">
      <c r="A3085" s="323" t="s">
        <v>5876</v>
      </c>
      <c r="B3085" s="323" t="s">
        <v>805</v>
      </c>
      <c r="C3085" s="323">
        <v>41472</v>
      </c>
      <c r="D3085" s="323">
        <v>163</v>
      </c>
      <c r="E3085" s="324">
        <f t="shared" si="48"/>
        <v>39749.18</v>
      </c>
    </row>
    <row r="3086" spans="1:5" x14ac:dyDescent="0.25">
      <c r="A3086" s="323" t="s">
        <v>5924</v>
      </c>
      <c r="B3086" s="323" t="s">
        <v>805</v>
      </c>
      <c r="C3086" s="323">
        <v>41472</v>
      </c>
      <c r="D3086" s="323">
        <v>207</v>
      </c>
      <c r="E3086" s="324">
        <f t="shared" si="48"/>
        <v>50479.020000000004</v>
      </c>
    </row>
    <row r="3087" spans="1:5" x14ac:dyDescent="0.25">
      <c r="A3087" s="323" t="s">
        <v>5932</v>
      </c>
      <c r="B3087" s="323" t="s">
        <v>805</v>
      </c>
      <c r="C3087" s="323">
        <v>41472</v>
      </c>
      <c r="D3087" s="323">
        <v>173</v>
      </c>
      <c r="E3087" s="324">
        <f t="shared" si="48"/>
        <v>42187.78</v>
      </c>
    </row>
    <row r="3088" spans="1:5" x14ac:dyDescent="0.25">
      <c r="A3088" s="323" t="s">
        <v>6789</v>
      </c>
      <c r="B3088" s="323" t="s">
        <v>805</v>
      </c>
      <c r="C3088" s="323">
        <v>41472</v>
      </c>
      <c r="D3088" s="323">
        <v>443</v>
      </c>
      <c r="E3088" s="324">
        <f t="shared" si="48"/>
        <v>108029.98000000001</v>
      </c>
    </row>
    <row r="3089" spans="1:5" x14ac:dyDescent="0.25">
      <c r="A3089" s="323" t="s">
        <v>1930</v>
      </c>
      <c r="B3089" s="323" t="s">
        <v>805</v>
      </c>
      <c r="C3089" s="323">
        <v>41473</v>
      </c>
      <c r="D3089" s="323">
        <v>189</v>
      </c>
      <c r="E3089" s="324">
        <f t="shared" si="48"/>
        <v>46089.54</v>
      </c>
    </row>
    <row r="3090" spans="1:5" x14ac:dyDescent="0.25">
      <c r="A3090" s="323" t="s">
        <v>2012</v>
      </c>
      <c r="B3090" s="323" t="s">
        <v>805</v>
      </c>
      <c r="C3090" s="323">
        <v>41473</v>
      </c>
      <c r="D3090" s="323">
        <v>61</v>
      </c>
      <c r="E3090" s="324">
        <f t="shared" si="48"/>
        <v>14875.460000000001</v>
      </c>
    </row>
    <row r="3091" spans="1:5" x14ac:dyDescent="0.25">
      <c r="A3091" s="323" t="s">
        <v>2024</v>
      </c>
      <c r="B3091" s="323" t="s">
        <v>805</v>
      </c>
      <c r="C3091" s="323">
        <v>41473</v>
      </c>
      <c r="D3091" s="323">
        <v>192</v>
      </c>
      <c r="E3091" s="324">
        <f t="shared" si="48"/>
        <v>46821.120000000003</v>
      </c>
    </row>
    <row r="3092" spans="1:5" x14ac:dyDescent="0.25">
      <c r="A3092" s="323" t="s">
        <v>2152</v>
      </c>
      <c r="B3092" s="323" t="s">
        <v>805</v>
      </c>
      <c r="C3092" s="323">
        <v>41473</v>
      </c>
      <c r="D3092" s="323">
        <v>218</v>
      </c>
      <c r="E3092" s="324">
        <f t="shared" si="48"/>
        <v>53161.48</v>
      </c>
    </row>
    <row r="3093" spans="1:5" x14ac:dyDescent="0.25">
      <c r="A3093" s="323" t="s">
        <v>3342</v>
      </c>
      <c r="B3093" s="323" t="s">
        <v>805</v>
      </c>
      <c r="C3093" s="323">
        <v>41473</v>
      </c>
      <c r="D3093" s="323">
        <v>212</v>
      </c>
      <c r="E3093" s="324">
        <f t="shared" si="48"/>
        <v>51698.32</v>
      </c>
    </row>
    <row r="3094" spans="1:5" x14ac:dyDescent="0.25">
      <c r="A3094" s="323" t="s">
        <v>3343</v>
      </c>
      <c r="B3094" s="323" t="s">
        <v>805</v>
      </c>
      <c r="C3094" s="323">
        <v>41473</v>
      </c>
      <c r="D3094" s="323">
        <v>348</v>
      </c>
      <c r="E3094" s="324">
        <f t="shared" si="48"/>
        <v>84863.28</v>
      </c>
    </row>
    <row r="3095" spans="1:5" x14ac:dyDescent="0.25">
      <c r="A3095" s="323" t="s">
        <v>4043</v>
      </c>
      <c r="B3095" s="323" t="s">
        <v>805</v>
      </c>
      <c r="C3095" s="323">
        <v>41473</v>
      </c>
      <c r="D3095" s="323">
        <v>245</v>
      </c>
      <c r="E3095" s="324">
        <f t="shared" si="48"/>
        <v>59745.700000000004</v>
      </c>
    </row>
    <row r="3096" spans="1:5" x14ac:dyDescent="0.25">
      <c r="A3096" s="323" t="s">
        <v>2131</v>
      </c>
      <c r="B3096" s="323" t="s">
        <v>805</v>
      </c>
      <c r="C3096" s="323">
        <v>41476</v>
      </c>
      <c r="D3096" s="323">
        <v>90</v>
      </c>
      <c r="E3096" s="324">
        <f t="shared" si="48"/>
        <v>21947.4</v>
      </c>
    </row>
    <row r="3097" spans="1:5" x14ac:dyDescent="0.25">
      <c r="A3097" s="323" t="s">
        <v>3198</v>
      </c>
      <c r="B3097" s="323" t="s">
        <v>805</v>
      </c>
      <c r="C3097" s="323">
        <v>41476</v>
      </c>
      <c r="D3097" s="323">
        <v>152</v>
      </c>
      <c r="E3097" s="324">
        <f t="shared" si="48"/>
        <v>37066.720000000001</v>
      </c>
    </row>
    <row r="3098" spans="1:5" x14ac:dyDescent="0.25">
      <c r="A3098" s="323" t="s">
        <v>3202</v>
      </c>
      <c r="B3098" s="323" t="s">
        <v>805</v>
      </c>
      <c r="C3098" s="323">
        <v>41476</v>
      </c>
      <c r="D3098" s="323">
        <v>231</v>
      </c>
      <c r="E3098" s="324">
        <f t="shared" si="48"/>
        <v>56331.66</v>
      </c>
    </row>
    <row r="3099" spans="1:5" x14ac:dyDescent="0.25">
      <c r="A3099" s="323" t="s">
        <v>3540</v>
      </c>
      <c r="B3099" s="323" t="s">
        <v>805</v>
      </c>
      <c r="C3099" s="323">
        <v>41476</v>
      </c>
      <c r="D3099" s="323">
        <v>91</v>
      </c>
      <c r="E3099" s="324">
        <f t="shared" si="48"/>
        <v>22191.260000000002</v>
      </c>
    </row>
    <row r="3100" spans="1:5" x14ac:dyDescent="0.25">
      <c r="A3100" s="323" t="s">
        <v>3693</v>
      </c>
      <c r="B3100" s="323" t="s">
        <v>805</v>
      </c>
      <c r="C3100" s="323">
        <v>41476</v>
      </c>
      <c r="D3100" s="323">
        <v>84</v>
      </c>
      <c r="E3100" s="324">
        <f t="shared" si="48"/>
        <v>20484.240000000002</v>
      </c>
    </row>
    <row r="3101" spans="1:5" x14ac:dyDescent="0.25">
      <c r="A3101" s="323" t="s">
        <v>3801</v>
      </c>
      <c r="B3101" s="323" t="s">
        <v>805</v>
      </c>
      <c r="C3101" s="323">
        <v>41476</v>
      </c>
      <c r="D3101" s="323">
        <v>110</v>
      </c>
      <c r="E3101" s="324">
        <f t="shared" si="48"/>
        <v>26824.600000000002</v>
      </c>
    </row>
    <row r="3102" spans="1:5" x14ac:dyDescent="0.25">
      <c r="A3102" s="323" t="s">
        <v>4086</v>
      </c>
      <c r="B3102" s="323" t="s">
        <v>805</v>
      </c>
      <c r="C3102" s="323">
        <v>41476</v>
      </c>
      <c r="D3102" s="323">
        <v>140</v>
      </c>
      <c r="E3102" s="324">
        <f t="shared" si="48"/>
        <v>34140.400000000001</v>
      </c>
    </row>
    <row r="3103" spans="1:5" x14ac:dyDescent="0.25">
      <c r="A3103" s="323" t="s">
        <v>4226</v>
      </c>
      <c r="B3103" s="323" t="s">
        <v>805</v>
      </c>
      <c r="C3103" s="323">
        <v>41476</v>
      </c>
      <c r="D3103" s="323">
        <v>178</v>
      </c>
      <c r="E3103" s="324">
        <f t="shared" si="48"/>
        <v>43407.08</v>
      </c>
    </row>
    <row r="3104" spans="1:5" x14ac:dyDescent="0.25">
      <c r="A3104" s="323" t="s">
        <v>6122</v>
      </c>
      <c r="B3104" s="323" t="s">
        <v>805</v>
      </c>
      <c r="C3104" s="323">
        <v>41476</v>
      </c>
      <c r="D3104" s="323">
        <v>42</v>
      </c>
      <c r="E3104" s="324">
        <f t="shared" si="48"/>
        <v>10242.120000000001</v>
      </c>
    </row>
    <row r="3105" spans="1:5" x14ac:dyDescent="0.25">
      <c r="A3105" s="323" t="s">
        <v>6159</v>
      </c>
      <c r="B3105" s="323" t="s">
        <v>805</v>
      </c>
      <c r="C3105" s="323">
        <v>41476</v>
      </c>
      <c r="D3105" s="323">
        <v>76</v>
      </c>
      <c r="E3105" s="324">
        <f t="shared" si="48"/>
        <v>18533.36</v>
      </c>
    </row>
    <row r="3106" spans="1:5" x14ac:dyDescent="0.25">
      <c r="A3106" s="323" t="s">
        <v>6188</v>
      </c>
      <c r="B3106" s="323" t="s">
        <v>805</v>
      </c>
      <c r="C3106" s="323">
        <v>41476</v>
      </c>
      <c r="D3106" s="323">
        <v>62</v>
      </c>
      <c r="E3106" s="324">
        <f t="shared" si="48"/>
        <v>15119.320000000002</v>
      </c>
    </row>
    <row r="3107" spans="1:5" x14ac:dyDescent="0.25">
      <c r="A3107" s="323" t="s">
        <v>6688</v>
      </c>
      <c r="B3107" s="323" t="s">
        <v>803</v>
      </c>
      <c r="C3107" s="323">
        <v>41479</v>
      </c>
      <c r="D3107" s="323">
        <v>78</v>
      </c>
      <c r="E3107" s="324">
        <f t="shared" si="48"/>
        <v>38042.160000000003</v>
      </c>
    </row>
    <row r="3108" spans="1:5" x14ac:dyDescent="0.25">
      <c r="A3108" s="323" t="s">
        <v>6689</v>
      </c>
      <c r="B3108" s="323" t="s">
        <v>809</v>
      </c>
      <c r="C3108" s="323">
        <v>41479</v>
      </c>
      <c r="D3108" s="323">
        <v>146</v>
      </c>
      <c r="E3108" s="324">
        <f t="shared" si="48"/>
        <v>71207.12000000001</v>
      </c>
    </row>
    <row r="3109" spans="1:5" x14ac:dyDescent="0.25">
      <c r="A3109" s="323" t="s">
        <v>6689</v>
      </c>
      <c r="B3109" s="323" t="s">
        <v>803</v>
      </c>
      <c r="C3109" s="323">
        <v>41479</v>
      </c>
      <c r="D3109" s="323">
        <v>36</v>
      </c>
      <c r="E3109" s="324">
        <f t="shared" si="48"/>
        <v>17557.920000000002</v>
      </c>
    </row>
    <row r="3110" spans="1:5" x14ac:dyDescent="0.25">
      <c r="A3110" s="323" t="s">
        <v>6690</v>
      </c>
      <c r="B3110" s="323" t="s">
        <v>803</v>
      </c>
      <c r="C3110" s="323">
        <v>41479</v>
      </c>
      <c r="D3110" s="323">
        <v>243</v>
      </c>
      <c r="E3110" s="324">
        <f t="shared" si="48"/>
        <v>118515.96</v>
      </c>
    </row>
    <row r="3111" spans="1:5" x14ac:dyDescent="0.25">
      <c r="A3111" s="323" t="s">
        <v>6699</v>
      </c>
      <c r="B3111" s="323" t="s">
        <v>809</v>
      </c>
      <c r="C3111" s="323">
        <v>41479</v>
      </c>
      <c r="D3111" s="323">
        <v>112</v>
      </c>
      <c r="E3111" s="324">
        <f t="shared" si="48"/>
        <v>54624.639999999999</v>
      </c>
    </row>
    <row r="3112" spans="1:5" x14ac:dyDescent="0.25">
      <c r="A3112" s="323" t="s">
        <v>6703</v>
      </c>
      <c r="B3112" s="323" t="s">
        <v>809</v>
      </c>
      <c r="C3112" s="323">
        <v>41479</v>
      </c>
      <c r="D3112" s="323">
        <v>86</v>
      </c>
      <c r="E3112" s="324">
        <f t="shared" si="48"/>
        <v>41943.920000000006</v>
      </c>
    </row>
    <row r="3113" spans="1:5" x14ac:dyDescent="0.25">
      <c r="A3113" s="323" t="s">
        <v>6704</v>
      </c>
      <c r="B3113" s="323" t="s">
        <v>809</v>
      </c>
      <c r="C3113" s="323">
        <v>41479</v>
      </c>
      <c r="D3113" s="323">
        <v>100</v>
      </c>
      <c r="E3113" s="324">
        <f t="shared" si="48"/>
        <v>48772</v>
      </c>
    </row>
    <row r="3114" spans="1:5" x14ac:dyDescent="0.25">
      <c r="A3114" s="323" t="s">
        <v>6707</v>
      </c>
      <c r="B3114" s="323" t="s">
        <v>809</v>
      </c>
      <c r="C3114" s="323">
        <v>41479</v>
      </c>
      <c r="D3114" s="323">
        <v>139</v>
      </c>
      <c r="E3114" s="324">
        <f t="shared" si="48"/>
        <v>67793.08</v>
      </c>
    </row>
    <row r="3115" spans="1:5" x14ac:dyDescent="0.25">
      <c r="A3115" s="323" t="s">
        <v>6735</v>
      </c>
      <c r="B3115" s="323" t="s">
        <v>803</v>
      </c>
      <c r="C3115" s="323">
        <v>41479</v>
      </c>
      <c r="D3115" s="323">
        <v>115</v>
      </c>
      <c r="E3115" s="324">
        <f t="shared" si="48"/>
        <v>56087.8</v>
      </c>
    </row>
    <row r="3116" spans="1:5" x14ac:dyDescent="0.25">
      <c r="A3116" s="323" t="s">
        <v>6735</v>
      </c>
      <c r="B3116" s="323" t="s">
        <v>803</v>
      </c>
      <c r="C3116" s="323">
        <v>41479</v>
      </c>
      <c r="D3116" s="323">
        <v>12</v>
      </c>
      <c r="E3116" s="324">
        <f t="shared" si="48"/>
        <v>5852.64</v>
      </c>
    </row>
    <row r="3117" spans="1:5" x14ac:dyDescent="0.25">
      <c r="A3117" s="323" t="s">
        <v>6737</v>
      </c>
      <c r="B3117" s="323" t="s">
        <v>803</v>
      </c>
      <c r="C3117" s="323">
        <v>41479</v>
      </c>
      <c r="D3117" s="323">
        <v>139</v>
      </c>
      <c r="E3117" s="324">
        <f t="shared" si="48"/>
        <v>67793.08</v>
      </c>
    </row>
    <row r="3118" spans="1:5" x14ac:dyDescent="0.25">
      <c r="A3118" s="323" t="s">
        <v>3005</v>
      </c>
      <c r="B3118" s="323" t="s">
        <v>805</v>
      </c>
      <c r="C3118" s="323">
        <v>41481</v>
      </c>
      <c r="D3118" s="323">
        <v>132</v>
      </c>
      <c r="E3118" s="324">
        <f t="shared" si="48"/>
        <v>32189.52</v>
      </c>
    </row>
    <row r="3119" spans="1:5" x14ac:dyDescent="0.25">
      <c r="A3119" s="323" t="s">
        <v>3006</v>
      </c>
      <c r="B3119" s="323" t="s">
        <v>805</v>
      </c>
      <c r="C3119" s="323">
        <v>41481</v>
      </c>
      <c r="D3119" s="323">
        <v>198</v>
      </c>
      <c r="E3119" s="324">
        <f t="shared" si="48"/>
        <v>48284.280000000006</v>
      </c>
    </row>
    <row r="3120" spans="1:5" x14ac:dyDescent="0.25">
      <c r="A3120" s="323" t="s">
        <v>3659</v>
      </c>
      <c r="B3120" s="323" t="s">
        <v>805</v>
      </c>
      <c r="C3120" s="323">
        <v>41481</v>
      </c>
      <c r="D3120" s="323">
        <v>229</v>
      </c>
      <c r="E3120" s="324">
        <f t="shared" si="48"/>
        <v>55843.94</v>
      </c>
    </row>
    <row r="3121" spans="1:5" x14ac:dyDescent="0.25">
      <c r="A3121" s="323" t="s">
        <v>3891</v>
      </c>
      <c r="B3121" s="323" t="s">
        <v>805</v>
      </c>
      <c r="C3121" s="323">
        <v>41481</v>
      </c>
      <c r="D3121" s="323">
        <v>159</v>
      </c>
      <c r="E3121" s="324">
        <f t="shared" si="48"/>
        <v>38773.740000000005</v>
      </c>
    </row>
    <row r="3122" spans="1:5" x14ac:dyDescent="0.25">
      <c r="A3122" s="323" t="s">
        <v>3891</v>
      </c>
      <c r="B3122" s="323" t="s">
        <v>805</v>
      </c>
      <c r="C3122" s="323">
        <v>41481</v>
      </c>
      <c r="D3122" s="323">
        <v>158</v>
      </c>
      <c r="E3122" s="324">
        <f t="shared" si="48"/>
        <v>38529.880000000005</v>
      </c>
    </row>
    <row r="3123" spans="1:5" x14ac:dyDescent="0.25">
      <c r="A3123" s="323" t="s">
        <v>4054</v>
      </c>
      <c r="B3123" s="323" t="s">
        <v>805</v>
      </c>
      <c r="C3123" s="323">
        <v>41481</v>
      </c>
      <c r="D3123" s="323">
        <v>119</v>
      </c>
      <c r="E3123" s="324">
        <f t="shared" si="48"/>
        <v>29019.34</v>
      </c>
    </row>
    <row r="3124" spans="1:5" x14ac:dyDescent="0.25">
      <c r="A3124" s="323" t="s">
        <v>4197</v>
      </c>
      <c r="B3124" s="323" t="s">
        <v>805</v>
      </c>
      <c r="C3124" s="323">
        <v>41481</v>
      </c>
      <c r="D3124" s="323">
        <v>93</v>
      </c>
      <c r="E3124" s="324">
        <f t="shared" si="48"/>
        <v>22678.98</v>
      </c>
    </row>
    <row r="3125" spans="1:5" x14ac:dyDescent="0.25">
      <c r="A3125" s="323" t="s">
        <v>4424</v>
      </c>
      <c r="B3125" s="323" t="s">
        <v>805</v>
      </c>
      <c r="C3125" s="323">
        <v>41481</v>
      </c>
      <c r="D3125" s="323">
        <v>96</v>
      </c>
      <c r="E3125" s="324">
        <f t="shared" si="48"/>
        <v>23410.560000000001</v>
      </c>
    </row>
    <row r="3126" spans="1:5" x14ac:dyDescent="0.25">
      <c r="A3126" s="323" t="s">
        <v>6413</v>
      </c>
      <c r="B3126" s="323" t="s">
        <v>805</v>
      </c>
      <c r="C3126" s="323">
        <v>41481</v>
      </c>
      <c r="D3126" s="323">
        <v>190</v>
      </c>
      <c r="E3126" s="324">
        <f t="shared" si="48"/>
        <v>46333.4</v>
      </c>
    </row>
    <row r="3127" spans="1:5" x14ac:dyDescent="0.25">
      <c r="A3127" s="323" t="s">
        <v>6873</v>
      </c>
      <c r="B3127" s="323" t="s">
        <v>805</v>
      </c>
      <c r="C3127" s="323">
        <v>41481</v>
      </c>
      <c r="D3127" s="323">
        <v>213</v>
      </c>
      <c r="E3127" s="324">
        <f t="shared" si="48"/>
        <v>51942.18</v>
      </c>
    </row>
    <row r="3128" spans="1:5" x14ac:dyDescent="0.25">
      <c r="A3128" s="323" t="s">
        <v>6895</v>
      </c>
      <c r="B3128" s="323" t="s">
        <v>805</v>
      </c>
      <c r="C3128" s="323">
        <v>41481</v>
      </c>
      <c r="D3128" s="323">
        <v>148</v>
      </c>
      <c r="E3128" s="324">
        <f t="shared" si="48"/>
        <v>36091.279999999999</v>
      </c>
    </row>
    <row r="3129" spans="1:5" x14ac:dyDescent="0.25">
      <c r="A3129" s="323" t="s">
        <v>7259</v>
      </c>
      <c r="B3129" s="323" t="s">
        <v>805</v>
      </c>
      <c r="C3129" s="323">
        <v>41481</v>
      </c>
      <c r="D3129" s="323">
        <v>168</v>
      </c>
      <c r="E3129" s="324">
        <f t="shared" si="48"/>
        <v>40968.480000000003</v>
      </c>
    </row>
    <row r="3130" spans="1:5" x14ac:dyDescent="0.25">
      <c r="A3130" s="323" t="s">
        <v>3222</v>
      </c>
      <c r="B3130" s="323" t="s">
        <v>805</v>
      </c>
      <c r="C3130" s="323">
        <v>41483</v>
      </c>
      <c r="D3130" s="323">
        <v>235</v>
      </c>
      <c r="E3130" s="324">
        <f t="shared" si="48"/>
        <v>57307.100000000006</v>
      </c>
    </row>
    <row r="3131" spans="1:5" x14ac:dyDescent="0.25">
      <c r="A3131" s="323" t="s">
        <v>3552</v>
      </c>
      <c r="B3131" s="323" t="s">
        <v>805</v>
      </c>
      <c r="C3131" s="323">
        <v>41483</v>
      </c>
      <c r="D3131" s="323">
        <v>229</v>
      </c>
      <c r="E3131" s="324">
        <f t="shared" si="48"/>
        <v>55843.94</v>
      </c>
    </row>
    <row r="3132" spans="1:5" x14ac:dyDescent="0.25">
      <c r="A3132" s="323" t="s">
        <v>3811</v>
      </c>
      <c r="B3132" s="323" t="s">
        <v>805</v>
      </c>
      <c r="C3132" s="323">
        <v>41483</v>
      </c>
      <c r="D3132" s="323">
        <v>319</v>
      </c>
      <c r="E3132" s="324">
        <f t="shared" si="48"/>
        <v>77791.340000000011</v>
      </c>
    </row>
    <row r="3133" spans="1:5" x14ac:dyDescent="0.25">
      <c r="A3133" s="323" t="s">
        <v>4136</v>
      </c>
      <c r="B3133" s="323" t="s">
        <v>805</v>
      </c>
      <c r="C3133" s="323">
        <v>41483</v>
      </c>
      <c r="D3133" s="323">
        <v>471</v>
      </c>
      <c r="E3133" s="324">
        <f t="shared" si="48"/>
        <v>114858.06000000001</v>
      </c>
    </row>
    <row r="3134" spans="1:5" x14ac:dyDescent="0.25">
      <c r="A3134" s="323" t="s">
        <v>4377</v>
      </c>
      <c r="B3134" s="323" t="s">
        <v>805</v>
      </c>
      <c r="C3134" s="323">
        <v>41483</v>
      </c>
      <c r="D3134" s="323">
        <v>219</v>
      </c>
      <c r="E3134" s="324">
        <f t="shared" si="48"/>
        <v>53405.340000000004</v>
      </c>
    </row>
    <row r="3135" spans="1:5" x14ac:dyDescent="0.25">
      <c r="A3135" s="323" t="s">
        <v>4378</v>
      </c>
      <c r="B3135" s="323" t="s">
        <v>805</v>
      </c>
      <c r="C3135" s="323">
        <v>41483</v>
      </c>
      <c r="D3135" s="323">
        <v>182</v>
      </c>
      <c r="E3135" s="324">
        <f t="shared" si="48"/>
        <v>44382.520000000004</v>
      </c>
    </row>
    <row r="3136" spans="1:5" x14ac:dyDescent="0.25">
      <c r="A3136" s="323" t="s">
        <v>4485</v>
      </c>
      <c r="B3136" s="323" t="s">
        <v>805</v>
      </c>
      <c r="C3136" s="323">
        <v>41483</v>
      </c>
      <c r="D3136" s="323">
        <v>125</v>
      </c>
      <c r="E3136" s="324">
        <f t="shared" si="48"/>
        <v>30482.5</v>
      </c>
    </row>
    <row r="3137" spans="1:5" x14ac:dyDescent="0.25">
      <c r="A3137" s="323" t="s">
        <v>1891</v>
      </c>
      <c r="B3137" s="323" t="s">
        <v>805</v>
      </c>
      <c r="C3137" s="323">
        <v>41487</v>
      </c>
      <c r="D3137" s="323">
        <v>169</v>
      </c>
      <c r="E3137" s="324">
        <f t="shared" si="48"/>
        <v>41212.340000000004</v>
      </c>
    </row>
    <row r="3138" spans="1:5" x14ac:dyDescent="0.25">
      <c r="A3138" s="323" t="s">
        <v>1894</v>
      </c>
      <c r="B3138" s="323" t="s">
        <v>805</v>
      </c>
      <c r="C3138" s="323">
        <v>41487</v>
      </c>
      <c r="D3138" s="323">
        <v>206</v>
      </c>
      <c r="E3138" s="324">
        <f t="shared" ref="E3138:E3201" si="49">D3138*IF(B3138=$G$9,WerkdrukbedragPerLeerlingBo,IF(B3138=$G$10,WerkdrukbedragPerLeerlingSbo,IF(B3138=$G$11,WerkdrukbedragPerLeerlingSo,IF(B3138=$G$12,WerkdrukbedragPerLeerlingVso,0))))</f>
        <v>50235.16</v>
      </c>
    </row>
    <row r="3139" spans="1:5" x14ac:dyDescent="0.25">
      <c r="A3139" s="323" t="s">
        <v>2693</v>
      </c>
      <c r="B3139" s="323" t="s">
        <v>805</v>
      </c>
      <c r="C3139" s="323">
        <v>41487</v>
      </c>
      <c r="D3139" s="323">
        <v>443</v>
      </c>
      <c r="E3139" s="324">
        <f t="shared" si="49"/>
        <v>108029.98000000001</v>
      </c>
    </row>
    <row r="3140" spans="1:5" x14ac:dyDescent="0.25">
      <c r="A3140" s="323" t="s">
        <v>2891</v>
      </c>
      <c r="B3140" s="323" t="s">
        <v>805</v>
      </c>
      <c r="C3140" s="323">
        <v>41487</v>
      </c>
      <c r="D3140" s="323">
        <v>193</v>
      </c>
      <c r="E3140" s="324">
        <f t="shared" si="49"/>
        <v>47064.98</v>
      </c>
    </row>
    <row r="3141" spans="1:5" x14ac:dyDescent="0.25">
      <c r="A3141" s="323" t="s">
        <v>2893</v>
      </c>
      <c r="B3141" s="323" t="s">
        <v>805</v>
      </c>
      <c r="C3141" s="323">
        <v>41487</v>
      </c>
      <c r="D3141" s="323">
        <v>159</v>
      </c>
      <c r="E3141" s="324">
        <f t="shared" si="49"/>
        <v>38773.740000000005</v>
      </c>
    </row>
    <row r="3142" spans="1:5" x14ac:dyDescent="0.25">
      <c r="A3142" s="323" t="s">
        <v>3225</v>
      </c>
      <c r="B3142" s="323" t="s">
        <v>805</v>
      </c>
      <c r="C3142" s="323">
        <v>41487</v>
      </c>
      <c r="D3142" s="323">
        <v>251</v>
      </c>
      <c r="E3142" s="324">
        <f t="shared" si="49"/>
        <v>61208.86</v>
      </c>
    </row>
    <row r="3143" spans="1:5" x14ac:dyDescent="0.25">
      <c r="A3143" s="323" t="s">
        <v>7143</v>
      </c>
      <c r="B3143" s="323" t="s">
        <v>805</v>
      </c>
      <c r="C3143" s="323">
        <v>41487</v>
      </c>
      <c r="D3143" s="323">
        <v>356</v>
      </c>
      <c r="E3143" s="324">
        <f t="shared" si="49"/>
        <v>86814.16</v>
      </c>
    </row>
    <row r="3144" spans="1:5" x14ac:dyDescent="0.25">
      <c r="A3144" s="323" t="s">
        <v>7351</v>
      </c>
      <c r="B3144" s="323" t="s">
        <v>805</v>
      </c>
      <c r="C3144" s="323">
        <v>41487</v>
      </c>
      <c r="D3144" s="323">
        <v>276</v>
      </c>
      <c r="E3144" s="324">
        <f t="shared" si="49"/>
        <v>67305.36</v>
      </c>
    </row>
    <row r="3145" spans="1:5" x14ac:dyDescent="0.25">
      <c r="A3145" s="323" t="s">
        <v>1064</v>
      </c>
      <c r="B3145" s="323" t="s">
        <v>805</v>
      </c>
      <c r="C3145" s="323">
        <v>41488</v>
      </c>
      <c r="D3145" s="323">
        <v>251</v>
      </c>
      <c r="E3145" s="324">
        <f t="shared" si="49"/>
        <v>61208.86</v>
      </c>
    </row>
    <row r="3146" spans="1:5" x14ac:dyDescent="0.25">
      <c r="A3146" s="323" t="s">
        <v>1430</v>
      </c>
      <c r="B3146" s="323" t="s">
        <v>805</v>
      </c>
      <c r="C3146" s="323">
        <v>41488</v>
      </c>
      <c r="D3146" s="323">
        <v>492</v>
      </c>
      <c r="E3146" s="324">
        <f t="shared" si="49"/>
        <v>119979.12000000001</v>
      </c>
    </row>
    <row r="3147" spans="1:5" x14ac:dyDescent="0.25">
      <c r="A3147" s="323" t="s">
        <v>2627</v>
      </c>
      <c r="B3147" s="323" t="s">
        <v>805</v>
      </c>
      <c r="C3147" s="323">
        <v>41488</v>
      </c>
      <c r="D3147" s="323">
        <v>251</v>
      </c>
      <c r="E3147" s="324">
        <f t="shared" si="49"/>
        <v>61208.86</v>
      </c>
    </row>
    <row r="3148" spans="1:5" x14ac:dyDescent="0.25">
      <c r="A3148" s="323" t="s">
        <v>3024</v>
      </c>
      <c r="B3148" s="323" t="s">
        <v>805</v>
      </c>
      <c r="C3148" s="323">
        <v>41488</v>
      </c>
      <c r="D3148" s="323">
        <v>122</v>
      </c>
      <c r="E3148" s="324">
        <f t="shared" si="49"/>
        <v>29750.920000000002</v>
      </c>
    </row>
    <row r="3149" spans="1:5" x14ac:dyDescent="0.25">
      <c r="A3149" s="323" t="s">
        <v>3656</v>
      </c>
      <c r="B3149" s="323" t="s">
        <v>805</v>
      </c>
      <c r="C3149" s="323">
        <v>41488</v>
      </c>
      <c r="D3149" s="323">
        <v>103</v>
      </c>
      <c r="E3149" s="324">
        <f t="shared" si="49"/>
        <v>25117.58</v>
      </c>
    </row>
    <row r="3150" spans="1:5" x14ac:dyDescent="0.25">
      <c r="A3150" s="323" t="s">
        <v>3701</v>
      </c>
      <c r="B3150" s="323" t="s">
        <v>805</v>
      </c>
      <c r="C3150" s="323">
        <v>41488</v>
      </c>
      <c r="D3150" s="323">
        <v>384</v>
      </c>
      <c r="E3150" s="324">
        <f t="shared" si="49"/>
        <v>93642.240000000005</v>
      </c>
    </row>
    <row r="3151" spans="1:5" x14ac:dyDescent="0.25">
      <c r="A3151" s="323" t="s">
        <v>4089</v>
      </c>
      <c r="B3151" s="323" t="s">
        <v>805</v>
      </c>
      <c r="C3151" s="323">
        <v>41488</v>
      </c>
      <c r="D3151" s="323">
        <v>195</v>
      </c>
      <c r="E3151" s="324">
        <f t="shared" si="49"/>
        <v>47552.700000000004</v>
      </c>
    </row>
    <row r="3152" spans="1:5" x14ac:dyDescent="0.25">
      <c r="A3152" s="323" t="s">
        <v>6053</v>
      </c>
      <c r="B3152" s="323" t="s">
        <v>805</v>
      </c>
      <c r="C3152" s="323">
        <v>41488</v>
      </c>
      <c r="D3152" s="323">
        <v>142</v>
      </c>
      <c r="E3152" s="324">
        <f t="shared" si="49"/>
        <v>34628.120000000003</v>
      </c>
    </row>
    <row r="3153" spans="1:5" x14ac:dyDescent="0.25">
      <c r="A3153" s="323" t="s">
        <v>6177</v>
      </c>
      <c r="B3153" s="323" t="s">
        <v>805</v>
      </c>
      <c r="C3153" s="323">
        <v>41488</v>
      </c>
      <c r="D3153" s="323">
        <v>214</v>
      </c>
      <c r="E3153" s="324">
        <f t="shared" si="49"/>
        <v>52186.04</v>
      </c>
    </row>
    <row r="3154" spans="1:5" x14ac:dyDescent="0.25">
      <c r="A3154" s="323" t="s">
        <v>7141</v>
      </c>
      <c r="B3154" s="323" t="s">
        <v>805</v>
      </c>
      <c r="C3154" s="323">
        <v>41488</v>
      </c>
      <c r="D3154" s="323">
        <v>325</v>
      </c>
      <c r="E3154" s="324">
        <f t="shared" si="49"/>
        <v>79254.5</v>
      </c>
    </row>
    <row r="3155" spans="1:5" x14ac:dyDescent="0.25">
      <c r="A3155" s="323" t="s">
        <v>7237</v>
      </c>
      <c r="B3155" s="323" t="s">
        <v>805</v>
      </c>
      <c r="C3155" s="323">
        <v>41488</v>
      </c>
      <c r="D3155" s="323">
        <v>200</v>
      </c>
      <c r="E3155" s="324">
        <f t="shared" si="49"/>
        <v>48772</v>
      </c>
    </row>
    <row r="3156" spans="1:5" x14ac:dyDescent="0.25">
      <c r="A3156" s="323" t="s">
        <v>7239</v>
      </c>
      <c r="B3156" s="323" t="s">
        <v>805</v>
      </c>
      <c r="C3156" s="323">
        <v>41488</v>
      </c>
      <c r="D3156" s="323">
        <v>715</v>
      </c>
      <c r="E3156" s="324">
        <f t="shared" si="49"/>
        <v>174359.90000000002</v>
      </c>
    </row>
    <row r="3157" spans="1:5" x14ac:dyDescent="0.25">
      <c r="A3157" s="323" t="s">
        <v>7354</v>
      </c>
      <c r="B3157" s="323" t="s">
        <v>805</v>
      </c>
      <c r="C3157" s="323">
        <v>41488</v>
      </c>
      <c r="D3157" s="323">
        <v>336</v>
      </c>
      <c r="E3157" s="324">
        <f t="shared" si="49"/>
        <v>81936.960000000006</v>
      </c>
    </row>
    <row r="3158" spans="1:5" x14ac:dyDescent="0.25">
      <c r="A3158" s="323" t="s">
        <v>2076</v>
      </c>
      <c r="B3158" s="323" t="s">
        <v>805</v>
      </c>
      <c r="C3158" s="323">
        <v>41491</v>
      </c>
      <c r="D3158" s="323">
        <v>190</v>
      </c>
      <c r="E3158" s="324">
        <f t="shared" si="49"/>
        <v>46333.4</v>
      </c>
    </row>
    <row r="3159" spans="1:5" x14ac:dyDescent="0.25">
      <c r="A3159" s="323" t="s">
        <v>3395</v>
      </c>
      <c r="B3159" s="323" t="s">
        <v>805</v>
      </c>
      <c r="C3159" s="323">
        <v>41491</v>
      </c>
      <c r="D3159" s="323">
        <v>192</v>
      </c>
      <c r="E3159" s="324">
        <f t="shared" si="49"/>
        <v>46821.120000000003</v>
      </c>
    </row>
    <row r="3160" spans="1:5" x14ac:dyDescent="0.25">
      <c r="A3160" s="323" t="s">
        <v>4076</v>
      </c>
      <c r="B3160" s="323" t="s">
        <v>805</v>
      </c>
      <c r="C3160" s="323">
        <v>41491</v>
      </c>
      <c r="D3160" s="323">
        <v>25</v>
      </c>
      <c r="E3160" s="324">
        <f t="shared" si="49"/>
        <v>6096.5</v>
      </c>
    </row>
    <row r="3161" spans="1:5" x14ac:dyDescent="0.25">
      <c r="A3161" s="323" t="s">
        <v>4212</v>
      </c>
      <c r="B3161" s="323" t="s">
        <v>805</v>
      </c>
      <c r="C3161" s="323">
        <v>41491</v>
      </c>
      <c r="D3161" s="323">
        <v>87</v>
      </c>
      <c r="E3161" s="324">
        <f t="shared" si="49"/>
        <v>21215.82</v>
      </c>
    </row>
    <row r="3162" spans="1:5" x14ac:dyDescent="0.25">
      <c r="A3162" s="323" t="s">
        <v>6181</v>
      </c>
      <c r="B3162" s="323" t="s">
        <v>805</v>
      </c>
      <c r="C3162" s="323">
        <v>41491</v>
      </c>
      <c r="D3162" s="323">
        <v>103</v>
      </c>
      <c r="E3162" s="324">
        <f t="shared" si="49"/>
        <v>25117.58</v>
      </c>
    </row>
    <row r="3163" spans="1:5" x14ac:dyDescent="0.25">
      <c r="A3163" s="323" t="s">
        <v>6189</v>
      </c>
      <c r="B3163" s="323" t="s">
        <v>805</v>
      </c>
      <c r="C3163" s="323">
        <v>41491</v>
      </c>
      <c r="D3163" s="323">
        <v>304</v>
      </c>
      <c r="E3163" s="324">
        <f t="shared" si="49"/>
        <v>74133.440000000002</v>
      </c>
    </row>
    <row r="3164" spans="1:5" x14ac:dyDescent="0.25">
      <c r="A3164" s="323" t="s">
        <v>6201</v>
      </c>
      <c r="B3164" s="323" t="s">
        <v>805</v>
      </c>
      <c r="C3164" s="323">
        <v>41491</v>
      </c>
      <c r="D3164" s="323">
        <v>54</v>
      </c>
      <c r="E3164" s="324">
        <f t="shared" si="49"/>
        <v>13168.44</v>
      </c>
    </row>
    <row r="3165" spans="1:5" x14ac:dyDescent="0.25">
      <c r="A3165" s="323" t="s">
        <v>6223</v>
      </c>
      <c r="B3165" s="323" t="s">
        <v>805</v>
      </c>
      <c r="C3165" s="323">
        <v>41491</v>
      </c>
      <c r="D3165" s="323">
        <v>104</v>
      </c>
      <c r="E3165" s="324">
        <f t="shared" si="49"/>
        <v>25361.440000000002</v>
      </c>
    </row>
    <row r="3166" spans="1:5" x14ac:dyDescent="0.25">
      <c r="A3166" s="323" t="s">
        <v>3691</v>
      </c>
      <c r="B3166" s="323" t="s">
        <v>805</v>
      </c>
      <c r="C3166" s="323">
        <v>41492</v>
      </c>
      <c r="D3166" s="323">
        <v>188</v>
      </c>
      <c r="E3166" s="324">
        <f t="shared" si="49"/>
        <v>45845.68</v>
      </c>
    </row>
    <row r="3167" spans="1:5" x14ac:dyDescent="0.25">
      <c r="A3167" s="323" t="s">
        <v>3799</v>
      </c>
      <c r="B3167" s="323" t="s">
        <v>805</v>
      </c>
      <c r="C3167" s="323">
        <v>41492</v>
      </c>
      <c r="D3167" s="323">
        <v>84</v>
      </c>
      <c r="E3167" s="324">
        <f t="shared" si="49"/>
        <v>20484.240000000002</v>
      </c>
    </row>
    <row r="3168" spans="1:5" x14ac:dyDescent="0.25">
      <c r="A3168" s="323" t="s">
        <v>3914</v>
      </c>
      <c r="B3168" s="323" t="s">
        <v>805</v>
      </c>
      <c r="C3168" s="323">
        <v>41492</v>
      </c>
      <c r="D3168" s="323">
        <v>157</v>
      </c>
      <c r="E3168" s="324">
        <f t="shared" si="49"/>
        <v>38286.020000000004</v>
      </c>
    </row>
    <row r="3169" spans="1:5" x14ac:dyDescent="0.25">
      <c r="A3169" s="323" t="s">
        <v>3988</v>
      </c>
      <c r="B3169" s="323" t="s">
        <v>805</v>
      </c>
      <c r="C3169" s="323">
        <v>41492</v>
      </c>
      <c r="D3169" s="323">
        <v>230</v>
      </c>
      <c r="E3169" s="324">
        <f t="shared" si="49"/>
        <v>56087.8</v>
      </c>
    </row>
    <row r="3170" spans="1:5" x14ac:dyDescent="0.25">
      <c r="A3170" s="323" t="s">
        <v>4224</v>
      </c>
      <c r="B3170" s="323" t="s">
        <v>805</v>
      </c>
      <c r="C3170" s="323">
        <v>41492</v>
      </c>
      <c r="D3170" s="323">
        <v>142</v>
      </c>
      <c r="E3170" s="324">
        <f t="shared" si="49"/>
        <v>34628.120000000003</v>
      </c>
    </row>
    <row r="3171" spans="1:5" x14ac:dyDescent="0.25">
      <c r="A3171" s="323" t="s">
        <v>4279</v>
      </c>
      <c r="B3171" s="323" t="s">
        <v>805</v>
      </c>
      <c r="C3171" s="323">
        <v>41492</v>
      </c>
      <c r="D3171" s="323">
        <v>146</v>
      </c>
      <c r="E3171" s="324">
        <f t="shared" si="49"/>
        <v>35603.560000000005</v>
      </c>
    </row>
    <row r="3172" spans="1:5" x14ac:dyDescent="0.25">
      <c r="A3172" s="323" t="s">
        <v>4388</v>
      </c>
      <c r="B3172" s="323" t="s">
        <v>805</v>
      </c>
      <c r="C3172" s="323">
        <v>41492</v>
      </c>
      <c r="D3172" s="323">
        <v>87</v>
      </c>
      <c r="E3172" s="324">
        <f t="shared" si="49"/>
        <v>21215.82</v>
      </c>
    </row>
    <row r="3173" spans="1:5" x14ac:dyDescent="0.25">
      <c r="A3173" s="323" t="s">
        <v>4454</v>
      </c>
      <c r="B3173" s="323" t="s">
        <v>805</v>
      </c>
      <c r="C3173" s="323">
        <v>41492</v>
      </c>
      <c r="D3173" s="323">
        <v>233</v>
      </c>
      <c r="E3173" s="324">
        <f t="shared" si="49"/>
        <v>56819.380000000005</v>
      </c>
    </row>
    <row r="3174" spans="1:5" x14ac:dyDescent="0.25">
      <c r="A3174" s="323" t="s">
        <v>4497</v>
      </c>
      <c r="B3174" s="323" t="s">
        <v>805</v>
      </c>
      <c r="C3174" s="323">
        <v>41492</v>
      </c>
      <c r="D3174" s="323">
        <v>199</v>
      </c>
      <c r="E3174" s="324">
        <f t="shared" si="49"/>
        <v>48528.14</v>
      </c>
    </row>
    <row r="3175" spans="1:5" x14ac:dyDescent="0.25">
      <c r="A3175" s="323" t="s">
        <v>4562</v>
      </c>
      <c r="B3175" s="323" t="s">
        <v>805</v>
      </c>
      <c r="C3175" s="323">
        <v>41492</v>
      </c>
      <c r="D3175" s="323">
        <v>65</v>
      </c>
      <c r="E3175" s="324">
        <f t="shared" si="49"/>
        <v>15850.900000000001</v>
      </c>
    </row>
    <row r="3176" spans="1:5" x14ac:dyDescent="0.25">
      <c r="A3176" s="323" t="s">
        <v>4650</v>
      </c>
      <c r="B3176" s="323" t="s">
        <v>805</v>
      </c>
      <c r="C3176" s="323">
        <v>41492</v>
      </c>
      <c r="D3176" s="323">
        <v>145</v>
      </c>
      <c r="E3176" s="324">
        <f t="shared" si="49"/>
        <v>35359.700000000004</v>
      </c>
    </row>
    <row r="3177" spans="1:5" x14ac:dyDescent="0.25">
      <c r="A3177" s="323" t="s">
        <v>4744</v>
      </c>
      <c r="B3177" s="323" t="s">
        <v>805</v>
      </c>
      <c r="C3177" s="323">
        <v>41492</v>
      </c>
      <c r="D3177" s="323">
        <v>43</v>
      </c>
      <c r="E3177" s="324">
        <f t="shared" si="49"/>
        <v>10485.980000000001</v>
      </c>
    </row>
    <row r="3178" spans="1:5" x14ac:dyDescent="0.25">
      <c r="A3178" s="323" t="s">
        <v>6129</v>
      </c>
      <c r="B3178" s="323" t="s">
        <v>805</v>
      </c>
      <c r="C3178" s="323">
        <v>41492</v>
      </c>
      <c r="D3178" s="323">
        <v>200</v>
      </c>
      <c r="E3178" s="324">
        <f t="shared" si="49"/>
        <v>48772</v>
      </c>
    </row>
    <row r="3179" spans="1:5" x14ac:dyDescent="0.25">
      <c r="A3179" s="323" t="s">
        <v>6394</v>
      </c>
      <c r="B3179" s="323" t="s">
        <v>805</v>
      </c>
      <c r="C3179" s="323">
        <v>41493</v>
      </c>
      <c r="D3179" s="323">
        <v>557</v>
      </c>
      <c r="E3179" s="324">
        <f t="shared" si="49"/>
        <v>135830.02000000002</v>
      </c>
    </row>
    <row r="3180" spans="1:5" x14ac:dyDescent="0.25">
      <c r="A3180" s="323" t="s">
        <v>6395</v>
      </c>
      <c r="B3180" s="323" t="s">
        <v>805</v>
      </c>
      <c r="C3180" s="323">
        <v>41493</v>
      </c>
      <c r="D3180" s="323">
        <v>318</v>
      </c>
      <c r="E3180" s="324">
        <f t="shared" si="49"/>
        <v>77547.48000000001</v>
      </c>
    </row>
    <row r="3181" spans="1:5" x14ac:dyDescent="0.25">
      <c r="A3181" s="323" t="s">
        <v>6396</v>
      </c>
      <c r="B3181" s="323" t="s">
        <v>805</v>
      </c>
      <c r="C3181" s="323">
        <v>41493</v>
      </c>
      <c r="D3181" s="323">
        <v>415</v>
      </c>
      <c r="E3181" s="324">
        <f t="shared" si="49"/>
        <v>101201.90000000001</v>
      </c>
    </row>
    <row r="3182" spans="1:5" x14ac:dyDescent="0.25">
      <c r="A3182" s="323" t="s">
        <v>6398</v>
      </c>
      <c r="B3182" s="323" t="s">
        <v>805</v>
      </c>
      <c r="C3182" s="323">
        <v>41493</v>
      </c>
      <c r="D3182" s="323">
        <v>80</v>
      </c>
      <c r="E3182" s="324">
        <f t="shared" si="49"/>
        <v>19508.800000000003</v>
      </c>
    </row>
    <row r="3183" spans="1:5" x14ac:dyDescent="0.25">
      <c r="A3183" s="323" t="s">
        <v>6400</v>
      </c>
      <c r="B3183" s="323" t="s">
        <v>805</v>
      </c>
      <c r="C3183" s="323">
        <v>41493</v>
      </c>
      <c r="D3183" s="323">
        <v>73</v>
      </c>
      <c r="E3183" s="324">
        <f t="shared" si="49"/>
        <v>17801.780000000002</v>
      </c>
    </row>
    <row r="3184" spans="1:5" x14ac:dyDescent="0.25">
      <c r="A3184" s="323" t="s">
        <v>6427</v>
      </c>
      <c r="B3184" s="323" t="s">
        <v>805</v>
      </c>
      <c r="C3184" s="323">
        <v>41493</v>
      </c>
      <c r="D3184" s="323">
        <v>161</v>
      </c>
      <c r="E3184" s="324">
        <f t="shared" si="49"/>
        <v>39261.46</v>
      </c>
    </row>
    <row r="3185" spans="1:5" x14ac:dyDescent="0.25">
      <c r="A3185" s="323" t="s">
        <v>6442</v>
      </c>
      <c r="B3185" s="323" t="s">
        <v>805</v>
      </c>
      <c r="C3185" s="323">
        <v>41493</v>
      </c>
      <c r="D3185" s="323">
        <v>658</v>
      </c>
      <c r="E3185" s="324">
        <f t="shared" si="49"/>
        <v>160459.88</v>
      </c>
    </row>
    <row r="3186" spans="1:5" x14ac:dyDescent="0.25">
      <c r="A3186" s="323" t="s">
        <v>6444</v>
      </c>
      <c r="B3186" s="323" t="s">
        <v>805</v>
      </c>
      <c r="C3186" s="323">
        <v>41493</v>
      </c>
      <c r="D3186" s="323">
        <v>236</v>
      </c>
      <c r="E3186" s="324">
        <f t="shared" si="49"/>
        <v>57550.960000000006</v>
      </c>
    </row>
    <row r="3187" spans="1:5" x14ac:dyDescent="0.25">
      <c r="A3187" s="323" t="s">
        <v>6447</v>
      </c>
      <c r="B3187" s="323" t="s">
        <v>805</v>
      </c>
      <c r="C3187" s="323">
        <v>41493</v>
      </c>
      <c r="D3187" s="323">
        <v>858</v>
      </c>
      <c r="E3187" s="324">
        <f t="shared" si="49"/>
        <v>209231.88</v>
      </c>
    </row>
    <row r="3188" spans="1:5" x14ac:dyDescent="0.25">
      <c r="A3188" s="323" t="s">
        <v>6312</v>
      </c>
      <c r="B3188" s="323" t="s">
        <v>805</v>
      </c>
      <c r="C3188" s="323">
        <v>41494</v>
      </c>
      <c r="D3188" s="323">
        <v>263</v>
      </c>
      <c r="E3188" s="324">
        <f t="shared" si="49"/>
        <v>64135.18</v>
      </c>
    </row>
    <row r="3189" spans="1:5" x14ac:dyDescent="0.25">
      <c r="A3189" s="323" t="s">
        <v>6318</v>
      </c>
      <c r="B3189" s="323" t="s">
        <v>805</v>
      </c>
      <c r="C3189" s="323">
        <v>41494</v>
      </c>
      <c r="D3189" s="323">
        <v>97</v>
      </c>
      <c r="E3189" s="324">
        <f t="shared" si="49"/>
        <v>23654.420000000002</v>
      </c>
    </row>
    <row r="3190" spans="1:5" x14ac:dyDescent="0.25">
      <c r="A3190" s="323" t="s">
        <v>6323</v>
      </c>
      <c r="B3190" s="323" t="s">
        <v>805</v>
      </c>
      <c r="C3190" s="323">
        <v>41494</v>
      </c>
      <c r="D3190" s="323">
        <v>311</v>
      </c>
      <c r="E3190" s="324">
        <f t="shared" si="49"/>
        <v>75840.460000000006</v>
      </c>
    </row>
    <row r="3191" spans="1:5" x14ac:dyDescent="0.25">
      <c r="A3191" s="323" t="s">
        <v>6328</v>
      </c>
      <c r="B3191" s="323" t="s">
        <v>805</v>
      </c>
      <c r="C3191" s="323">
        <v>41494</v>
      </c>
      <c r="D3191" s="323">
        <v>47</v>
      </c>
      <c r="E3191" s="324">
        <f t="shared" si="49"/>
        <v>11461.42</v>
      </c>
    </row>
    <row r="3192" spans="1:5" x14ac:dyDescent="0.25">
      <c r="A3192" s="323" t="s">
        <v>6344</v>
      </c>
      <c r="B3192" s="323" t="s">
        <v>805</v>
      </c>
      <c r="C3192" s="323">
        <v>41494</v>
      </c>
      <c r="D3192" s="323">
        <v>43</v>
      </c>
      <c r="E3192" s="324">
        <f t="shared" si="49"/>
        <v>10485.980000000001</v>
      </c>
    </row>
    <row r="3193" spans="1:5" x14ac:dyDescent="0.25">
      <c r="A3193" s="323" t="s">
        <v>6360</v>
      </c>
      <c r="B3193" s="323" t="s">
        <v>805</v>
      </c>
      <c r="C3193" s="323">
        <v>41494</v>
      </c>
      <c r="D3193" s="323">
        <v>180</v>
      </c>
      <c r="E3193" s="324">
        <f t="shared" si="49"/>
        <v>43894.8</v>
      </c>
    </row>
    <row r="3194" spans="1:5" x14ac:dyDescent="0.25">
      <c r="A3194" s="323" t="s">
        <v>6365</v>
      </c>
      <c r="B3194" s="323" t="s">
        <v>805</v>
      </c>
      <c r="C3194" s="323">
        <v>41494</v>
      </c>
      <c r="D3194" s="323">
        <v>119</v>
      </c>
      <c r="E3194" s="324">
        <f t="shared" si="49"/>
        <v>29019.34</v>
      </c>
    </row>
    <row r="3195" spans="1:5" x14ac:dyDescent="0.25">
      <c r="A3195" s="323" t="s">
        <v>6370</v>
      </c>
      <c r="B3195" s="323" t="s">
        <v>805</v>
      </c>
      <c r="C3195" s="323">
        <v>41494</v>
      </c>
      <c r="D3195" s="323">
        <v>71</v>
      </c>
      <c r="E3195" s="324">
        <f t="shared" si="49"/>
        <v>17314.060000000001</v>
      </c>
    </row>
    <row r="3196" spans="1:5" x14ac:dyDescent="0.25">
      <c r="A3196" s="323" t="s">
        <v>2079</v>
      </c>
      <c r="B3196" s="323" t="s">
        <v>805</v>
      </c>
      <c r="C3196" s="323">
        <v>41496</v>
      </c>
      <c r="D3196" s="323">
        <v>61</v>
      </c>
      <c r="E3196" s="324">
        <f t="shared" si="49"/>
        <v>14875.460000000001</v>
      </c>
    </row>
    <row r="3197" spans="1:5" x14ac:dyDescent="0.25">
      <c r="A3197" s="323" t="s">
        <v>2102</v>
      </c>
      <c r="B3197" s="323" t="s">
        <v>805</v>
      </c>
      <c r="C3197" s="323">
        <v>41496</v>
      </c>
      <c r="D3197" s="323">
        <v>195</v>
      </c>
      <c r="E3197" s="324">
        <f t="shared" si="49"/>
        <v>47552.700000000004</v>
      </c>
    </row>
    <row r="3198" spans="1:5" x14ac:dyDescent="0.25">
      <c r="A3198" s="323" t="s">
        <v>3007</v>
      </c>
      <c r="B3198" s="323" t="s">
        <v>805</v>
      </c>
      <c r="C3198" s="323">
        <v>41496</v>
      </c>
      <c r="D3198" s="323">
        <v>295</v>
      </c>
      <c r="E3198" s="324">
        <f t="shared" si="49"/>
        <v>71938.7</v>
      </c>
    </row>
    <row r="3199" spans="1:5" x14ac:dyDescent="0.25">
      <c r="A3199" s="323" t="s">
        <v>3030</v>
      </c>
      <c r="B3199" s="323" t="s">
        <v>805</v>
      </c>
      <c r="C3199" s="323">
        <v>41496</v>
      </c>
      <c r="D3199" s="323">
        <v>242</v>
      </c>
      <c r="E3199" s="324">
        <f t="shared" si="49"/>
        <v>59014.12</v>
      </c>
    </row>
    <row r="3200" spans="1:5" x14ac:dyDescent="0.25">
      <c r="A3200" s="323" t="s">
        <v>3400</v>
      </c>
      <c r="B3200" s="323" t="s">
        <v>805</v>
      </c>
      <c r="C3200" s="323">
        <v>41496</v>
      </c>
      <c r="D3200" s="323">
        <v>266</v>
      </c>
      <c r="E3200" s="324">
        <f t="shared" si="49"/>
        <v>64866.76</v>
      </c>
    </row>
    <row r="3201" spans="1:5" x14ac:dyDescent="0.25">
      <c r="A3201" s="323" t="s">
        <v>4322</v>
      </c>
      <c r="B3201" s="323" t="s">
        <v>805</v>
      </c>
      <c r="C3201" s="323">
        <v>41496</v>
      </c>
      <c r="D3201" s="323">
        <v>250</v>
      </c>
      <c r="E3201" s="324">
        <f t="shared" si="49"/>
        <v>60965</v>
      </c>
    </row>
    <row r="3202" spans="1:5" x14ac:dyDescent="0.25">
      <c r="A3202" s="323" t="s">
        <v>4390</v>
      </c>
      <c r="B3202" s="323" t="s">
        <v>805</v>
      </c>
      <c r="C3202" s="323">
        <v>41496</v>
      </c>
      <c r="D3202" s="323">
        <v>589</v>
      </c>
      <c r="E3202" s="324">
        <f t="shared" ref="E3202:E3265" si="50">D3202*IF(B3202=$G$9,WerkdrukbedragPerLeerlingBo,IF(B3202=$G$10,WerkdrukbedragPerLeerlingSbo,IF(B3202=$G$11,WerkdrukbedragPerLeerlingSo,IF(B3202=$G$12,WerkdrukbedragPerLeerlingVso,0))))</f>
        <v>143633.54</v>
      </c>
    </row>
    <row r="3203" spans="1:5" x14ac:dyDescent="0.25">
      <c r="A3203" s="323" t="s">
        <v>4601</v>
      </c>
      <c r="B3203" s="323" t="s">
        <v>805</v>
      </c>
      <c r="C3203" s="323">
        <v>41496</v>
      </c>
      <c r="D3203" s="323">
        <v>156</v>
      </c>
      <c r="E3203" s="324">
        <f t="shared" si="50"/>
        <v>38042.160000000003</v>
      </c>
    </row>
    <row r="3204" spans="1:5" x14ac:dyDescent="0.25">
      <c r="A3204" s="323" t="s">
        <v>4601</v>
      </c>
      <c r="B3204" s="323" t="s">
        <v>805</v>
      </c>
      <c r="C3204" s="323">
        <v>41496</v>
      </c>
      <c r="D3204" s="323">
        <v>88</v>
      </c>
      <c r="E3204" s="324">
        <f t="shared" si="50"/>
        <v>21459.68</v>
      </c>
    </row>
    <row r="3205" spans="1:5" x14ac:dyDescent="0.25">
      <c r="A3205" s="323" t="s">
        <v>4629</v>
      </c>
      <c r="B3205" s="323" t="s">
        <v>805</v>
      </c>
      <c r="C3205" s="323">
        <v>41496</v>
      </c>
      <c r="D3205" s="323">
        <v>351</v>
      </c>
      <c r="E3205" s="324">
        <f t="shared" si="50"/>
        <v>85594.86</v>
      </c>
    </row>
    <row r="3206" spans="1:5" x14ac:dyDescent="0.25">
      <c r="A3206" s="323" t="s">
        <v>4787</v>
      </c>
      <c r="B3206" s="323" t="s">
        <v>805</v>
      </c>
      <c r="C3206" s="323">
        <v>41496</v>
      </c>
      <c r="D3206" s="323">
        <v>134</v>
      </c>
      <c r="E3206" s="324">
        <f t="shared" si="50"/>
        <v>32677.24</v>
      </c>
    </row>
    <row r="3207" spans="1:5" x14ac:dyDescent="0.25">
      <c r="A3207" s="323" t="s">
        <v>4936</v>
      </c>
      <c r="B3207" s="323" t="s">
        <v>805</v>
      </c>
      <c r="C3207" s="323">
        <v>41496</v>
      </c>
      <c r="D3207" s="323">
        <v>549</v>
      </c>
      <c r="E3207" s="324">
        <f t="shared" si="50"/>
        <v>133879.14000000001</v>
      </c>
    </row>
    <row r="3208" spans="1:5" x14ac:dyDescent="0.25">
      <c r="A3208" s="323" t="s">
        <v>4988</v>
      </c>
      <c r="B3208" s="323" t="s">
        <v>805</v>
      </c>
      <c r="C3208" s="323">
        <v>41496</v>
      </c>
      <c r="D3208" s="323">
        <v>311</v>
      </c>
      <c r="E3208" s="324">
        <f t="shared" si="50"/>
        <v>75840.460000000006</v>
      </c>
    </row>
    <row r="3209" spans="1:5" x14ac:dyDescent="0.25">
      <c r="A3209" s="323" t="s">
        <v>6060</v>
      </c>
      <c r="B3209" s="323" t="s">
        <v>805</v>
      </c>
      <c r="C3209" s="323">
        <v>41496</v>
      </c>
      <c r="D3209" s="323">
        <v>260</v>
      </c>
      <c r="E3209" s="324">
        <f t="shared" si="50"/>
        <v>63403.600000000006</v>
      </c>
    </row>
    <row r="3210" spans="1:5" x14ac:dyDescent="0.25">
      <c r="A3210" s="323" t="s">
        <v>6140</v>
      </c>
      <c r="B3210" s="323" t="s">
        <v>805</v>
      </c>
      <c r="C3210" s="323">
        <v>41496</v>
      </c>
      <c r="D3210" s="323">
        <v>201</v>
      </c>
      <c r="E3210" s="324">
        <f t="shared" si="50"/>
        <v>49015.86</v>
      </c>
    </row>
    <row r="3211" spans="1:5" x14ac:dyDescent="0.25">
      <c r="A3211" s="323" t="s">
        <v>6163</v>
      </c>
      <c r="B3211" s="323" t="s">
        <v>805</v>
      </c>
      <c r="C3211" s="323">
        <v>41496</v>
      </c>
      <c r="D3211" s="323">
        <v>91</v>
      </c>
      <c r="E3211" s="324">
        <f t="shared" si="50"/>
        <v>22191.260000000002</v>
      </c>
    </row>
    <row r="3212" spans="1:5" x14ac:dyDescent="0.25">
      <c r="A3212" s="323" t="s">
        <v>6517</v>
      </c>
      <c r="B3212" s="323" t="s">
        <v>809</v>
      </c>
      <c r="C3212" s="323">
        <v>41496</v>
      </c>
      <c r="D3212" s="323">
        <v>50</v>
      </c>
      <c r="E3212" s="324">
        <f t="shared" si="50"/>
        <v>24386</v>
      </c>
    </row>
    <row r="3213" spans="1:5" x14ac:dyDescent="0.25">
      <c r="A3213" s="323" t="s">
        <v>6517</v>
      </c>
      <c r="B3213" s="323" t="s">
        <v>803</v>
      </c>
      <c r="C3213" s="323">
        <v>41496</v>
      </c>
      <c r="D3213" s="323">
        <v>93</v>
      </c>
      <c r="E3213" s="324">
        <f t="shared" si="50"/>
        <v>45357.96</v>
      </c>
    </row>
    <row r="3214" spans="1:5" x14ac:dyDescent="0.25">
      <c r="A3214" s="323" t="s">
        <v>6915</v>
      </c>
      <c r="B3214" s="323" t="s">
        <v>805</v>
      </c>
      <c r="C3214" s="323">
        <v>41496</v>
      </c>
      <c r="D3214" s="323">
        <v>242</v>
      </c>
      <c r="E3214" s="324">
        <f t="shared" si="50"/>
        <v>59014.12</v>
      </c>
    </row>
    <row r="3215" spans="1:5" x14ac:dyDescent="0.25">
      <c r="A3215" s="323" t="s">
        <v>7382</v>
      </c>
      <c r="B3215" s="323" t="s">
        <v>805</v>
      </c>
      <c r="C3215" s="323">
        <v>41496</v>
      </c>
      <c r="D3215" s="323">
        <v>77</v>
      </c>
      <c r="E3215" s="324">
        <f t="shared" si="50"/>
        <v>18777.22</v>
      </c>
    </row>
    <row r="3216" spans="1:5" x14ac:dyDescent="0.25">
      <c r="A3216" s="323" t="s">
        <v>7455</v>
      </c>
      <c r="B3216" s="323" t="s">
        <v>805</v>
      </c>
      <c r="C3216" s="323">
        <v>41496</v>
      </c>
      <c r="D3216" s="323">
        <v>253</v>
      </c>
      <c r="E3216" s="324">
        <f t="shared" si="50"/>
        <v>61696.58</v>
      </c>
    </row>
    <row r="3217" spans="1:5" x14ac:dyDescent="0.25">
      <c r="A3217" s="323" t="s">
        <v>1041</v>
      </c>
      <c r="B3217" s="323" t="s">
        <v>805</v>
      </c>
      <c r="C3217" s="323">
        <v>41500</v>
      </c>
      <c r="D3217" s="323">
        <v>85</v>
      </c>
      <c r="E3217" s="324">
        <f t="shared" si="50"/>
        <v>20728.100000000002</v>
      </c>
    </row>
    <row r="3218" spans="1:5" x14ac:dyDescent="0.25">
      <c r="A3218" s="323" t="s">
        <v>2633</v>
      </c>
      <c r="B3218" s="323" t="s">
        <v>805</v>
      </c>
      <c r="C3218" s="323">
        <v>41500</v>
      </c>
      <c r="D3218" s="323">
        <v>164</v>
      </c>
      <c r="E3218" s="324">
        <f t="shared" si="50"/>
        <v>39993.040000000001</v>
      </c>
    </row>
    <row r="3219" spans="1:5" x14ac:dyDescent="0.25">
      <c r="A3219" s="323" t="s">
        <v>3203</v>
      </c>
      <c r="B3219" s="323" t="s">
        <v>805</v>
      </c>
      <c r="C3219" s="323">
        <v>41500</v>
      </c>
      <c r="D3219" s="323">
        <v>218</v>
      </c>
      <c r="E3219" s="324">
        <f t="shared" si="50"/>
        <v>53161.48</v>
      </c>
    </row>
    <row r="3220" spans="1:5" x14ac:dyDescent="0.25">
      <c r="A3220" s="323" t="s">
        <v>3538</v>
      </c>
      <c r="B3220" s="323" t="s">
        <v>805</v>
      </c>
      <c r="C3220" s="323">
        <v>41500</v>
      </c>
      <c r="D3220" s="323">
        <v>131</v>
      </c>
      <c r="E3220" s="324">
        <f t="shared" si="50"/>
        <v>31945.660000000003</v>
      </c>
    </row>
    <row r="3221" spans="1:5" x14ac:dyDescent="0.25">
      <c r="A3221" s="323" t="s">
        <v>3660</v>
      </c>
      <c r="B3221" s="323" t="s">
        <v>805</v>
      </c>
      <c r="C3221" s="323">
        <v>41500</v>
      </c>
      <c r="D3221" s="323">
        <v>394</v>
      </c>
      <c r="E3221" s="324">
        <f t="shared" si="50"/>
        <v>96080.840000000011</v>
      </c>
    </row>
    <row r="3222" spans="1:5" x14ac:dyDescent="0.25">
      <c r="A3222" s="323" t="s">
        <v>4064</v>
      </c>
      <c r="B3222" s="323" t="s">
        <v>805</v>
      </c>
      <c r="C3222" s="323">
        <v>41500</v>
      </c>
      <c r="D3222" s="323">
        <v>260</v>
      </c>
      <c r="E3222" s="324">
        <f t="shared" si="50"/>
        <v>63403.600000000006</v>
      </c>
    </row>
    <row r="3223" spans="1:5" x14ac:dyDescent="0.25">
      <c r="A3223" s="323" t="s">
        <v>6150</v>
      </c>
      <c r="B3223" s="323" t="s">
        <v>805</v>
      </c>
      <c r="C3223" s="323">
        <v>41500</v>
      </c>
      <c r="D3223" s="323">
        <v>177</v>
      </c>
      <c r="E3223" s="324">
        <f t="shared" si="50"/>
        <v>43163.22</v>
      </c>
    </row>
    <row r="3224" spans="1:5" x14ac:dyDescent="0.25">
      <c r="A3224" s="323" t="s">
        <v>6198</v>
      </c>
      <c r="B3224" s="323" t="s">
        <v>805</v>
      </c>
      <c r="C3224" s="323">
        <v>41500</v>
      </c>
      <c r="D3224" s="323">
        <v>428</v>
      </c>
      <c r="E3224" s="324">
        <f t="shared" si="50"/>
        <v>104372.08</v>
      </c>
    </row>
    <row r="3225" spans="1:5" x14ac:dyDescent="0.25">
      <c r="A3225" s="323" t="s">
        <v>6214</v>
      </c>
      <c r="B3225" s="323" t="s">
        <v>805</v>
      </c>
      <c r="C3225" s="323">
        <v>41500</v>
      </c>
      <c r="D3225" s="323">
        <v>328</v>
      </c>
      <c r="E3225" s="324">
        <f t="shared" si="50"/>
        <v>79986.080000000002</v>
      </c>
    </row>
    <row r="3226" spans="1:5" x14ac:dyDescent="0.25">
      <c r="A3226" s="323" t="s">
        <v>2137</v>
      </c>
      <c r="B3226" s="323" t="s">
        <v>805</v>
      </c>
      <c r="C3226" s="323">
        <v>41501</v>
      </c>
      <c r="D3226" s="323">
        <v>73</v>
      </c>
      <c r="E3226" s="324">
        <f t="shared" si="50"/>
        <v>17801.780000000002</v>
      </c>
    </row>
    <row r="3227" spans="1:5" x14ac:dyDescent="0.25">
      <c r="A3227" s="323" t="s">
        <v>2623</v>
      </c>
      <c r="B3227" s="323" t="s">
        <v>805</v>
      </c>
      <c r="C3227" s="323">
        <v>41501</v>
      </c>
      <c r="D3227" s="323">
        <v>140</v>
      </c>
      <c r="E3227" s="324">
        <f t="shared" si="50"/>
        <v>34140.400000000001</v>
      </c>
    </row>
    <row r="3228" spans="1:5" x14ac:dyDescent="0.25">
      <c r="A3228" s="323" t="s">
        <v>4387</v>
      </c>
      <c r="B3228" s="323" t="s">
        <v>805</v>
      </c>
      <c r="C3228" s="323">
        <v>41501</v>
      </c>
      <c r="D3228" s="323">
        <v>34</v>
      </c>
      <c r="E3228" s="324">
        <f t="shared" si="50"/>
        <v>8291.24</v>
      </c>
    </row>
    <row r="3229" spans="1:5" x14ac:dyDescent="0.25">
      <c r="A3229" s="323" t="s">
        <v>4741</v>
      </c>
      <c r="B3229" s="323" t="s">
        <v>805</v>
      </c>
      <c r="C3229" s="323">
        <v>41501</v>
      </c>
      <c r="D3229" s="323">
        <v>235</v>
      </c>
      <c r="E3229" s="324">
        <f t="shared" si="50"/>
        <v>57307.100000000006</v>
      </c>
    </row>
    <row r="3230" spans="1:5" x14ac:dyDescent="0.25">
      <c r="A3230" s="323" t="s">
        <v>4741</v>
      </c>
      <c r="B3230" s="323" t="s">
        <v>805</v>
      </c>
      <c r="C3230" s="323">
        <v>41501</v>
      </c>
      <c r="D3230" s="323">
        <v>40</v>
      </c>
      <c r="E3230" s="324">
        <f t="shared" si="50"/>
        <v>9754.4000000000015</v>
      </c>
    </row>
    <row r="3231" spans="1:5" x14ac:dyDescent="0.25">
      <c r="A3231" s="323" t="s">
        <v>4813</v>
      </c>
      <c r="B3231" s="323" t="s">
        <v>805</v>
      </c>
      <c r="C3231" s="323">
        <v>41501</v>
      </c>
      <c r="D3231" s="323">
        <v>39</v>
      </c>
      <c r="E3231" s="324">
        <f t="shared" si="50"/>
        <v>9510.5400000000009</v>
      </c>
    </row>
    <row r="3232" spans="1:5" x14ac:dyDescent="0.25">
      <c r="A3232" s="323" t="s">
        <v>6084</v>
      </c>
      <c r="B3232" s="323" t="s">
        <v>805</v>
      </c>
      <c r="C3232" s="323">
        <v>41501</v>
      </c>
      <c r="D3232" s="323">
        <v>298</v>
      </c>
      <c r="E3232" s="324">
        <f t="shared" si="50"/>
        <v>72670.28</v>
      </c>
    </row>
    <row r="3233" spans="1:5" x14ac:dyDescent="0.25">
      <c r="A3233" s="323" t="s">
        <v>6085</v>
      </c>
      <c r="B3233" s="323" t="s">
        <v>805</v>
      </c>
      <c r="C3233" s="323">
        <v>41501</v>
      </c>
      <c r="D3233" s="323">
        <v>215</v>
      </c>
      <c r="E3233" s="324">
        <f t="shared" si="50"/>
        <v>52429.9</v>
      </c>
    </row>
    <row r="3234" spans="1:5" x14ac:dyDescent="0.25">
      <c r="A3234" s="323" t="s">
        <v>2148</v>
      </c>
      <c r="B3234" s="323" t="s">
        <v>805</v>
      </c>
      <c r="C3234" s="323">
        <v>41502</v>
      </c>
      <c r="D3234" s="323">
        <v>132</v>
      </c>
      <c r="E3234" s="324">
        <f t="shared" si="50"/>
        <v>32189.52</v>
      </c>
    </row>
    <row r="3235" spans="1:5" x14ac:dyDescent="0.25">
      <c r="A3235" s="323" t="s">
        <v>3053</v>
      </c>
      <c r="B3235" s="323" t="s">
        <v>805</v>
      </c>
      <c r="C3235" s="323">
        <v>41502</v>
      </c>
      <c r="D3235" s="323">
        <v>70</v>
      </c>
      <c r="E3235" s="324">
        <f t="shared" si="50"/>
        <v>17070.2</v>
      </c>
    </row>
    <row r="3236" spans="1:5" x14ac:dyDescent="0.25">
      <c r="A3236" s="323" t="s">
        <v>3401</v>
      </c>
      <c r="B3236" s="323" t="s">
        <v>805</v>
      </c>
      <c r="C3236" s="323">
        <v>41502</v>
      </c>
      <c r="D3236" s="323">
        <v>201</v>
      </c>
      <c r="E3236" s="324">
        <f t="shared" si="50"/>
        <v>49015.86</v>
      </c>
    </row>
    <row r="3237" spans="1:5" x14ac:dyDescent="0.25">
      <c r="A3237" s="323" t="s">
        <v>3403</v>
      </c>
      <c r="B3237" s="323" t="s">
        <v>805</v>
      </c>
      <c r="C3237" s="323">
        <v>41502</v>
      </c>
      <c r="D3237" s="323">
        <v>82</v>
      </c>
      <c r="E3237" s="324">
        <f t="shared" si="50"/>
        <v>19996.52</v>
      </c>
    </row>
    <row r="3238" spans="1:5" x14ac:dyDescent="0.25">
      <c r="A3238" s="323" t="s">
        <v>3426</v>
      </c>
      <c r="B3238" s="323" t="s">
        <v>805</v>
      </c>
      <c r="C3238" s="323">
        <v>41502</v>
      </c>
      <c r="D3238" s="323">
        <v>66</v>
      </c>
      <c r="E3238" s="324">
        <f t="shared" si="50"/>
        <v>16094.76</v>
      </c>
    </row>
    <row r="3239" spans="1:5" x14ac:dyDescent="0.25">
      <c r="A3239" s="323" t="s">
        <v>3678</v>
      </c>
      <c r="B3239" s="323" t="s">
        <v>805</v>
      </c>
      <c r="C3239" s="323">
        <v>41502</v>
      </c>
      <c r="D3239" s="323">
        <v>100</v>
      </c>
      <c r="E3239" s="324">
        <f t="shared" si="50"/>
        <v>24386</v>
      </c>
    </row>
    <row r="3240" spans="1:5" x14ac:dyDescent="0.25">
      <c r="A3240" s="323" t="s">
        <v>3680</v>
      </c>
      <c r="B3240" s="323" t="s">
        <v>805</v>
      </c>
      <c r="C3240" s="323">
        <v>41502</v>
      </c>
      <c r="D3240" s="323">
        <v>300</v>
      </c>
      <c r="E3240" s="324">
        <f t="shared" si="50"/>
        <v>73158</v>
      </c>
    </row>
    <row r="3241" spans="1:5" x14ac:dyDescent="0.25">
      <c r="A3241" s="323" t="s">
        <v>3905</v>
      </c>
      <c r="B3241" s="323" t="s">
        <v>805</v>
      </c>
      <c r="C3241" s="323">
        <v>41502</v>
      </c>
      <c r="D3241" s="323">
        <v>40</v>
      </c>
      <c r="E3241" s="324">
        <f t="shared" si="50"/>
        <v>9754.4000000000015</v>
      </c>
    </row>
    <row r="3242" spans="1:5" x14ac:dyDescent="0.25">
      <c r="A3242" s="323" t="s">
        <v>6120</v>
      </c>
      <c r="B3242" s="323" t="s">
        <v>805</v>
      </c>
      <c r="C3242" s="323">
        <v>41502</v>
      </c>
      <c r="D3242" s="323">
        <v>97</v>
      </c>
      <c r="E3242" s="324">
        <f t="shared" si="50"/>
        <v>23654.420000000002</v>
      </c>
    </row>
    <row r="3243" spans="1:5" x14ac:dyDescent="0.25">
      <c r="A3243" s="323" t="s">
        <v>6145</v>
      </c>
      <c r="B3243" s="323" t="s">
        <v>805</v>
      </c>
      <c r="C3243" s="323">
        <v>41502</v>
      </c>
      <c r="D3243" s="323">
        <v>190</v>
      </c>
      <c r="E3243" s="324">
        <f t="shared" si="50"/>
        <v>46333.4</v>
      </c>
    </row>
    <row r="3244" spans="1:5" x14ac:dyDescent="0.25">
      <c r="A3244" s="323" t="s">
        <v>6151</v>
      </c>
      <c r="B3244" s="323" t="s">
        <v>816</v>
      </c>
      <c r="C3244" s="323">
        <v>41502</v>
      </c>
      <c r="D3244" s="323">
        <v>69</v>
      </c>
      <c r="E3244" s="324">
        <f t="shared" si="50"/>
        <v>25239.510000000002</v>
      </c>
    </row>
    <row r="3245" spans="1:5" x14ac:dyDescent="0.25">
      <c r="A3245" s="323" t="s">
        <v>6166</v>
      </c>
      <c r="B3245" s="323" t="s">
        <v>805</v>
      </c>
      <c r="C3245" s="323">
        <v>41502</v>
      </c>
      <c r="D3245" s="323">
        <v>95</v>
      </c>
      <c r="E3245" s="324">
        <f t="shared" si="50"/>
        <v>23166.7</v>
      </c>
    </row>
    <row r="3246" spans="1:5" x14ac:dyDescent="0.25">
      <c r="A3246" s="323" t="s">
        <v>1084</v>
      </c>
      <c r="B3246" s="323" t="s">
        <v>805</v>
      </c>
      <c r="C3246" s="323">
        <v>41506</v>
      </c>
      <c r="D3246" s="323">
        <v>250</v>
      </c>
      <c r="E3246" s="324">
        <f t="shared" si="50"/>
        <v>60965</v>
      </c>
    </row>
    <row r="3247" spans="1:5" x14ac:dyDescent="0.25">
      <c r="A3247" s="323" t="s">
        <v>1181</v>
      </c>
      <c r="B3247" s="323" t="s">
        <v>805</v>
      </c>
      <c r="C3247" s="323">
        <v>41506</v>
      </c>
      <c r="D3247" s="323">
        <v>188</v>
      </c>
      <c r="E3247" s="324">
        <f t="shared" si="50"/>
        <v>45845.68</v>
      </c>
    </row>
    <row r="3248" spans="1:5" x14ac:dyDescent="0.25">
      <c r="A3248" s="323" t="s">
        <v>1232</v>
      </c>
      <c r="B3248" s="323" t="s">
        <v>805</v>
      </c>
      <c r="C3248" s="323">
        <v>41506</v>
      </c>
      <c r="D3248" s="323">
        <v>129</v>
      </c>
      <c r="E3248" s="324">
        <f t="shared" si="50"/>
        <v>31457.940000000002</v>
      </c>
    </row>
    <row r="3249" spans="1:5" x14ac:dyDescent="0.25">
      <c r="A3249" s="323" t="s">
        <v>1325</v>
      </c>
      <c r="B3249" s="323" t="s">
        <v>805</v>
      </c>
      <c r="C3249" s="323">
        <v>41506</v>
      </c>
      <c r="D3249" s="323">
        <v>363</v>
      </c>
      <c r="E3249" s="324">
        <f t="shared" si="50"/>
        <v>88521.180000000008</v>
      </c>
    </row>
    <row r="3250" spans="1:5" x14ac:dyDescent="0.25">
      <c r="A3250" s="323" t="s">
        <v>1700</v>
      </c>
      <c r="B3250" s="323" t="s">
        <v>805</v>
      </c>
      <c r="C3250" s="323">
        <v>41506</v>
      </c>
      <c r="D3250" s="323">
        <v>119</v>
      </c>
      <c r="E3250" s="324">
        <f t="shared" si="50"/>
        <v>29019.34</v>
      </c>
    </row>
    <row r="3251" spans="1:5" x14ac:dyDescent="0.25">
      <c r="A3251" s="323" t="s">
        <v>1843</v>
      </c>
      <c r="B3251" s="323" t="s">
        <v>805</v>
      </c>
      <c r="C3251" s="323">
        <v>41506</v>
      </c>
      <c r="D3251" s="323">
        <v>171</v>
      </c>
      <c r="E3251" s="324">
        <f t="shared" si="50"/>
        <v>41700.060000000005</v>
      </c>
    </row>
    <row r="3252" spans="1:5" x14ac:dyDescent="0.25">
      <c r="A3252" s="323" t="s">
        <v>1852</v>
      </c>
      <c r="B3252" s="323" t="s">
        <v>805</v>
      </c>
      <c r="C3252" s="323">
        <v>41506</v>
      </c>
      <c r="D3252" s="323">
        <v>498</v>
      </c>
      <c r="E3252" s="324">
        <f t="shared" si="50"/>
        <v>121442.28000000001</v>
      </c>
    </row>
    <row r="3253" spans="1:5" x14ac:dyDescent="0.25">
      <c r="A3253" s="323" t="s">
        <v>2259</v>
      </c>
      <c r="B3253" s="323" t="s">
        <v>805</v>
      </c>
      <c r="C3253" s="323">
        <v>41506</v>
      </c>
      <c r="D3253" s="323">
        <v>306</v>
      </c>
      <c r="E3253" s="324">
        <f t="shared" si="50"/>
        <v>74621.16</v>
      </c>
    </row>
    <row r="3254" spans="1:5" x14ac:dyDescent="0.25">
      <c r="A3254" s="323" t="s">
        <v>2304</v>
      </c>
      <c r="B3254" s="323" t="s">
        <v>805</v>
      </c>
      <c r="C3254" s="323">
        <v>41506</v>
      </c>
      <c r="D3254" s="323">
        <v>122</v>
      </c>
      <c r="E3254" s="324">
        <f t="shared" si="50"/>
        <v>29750.920000000002</v>
      </c>
    </row>
    <row r="3255" spans="1:5" x14ac:dyDescent="0.25">
      <c r="A3255" s="323" t="s">
        <v>2321</v>
      </c>
      <c r="B3255" s="323" t="s">
        <v>805</v>
      </c>
      <c r="C3255" s="323">
        <v>41506</v>
      </c>
      <c r="D3255" s="323">
        <v>209</v>
      </c>
      <c r="E3255" s="324">
        <f t="shared" si="50"/>
        <v>50966.740000000005</v>
      </c>
    </row>
    <row r="3256" spans="1:5" x14ac:dyDescent="0.25">
      <c r="A3256" s="323" t="s">
        <v>2408</v>
      </c>
      <c r="B3256" s="323" t="s">
        <v>805</v>
      </c>
      <c r="C3256" s="323">
        <v>41506</v>
      </c>
      <c r="D3256" s="323">
        <v>238</v>
      </c>
      <c r="E3256" s="324">
        <f t="shared" si="50"/>
        <v>58038.68</v>
      </c>
    </row>
    <row r="3257" spans="1:5" x14ac:dyDescent="0.25">
      <c r="A3257" s="323" t="s">
        <v>2416</v>
      </c>
      <c r="B3257" s="323" t="s">
        <v>805</v>
      </c>
      <c r="C3257" s="323">
        <v>41506</v>
      </c>
      <c r="D3257" s="323">
        <v>82</v>
      </c>
      <c r="E3257" s="324">
        <f t="shared" si="50"/>
        <v>19996.52</v>
      </c>
    </row>
    <row r="3258" spans="1:5" x14ac:dyDescent="0.25">
      <c r="A3258" s="323" t="s">
        <v>2485</v>
      </c>
      <c r="B3258" s="323" t="s">
        <v>805</v>
      </c>
      <c r="C3258" s="323">
        <v>41506</v>
      </c>
      <c r="D3258" s="323">
        <v>82</v>
      </c>
      <c r="E3258" s="324">
        <f t="shared" si="50"/>
        <v>19996.52</v>
      </c>
    </row>
    <row r="3259" spans="1:5" x14ac:dyDescent="0.25">
      <c r="A3259" s="323" t="s">
        <v>2794</v>
      </c>
      <c r="B3259" s="323" t="s">
        <v>805</v>
      </c>
      <c r="C3259" s="323">
        <v>41506</v>
      </c>
      <c r="D3259" s="323">
        <v>205</v>
      </c>
      <c r="E3259" s="324">
        <f t="shared" si="50"/>
        <v>49991.3</v>
      </c>
    </row>
    <row r="3260" spans="1:5" x14ac:dyDescent="0.25">
      <c r="A3260" s="323" t="s">
        <v>2837</v>
      </c>
      <c r="B3260" s="323" t="s">
        <v>805</v>
      </c>
      <c r="C3260" s="323">
        <v>41506</v>
      </c>
      <c r="D3260" s="323">
        <v>98</v>
      </c>
      <c r="E3260" s="324">
        <f t="shared" si="50"/>
        <v>23898.280000000002</v>
      </c>
    </row>
    <row r="3261" spans="1:5" x14ac:dyDescent="0.25">
      <c r="A3261" s="323" t="s">
        <v>3293</v>
      </c>
      <c r="B3261" s="323" t="s">
        <v>805</v>
      </c>
      <c r="C3261" s="323">
        <v>41506</v>
      </c>
      <c r="D3261" s="323">
        <v>231</v>
      </c>
      <c r="E3261" s="324">
        <f t="shared" si="50"/>
        <v>56331.66</v>
      </c>
    </row>
    <row r="3262" spans="1:5" x14ac:dyDescent="0.25">
      <c r="A3262" s="323" t="s">
        <v>3319</v>
      </c>
      <c r="B3262" s="323" t="s">
        <v>805</v>
      </c>
      <c r="C3262" s="323">
        <v>41506</v>
      </c>
      <c r="D3262" s="323">
        <v>81</v>
      </c>
      <c r="E3262" s="324">
        <f t="shared" si="50"/>
        <v>19752.66</v>
      </c>
    </row>
    <row r="3263" spans="1:5" x14ac:dyDescent="0.25">
      <c r="A3263" s="323" t="s">
        <v>3589</v>
      </c>
      <c r="B3263" s="323" t="s">
        <v>805</v>
      </c>
      <c r="C3263" s="323">
        <v>41506</v>
      </c>
      <c r="D3263" s="323">
        <v>207</v>
      </c>
      <c r="E3263" s="324">
        <f t="shared" si="50"/>
        <v>50479.020000000004</v>
      </c>
    </row>
    <row r="3264" spans="1:5" x14ac:dyDescent="0.25">
      <c r="A3264" s="323" t="s">
        <v>3615</v>
      </c>
      <c r="B3264" s="323" t="s">
        <v>805</v>
      </c>
      <c r="C3264" s="323">
        <v>41506</v>
      </c>
      <c r="D3264" s="323">
        <v>158</v>
      </c>
      <c r="E3264" s="324">
        <f t="shared" si="50"/>
        <v>38529.880000000005</v>
      </c>
    </row>
    <row r="3265" spans="1:5" x14ac:dyDescent="0.25">
      <c r="A3265" s="323" t="s">
        <v>3716</v>
      </c>
      <c r="B3265" s="323" t="s">
        <v>805</v>
      </c>
      <c r="C3265" s="323">
        <v>41506</v>
      </c>
      <c r="D3265" s="323">
        <v>115</v>
      </c>
      <c r="E3265" s="324">
        <f t="shared" si="50"/>
        <v>28043.9</v>
      </c>
    </row>
    <row r="3266" spans="1:5" x14ac:dyDescent="0.25">
      <c r="A3266" s="323" t="s">
        <v>3754</v>
      </c>
      <c r="B3266" s="323" t="s">
        <v>805</v>
      </c>
      <c r="C3266" s="323">
        <v>41506</v>
      </c>
      <c r="D3266" s="323">
        <v>364</v>
      </c>
      <c r="E3266" s="324">
        <f t="shared" ref="E3266:E3329" si="51">D3266*IF(B3266=$G$9,WerkdrukbedragPerLeerlingBo,IF(B3266=$G$10,WerkdrukbedragPerLeerlingSbo,IF(B3266=$G$11,WerkdrukbedragPerLeerlingSo,IF(B3266=$G$12,WerkdrukbedragPerLeerlingVso,0))))</f>
        <v>88765.040000000008</v>
      </c>
    </row>
    <row r="3267" spans="1:5" x14ac:dyDescent="0.25">
      <c r="A3267" s="323" t="s">
        <v>3787</v>
      </c>
      <c r="B3267" s="323" t="s">
        <v>805</v>
      </c>
      <c r="C3267" s="323">
        <v>41506</v>
      </c>
      <c r="D3267" s="323">
        <v>148</v>
      </c>
      <c r="E3267" s="324">
        <f t="shared" si="51"/>
        <v>36091.279999999999</v>
      </c>
    </row>
    <row r="3268" spans="1:5" x14ac:dyDescent="0.25">
      <c r="A3268" s="323" t="s">
        <v>3829</v>
      </c>
      <c r="B3268" s="323" t="s">
        <v>805</v>
      </c>
      <c r="C3268" s="323">
        <v>41506</v>
      </c>
      <c r="D3268" s="323">
        <v>272</v>
      </c>
      <c r="E3268" s="324">
        <f t="shared" si="51"/>
        <v>66329.919999999998</v>
      </c>
    </row>
    <row r="3269" spans="1:5" x14ac:dyDescent="0.25">
      <c r="A3269" s="323" t="s">
        <v>3859</v>
      </c>
      <c r="B3269" s="323" t="s">
        <v>805</v>
      </c>
      <c r="C3269" s="323">
        <v>41506</v>
      </c>
      <c r="D3269" s="323">
        <v>77</v>
      </c>
      <c r="E3269" s="324">
        <f t="shared" si="51"/>
        <v>18777.22</v>
      </c>
    </row>
    <row r="3270" spans="1:5" x14ac:dyDescent="0.25">
      <c r="A3270" s="323" t="s">
        <v>3929</v>
      </c>
      <c r="B3270" s="323" t="s">
        <v>805</v>
      </c>
      <c r="C3270" s="323">
        <v>41506</v>
      </c>
      <c r="D3270" s="323">
        <v>337</v>
      </c>
      <c r="E3270" s="324">
        <f t="shared" si="51"/>
        <v>82180.820000000007</v>
      </c>
    </row>
    <row r="3271" spans="1:5" x14ac:dyDescent="0.25">
      <c r="A3271" s="323" t="s">
        <v>4095</v>
      </c>
      <c r="B3271" s="323" t="s">
        <v>805</v>
      </c>
      <c r="C3271" s="323">
        <v>41506</v>
      </c>
      <c r="D3271" s="323">
        <v>96</v>
      </c>
      <c r="E3271" s="324">
        <f t="shared" si="51"/>
        <v>23410.560000000001</v>
      </c>
    </row>
    <row r="3272" spans="1:5" x14ac:dyDescent="0.25">
      <c r="A3272" s="323" t="s">
        <v>4299</v>
      </c>
      <c r="B3272" s="323" t="s">
        <v>805</v>
      </c>
      <c r="C3272" s="323">
        <v>41506</v>
      </c>
      <c r="D3272" s="323">
        <v>238</v>
      </c>
      <c r="E3272" s="324">
        <f t="shared" si="51"/>
        <v>58038.68</v>
      </c>
    </row>
    <row r="3273" spans="1:5" x14ac:dyDescent="0.25">
      <c r="A3273" s="323" t="s">
        <v>4406</v>
      </c>
      <c r="B3273" s="323" t="s">
        <v>805</v>
      </c>
      <c r="C3273" s="323">
        <v>41506</v>
      </c>
      <c r="D3273" s="323">
        <v>330</v>
      </c>
      <c r="E3273" s="324">
        <f t="shared" si="51"/>
        <v>80473.8</v>
      </c>
    </row>
    <row r="3274" spans="1:5" x14ac:dyDescent="0.25">
      <c r="A3274" s="323" t="s">
        <v>4514</v>
      </c>
      <c r="B3274" s="323" t="s">
        <v>805</v>
      </c>
      <c r="C3274" s="323">
        <v>41506</v>
      </c>
      <c r="D3274" s="323">
        <v>177</v>
      </c>
      <c r="E3274" s="324">
        <f t="shared" si="51"/>
        <v>43163.22</v>
      </c>
    </row>
    <row r="3275" spans="1:5" x14ac:dyDescent="0.25">
      <c r="A3275" s="323" t="s">
        <v>4610</v>
      </c>
      <c r="B3275" s="323" t="s">
        <v>805</v>
      </c>
      <c r="C3275" s="323">
        <v>41506</v>
      </c>
      <c r="D3275" s="323">
        <v>95</v>
      </c>
      <c r="E3275" s="324">
        <f t="shared" si="51"/>
        <v>23166.7</v>
      </c>
    </row>
    <row r="3276" spans="1:5" x14ac:dyDescent="0.25">
      <c r="A3276" s="323" t="s">
        <v>4756</v>
      </c>
      <c r="B3276" s="323" t="s">
        <v>805</v>
      </c>
      <c r="C3276" s="323">
        <v>41506</v>
      </c>
      <c r="D3276" s="323">
        <v>104</v>
      </c>
      <c r="E3276" s="324">
        <f t="shared" si="51"/>
        <v>25361.440000000002</v>
      </c>
    </row>
    <row r="3277" spans="1:5" x14ac:dyDescent="0.25">
      <c r="A3277" s="323" t="s">
        <v>4992</v>
      </c>
      <c r="B3277" s="323" t="s">
        <v>805</v>
      </c>
      <c r="C3277" s="323">
        <v>41506</v>
      </c>
      <c r="D3277" s="323">
        <v>276</v>
      </c>
      <c r="E3277" s="324">
        <f t="shared" si="51"/>
        <v>67305.36</v>
      </c>
    </row>
    <row r="3278" spans="1:5" x14ac:dyDescent="0.25">
      <c r="A3278" s="323" t="s">
        <v>5064</v>
      </c>
      <c r="B3278" s="323" t="s">
        <v>805</v>
      </c>
      <c r="C3278" s="323">
        <v>41506</v>
      </c>
      <c r="D3278" s="323">
        <v>255</v>
      </c>
      <c r="E3278" s="324">
        <f t="shared" si="51"/>
        <v>62184.3</v>
      </c>
    </row>
    <row r="3279" spans="1:5" x14ac:dyDescent="0.25">
      <c r="A3279" s="323" t="s">
        <v>5085</v>
      </c>
      <c r="B3279" s="323" t="s">
        <v>805</v>
      </c>
      <c r="C3279" s="323">
        <v>41506</v>
      </c>
      <c r="D3279" s="323">
        <v>521</v>
      </c>
      <c r="E3279" s="324">
        <f t="shared" si="51"/>
        <v>127051.06000000001</v>
      </c>
    </row>
    <row r="3280" spans="1:5" x14ac:dyDescent="0.25">
      <c r="A3280" s="323" t="s">
        <v>5444</v>
      </c>
      <c r="B3280" s="323" t="s">
        <v>805</v>
      </c>
      <c r="C3280" s="323">
        <v>41506</v>
      </c>
      <c r="D3280" s="323">
        <v>225</v>
      </c>
      <c r="E3280" s="324">
        <f t="shared" si="51"/>
        <v>54868.5</v>
      </c>
    </row>
    <row r="3281" spans="1:5" x14ac:dyDescent="0.25">
      <c r="A3281" s="323" t="s">
        <v>5474</v>
      </c>
      <c r="B3281" s="323" t="s">
        <v>805</v>
      </c>
      <c r="C3281" s="323">
        <v>41506</v>
      </c>
      <c r="D3281" s="323">
        <v>147</v>
      </c>
      <c r="E3281" s="324">
        <f t="shared" si="51"/>
        <v>35847.420000000006</v>
      </c>
    </row>
    <row r="3282" spans="1:5" x14ac:dyDescent="0.25">
      <c r="A3282" s="323" t="s">
        <v>5534</v>
      </c>
      <c r="B3282" s="323" t="s">
        <v>805</v>
      </c>
      <c r="C3282" s="323">
        <v>41506</v>
      </c>
      <c r="D3282" s="323">
        <v>128</v>
      </c>
      <c r="E3282" s="324">
        <f t="shared" si="51"/>
        <v>31214.080000000002</v>
      </c>
    </row>
    <row r="3283" spans="1:5" x14ac:dyDescent="0.25">
      <c r="A3283" s="323" t="s">
        <v>5554</v>
      </c>
      <c r="B3283" s="323" t="s">
        <v>805</v>
      </c>
      <c r="C3283" s="323">
        <v>41506</v>
      </c>
      <c r="D3283" s="323">
        <v>240</v>
      </c>
      <c r="E3283" s="324">
        <f t="shared" si="51"/>
        <v>58526.400000000001</v>
      </c>
    </row>
    <row r="3284" spans="1:5" x14ac:dyDescent="0.25">
      <c r="A3284" s="323" t="s">
        <v>5564</v>
      </c>
      <c r="B3284" s="323" t="s">
        <v>805</v>
      </c>
      <c r="C3284" s="323">
        <v>41506</v>
      </c>
      <c r="D3284" s="323">
        <v>142</v>
      </c>
      <c r="E3284" s="324">
        <f t="shared" si="51"/>
        <v>34628.120000000003</v>
      </c>
    </row>
    <row r="3285" spans="1:5" x14ac:dyDescent="0.25">
      <c r="A3285" s="323" t="s">
        <v>5579</v>
      </c>
      <c r="B3285" s="323" t="s">
        <v>805</v>
      </c>
      <c r="C3285" s="323">
        <v>41506</v>
      </c>
      <c r="D3285" s="323">
        <v>228</v>
      </c>
      <c r="E3285" s="324">
        <f t="shared" si="51"/>
        <v>55600.08</v>
      </c>
    </row>
    <row r="3286" spans="1:5" x14ac:dyDescent="0.25">
      <c r="A3286" s="323" t="s">
        <v>5987</v>
      </c>
      <c r="B3286" s="323" t="s">
        <v>816</v>
      </c>
      <c r="C3286" s="323">
        <v>41506</v>
      </c>
      <c r="D3286" s="323">
        <v>152</v>
      </c>
      <c r="E3286" s="324">
        <f t="shared" si="51"/>
        <v>55600.08</v>
      </c>
    </row>
    <row r="3287" spans="1:5" x14ac:dyDescent="0.25">
      <c r="A3287" s="323" t="s">
        <v>6607</v>
      </c>
      <c r="B3287" s="323" t="s">
        <v>809</v>
      </c>
      <c r="C3287" s="323">
        <v>41506</v>
      </c>
      <c r="D3287" s="323">
        <v>85</v>
      </c>
      <c r="E3287" s="324">
        <f t="shared" si="51"/>
        <v>41456.200000000004</v>
      </c>
    </row>
    <row r="3288" spans="1:5" x14ac:dyDescent="0.25">
      <c r="A3288" s="323" t="s">
        <v>6607</v>
      </c>
      <c r="B3288" s="323" t="s">
        <v>803</v>
      </c>
      <c r="C3288" s="323">
        <v>41506</v>
      </c>
      <c r="D3288" s="323">
        <v>81</v>
      </c>
      <c r="E3288" s="324">
        <f t="shared" si="51"/>
        <v>39505.32</v>
      </c>
    </row>
    <row r="3289" spans="1:5" x14ac:dyDescent="0.25">
      <c r="A3289" s="323" t="s">
        <v>6625</v>
      </c>
      <c r="B3289" s="323" t="s">
        <v>816</v>
      </c>
      <c r="C3289" s="323">
        <v>41506</v>
      </c>
      <c r="D3289" s="323">
        <v>283</v>
      </c>
      <c r="E3289" s="324">
        <f t="shared" si="51"/>
        <v>103518.57</v>
      </c>
    </row>
    <row r="3290" spans="1:5" x14ac:dyDescent="0.25">
      <c r="A3290" s="323" t="s">
        <v>6805</v>
      </c>
      <c r="B3290" s="323" t="s">
        <v>809</v>
      </c>
      <c r="C3290" s="323">
        <v>41506</v>
      </c>
      <c r="D3290" s="323">
        <v>191</v>
      </c>
      <c r="E3290" s="324">
        <f t="shared" si="51"/>
        <v>93154.52</v>
      </c>
    </row>
    <row r="3291" spans="1:5" x14ac:dyDescent="0.25">
      <c r="A3291" s="323" t="s">
        <v>6805</v>
      </c>
      <c r="B3291" s="323" t="s">
        <v>803</v>
      </c>
      <c r="C3291" s="323">
        <v>41506</v>
      </c>
      <c r="D3291" s="323">
        <v>167</v>
      </c>
      <c r="E3291" s="324">
        <f t="shared" si="51"/>
        <v>81449.240000000005</v>
      </c>
    </row>
    <row r="3292" spans="1:5" x14ac:dyDescent="0.25">
      <c r="A3292" s="323" t="s">
        <v>1897</v>
      </c>
      <c r="B3292" s="323" t="s">
        <v>805</v>
      </c>
      <c r="C3292" s="323">
        <v>41507</v>
      </c>
      <c r="D3292" s="323">
        <v>181</v>
      </c>
      <c r="E3292" s="324">
        <f t="shared" si="51"/>
        <v>44138.66</v>
      </c>
    </row>
    <row r="3293" spans="1:5" x14ac:dyDescent="0.25">
      <c r="A3293" s="323" t="s">
        <v>2038</v>
      </c>
      <c r="B3293" s="323" t="s">
        <v>805</v>
      </c>
      <c r="C3293" s="323">
        <v>41507</v>
      </c>
      <c r="D3293" s="323">
        <v>205</v>
      </c>
      <c r="E3293" s="324">
        <f t="shared" si="51"/>
        <v>49991.3</v>
      </c>
    </row>
    <row r="3294" spans="1:5" x14ac:dyDescent="0.25">
      <c r="A3294" s="323" t="s">
        <v>2667</v>
      </c>
      <c r="B3294" s="323" t="s">
        <v>805</v>
      </c>
      <c r="C3294" s="323">
        <v>41507</v>
      </c>
      <c r="D3294" s="323">
        <v>222</v>
      </c>
      <c r="E3294" s="324">
        <f t="shared" si="51"/>
        <v>54136.920000000006</v>
      </c>
    </row>
    <row r="3295" spans="1:5" x14ac:dyDescent="0.25">
      <c r="A3295" s="323" t="s">
        <v>3335</v>
      </c>
      <c r="B3295" s="323" t="s">
        <v>805</v>
      </c>
      <c r="C3295" s="323">
        <v>41507</v>
      </c>
      <c r="D3295" s="323">
        <v>110</v>
      </c>
      <c r="E3295" s="324">
        <f t="shared" si="51"/>
        <v>26824.600000000002</v>
      </c>
    </row>
    <row r="3296" spans="1:5" x14ac:dyDescent="0.25">
      <c r="A3296" s="323" t="s">
        <v>4092</v>
      </c>
      <c r="B3296" s="323" t="s">
        <v>805</v>
      </c>
      <c r="C3296" s="323">
        <v>41507</v>
      </c>
      <c r="D3296" s="323">
        <v>159</v>
      </c>
      <c r="E3296" s="324">
        <f t="shared" si="51"/>
        <v>38773.740000000005</v>
      </c>
    </row>
    <row r="3297" spans="1:5" x14ac:dyDescent="0.25">
      <c r="A3297" s="323" t="s">
        <v>4233</v>
      </c>
      <c r="B3297" s="323" t="s">
        <v>805</v>
      </c>
      <c r="C3297" s="323">
        <v>41507</v>
      </c>
      <c r="D3297" s="323">
        <v>209</v>
      </c>
      <c r="E3297" s="324">
        <f t="shared" si="51"/>
        <v>50966.740000000005</v>
      </c>
    </row>
    <row r="3298" spans="1:5" x14ac:dyDescent="0.25">
      <c r="A3298" s="323" t="s">
        <v>4604</v>
      </c>
      <c r="B3298" s="323" t="s">
        <v>805</v>
      </c>
      <c r="C3298" s="323">
        <v>41507</v>
      </c>
      <c r="D3298" s="323">
        <v>288</v>
      </c>
      <c r="E3298" s="324">
        <f t="shared" si="51"/>
        <v>70231.680000000008</v>
      </c>
    </row>
    <row r="3299" spans="1:5" x14ac:dyDescent="0.25">
      <c r="A3299" s="323" t="s">
        <v>4690</v>
      </c>
      <c r="B3299" s="323" t="s">
        <v>805</v>
      </c>
      <c r="C3299" s="323">
        <v>41507</v>
      </c>
      <c r="D3299" s="323">
        <v>215</v>
      </c>
      <c r="E3299" s="324">
        <f t="shared" si="51"/>
        <v>52429.9</v>
      </c>
    </row>
    <row r="3300" spans="1:5" x14ac:dyDescent="0.25">
      <c r="A3300" s="323" t="s">
        <v>5094</v>
      </c>
      <c r="B3300" s="323" t="s">
        <v>805</v>
      </c>
      <c r="C3300" s="323">
        <v>41514</v>
      </c>
      <c r="D3300" s="323">
        <v>100</v>
      </c>
      <c r="E3300" s="324">
        <f t="shared" si="51"/>
        <v>24386</v>
      </c>
    </row>
    <row r="3301" spans="1:5" x14ac:dyDescent="0.25">
      <c r="A3301" s="323" t="s">
        <v>5323</v>
      </c>
      <c r="B3301" s="323" t="s">
        <v>805</v>
      </c>
      <c r="C3301" s="323">
        <v>41514</v>
      </c>
      <c r="D3301" s="323">
        <v>245</v>
      </c>
      <c r="E3301" s="324">
        <f t="shared" si="51"/>
        <v>59745.700000000004</v>
      </c>
    </row>
    <row r="3302" spans="1:5" x14ac:dyDescent="0.25">
      <c r="A3302" s="323" t="s">
        <v>5379</v>
      </c>
      <c r="B3302" s="323" t="s">
        <v>805</v>
      </c>
      <c r="C3302" s="323">
        <v>41514</v>
      </c>
      <c r="D3302" s="323">
        <v>334</v>
      </c>
      <c r="E3302" s="324">
        <f t="shared" si="51"/>
        <v>81449.240000000005</v>
      </c>
    </row>
    <row r="3303" spans="1:5" x14ac:dyDescent="0.25">
      <c r="A3303" s="323" t="s">
        <v>5400</v>
      </c>
      <c r="B3303" s="323" t="s">
        <v>805</v>
      </c>
      <c r="C3303" s="323">
        <v>41514</v>
      </c>
      <c r="D3303" s="323">
        <v>97</v>
      </c>
      <c r="E3303" s="324">
        <f t="shared" si="51"/>
        <v>23654.420000000002</v>
      </c>
    </row>
    <row r="3304" spans="1:5" x14ac:dyDescent="0.25">
      <c r="A3304" s="323" t="s">
        <v>5452</v>
      </c>
      <c r="B3304" s="323" t="s">
        <v>805</v>
      </c>
      <c r="C3304" s="323">
        <v>41514</v>
      </c>
      <c r="D3304" s="323">
        <v>223</v>
      </c>
      <c r="E3304" s="324">
        <f t="shared" si="51"/>
        <v>54380.780000000006</v>
      </c>
    </row>
    <row r="3305" spans="1:5" x14ac:dyDescent="0.25">
      <c r="A3305" s="323" t="s">
        <v>5526</v>
      </c>
      <c r="B3305" s="323" t="s">
        <v>805</v>
      </c>
      <c r="C3305" s="323">
        <v>41514</v>
      </c>
      <c r="D3305" s="323">
        <v>247</v>
      </c>
      <c r="E3305" s="324">
        <f t="shared" si="51"/>
        <v>60233.420000000006</v>
      </c>
    </row>
    <row r="3306" spans="1:5" x14ac:dyDescent="0.25">
      <c r="A3306" s="323" t="s">
        <v>5570</v>
      </c>
      <c r="B3306" s="323" t="s">
        <v>805</v>
      </c>
      <c r="C3306" s="323">
        <v>41514</v>
      </c>
      <c r="D3306" s="323">
        <v>424</v>
      </c>
      <c r="E3306" s="324">
        <f t="shared" si="51"/>
        <v>103396.64</v>
      </c>
    </row>
    <row r="3307" spans="1:5" x14ac:dyDescent="0.25">
      <c r="A3307" s="323" t="s">
        <v>5588</v>
      </c>
      <c r="B3307" s="323" t="s">
        <v>805</v>
      </c>
      <c r="C3307" s="323">
        <v>41514</v>
      </c>
      <c r="D3307" s="323">
        <v>443</v>
      </c>
      <c r="E3307" s="324">
        <f t="shared" si="51"/>
        <v>108029.98000000001</v>
      </c>
    </row>
    <row r="3308" spans="1:5" x14ac:dyDescent="0.25">
      <c r="A3308" s="323" t="s">
        <v>5615</v>
      </c>
      <c r="B3308" s="323" t="s">
        <v>816</v>
      </c>
      <c r="C3308" s="323">
        <v>41514</v>
      </c>
      <c r="D3308" s="323">
        <v>133</v>
      </c>
      <c r="E3308" s="324">
        <f t="shared" si="51"/>
        <v>48650.07</v>
      </c>
    </row>
    <row r="3309" spans="1:5" x14ac:dyDescent="0.25">
      <c r="A3309" s="323" t="s">
        <v>6509</v>
      </c>
      <c r="B3309" s="323" t="s">
        <v>809</v>
      </c>
      <c r="C3309" s="323">
        <v>41514</v>
      </c>
      <c r="D3309" s="323">
        <v>128</v>
      </c>
      <c r="E3309" s="324">
        <f t="shared" si="51"/>
        <v>62428.160000000003</v>
      </c>
    </row>
    <row r="3310" spans="1:5" x14ac:dyDescent="0.25">
      <c r="A3310" s="323" t="s">
        <v>6509</v>
      </c>
      <c r="B3310" s="323" t="s">
        <v>809</v>
      </c>
      <c r="C3310" s="323">
        <v>41514</v>
      </c>
      <c r="D3310" s="323">
        <v>92</v>
      </c>
      <c r="E3310" s="324">
        <f t="shared" si="51"/>
        <v>44870.240000000005</v>
      </c>
    </row>
    <row r="3311" spans="1:5" x14ac:dyDescent="0.25">
      <c r="A3311" s="323" t="s">
        <v>6509</v>
      </c>
      <c r="B3311" s="323" t="s">
        <v>809</v>
      </c>
      <c r="C3311" s="323">
        <v>41514</v>
      </c>
      <c r="D3311" s="323">
        <v>19</v>
      </c>
      <c r="E3311" s="324">
        <f t="shared" si="51"/>
        <v>9266.68</v>
      </c>
    </row>
    <row r="3312" spans="1:5" x14ac:dyDescent="0.25">
      <c r="A3312" s="323" t="s">
        <v>6801</v>
      </c>
      <c r="B3312" s="323" t="s">
        <v>805</v>
      </c>
      <c r="C3312" s="323">
        <v>41514</v>
      </c>
      <c r="D3312" s="323">
        <v>293</v>
      </c>
      <c r="E3312" s="324">
        <f t="shared" si="51"/>
        <v>71450.98000000001</v>
      </c>
    </row>
    <row r="3313" spans="1:5" x14ac:dyDescent="0.25">
      <c r="A3313" s="323" t="s">
        <v>6949</v>
      </c>
      <c r="B3313" s="323" t="s">
        <v>805</v>
      </c>
      <c r="C3313" s="323">
        <v>41514</v>
      </c>
      <c r="D3313" s="323">
        <v>181</v>
      </c>
      <c r="E3313" s="324">
        <f t="shared" si="51"/>
        <v>44138.66</v>
      </c>
    </row>
    <row r="3314" spans="1:5" x14ac:dyDescent="0.25">
      <c r="A3314" s="323" t="s">
        <v>7061</v>
      </c>
      <c r="B3314" s="323" t="s">
        <v>805</v>
      </c>
      <c r="C3314" s="323">
        <v>41514</v>
      </c>
      <c r="D3314" s="323">
        <v>104</v>
      </c>
      <c r="E3314" s="324">
        <f t="shared" si="51"/>
        <v>25361.440000000002</v>
      </c>
    </row>
    <row r="3315" spans="1:5" x14ac:dyDescent="0.25">
      <c r="A3315" s="323" t="s">
        <v>7267</v>
      </c>
      <c r="B3315" s="323" t="s">
        <v>805</v>
      </c>
      <c r="C3315" s="323">
        <v>41514</v>
      </c>
      <c r="D3315" s="323">
        <v>292</v>
      </c>
      <c r="E3315" s="324">
        <f t="shared" si="51"/>
        <v>71207.12000000001</v>
      </c>
    </row>
    <row r="3316" spans="1:5" x14ac:dyDescent="0.25">
      <c r="A3316" s="323" t="s">
        <v>7370</v>
      </c>
      <c r="B3316" s="323" t="s">
        <v>805</v>
      </c>
      <c r="C3316" s="323">
        <v>41514</v>
      </c>
      <c r="D3316" s="323">
        <v>663</v>
      </c>
      <c r="E3316" s="324">
        <f t="shared" si="51"/>
        <v>161679.18000000002</v>
      </c>
    </row>
    <row r="3317" spans="1:5" x14ac:dyDescent="0.25">
      <c r="A3317" s="323" t="s">
        <v>2053</v>
      </c>
      <c r="B3317" s="323" t="s">
        <v>805</v>
      </c>
      <c r="C3317" s="323">
        <v>41515</v>
      </c>
      <c r="D3317" s="323">
        <v>352</v>
      </c>
      <c r="E3317" s="324">
        <f t="shared" si="51"/>
        <v>85838.720000000001</v>
      </c>
    </row>
    <row r="3318" spans="1:5" x14ac:dyDescent="0.25">
      <c r="A3318" s="323" t="s">
        <v>2977</v>
      </c>
      <c r="B3318" s="323" t="s">
        <v>805</v>
      </c>
      <c r="C3318" s="323">
        <v>41515</v>
      </c>
      <c r="D3318" s="323">
        <v>358</v>
      </c>
      <c r="E3318" s="324">
        <f t="shared" si="51"/>
        <v>87301.88</v>
      </c>
    </row>
    <row r="3319" spans="1:5" x14ac:dyDescent="0.25">
      <c r="A3319" s="323" t="s">
        <v>814</v>
      </c>
      <c r="B3319" s="323" t="s">
        <v>805</v>
      </c>
      <c r="C3319" s="323">
        <v>41516</v>
      </c>
      <c r="D3319" s="323">
        <v>120</v>
      </c>
      <c r="E3319" s="324">
        <f t="shared" si="51"/>
        <v>29263.200000000001</v>
      </c>
    </row>
    <row r="3320" spans="1:5" x14ac:dyDescent="0.25">
      <c r="A3320" s="323" t="s">
        <v>818</v>
      </c>
      <c r="B3320" s="323" t="s">
        <v>805</v>
      </c>
      <c r="C3320" s="323">
        <v>41516</v>
      </c>
      <c r="D3320" s="323">
        <v>414</v>
      </c>
      <c r="E3320" s="324">
        <f t="shared" si="51"/>
        <v>100958.04000000001</v>
      </c>
    </row>
    <row r="3321" spans="1:5" x14ac:dyDescent="0.25">
      <c r="A3321" s="323" t="s">
        <v>880</v>
      </c>
      <c r="B3321" s="323" t="s">
        <v>816</v>
      </c>
      <c r="C3321" s="323">
        <v>41516</v>
      </c>
      <c r="D3321" s="323">
        <v>147</v>
      </c>
      <c r="E3321" s="324">
        <f t="shared" si="51"/>
        <v>53771.130000000005</v>
      </c>
    </row>
    <row r="3322" spans="1:5" x14ac:dyDescent="0.25">
      <c r="A3322" s="323" t="s">
        <v>1119</v>
      </c>
      <c r="B3322" s="323" t="s">
        <v>805</v>
      </c>
      <c r="C3322" s="323">
        <v>41516</v>
      </c>
      <c r="D3322" s="323">
        <v>191</v>
      </c>
      <c r="E3322" s="324">
        <f t="shared" si="51"/>
        <v>46577.26</v>
      </c>
    </row>
    <row r="3323" spans="1:5" x14ac:dyDescent="0.25">
      <c r="A3323" s="323" t="s">
        <v>1162</v>
      </c>
      <c r="B3323" s="323" t="s">
        <v>805</v>
      </c>
      <c r="C3323" s="323">
        <v>41516</v>
      </c>
      <c r="D3323" s="323">
        <v>246</v>
      </c>
      <c r="E3323" s="324">
        <f t="shared" si="51"/>
        <v>59989.560000000005</v>
      </c>
    </row>
    <row r="3324" spans="1:5" x14ac:dyDescent="0.25">
      <c r="A3324" s="323" t="s">
        <v>1195</v>
      </c>
      <c r="B3324" s="323" t="s">
        <v>805</v>
      </c>
      <c r="C3324" s="323">
        <v>41516</v>
      </c>
      <c r="D3324" s="323">
        <v>312</v>
      </c>
      <c r="E3324" s="324">
        <f t="shared" si="51"/>
        <v>76084.320000000007</v>
      </c>
    </row>
    <row r="3325" spans="1:5" x14ac:dyDescent="0.25">
      <c r="A3325" s="323" t="s">
        <v>1262</v>
      </c>
      <c r="B3325" s="323" t="s">
        <v>805</v>
      </c>
      <c r="C3325" s="323">
        <v>41516</v>
      </c>
      <c r="D3325" s="323">
        <v>206</v>
      </c>
      <c r="E3325" s="324">
        <f t="shared" si="51"/>
        <v>50235.16</v>
      </c>
    </row>
    <row r="3326" spans="1:5" x14ac:dyDescent="0.25">
      <c r="A3326" s="323" t="s">
        <v>1307</v>
      </c>
      <c r="B3326" s="323" t="s">
        <v>805</v>
      </c>
      <c r="C3326" s="323">
        <v>41516</v>
      </c>
      <c r="D3326" s="323">
        <v>169</v>
      </c>
      <c r="E3326" s="324">
        <f t="shared" si="51"/>
        <v>41212.340000000004</v>
      </c>
    </row>
    <row r="3327" spans="1:5" x14ac:dyDescent="0.25">
      <c r="A3327" s="323" t="s">
        <v>1590</v>
      </c>
      <c r="B3327" s="323" t="s">
        <v>805</v>
      </c>
      <c r="C3327" s="323">
        <v>41516</v>
      </c>
      <c r="D3327" s="323">
        <v>354</v>
      </c>
      <c r="E3327" s="324">
        <f t="shared" si="51"/>
        <v>86326.44</v>
      </c>
    </row>
    <row r="3328" spans="1:5" x14ac:dyDescent="0.25">
      <c r="A3328" s="323" t="s">
        <v>1614</v>
      </c>
      <c r="B3328" s="323" t="s">
        <v>816</v>
      </c>
      <c r="C3328" s="323">
        <v>41516</v>
      </c>
      <c r="D3328" s="323">
        <v>103</v>
      </c>
      <c r="E3328" s="324">
        <f t="shared" si="51"/>
        <v>37676.370000000003</v>
      </c>
    </row>
    <row r="3329" spans="1:5" x14ac:dyDescent="0.25">
      <c r="A3329" s="323" t="s">
        <v>1814</v>
      </c>
      <c r="B3329" s="323" t="s">
        <v>805</v>
      </c>
      <c r="C3329" s="323">
        <v>41516</v>
      </c>
      <c r="D3329" s="323">
        <v>246</v>
      </c>
      <c r="E3329" s="324">
        <f t="shared" si="51"/>
        <v>59989.560000000005</v>
      </c>
    </row>
    <row r="3330" spans="1:5" x14ac:dyDescent="0.25">
      <c r="A3330" s="323" t="s">
        <v>2134</v>
      </c>
      <c r="B3330" s="323" t="s">
        <v>805</v>
      </c>
      <c r="C3330" s="323">
        <v>41516</v>
      </c>
      <c r="D3330" s="323">
        <v>232</v>
      </c>
      <c r="E3330" s="324">
        <f t="shared" ref="E3330:E3393" si="52">D3330*IF(B3330=$G$9,WerkdrukbedragPerLeerlingBo,IF(B3330=$G$10,WerkdrukbedragPerLeerlingSbo,IF(B3330=$G$11,WerkdrukbedragPerLeerlingSo,IF(B3330=$G$12,WerkdrukbedragPerLeerlingVso,0))))</f>
        <v>56575.520000000004</v>
      </c>
    </row>
    <row r="3331" spans="1:5" x14ac:dyDescent="0.25">
      <c r="A3331" s="323" t="s">
        <v>2203</v>
      </c>
      <c r="B3331" s="323" t="s">
        <v>805</v>
      </c>
      <c r="C3331" s="323">
        <v>41516</v>
      </c>
      <c r="D3331" s="323">
        <v>213</v>
      </c>
      <c r="E3331" s="324">
        <f t="shared" si="52"/>
        <v>51942.18</v>
      </c>
    </row>
    <row r="3332" spans="1:5" x14ac:dyDescent="0.25">
      <c r="A3332" s="323" t="s">
        <v>2470</v>
      </c>
      <c r="B3332" s="323" t="s">
        <v>805</v>
      </c>
      <c r="C3332" s="323">
        <v>41516</v>
      </c>
      <c r="D3332" s="323">
        <v>343</v>
      </c>
      <c r="E3332" s="324">
        <f t="shared" si="52"/>
        <v>83643.98000000001</v>
      </c>
    </row>
    <row r="3333" spans="1:5" x14ac:dyDescent="0.25">
      <c r="A3333" s="323" t="s">
        <v>2845</v>
      </c>
      <c r="B3333" s="323" t="s">
        <v>805</v>
      </c>
      <c r="C3333" s="323">
        <v>41516</v>
      </c>
      <c r="D3333" s="323">
        <v>357</v>
      </c>
      <c r="E3333" s="324">
        <f t="shared" si="52"/>
        <v>87058.02</v>
      </c>
    </row>
    <row r="3334" spans="1:5" x14ac:dyDescent="0.25">
      <c r="A3334" s="323" t="s">
        <v>3093</v>
      </c>
      <c r="B3334" s="323" t="s">
        <v>805</v>
      </c>
      <c r="C3334" s="323">
        <v>41516</v>
      </c>
      <c r="D3334" s="323">
        <v>228</v>
      </c>
      <c r="E3334" s="324">
        <f t="shared" si="52"/>
        <v>55600.08</v>
      </c>
    </row>
    <row r="3335" spans="1:5" x14ac:dyDescent="0.25">
      <c r="A3335" s="323" t="s">
        <v>3113</v>
      </c>
      <c r="B3335" s="323" t="s">
        <v>805</v>
      </c>
      <c r="C3335" s="323">
        <v>41516</v>
      </c>
      <c r="D3335" s="323">
        <v>264</v>
      </c>
      <c r="E3335" s="324">
        <f t="shared" si="52"/>
        <v>64379.040000000001</v>
      </c>
    </row>
    <row r="3336" spans="1:5" x14ac:dyDescent="0.25">
      <c r="A3336" s="323" t="s">
        <v>3115</v>
      </c>
      <c r="B3336" s="323" t="s">
        <v>805</v>
      </c>
      <c r="C3336" s="323">
        <v>41516</v>
      </c>
      <c r="D3336" s="323">
        <v>313</v>
      </c>
      <c r="E3336" s="324">
        <f t="shared" si="52"/>
        <v>76328.180000000008</v>
      </c>
    </row>
    <row r="3337" spans="1:5" x14ac:dyDescent="0.25">
      <c r="A3337" s="323" t="s">
        <v>3171</v>
      </c>
      <c r="B3337" s="323" t="s">
        <v>805</v>
      </c>
      <c r="C3337" s="323">
        <v>41516</v>
      </c>
      <c r="D3337" s="323">
        <v>347</v>
      </c>
      <c r="E3337" s="324">
        <f t="shared" si="52"/>
        <v>84619.42</v>
      </c>
    </row>
    <row r="3338" spans="1:5" x14ac:dyDescent="0.25">
      <c r="A3338" s="323" t="s">
        <v>3176</v>
      </c>
      <c r="B3338" s="323" t="s">
        <v>805</v>
      </c>
      <c r="C3338" s="323">
        <v>41516</v>
      </c>
      <c r="D3338" s="323">
        <v>273</v>
      </c>
      <c r="E3338" s="324">
        <f t="shared" si="52"/>
        <v>66573.78</v>
      </c>
    </row>
    <row r="3339" spans="1:5" x14ac:dyDescent="0.25">
      <c r="A3339" s="323" t="s">
        <v>3324</v>
      </c>
      <c r="B3339" s="323" t="s">
        <v>805</v>
      </c>
      <c r="C3339" s="323">
        <v>41516</v>
      </c>
      <c r="D3339" s="323">
        <v>330</v>
      </c>
      <c r="E3339" s="324">
        <f t="shared" si="52"/>
        <v>80473.8</v>
      </c>
    </row>
    <row r="3340" spans="1:5" x14ac:dyDescent="0.25">
      <c r="A3340" s="323" t="s">
        <v>3473</v>
      </c>
      <c r="B3340" s="323" t="s">
        <v>805</v>
      </c>
      <c r="C3340" s="323">
        <v>41516</v>
      </c>
      <c r="D3340" s="323">
        <v>320</v>
      </c>
      <c r="E3340" s="324">
        <f t="shared" si="52"/>
        <v>78035.200000000012</v>
      </c>
    </row>
    <row r="3341" spans="1:5" x14ac:dyDescent="0.25">
      <c r="A3341" s="323" t="s">
        <v>3474</v>
      </c>
      <c r="B3341" s="323" t="s">
        <v>805</v>
      </c>
      <c r="C3341" s="323">
        <v>41516</v>
      </c>
      <c r="D3341" s="323">
        <v>202</v>
      </c>
      <c r="E3341" s="324">
        <f t="shared" si="52"/>
        <v>49259.72</v>
      </c>
    </row>
    <row r="3342" spans="1:5" x14ac:dyDescent="0.25">
      <c r="A3342" s="323" t="s">
        <v>3482</v>
      </c>
      <c r="B3342" s="323" t="s">
        <v>805</v>
      </c>
      <c r="C3342" s="323">
        <v>41516</v>
      </c>
      <c r="D3342" s="323">
        <v>218</v>
      </c>
      <c r="E3342" s="324">
        <f t="shared" si="52"/>
        <v>53161.48</v>
      </c>
    </row>
    <row r="3343" spans="1:5" x14ac:dyDescent="0.25">
      <c r="A3343" s="323" t="s">
        <v>3749</v>
      </c>
      <c r="B3343" s="323" t="s">
        <v>805</v>
      </c>
      <c r="C3343" s="323">
        <v>41516</v>
      </c>
      <c r="D3343" s="323">
        <v>260</v>
      </c>
      <c r="E3343" s="324">
        <f t="shared" si="52"/>
        <v>63403.600000000006</v>
      </c>
    </row>
    <row r="3344" spans="1:5" x14ac:dyDescent="0.25">
      <c r="A3344" s="323" t="s">
        <v>4114</v>
      </c>
      <c r="B3344" s="323" t="s">
        <v>805</v>
      </c>
      <c r="C3344" s="323">
        <v>41516</v>
      </c>
      <c r="D3344" s="323">
        <v>322</v>
      </c>
      <c r="E3344" s="324">
        <f t="shared" si="52"/>
        <v>78522.92</v>
      </c>
    </row>
    <row r="3345" spans="1:5" x14ac:dyDescent="0.25">
      <c r="A3345" s="323" t="s">
        <v>4129</v>
      </c>
      <c r="B3345" s="323" t="s">
        <v>805</v>
      </c>
      <c r="C3345" s="323">
        <v>41516</v>
      </c>
      <c r="D3345" s="323">
        <v>248</v>
      </c>
      <c r="E3345" s="324">
        <f t="shared" si="52"/>
        <v>60477.280000000006</v>
      </c>
    </row>
    <row r="3346" spans="1:5" x14ac:dyDescent="0.25">
      <c r="A3346" s="323" t="s">
        <v>4263</v>
      </c>
      <c r="B3346" s="323" t="s">
        <v>805</v>
      </c>
      <c r="C3346" s="323">
        <v>41516</v>
      </c>
      <c r="D3346" s="323">
        <v>210</v>
      </c>
      <c r="E3346" s="324">
        <f t="shared" si="52"/>
        <v>51210.600000000006</v>
      </c>
    </row>
    <row r="3347" spans="1:5" x14ac:dyDescent="0.25">
      <c r="A3347" s="323" t="s">
        <v>4458</v>
      </c>
      <c r="B3347" s="323" t="s">
        <v>805</v>
      </c>
      <c r="C3347" s="323">
        <v>41516</v>
      </c>
      <c r="D3347" s="323">
        <v>306</v>
      </c>
      <c r="E3347" s="324">
        <f t="shared" si="52"/>
        <v>74621.16</v>
      </c>
    </row>
    <row r="3348" spans="1:5" x14ac:dyDescent="0.25">
      <c r="A3348" s="323" t="s">
        <v>4567</v>
      </c>
      <c r="B3348" s="323" t="s">
        <v>805</v>
      </c>
      <c r="C3348" s="323">
        <v>41516</v>
      </c>
      <c r="D3348" s="323">
        <v>320</v>
      </c>
      <c r="E3348" s="324">
        <f t="shared" si="52"/>
        <v>78035.200000000012</v>
      </c>
    </row>
    <row r="3349" spans="1:5" x14ac:dyDescent="0.25">
      <c r="A3349" s="323" t="s">
        <v>4592</v>
      </c>
      <c r="B3349" s="323" t="s">
        <v>805</v>
      </c>
      <c r="C3349" s="323">
        <v>41516</v>
      </c>
      <c r="D3349" s="323">
        <v>190</v>
      </c>
      <c r="E3349" s="324">
        <f t="shared" si="52"/>
        <v>46333.4</v>
      </c>
    </row>
    <row r="3350" spans="1:5" x14ac:dyDescent="0.25">
      <c r="A3350" s="323" t="s">
        <v>5658</v>
      </c>
      <c r="B3350" s="323" t="s">
        <v>809</v>
      </c>
      <c r="C3350" s="323">
        <v>41516</v>
      </c>
      <c r="D3350" s="323">
        <v>89</v>
      </c>
      <c r="E3350" s="324">
        <f t="shared" si="52"/>
        <v>43407.08</v>
      </c>
    </row>
    <row r="3351" spans="1:5" x14ac:dyDescent="0.25">
      <c r="A3351" s="323" t="s">
        <v>5658</v>
      </c>
      <c r="B3351" s="323" t="s">
        <v>803</v>
      </c>
      <c r="C3351" s="323">
        <v>41516</v>
      </c>
      <c r="D3351" s="323">
        <v>84</v>
      </c>
      <c r="E3351" s="324">
        <f t="shared" si="52"/>
        <v>40968.480000000003</v>
      </c>
    </row>
    <row r="3352" spans="1:5" x14ac:dyDescent="0.25">
      <c r="A3352" s="323" t="s">
        <v>5683</v>
      </c>
      <c r="B3352" s="323" t="s">
        <v>805</v>
      </c>
      <c r="C3352" s="323">
        <v>41516</v>
      </c>
      <c r="D3352" s="323">
        <v>247</v>
      </c>
      <c r="E3352" s="324">
        <f t="shared" si="52"/>
        <v>60233.420000000006</v>
      </c>
    </row>
    <row r="3353" spans="1:5" x14ac:dyDescent="0.25">
      <c r="A3353" s="323" t="s">
        <v>5996</v>
      </c>
      <c r="B3353" s="323" t="s">
        <v>805</v>
      </c>
      <c r="C3353" s="323">
        <v>41516</v>
      </c>
      <c r="D3353" s="323">
        <v>304</v>
      </c>
      <c r="E3353" s="324">
        <f t="shared" si="52"/>
        <v>74133.440000000002</v>
      </c>
    </row>
    <row r="3354" spans="1:5" x14ac:dyDescent="0.25">
      <c r="A3354" s="323" t="s">
        <v>6057</v>
      </c>
      <c r="B3354" s="323" t="s">
        <v>805</v>
      </c>
      <c r="C3354" s="323">
        <v>41516</v>
      </c>
      <c r="D3354" s="323">
        <v>192</v>
      </c>
      <c r="E3354" s="324">
        <f t="shared" si="52"/>
        <v>46821.120000000003</v>
      </c>
    </row>
    <row r="3355" spans="1:5" x14ac:dyDescent="0.25">
      <c r="A3355" s="323" t="s">
        <v>6187</v>
      </c>
      <c r="B3355" s="323" t="s">
        <v>805</v>
      </c>
      <c r="C3355" s="323">
        <v>41516</v>
      </c>
      <c r="D3355" s="323">
        <v>365</v>
      </c>
      <c r="E3355" s="324">
        <f t="shared" si="52"/>
        <v>89008.900000000009</v>
      </c>
    </row>
    <row r="3356" spans="1:5" x14ac:dyDescent="0.25">
      <c r="A3356" s="323" t="s">
        <v>6242</v>
      </c>
      <c r="B3356" s="323" t="s">
        <v>805</v>
      </c>
      <c r="C3356" s="323">
        <v>41516</v>
      </c>
      <c r="D3356" s="323">
        <v>289</v>
      </c>
      <c r="E3356" s="324">
        <f t="shared" si="52"/>
        <v>70475.540000000008</v>
      </c>
    </row>
    <row r="3357" spans="1:5" x14ac:dyDescent="0.25">
      <c r="A3357" s="323" t="s">
        <v>6578</v>
      </c>
      <c r="B3357" s="323" t="s">
        <v>816</v>
      </c>
      <c r="C3357" s="323">
        <v>41516</v>
      </c>
      <c r="D3357" s="323">
        <v>95</v>
      </c>
      <c r="E3357" s="324">
        <f t="shared" si="52"/>
        <v>34750.050000000003</v>
      </c>
    </row>
    <row r="3358" spans="1:5" x14ac:dyDescent="0.25">
      <c r="A3358" s="323" t="s">
        <v>6655</v>
      </c>
      <c r="B3358" s="323" t="s">
        <v>805</v>
      </c>
      <c r="C3358" s="323">
        <v>41516</v>
      </c>
      <c r="D3358" s="323">
        <v>420</v>
      </c>
      <c r="E3358" s="324">
        <f t="shared" si="52"/>
        <v>102421.20000000001</v>
      </c>
    </row>
    <row r="3359" spans="1:5" x14ac:dyDescent="0.25">
      <c r="A3359" s="323" t="s">
        <v>6656</v>
      </c>
      <c r="B3359" s="323" t="s">
        <v>805</v>
      </c>
      <c r="C3359" s="323">
        <v>41516</v>
      </c>
      <c r="D3359" s="323">
        <v>293</v>
      </c>
      <c r="E3359" s="324">
        <f t="shared" si="52"/>
        <v>71450.98000000001</v>
      </c>
    </row>
    <row r="3360" spans="1:5" x14ac:dyDescent="0.25">
      <c r="A3360" s="323" t="s">
        <v>6657</v>
      </c>
      <c r="B3360" s="323" t="s">
        <v>805</v>
      </c>
      <c r="C3360" s="323">
        <v>41516</v>
      </c>
      <c r="D3360" s="323">
        <v>213</v>
      </c>
      <c r="E3360" s="324">
        <f t="shared" si="52"/>
        <v>51942.18</v>
      </c>
    </row>
    <row r="3361" spans="1:5" x14ac:dyDescent="0.25">
      <c r="A3361" s="323" t="s">
        <v>6830</v>
      </c>
      <c r="B3361" s="323" t="s">
        <v>805</v>
      </c>
      <c r="C3361" s="323">
        <v>41516</v>
      </c>
      <c r="D3361" s="323">
        <v>157</v>
      </c>
      <c r="E3361" s="324">
        <f t="shared" si="52"/>
        <v>38286.020000000004</v>
      </c>
    </row>
    <row r="3362" spans="1:5" x14ac:dyDescent="0.25">
      <c r="A3362" s="323" t="s">
        <v>6876</v>
      </c>
      <c r="B3362" s="323" t="s">
        <v>805</v>
      </c>
      <c r="C3362" s="323">
        <v>41516</v>
      </c>
      <c r="D3362" s="323">
        <v>236</v>
      </c>
      <c r="E3362" s="324">
        <f t="shared" si="52"/>
        <v>57550.960000000006</v>
      </c>
    </row>
    <row r="3363" spans="1:5" x14ac:dyDescent="0.25">
      <c r="A3363" s="323" t="s">
        <v>6978</v>
      </c>
      <c r="B3363" s="323" t="s">
        <v>805</v>
      </c>
      <c r="C3363" s="323">
        <v>41516</v>
      </c>
      <c r="D3363" s="323">
        <v>257</v>
      </c>
      <c r="E3363" s="324">
        <f t="shared" si="52"/>
        <v>62672.020000000004</v>
      </c>
    </row>
    <row r="3364" spans="1:5" x14ac:dyDescent="0.25">
      <c r="A3364" s="323" t="s">
        <v>7074</v>
      </c>
      <c r="B3364" s="323" t="s">
        <v>805</v>
      </c>
      <c r="C3364" s="323">
        <v>41516</v>
      </c>
      <c r="D3364" s="323">
        <v>168</v>
      </c>
      <c r="E3364" s="324">
        <f t="shared" si="52"/>
        <v>40968.480000000003</v>
      </c>
    </row>
    <row r="3365" spans="1:5" x14ac:dyDescent="0.25">
      <c r="A3365" s="323" t="s">
        <v>6038</v>
      </c>
      <c r="B3365" s="323" t="s">
        <v>816</v>
      </c>
      <c r="C3365" s="323">
        <v>41518</v>
      </c>
      <c r="D3365" s="323">
        <v>151</v>
      </c>
      <c r="E3365" s="324">
        <f t="shared" si="52"/>
        <v>55234.29</v>
      </c>
    </row>
    <row r="3366" spans="1:5" x14ac:dyDescent="0.25">
      <c r="A3366" s="323" t="s">
        <v>6185</v>
      </c>
      <c r="B3366" s="323" t="s">
        <v>805</v>
      </c>
      <c r="C3366" s="323">
        <v>41518</v>
      </c>
      <c r="D3366" s="323">
        <v>164</v>
      </c>
      <c r="E3366" s="324">
        <f t="shared" si="52"/>
        <v>39993.040000000001</v>
      </c>
    </row>
    <row r="3367" spans="1:5" x14ac:dyDescent="0.25">
      <c r="A3367" s="323" t="s">
        <v>6204</v>
      </c>
      <c r="B3367" s="323" t="s">
        <v>805</v>
      </c>
      <c r="C3367" s="323">
        <v>41518</v>
      </c>
      <c r="D3367" s="323">
        <v>220</v>
      </c>
      <c r="E3367" s="324">
        <f t="shared" si="52"/>
        <v>53649.200000000004</v>
      </c>
    </row>
    <row r="3368" spans="1:5" x14ac:dyDescent="0.25">
      <c r="A3368" s="323" t="s">
        <v>6254</v>
      </c>
      <c r="B3368" s="323" t="s">
        <v>805</v>
      </c>
      <c r="C3368" s="323">
        <v>41518</v>
      </c>
      <c r="D3368" s="323">
        <v>503</v>
      </c>
      <c r="E3368" s="324">
        <f t="shared" si="52"/>
        <v>122661.58</v>
      </c>
    </row>
    <row r="3369" spans="1:5" x14ac:dyDescent="0.25">
      <c r="A3369" s="323" t="s">
        <v>6293</v>
      </c>
      <c r="B3369" s="323" t="s">
        <v>805</v>
      </c>
      <c r="C3369" s="323">
        <v>41518</v>
      </c>
      <c r="D3369" s="323">
        <v>409</v>
      </c>
      <c r="E3369" s="324">
        <f t="shared" si="52"/>
        <v>99738.74</v>
      </c>
    </row>
    <row r="3370" spans="1:5" x14ac:dyDescent="0.25">
      <c r="A3370" s="323" t="s">
        <v>6298</v>
      </c>
      <c r="B3370" s="323" t="s">
        <v>805</v>
      </c>
      <c r="C3370" s="323">
        <v>41518</v>
      </c>
      <c r="D3370" s="323">
        <v>213</v>
      </c>
      <c r="E3370" s="324">
        <f t="shared" si="52"/>
        <v>51942.18</v>
      </c>
    </row>
    <row r="3371" spans="1:5" x14ac:dyDescent="0.25">
      <c r="A3371" s="323" t="s">
        <v>6303</v>
      </c>
      <c r="B3371" s="323" t="s">
        <v>805</v>
      </c>
      <c r="C3371" s="323">
        <v>41518</v>
      </c>
      <c r="D3371" s="323">
        <v>300</v>
      </c>
      <c r="E3371" s="324">
        <f t="shared" si="52"/>
        <v>73158</v>
      </c>
    </row>
    <row r="3372" spans="1:5" x14ac:dyDescent="0.25">
      <c r="A3372" s="323" t="s">
        <v>6307</v>
      </c>
      <c r="B3372" s="323" t="s">
        <v>805</v>
      </c>
      <c r="C3372" s="323">
        <v>41518</v>
      </c>
      <c r="D3372" s="323">
        <v>254</v>
      </c>
      <c r="E3372" s="324">
        <f t="shared" si="52"/>
        <v>61940.44</v>
      </c>
    </row>
    <row r="3373" spans="1:5" x14ac:dyDescent="0.25">
      <c r="A3373" s="323" t="s">
        <v>6310</v>
      </c>
      <c r="B3373" s="323" t="s">
        <v>805</v>
      </c>
      <c r="C3373" s="323">
        <v>41518</v>
      </c>
      <c r="D3373" s="323">
        <v>205</v>
      </c>
      <c r="E3373" s="324">
        <f t="shared" si="52"/>
        <v>49991.3</v>
      </c>
    </row>
    <row r="3374" spans="1:5" x14ac:dyDescent="0.25">
      <c r="A3374" s="323" t="s">
        <v>6331</v>
      </c>
      <c r="B3374" s="323" t="s">
        <v>805</v>
      </c>
      <c r="C3374" s="323">
        <v>41518</v>
      </c>
      <c r="D3374" s="323">
        <v>295</v>
      </c>
      <c r="E3374" s="324">
        <f t="shared" si="52"/>
        <v>71938.7</v>
      </c>
    </row>
    <row r="3375" spans="1:5" x14ac:dyDescent="0.25">
      <c r="A3375" s="323" t="s">
        <v>6338</v>
      </c>
      <c r="B3375" s="323" t="s">
        <v>805</v>
      </c>
      <c r="C3375" s="323">
        <v>41518</v>
      </c>
      <c r="D3375" s="323">
        <v>168</v>
      </c>
      <c r="E3375" s="324">
        <f t="shared" si="52"/>
        <v>40968.480000000003</v>
      </c>
    </row>
    <row r="3376" spans="1:5" x14ac:dyDescent="0.25">
      <c r="A3376" s="323" t="s">
        <v>6353</v>
      </c>
      <c r="B3376" s="323" t="s">
        <v>805</v>
      </c>
      <c r="C3376" s="323">
        <v>41518</v>
      </c>
      <c r="D3376" s="323">
        <v>236</v>
      </c>
      <c r="E3376" s="324">
        <f t="shared" si="52"/>
        <v>57550.960000000006</v>
      </c>
    </row>
    <row r="3377" spans="1:5" x14ac:dyDescent="0.25">
      <c r="A3377" s="323" t="s">
        <v>6946</v>
      </c>
      <c r="B3377" s="323" t="s">
        <v>805</v>
      </c>
      <c r="C3377" s="323">
        <v>41518</v>
      </c>
      <c r="D3377" s="323">
        <v>195</v>
      </c>
      <c r="E3377" s="324">
        <f t="shared" si="52"/>
        <v>47552.700000000004</v>
      </c>
    </row>
    <row r="3378" spans="1:5" x14ac:dyDescent="0.25">
      <c r="A3378" s="323" t="s">
        <v>4880</v>
      </c>
      <c r="B3378" s="323" t="s">
        <v>805</v>
      </c>
      <c r="C3378" s="323">
        <v>41522</v>
      </c>
      <c r="D3378" s="323">
        <v>346</v>
      </c>
      <c r="E3378" s="324">
        <f t="shared" si="52"/>
        <v>84375.56</v>
      </c>
    </row>
    <row r="3379" spans="1:5" x14ac:dyDescent="0.25">
      <c r="A3379" s="323" t="s">
        <v>4923</v>
      </c>
      <c r="B3379" s="323" t="s">
        <v>805</v>
      </c>
      <c r="C3379" s="323">
        <v>41522</v>
      </c>
      <c r="D3379" s="323">
        <v>229</v>
      </c>
      <c r="E3379" s="324">
        <f t="shared" si="52"/>
        <v>55843.94</v>
      </c>
    </row>
    <row r="3380" spans="1:5" x14ac:dyDescent="0.25">
      <c r="A3380" s="323" t="s">
        <v>4965</v>
      </c>
      <c r="B3380" s="323" t="s">
        <v>805</v>
      </c>
      <c r="C3380" s="323">
        <v>41522</v>
      </c>
      <c r="D3380" s="323">
        <v>554</v>
      </c>
      <c r="E3380" s="324">
        <f t="shared" si="52"/>
        <v>135098.44</v>
      </c>
    </row>
    <row r="3381" spans="1:5" x14ac:dyDescent="0.25">
      <c r="A3381" s="323" t="s">
        <v>5152</v>
      </c>
      <c r="B3381" s="323" t="s">
        <v>805</v>
      </c>
      <c r="C3381" s="323">
        <v>41522</v>
      </c>
      <c r="D3381" s="323">
        <v>443</v>
      </c>
      <c r="E3381" s="324">
        <f t="shared" si="52"/>
        <v>108029.98000000001</v>
      </c>
    </row>
    <row r="3382" spans="1:5" x14ac:dyDescent="0.25">
      <c r="A3382" s="323" t="s">
        <v>5283</v>
      </c>
      <c r="B3382" s="323" t="s">
        <v>805</v>
      </c>
      <c r="C3382" s="323">
        <v>41522</v>
      </c>
      <c r="D3382" s="323">
        <v>193</v>
      </c>
      <c r="E3382" s="324">
        <f t="shared" si="52"/>
        <v>47064.98</v>
      </c>
    </row>
    <row r="3383" spans="1:5" x14ac:dyDescent="0.25">
      <c r="A3383" s="323" t="s">
        <v>5352</v>
      </c>
      <c r="B3383" s="323" t="s">
        <v>805</v>
      </c>
      <c r="C3383" s="323">
        <v>41522</v>
      </c>
      <c r="D3383" s="323">
        <v>214</v>
      </c>
      <c r="E3383" s="324">
        <f t="shared" si="52"/>
        <v>52186.04</v>
      </c>
    </row>
    <row r="3384" spans="1:5" x14ac:dyDescent="0.25">
      <c r="A3384" s="323" t="s">
        <v>5398</v>
      </c>
      <c r="B3384" s="323" t="s">
        <v>805</v>
      </c>
      <c r="C3384" s="323">
        <v>41522</v>
      </c>
      <c r="D3384" s="323">
        <v>91</v>
      </c>
      <c r="E3384" s="324">
        <f t="shared" si="52"/>
        <v>22191.260000000002</v>
      </c>
    </row>
    <row r="3385" spans="1:5" x14ac:dyDescent="0.25">
      <c r="A3385" s="323" t="s">
        <v>6790</v>
      </c>
      <c r="B3385" s="323" t="s">
        <v>805</v>
      </c>
      <c r="C3385" s="323">
        <v>41522</v>
      </c>
      <c r="D3385" s="323">
        <v>395</v>
      </c>
      <c r="E3385" s="324">
        <f t="shared" si="52"/>
        <v>96324.700000000012</v>
      </c>
    </row>
    <row r="3386" spans="1:5" x14ac:dyDescent="0.25">
      <c r="A3386" s="323" t="s">
        <v>3683</v>
      </c>
      <c r="B3386" s="323" t="s">
        <v>805</v>
      </c>
      <c r="C3386" s="323">
        <v>41527</v>
      </c>
      <c r="D3386" s="323">
        <v>99</v>
      </c>
      <c r="E3386" s="324">
        <f t="shared" si="52"/>
        <v>24142.140000000003</v>
      </c>
    </row>
    <row r="3387" spans="1:5" x14ac:dyDescent="0.25">
      <c r="A3387" s="323" t="s">
        <v>4144</v>
      </c>
      <c r="B3387" s="323" t="s">
        <v>805</v>
      </c>
      <c r="C3387" s="323">
        <v>41527</v>
      </c>
      <c r="D3387" s="323">
        <v>162</v>
      </c>
      <c r="E3387" s="324">
        <f t="shared" si="52"/>
        <v>39505.32</v>
      </c>
    </row>
    <row r="3388" spans="1:5" x14ac:dyDescent="0.25">
      <c r="A3388" s="323" t="s">
        <v>5183</v>
      </c>
      <c r="B3388" s="323" t="s">
        <v>805</v>
      </c>
      <c r="C3388" s="323">
        <v>41527</v>
      </c>
      <c r="D3388" s="323">
        <v>234</v>
      </c>
      <c r="E3388" s="324">
        <f t="shared" si="52"/>
        <v>57063.240000000005</v>
      </c>
    </row>
    <row r="3389" spans="1:5" x14ac:dyDescent="0.25">
      <c r="A3389" s="323" t="s">
        <v>5467</v>
      </c>
      <c r="B3389" s="323" t="s">
        <v>805</v>
      </c>
      <c r="C3389" s="323">
        <v>41527</v>
      </c>
      <c r="D3389" s="323">
        <v>500</v>
      </c>
      <c r="E3389" s="324">
        <f t="shared" si="52"/>
        <v>121930</v>
      </c>
    </row>
    <row r="3390" spans="1:5" x14ac:dyDescent="0.25">
      <c r="A3390" s="323" t="s">
        <v>5576</v>
      </c>
      <c r="B3390" s="323" t="s">
        <v>816</v>
      </c>
      <c r="C3390" s="323">
        <v>41527</v>
      </c>
      <c r="D3390" s="323">
        <v>121</v>
      </c>
      <c r="E3390" s="324">
        <f t="shared" si="52"/>
        <v>44260.590000000004</v>
      </c>
    </row>
    <row r="3391" spans="1:5" x14ac:dyDescent="0.25">
      <c r="A3391" s="323" t="s">
        <v>6128</v>
      </c>
      <c r="B3391" s="323" t="s">
        <v>805</v>
      </c>
      <c r="C3391" s="323">
        <v>41527</v>
      </c>
      <c r="D3391" s="323">
        <v>77</v>
      </c>
      <c r="E3391" s="324">
        <f t="shared" si="52"/>
        <v>18777.22</v>
      </c>
    </row>
    <row r="3392" spans="1:5" x14ac:dyDescent="0.25">
      <c r="A3392" s="323" t="s">
        <v>6134</v>
      </c>
      <c r="B3392" s="323" t="s">
        <v>805</v>
      </c>
      <c r="C3392" s="323">
        <v>41527</v>
      </c>
      <c r="D3392" s="323">
        <v>506</v>
      </c>
      <c r="E3392" s="324">
        <f t="shared" si="52"/>
        <v>123393.16</v>
      </c>
    </row>
    <row r="3393" spans="1:5" x14ac:dyDescent="0.25">
      <c r="A3393" s="323" t="s">
        <v>6207</v>
      </c>
      <c r="B3393" s="323" t="s">
        <v>805</v>
      </c>
      <c r="C3393" s="323">
        <v>41527</v>
      </c>
      <c r="D3393" s="323">
        <v>227</v>
      </c>
      <c r="E3393" s="324">
        <f t="shared" si="52"/>
        <v>55356.22</v>
      </c>
    </row>
    <row r="3394" spans="1:5" x14ac:dyDescent="0.25">
      <c r="A3394" s="323" t="s">
        <v>6565</v>
      </c>
      <c r="B3394" s="323" t="s">
        <v>809</v>
      </c>
      <c r="C3394" s="323">
        <v>41527</v>
      </c>
      <c r="D3394" s="323">
        <v>55</v>
      </c>
      <c r="E3394" s="324">
        <f t="shared" ref="E3394:E3457" si="53">D3394*IF(B3394=$G$9,WerkdrukbedragPerLeerlingBo,IF(B3394=$G$10,WerkdrukbedragPerLeerlingSbo,IF(B3394=$G$11,WerkdrukbedragPerLeerlingSo,IF(B3394=$G$12,WerkdrukbedragPerLeerlingVso,0))))</f>
        <v>26824.600000000002</v>
      </c>
    </row>
    <row r="3395" spans="1:5" x14ac:dyDescent="0.25">
      <c r="A3395" s="323" t="s">
        <v>6565</v>
      </c>
      <c r="B3395" s="323" t="s">
        <v>803</v>
      </c>
      <c r="C3395" s="323">
        <v>41527</v>
      </c>
      <c r="D3395" s="323">
        <v>78</v>
      </c>
      <c r="E3395" s="324">
        <f t="shared" si="53"/>
        <v>38042.160000000003</v>
      </c>
    </row>
    <row r="3396" spans="1:5" x14ac:dyDescent="0.25">
      <c r="A3396" s="323" t="s">
        <v>6791</v>
      </c>
      <c r="B3396" s="323" t="s">
        <v>805</v>
      </c>
      <c r="C3396" s="323">
        <v>41527</v>
      </c>
      <c r="D3396" s="323">
        <v>399</v>
      </c>
      <c r="E3396" s="324">
        <f t="shared" si="53"/>
        <v>97300.14</v>
      </c>
    </row>
    <row r="3397" spans="1:5" x14ac:dyDescent="0.25">
      <c r="A3397" s="323" t="s">
        <v>6826</v>
      </c>
      <c r="B3397" s="323" t="s">
        <v>805</v>
      </c>
      <c r="C3397" s="323">
        <v>41527</v>
      </c>
      <c r="D3397" s="323">
        <v>219</v>
      </c>
      <c r="E3397" s="324">
        <f t="shared" si="53"/>
        <v>53405.340000000004</v>
      </c>
    </row>
    <row r="3398" spans="1:5" x14ac:dyDescent="0.25">
      <c r="A3398" s="323" t="s">
        <v>7117</v>
      </c>
      <c r="B3398" s="323" t="s">
        <v>805</v>
      </c>
      <c r="C3398" s="323">
        <v>41527</v>
      </c>
      <c r="D3398" s="323">
        <v>238</v>
      </c>
      <c r="E3398" s="324">
        <f t="shared" si="53"/>
        <v>58038.68</v>
      </c>
    </row>
    <row r="3399" spans="1:5" x14ac:dyDescent="0.25">
      <c r="A3399" s="323" t="s">
        <v>1116</v>
      </c>
      <c r="B3399" s="323" t="s">
        <v>805</v>
      </c>
      <c r="C3399" s="323">
        <v>41528</v>
      </c>
      <c r="D3399" s="323">
        <v>129</v>
      </c>
      <c r="E3399" s="324">
        <f t="shared" si="53"/>
        <v>31457.940000000002</v>
      </c>
    </row>
    <row r="3400" spans="1:5" x14ac:dyDescent="0.25">
      <c r="A3400" s="323" t="s">
        <v>1297</v>
      </c>
      <c r="B3400" s="323" t="s">
        <v>816</v>
      </c>
      <c r="C3400" s="323">
        <v>41528</v>
      </c>
      <c r="D3400" s="323">
        <v>98</v>
      </c>
      <c r="E3400" s="324">
        <f t="shared" si="53"/>
        <v>35847.420000000006</v>
      </c>
    </row>
    <row r="3401" spans="1:5" x14ac:dyDescent="0.25">
      <c r="A3401" s="323" t="s">
        <v>1954</v>
      </c>
      <c r="B3401" s="323" t="s">
        <v>805</v>
      </c>
      <c r="C3401" s="323">
        <v>41528</v>
      </c>
      <c r="D3401" s="323">
        <v>179</v>
      </c>
      <c r="E3401" s="324">
        <f t="shared" si="53"/>
        <v>43650.94</v>
      </c>
    </row>
    <row r="3402" spans="1:5" x14ac:dyDescent="0.25">
      <c r="A3402" s="323" t="s">
        <v>2184</v>
      </c>
      <c r="B3402" s="323" t="s">
        <v>805</v>
      </c>
      <c r="C3402" s="323">
        <v>41528</v>
      </c>
      <c r="D3402" s="323">
        <v>299</v>
      </c>
      <c r="E3402" s="324">
        <f t="shared" si="53"/>
        <v>72914.14</v>
      </c>
    </row>
    <row r="3403" spans="1:5" x14ac:dyDescent="0.25">
      <c r="A3403" s="323" t="s">
        <v>2926</v>
      </c>
      <c r="B3403" s="323" t="s">
        <v>805</v>
      </c>
      <c r="C3403" s="323">
        <v>41528</v>
      </c>
      <c r="D3403" s="323">
        <v>205</v>
      </c>
      <c r="E3403" s="324">
        <f t="shared" si="53"/>
        <v>49991.3</v>
      </c>
    </row>
    <row r="3404" spans="1:5" x14ac:dyDescent="0.25">
      <c r="A3404" s="323" t="s">
        <v>3066</v>
      </c>
      <c r="B3404" s="323" t="s">
        <v>805</v>
      </c>
      <c r="C3404" s="323">
        <v>41528</v>
      </c>
      <c r="D3404" s="323">
        <v>255</v>
      </c>
      <c r="E3404" s="324">
        <f t="shared" si="53"/>
        <v>62184.3</v>
      </c>
    </row>
    <row r="3405" spans="1:5" x14ac:dyDescent="0.25">
      <c r="A3405" s="323" t="s">
        <v>3520</v>
      </c>
      <c r="B3405" s="323" t="s">
        <v>805</v>
      </c>
      <c r="C3405" s="323">
        <v>41528</v>
      </c>
      <c r="D3405" s="323">
        <v>193</v>
      </c>
      <c r="E3405" s="324">
        <f t="shared" si="53"/>
        <v>47064.98</v>
      </c>
    </row>
    <row r="3406" spans="1:5" x14ac:dyDescent="0.25">
      <c r="A3406" s="323" t="s">
        <v>3520</v>
      </c>
      <c r="B3406" s="323" t="s">
        <v>805</v>
      </c>
      <c r="C3406" s="323">
        <v>41528</v>
      </c>
      <c r="D3406" s="323">
        <v>20</v>
      </c>
      <c r="E3406" s="324">
        <f t="shared" si="53"/>
        <v>4877.2000000000007</v>
      </c>
    </row>
    <row r="3407" spans="1:5" x14ac:dyDescent="0.25">
      <c r="A3407" s="323" t="s">
        <v>3958</v>
      </c>
      <c r="B3407" s="323" t="s">
        <v>805</v>
      </c>
      <c r="C3407" s="323">
        <v>41528</v>
      </c>
      <c r="D3407" s="323">
        <v>155</v>
      </c>
      <c r="E3407" s="324">
        <f t="shared" si="53"/>
        <v>37798.300000000003</v>
      </c>
    </row>
    <row r="3408" spans="1:5" x14ac:dyDescent="0.25">
      <c r="A3408" s="323" t="s">
        <v>4236</v>
      </c>
      <c r="B3408" s="323" t="s">
        <v>805</v>
      </c>
      <c r="C3408" s="323">
        <v>41528</v>
      </c>
      <c r="D3408" s="323">
        <v>299</v>
      </c>
      <c r="E3408" s="324">
        <f t="shared" si="53"/>
        <v>72914.14</v>
      </c>
    </row>
    <row r="3409" spans="1:5" x14ac:dyDescent="0.25">
      <c r="A3409" s="323" t="s">
        <v>4348</v>
      </c>
      <c r="B3409" s="323" t="s">
        <v>805</v>
      </c>
      <c r="C3409" s="323">
        <v>41528</v>
      </c>
      <c r="D3409" s="323">
        <v>340</v>
      </c>
      <c r="E3409" s="324">
        <f t="shared" si="53"/>
        <v>82912.400000000009</v>
      </c>
    </row>
    <row r="3410" spans="1:5" x14ac:dyDescent="0.25">
      <c r="A3410" s="323" t="s">
        <v>4459</v>
      </c>
      <c r="B3410" s="323" t="s">
        <v>805</v>
      </c>
      <c r="C3410" s="323">
        <v>41528</v>
      </c>
      <c r="D3410" s="323">
        <v>352</v>
      </c>
      <c r="E3410" s="324">
        <f t="shared" si="53"/>
        <v>85838.720000000001</v>
      </c>
    </row>
    <row r="3411" spans="1:5" x14ac:dyDescent="0.25">
      <c r="A3411" s="323" t="s">
        <v>4668</v>
      </c>
      <c r="B3411" s="323" t="s">
        <v>805</v>
      </c>
      <c r="C3411" s="323">
        <v>41528</v>
      </c>
      <c r="D3411" s="323">
        <v>526</v>
      </c>
      <c r="E3411" s="324">
        <f t="shared" si="53"/>
        <v>128270.36</v>
      </c>
    </row>
    <row r="3412" spans="1:5" x14ac:dyDescent="0.25">
      <c r="A3412" s="323" t="s">
        <v>4725</v>
      </c>
      <c r="B3412" s="323" t="s">
        <v>805</v>
      </c>
      <c r="C3412" s="323">
        <v>41528</v>
      </c>
      <c r="D3412" s="323">
        <v>168</v>
      </c>
      <c r="E3412" s="324">
        <f t="shared" si="53"/>
        <v>40968.480000000003</v>
      </c>
    </row>
    <row r="3413" spans="1:5" x14ac:dyDescent="0.25">
      <c r="A3413" s="323" t="s">
        <v>4892</v>
      </c>
      <c r="B3413" s="323" t="s">
        <v>805</v>
      </c>
      <c r="C3413" s="323">
        <v>41528</v>
      </c>
      <c r="D3413" s="323">
        <v>225</v>
      </c>
      <c r="E3413" s="324">
        <f t="shared" si="53"/>
        <v>54868.5</v>
      </c>
    </row>
    <row r="3414" spans="1:5" x14ac:dyDescent="0.25">
      <c r="A3414" s="323" t="s">
        <v>6745</v>
      </c>
      <c r="B3414" s="323" t="s">
        <v>805</v>
      </c>
      <c r="C3414" s="323">
        <v>41528</v>
      </c>
      <c r="D3414" s="323">
        <v>223</v>
      </c>
      <c r="E3414" s="324">
        <f t="shared" si="53"/>
        <v>54380.780000000006</v>
      </c>
    </row>
    <row r="3415" spans="1:5" x14ac:dyDescent="0.25">
      <c r="A3415" s="323" t="s">
        <v>6991</v>
      </c>
      <c r="B3415" s="323" t="s">
        <v>805</v>
      </c>
      <c r="C3415" s="323">
        <v>41528</v>
      </c>
      <c r="D3415" s="323">
        <v>100</v>
      </c>
      <c r="E3415" s="324">
        <f t="shared" si="53"/>
        <v>24386</v>
      </c>
    </row>
    <row r="3416" spans="1:5" x14ac:dyDescent="0.25">
      <c r="A3416" s="323" t="s">
        <v>7157</v>
      </c>
      <c r="B3416" s="323" t="s">
        <v>805</v>
      </c>
      <c r="C3416" s="323">
        <v>41528</v>
      </c>
      <c r="D3416" s="323">
        <v>210</v>
      </c>
      <c r="E3416" s="324">
        <f t="shared" si="53"/>
        <v>51210.600000000006</v>
      </c>
    </row>
    <row r="3417" spans="1:5" x14ac:dyDescent="0.25">
      <c r="A3417" s="323" t="s">
        <v>7234</v>
      </c>
      <c r="B3417" s="323" t="s">
        <v>805</v>
      </c>
      <c r="C3417" s="323">
        <v>41528</v>
      </c>
      <c r="D3417" s="323">
        <v>423</v>
      </c>
      <c r="E3417" s="324">
        <f t="shared" si="53"/>
        <v>103152.78</v>
      </c>
    </row>
    <row r="3418" spans="1:5" x14ac:dyDescent="0.25">
      <c r="A3418" s="323" t="s">
        <v>7493</v>
      </c>
      <c r="B3418" s="323" t="s">
        <v>805</v>
      </c>
      <c r="C3418" s="323">
        <v>41528</v>
      </c>
      <c r="D3418" s="323">
        <v>5</v>
      </c>
      <c r="E3418" s="324">
        <f t="shared" si="53"/>
        <v>1219.3000000000002</v>
      </c>
    </row>
    <row r="3419" spans="1:5" x14ac:dyDescent="0.25">
      <c r="A3419" s="323" t="s">
        <v>811</v>
      </c>
      <c r="B3419" s="323" t="s">
        <v>805</v>
      </c>
      <c r="C3419" s="323">
        <v>41530</v>
      </c>
      <c r="D3419" s="323">
        <v>61</v>
      </c>
      <c r="E3419" s="324">
        <f t="shared" si="53"/>
        <v>14875.460000000001</v>
      </c>
    </row>
    <row r="3420" spans="1:5" x14ac:dyDescent="0.25">
      <c r="A3420" s="323" t="s">
        <v>842</v>
      </c>
      <c r="B3420" s="323" t="s">
        <v>805</v>
      </c>
      <c r="C3420" s="323">
        <v>41530</v>
      </c>
      <c r="D3420" s="323">
        <v>107</v>
      </c>
      <c r="E3420" s="324">
        <f t="shared" si="53"/>
        <v>26093.02</v>
      </c>
    </row>
    <row r="3421" spans="1:5" x14ac:dyDescent="0.25">
      <c r="A3421" s="323" t="s">
        <v>1222</v>
      </c>
      <c r="B3421" s="323" t="s">
        <v>805</v>
      </c>
      <c r="C3421" s="323">
        <v>41530</v>
      </c>
      <c r="D3421" s="323">
        <v>432</v>
      </c>
      <c r="E3421" s="324">
        <f t="shared" si="53"/>
        <v>105347.52</v>
      </c>
    </row>
    <row r="3422" spans="1:5" x14ac:dyDescent="0.25">
      <c r="A3422" s="323" t="s">
        <v>1340</v>
      </c>
      <c r="B3422" s="323" t="s">
        <v>805</v>
      </c>
      <c r="C3422" s="323">
        <v>41530</v>
      </c>
      <c r="D3422" s="323">
        <v>311</v>
      </c>
      <c r="E3422" s="324">
        <f t="shared" si="53"/>
        <v>75840.460000000006</v>
      </c>
    </row>
    <row r="3423" spans="1:5" x14ac:dyDescent="0.25">
      <c r="A3423" s="323" t="s">
        <v>2191</v>
      </c>
      <c r="B3423" s="323" t="s">
        <v>805</v>
      </c>
      <c r="C3423" s="323">
        <v>41530</v>
      </c>
      <c r="D3423" s="323">
        <v>133</v>
      </c>
      <c r="E3423" s="324">
        <f t="shared" si="53"/>
        <v>32433.38</v>
      </c>
    </row>
    <row r="3424" spans="1:5" x14ac:dyDescent="0.25">
      <c r="A3424" s="323" t="s">
        <v>2855</v>
      </c>
      <c r="B3424" s="323" t="s">
        <v>805</v>
      </c>
      <c r="C3424" s="323">
        <v>41530</v>
      </c>
      <c r="D3424" s="323">
        <v>381</v>
      </c>
      <c r="E3424" s="324">
        <f t="shared" si="53"/>
        <v>92910.66</v>
      </c>
    </row>
    <row r="3425" spans="1:5" x14ac:dyDescent="0.25">
      <c r="A3425" s="323" t="s">
        <v>3013</v>
      </c>
      <c r="B3425" s="323" t="s">
        <v>805</v>
      </c>
      <c r="C3425" s="323">
        <v>41530</v>
      </c>
      <c r="D3425" s="323">
        <v>306</v>
      </c>
      <c r="E3425" s="324">
        <f t="shared" si="53"/>
        <v>74621.16</v>
      </c>
    </row>
    <row r="3426" spans="1:5" x14ac:dyDescent="0.25">
      <c r="A3426" s="323" t="s">
        <v>3076</v>
      </c>
      <c r="B3426" s="323" t="s">
        <v>805</v>
      </c>
      <c r="C3426" s="323">
        <v>41530</v>
      </c>
      <c r="D3426" s="323">
        <v>212</v>
      </c>
      <c r="E3426" s="324">
        <f t="shared" si="53"/>
        <v>51698.32</v>
      </c>
    </row>
    <row r="3427" spans="1:5" x14ac:dyDescent="0.25">
      <c r="A3427" s="323" t="s">
        <v>3182</v>
      </c>
      <c r="B3427" s="323" t="s">
        <v>805</v>
      </c>
      <c r="C3427" s="323">
        <v>41530</v>
      </c>
      <c r="D3427" s="323">
        <v>189</v>
      </c>
      <c r="E3427" s="324">
        <f t="shared" si="53"/>
        <v>46089.54</v>
      </c>
    </row>
    <row r="3428" spans="1:5" x14ac:dyDescent="0.25">
      <c r="A3428" s="323" t="s">
        <v>3373</v>
      </c>
      <c r="B3428" s="323" t="s">
        <v>805</v>
      </c>
      <c r="C3428" s="323">
        <v>41530</v>
      </c>
      <c r="D3428" s="323">
        <v>92</v>
      </c>
      <c r="E3428" s="324">
        <f t="shared" si="53"/>
        <v>22435.120000000003</v>
      </c>
    </row>
    <row r="3429" spans="1:5" x14ac:dyDescent="0.25">
      <c r="A3429" s="323" t="s">
        <v>3385</v>
      </c>
      <c r="B3429" s="323" t="s">
        <v>805</v>
      </c>
      <c r="C3429" s="323">
        <v>41530</v>
      </c>
      <c r="D3429" s="323">
        <v>226</v>
      </c>
      <c r="E3429" s="324">
        <f t="shared" si="53"/>
        <v>55112.36</v>
      </c>
    </row>
    <row r="3430" spans="1:5" x14ac:dyDescent="0.25">
      <c r="A3430" s="323" t="s">
        <v>3839</v>
      </c>
      <c r="B3430" s="323" t="s">
        <v>805</v>
      </c>
      <c r="C3430" s="323">
        <v>41530</v>
      </c>
      <c r="D3430" s="323">
        <v>178</v>
      </c>
      <c r="E3430" s="324">
        <f t="shared" si="53"/>
        <v>43407.08</v>
      </c>
    </row>
    <row r="3431" spans="1:5" x14ac:dyDescent="0.25">
      <c r="A3431" s="323" t="s">
        <v>7340</v>
      </c>
      <c r="B3431" s="323" t="s">
        <v>805</v>
      </c>
      <c r="C3431" s="323">
        <v>41530</v>
      </c>
      <c r="D3431" s="323">
        <v>461</v>
      </c>
      <c r="E3431" s="324">
        <f t="shared" si="53"/>
        <v>112419.46</v>
      </c>
    </row>
    <row r="3432" spans="1:5" x14ac:dyDescent="0.25">
      <c r="A3432" s="323" t="s">
        <v>7341</v>
      </c>
      <c r="B3432" s="323" t="s">
        <v>805</v>
      </c>
      <c r="C3432" s="323">
        <v>41530</v>
      </c>
      <c r="D3432" s="323">
        <v>498</v>
      </c>
      <c r="E3432" s="324">
        <f t="shared" si="53"/>
        <v>121442.28000000001</v>
      </c>
    </row>
    <row r="3433" spans="1:5" x14ac:dyDescent="0.25">
      <c r="A3433" s="323" t="s">
        <v>7348</v>
      </c>
      <c r="B3433" s="323" t="s">
        <v>805</v>
      </c>
      <c r="C3433" s="323">
        <v>41530</v>
      </c>
      <c r="D3433" s="323">
        <v>246</v>
      </c>
      <c r="E3433" s="324">
        <f t="shared" si="53"/>
        <v>59989.560000000005</v>
      </c>
    </row>
    <row r="3434" spans="1:5" x14ac:dyDescent="0.25">
      <c r="A3434" s="323" t="s">
        <v>872</v>
      </c>
      <c r="B3434" s="323" t="s">
        <v>809</v>
      </c>
      <c r="C3434" s="323">
        <v>41531</v>
      </c>
      <c r="D3434" s="323">
        <v>188</v>
      </c>
      <c r="E3434" s="324">
        <f t="shared" si="53"/>
        <v>91691.36</v>
      </c>
    </row>
    <row r="3435" spans="1:5" x14ac:dyDescent="0.25">
      <c r="A3435" s="323" t="s">
        <v>888</v>
      </c>
      <c r="B3435" s="323" t="s">
        <v>809</v>
      </c>
      <c r="C3435" s="323">
        <v>41531</v>
      </c>
      <c r="D3435" s="323">
        <v>76</v>
      </c>
      <c r="E3435" s="324">
        <f t="shared" si="53"/>
        <v>37066.720000000001</v>
      </c>
    </row>
    <row r="3436" spans="1:5" x14ac:dyDescent="0.25">
      <c r="A3436" s="323" t="s">
        <v>888</v>
      </c>
      <c r="B3436" s="323" t="s">
        <v>803</v>
      </c>
      <c r="C3436" s="323">
        <v>41531</v>
      </c>
      <c r="D3436" s="323">
        <v>98</v>
      </c>
      <c r="E3436" s="324">
        <f t="shared" si="53"/>
        <v>47796.560000000005</v>
      </c>
    </row>
    <row r="3437" spans="1:5" x14ac:dyDescent="0.25">
      <c r="A3437" s="323" t="s">
        <v>924</v>
      </c>
      <c r="B3437" s="323" t="s">
        <v>803</v>
      </c>
      <c r="C3437" s="323">
        <v>41531</v>
      </c>
      <c r="D3437" s="323">
        <v>219</v>
      </c>
      <c r="E3437" s="324">
        <f t="shared" si="53"/>
        <v>106810.68000000001</v>
      </c>
    </row>
    <row r="3438" spans="1:5" x14ac:dyDescent="0.25">
      <c r="A3438" s="323" t="s">
        <v>991</v>
      </c>
      <c r="B3438" s="323" t="s">
        <v>809</v>
      </c>
      <c r="C3438" s="323">
        <v>41531</v>
      </c>
      <c r="D3438" s="323">
        <v>53</v>
      </c>
      <c r="E3438" s="324">
        <f t="shared" si="53"/>
        <v>25849.16</v>
      </c>
    </row>
    <row r="3439" spans="1:5" x14ac:dyDescent="0.25">
      <c r="A3439" s="323" t="s">
        <v>991</v>
      </c>
      <c r="B3439" s="323" t="s">
        <v>803</v>
      </c>
      <c r="C3439" s="323">
        <v>41531</v>
      </c>
      <c r="D3439" s="323">
        <v>127</v>
      </c>
      <c r="E3439" s="324">
        <f t="shared" si="53"/>
        <v>61940.44</v>
      </c>
    </row>
    <row r="3440" spans="1:5" x14ac:dyDescent="0.25">
      <c r="A3440" s="323" t="s">
        <v>996</v>
      </c>
      <c r="B3440" s="323" t="s">
        <v>809</v>
      </c>
      <c r="C3440" s="323">
        <v>41531</v>
      </c>
      <c r="D3440" s="323">
        <v>39</v>
      </c>
      <c r="E3440" s="324">
        <f t="shared" si="53"/>
        <v>19021.080000000002</v>
      </c>
    </row>
    <row r="3441" spans="1:5" x14ac:dyDescent="0.25">
      <c r="A3441" s="323" t="s">
        <v>996</v>
      </c>
      <c r="B3441" s="323" t="s">
        <v>803</v>
      </c>
      <c r="C3441" s="323">
        <v>41531</v>
      </c>
      <c r="D3441" s="323">
        <v>95</v>
      </c>
      <c r="E3441" s="324">
        <f t="shared" si="53"/>
        <v>46333.4</v>
      </c>
    </row>
    <row r="3442" spans="1:5" x14ac:dyDescent="0.25">
      <c r="A3442" s="323" t="s">
        <v>2645</v>
      </c>
      <c r="B3442" s="323" t="s">
        <v>809</v>
      </c>
      <c r="C3442" s="323">
        <v>41531</v>
      </c>
      <c r="D3442" s="323">
        <v>94</v>
      </c>
      <c r="E3442" s="324">
        <f t="shared" si="53"/>
        <v>45845.68</v>
      </c>
    </row>
    <row r="3443" spans="1:5" x14ac:dyDescent="0.25">
      <c r="A3443" s="323" t="s">
        <v>2645</v>
      </c>
      <c r="B3443" s="323" t="s">
        <v>803</v>
      </c>
      <c r="C3443" s="323">
        <v>41531</v>
      </c>
      <c r="D3443" s="323">
        <v>77</v>
      </c>
      <c r="E3443" s="324">
        <f t="shared" si="53"/>
        <v>37554.44</v>
      </c>
    </row>
    <row r="3444" spans="1:5" x14ac:dyDescent="0.25">
      <c r="A3444" s="323" t="s">
        <v>1485</v>
      </c>
      <c r="B3444" s="323" t="s">
        <v>805</v>
      </c>
      <c r="C3444" s="323">
        <v>41532</v>
      </c>
      <c r="D3444" s="323">
        <v>158</v>
      </c>
      <c r="E3444" s="324">
        <f t="shared" si="53"/>
        <v>38529.880000000005</v>
      </c>
    </row>
    <row r="3445" spans="1:5" x14ac:dyDescent="0.25">
      <c r="A3445" s="323" t="s">
        <v>1506</v>
      </c>
      <c r="B3445" s="323" t="s">
        <v>805</v>
      </c>
      <c r="C3445" s="323">
        <v>41532</v>
      </c>
      <c r="D3445" s="323">
        <v>286</v>
      </c>
      <c r="E3445" s="324">
        <f t="shared" si="53"/>
        <v>69743.960000000006</v>
      </c>
    </row>
    <row r="3446" spans="1:5" x14ac:dyDescent="0.25">
      <c r="A3446" s="323" t="s">
        <v>1540</v>
      </c>
      <c r="B3446" s="323" t="s">
        <v>805</v>
      </c>
      <c r="C3446" s="323">
        <v>41532</v>
      </c>
      <c r="D3446" s="323">
        <v>109</v>
      </c>
      <c r="E3446" s="324">
        <f t="shared" si="53"/>
        <v>26580.74</v>
      </c>
    </row>
    <row r="3447" spans="1:5" x14ac:dyDescent="0.25">
      <c r="A3447" s="323" t="s">
        <v>1561</v>
      </c>
      <c r="B3447" s="323" t="s">
        <v>805</v>
      </c>
      <c r="C3447" s="323">
        <v>41532</v>
      </c>
      <c r="D3447" s="323">
        <v>114</v>
      </c>
      <c r="E3447" s="324">
        <f t="shared" si="53"/>
        <v>27800.04</v>
      </c>
    </row>
    <row r="3448" spans="1:5" x14ac:dyDescent="0.25">
      <c r="A3448" s="323" t="s">
        <v>1684</v>
      </c>
      <c r="B3448" s="323" t="s">
        <v>805</v>
      </c>
      <c r="C3448" s="323">
        <v>41532</v>
      </c>
      <c r="D3448" s="323">
        <v>228</v>
      </c>
      <c r="E3448" s="324">
        <f t="shared" si="53"/>
        <v>55600.08</v>
      </c>
    </row>
    <row r="3449" spans="1:5" x14ac:dyDescent="0.25">
      <c r="A3449" s="323" t="s">
        <v>2777</v>
      </c>
      <c r="B3449" s="323" t="s">
        <v>805</v>
      </c>
      <c r="C3449" s="323">
        <v>41532</v>
      </c>
      <c r="D3449" s="323">
        <v>77</v>
      </c>
      <c r="E3449" s="324">
        <f t="shared" si="53"/>
        <v>18777.22</v>
      </c>
    </row>
    <row r="3450" spans="1:5" x14ac:dyDescent="0.25">
      <c r="A3450" s="323" t="s">
        <v>3959</v>
      </c>
      <c r="B3450" s="323" t="s">
        <v>805</v>
      </c>
      <c r="C3450" s="323">
        <v>41532</v>
      </c>
      <c r="D3450" s="323">
        <v>227</v>
      </c>
      <c r="E3450" s="324">
        <f t="shared" si="53"/>
        <v>55356.22</v>
      </c>
    </row>
    <row r="3451" spans="1:5" x14ac:dyDescent="0.25">
      <c r="A3451" s="323" t="s">
        <v>4120</v>
      </c>
      <c r="B3451" s="323" t="s">
        <v>805</v>
      </c>
      <c r="C3451" s="323">
        <v>41532</v>
      </c>
      <c r="D3451" s="323">
        <v>287</v>
      </c>
      <c r="E3451" s="324">
        <f t="shared" si="53"/>
        <v>69987.820000000007</v>
      </c>
    </row>
    <row r="3452" spans="1:5" x14ac:dyDescent="0.25">
      <c r="A3452" s="323" t="s">
        <v>1071</v>
      </c>
      <c r="B3452" s="323" t="s">
        <v>805</v>
      </c>
      <c r="C3452" s="323">
        <v>41534</v>
      </c>
      <c r="D3452" s="323">
        <v>161</v>
      </c>
      <c r="E3452" s="324">
        <f t="shared" si="53"/>
        <v>39261.46</v>
      </c>
    </row>
    <row r="3453" spans="1:5" x14ac:dyDescent="0.25">
      <c r="A3453" s="323" t="s">
        <v>1154</v>
      </c>
      <c r="B3453" s="323" t="s">
        <v>805</v>
      </c>
      <c r="C3453" s="323">
        <v>41534</v>
      </c>
      <c r="D3453" s="323">
        <v>104</v>
      </c>
      <c r="E3453" s="324">
        <f t="shared" si="53"/>
        <v>25361.440000000002</v>
      </c>
    </row>
    <row r="3454" spans="1:5" x14ac:dyDescent="0.25">
      <c r="A3454" s="323" t="s">
        <v>1496</v>
      </c>
      <c r="B3454" s="323" t="s">
        <v>805</v>
      </c>
      <c r="C3454" s="323">
        <v>41534</v>
      </c>
      <c r="D3454" s="323">
        <v>244</v>
      </c>
      <c r="E3454" s="324">
        <f t="shared" si="53"/>
        <v>59501.840000000004</v>
      </c>
    </row>
    <row r="3455" spans="1:5" x14ac:dyDescent="0.25">
      <c r="A3455" s="323" t="s">
        <v>1968</v>
      </c>
      <c r="B3455" s="323" t="s">
        <v>805</v>
      </c>
      <c r="C3455" s="323">
        <v>41534</v>
      </c>
      <c r="D3455" s="323">
        <v>105</v>
      </c>
      <c r="E3455" s="324">
        <f t="shared" si="53"/>
        <v>25605.300000000003</v>
      </c>
    </row>
    <row r="3456" spans="1:5" x14ac:dyDescent="0.25">
      <c r="A3456" s="323" t="s">
        <v>2155</v>
      </c>
      <c r="B3456" s="323" t="s">
        <v>805</v>
      </c>
      <c r="C3456" s="323">
        <v>41534</v>
      </c>
      <c r="D3456" s="323">
        <v>104</v>
      </c>
      <c r="E3456" s="324">
        <f t="shared" si="53"/>
        <v>25361.440000000002</v>
      </c>
    </row>
    <row r="3457" spans="1:5" x14ac:dyDescent="0.25">
      <c r="A3457" s="323" t="s">
        <v>2201</v>
      </c>
      <c r="B3457" s="323" t="s">
        <v>805</v>
      </c>
      <c r="C3457" s="323">
        <v>41534</v>
      </c>
      <c r="D3457" s="323">
        <v>118</v>
      </c>
      <c r="E3457" s="324">
        <f t="shared" si="53"/>
        <v>28775.480000000003</v>
      </c>
    </row>
    <row r="3458" spans="1:5" x14ac:dyDescent="0.25">
      <c r="A3458" s="323" t="s">
        <v>2895</v>
      </c>
      <c r="B3458" s="323" t="s">
        <v>805</v>
      </c>
      <c r="C3458" s="323">
        <v>41534</v>
      </c>
      <c r="D3458" s="323">
        <v>301</v>
      </c>
      <c r="E3458" s="324">
        <f t="shared" ref="E3458:E3521" si="54">D3458*IF(B3458=$G$9,WerkdrukbedragPerLeerlingBo,IF(B3458=$G$10,WerkdrukbedragPerLeerlingSbo,IF(B3458=$G$11,WerkdrukbedragPerLeerlingSo,IF(B3458=$G$12,WerkdrukbedragPerLeerlingVso,0))))</f>
        <v>73401.86</v>
      </c>
    </row>
    <row r="3459" spans="1:5" x14ac:dyDescent="0.25">
      <c r="A3459" s="323" t="s">
        <v>6792</v>
      </c>
      <c r="B3459" s="323" t="s">
        <v>805</v>
      </c>
      <c r="C3459" s="323">
        <v>41534</v>
      </c>
      <c r="D3459" s="323">
        <v>78</v>
      </c>
      <c r="E3459" s="324">
        <f t="shared" si="54"/>
        <v>19021.080000000002</v>
      </c>
    </row>
    <row r="3460" spans="1:5" x14ac:dyDescent="0.25">
      <c r="A3460" s="323" t="s">
        <v>6990</v>
      </c>
      <c r="B3460" s="323" t="s">
        <v>805</v>
      </c>
      <c r="C3460" s="323">
        <v>41534</v>
      </c>
      <c r="D3460" s="323">
        <v>196</v>
      </c>
      <c r="E3460" s="324">
        <f t="shared" si="54"/>
        <v>47796.560000000005</v>
      </c>
    </row>
    <row r="3461" spans="1:5" x14ac:dyDescent="0.25">
      <c r="A3461" s="323" t="s">
        <v>7007</v>
      </c>
      <c r="B3461" s="323" t="s">
        <v>805</v>
      </c>
      <c r="C3461" s="323">
        <v>41534</v>
      </c>
      <c r="D3461" s="323">
        <v>102</v>
      </c>
      <c r="E3461" s="324">
        <f t="shared" si="54"/>
        <v>24873.72</v>
      </c>
    </row>
    <row r="3462" spans="1:5" x14ac:dyDescent="0.25">
      <c r="A3462" s="323" t="s">
        <v>4321</v>
      </c>
      <c r="B3462" s="323" t="s">
        <v>805</v>
      </c>
      <c r="C3462" s="323">
        <v>41535</v>
      </c>
      <c r="D3462" s="323">
        <v>431</v>
      </c>
      <c r="E3462" s="324">
        <f t="shared" si="54"/>
        <v>105103.66</v>
      </c>
    </row>
    <row r="3463" spans="1:5" x14ac:dyDescent="0.25">
      <c r="A3463" s="323" t="s">
        <v>4770</v>
      </c>
      <c r="B3463" s="323" t="s">
        <v>805</v>
      </c>
      <c r="C3463" s="323">
        <v>41535</v>
      </c>
      <c r="D3463" s="323">
        <v>314</v>
      </c>
      <c r="E3463" s="324">
        <f t="shared" si="54"/>
        <v>76572.040000000008</v>
      </c>
    </row>
    <row r="3464" spans="1:5" x14ac:dyDescent="0.25">
      <c r="A3464" s="323" t="s">
        <v>4929</v>
      </c>
      <c r="B3464" s="323" t="s">
        <v>805</v>
      </c>
      <c r="C3464" s="323">
        <v>41535</v>
      </c>
      <c r="D3464" s="323">
        <v>293</v>
      </c>
      <c r="E3464" s="324">
        <f t="shared" si="54"/>
        <v>71450.98000000001</v>
      </c>
    </row>
    <row r="3465" spans="1:5" x14ac:dyDescent="0.25">
      <c r="A3465" s="323" t="s">
        <v>5246</v>
      </c>
      <c r="B3465" s="323" t="s">
        <v>805</v>
      </c>
      <c r="C3465" s="323">
        <v>41535</v>
      </c>
      <c r="D3465" s="323">
        <v>195</v>
      </c>
      <c r="E3465" s="324">
        <f t="shared" si="54"/>
        <v>47552.700000000004</v>
      </c>
    </row>
    <row r="3466" spans="1:5" x14ac:dyDescent="0.25">
      <c r="A3466" s="323" t="s">
        <v>5285</v>
      </c>
      <c r="B3466" s="323" t="s">
        <v>805</v>
      </c>
      <c r="C3466" s="323">
        <v>41535</v>
      </c>
      <c r="D3466" s="323">
        <v>488</v>
      </c>
      <c r="E3466" s="324">
        <f t="shared" si="54"/>
        <v>119003.68000000001</v>
      </c>
    </row>
    <row r="3467" spans="1:5" x14ac:dyDescent="0.25">
      <c r="A3467" s="323" t="s">
        <v>5482</v>
      </c>
      <c r="B3467" s="323" t="s">
        <v>805</v>
      </c>
      <c r="C3467" s="323">
        <v>41535</v>
      </c>
      <c r="D3467" s="323">
        <v>386</v>
      </c>
      <c r="E3467" s="324">
        <f t="shared" si="54"/>
        <v>94129.96</v>
      </c>
    </row>
    <row r="3468" spans="1:5" x14ac:dyDescent="0.25">
      <c r="A3468" s="323" t="s">
        <v>6483</v>
      </c>
      <c r="B3468" s="323" t="s">
        <v>809</v>
      </c>
      <c r="C3468" s="323">
        <v>41535</v>
      </c>
      <c r="D3468" s="323">
        <v>116</v>
      </c>
      <c r="E3468" s="324">
        <f t="shared" si="54"/>
        <v>56575.520000000004</v>
      </c>
    </row>
    <row r="3469" spans="1:5" x14ac:dyDescent="0.25">
      <c r="A3469" s="323" t="s">
        <v>6483</v>
      </c>
      <c r="B3469" s="323" t="s">
        <v>803</v>
      </c>
      <c r="C3469" s="323">
        <v>41535</v>
      </c>
      <c r="D3469" s="323">
        <v>144</v>
      </c>
      <c r="E3469" s="324">
        <f t="shared" si="54"/>
        <v>70231.680000000008</v>
      </c>
    </row>
    <row r="3470" spans="1:5" x14ac:dyDescent="0.25">
      <c r="A3470" s="323" t="s">
        <v>6508</v>
      </c>
      <c r="B3470" s="323" t="s">
        <v>816</v>
      </c>
      <c r="C3470" s="323">
        <v>41535</v>
      </c>
      <c r="D3470" s="323">
        <v>119</v>
      </c>
      <c r="E3470" s="324">
        <f t="shared" si="54"/>
        <v>43529.01</v>
      </c>
    </row>
    <row r="3471" spans="1:5" x14ac:dyDescent="0.25">
      <c r="A3471" s="323" t="s">
        <v>3016</v>
      </c>
      <c r="B3471" s="323" t="s">
        <v>805</v>
      </c>
      <c r="C3471" s="323">
        <v>41538</v>
      </c>
      <c r="D3471" s="323">
        <v>123</v>
      </c>
      <c r="E3471" s="324">
        <f t="shared" si="54"/>
        <v>29994.780000000002</v>
      </c>
    </row>
    <row r="3472" spans="1:5" x14ac:dyDescent="0.25">
      <c r="A3472" s="323" t="s">
        <v>3040</v>
      </c>
      <c r="B3472" s="323" t="s">
        <v>805</v>
      </c>
      <c r="C3472" s="323">
        <v>41538</v>
      </c>
      <c r="D3472" s="323">
        <v>90</v>
      </c>
      <c r="E3472" s="324">
        <f t="shared" si="54"/>
        <v>21947.4</v>
      </c>
    </row>
    <row r="3473" spans="1:5" x14ac:dyDescent="0.25">
      <c r="A3473" s="323" t="s">
        <v>3389</v>
      </c>
      <c r="B3473" s="323" t="s">
        <v>805</v>
      </c>
      <c r="C3473" s="323">
        <v>41538</v>
      </c>
      <c r="D3473" s="323">
        <v>147</v>
      </c>
      <c r="E3473" s="324">
        <f t="shared" si="54"/>
        <v>35847.420000000006</v>
      </c>
    </row>
    <row r="3474" spans="1:5" x14ac:dyDescent="0.25">
      <c r="A3474" s="323" t="s">
        <v>3413</v>
      </c>
      <c r="B3474" s="323" t="s">
        <v>805</v>
      </c>
      <c r="C3474" s="323">
        <v>41538</v>
      </c>
      <c r="D3474" s="323">
        <v>61</v>
      </c>
      <c r="E3474" s="324">
        <f t="shared" si="54"/>
        <v>14875.460000000001</v>
      </c>
    </row>
    <row r="3475" spans="1:5" x14ac:dyDescent="0.25">
      <c r="A3475" s="323" t="s">
        <v>3665</v>
      </c>
      <c r="B3475" s="323" t="s">
        <v>805</v>
      </c>
      <c r="C3475" s="323">
        <v>41538</v>
      </c>
      <c r="D3475" s="323">
        <v>51</v>
      </c>
      <c r="E3475" s="324">
        <f t="shared" si="54"/>
        <v>12436.86</v>
      </c>
    </row>
    <row r="3476" spans="1:5" x14ac:dyDescent="0.25">
      <c r="A3476" s="323" t="s">
        <v>3694</v>
      </c>
      <c r="B3476" s="323" t="s">
        <v>805</v>
      </c>
      <c r="C3476" s="323">
        <v>41538</v>
      </c>
      <c r="D3476" s="323">
        <v>49</v>
      </c>
      <c r="E3476" s="324">
        <f t="shared" si="54"/>
        <v>11949.140000000001</v>
      </c>
    </row>
    <row r="3477" spans="1:5" x14ac:dyDescent="0.25">
      <c r="A3477" s="323" t="s">
        <v>6117</v>
      </c>
      <c r="B3477" s="323" t="s">
        <v>805</v>
      </c>
      <c r="C3477" s="323">
        <v>41538</v>
      </c>
      <c r="D3477" s="323">
        <v>236</v>
      </c>
      <c r="E3477" s="324">
        <f t="shared" si="54"/>
        <v>57550.960000000006</v>
      </c>
    </row>
    <row r="3478" spans="1:5" x14ac:dyDescent="0.25">
      <c r="A3478" s="323" t="s">
        <v>6139</v>
      </c>
      <c r="B3478" s="323" t="s">
        <v>805</v>
      </c>
      <c r="C3478" s="323">
        <v>41538</v>
      </c>
      <c r="D3478" s="323">
        <v>205</v>
      </c>
      <c r="E3478" s="324">
        <f t="shared" si="54"/>
        <v>49991.3</v>
      </c>
    </row>
    <row r="3479" spans="1:5" x14ac:dyDescent="0.25">
      <c r="A3479" s="323" t="s">
        <v>6161</v>
      </c>
      <c r="B3479" s="323" t="s">
        <v>805</v>
      </c>
      <c r="C3479" s="323">
        <v>41538</v>
      </c>
      <c r="D3479" s="323">
        <v>56</v>
      </c>
      <c r="E3479" s="324">
        <f t="shared" si="54"/>
        <v>13656.16</v>
      </c>
    </row>
    <row r="3480" spans="1:5" x14ac:dyDescent="0.25">
      <c r="A3480" s="323" t="s">
        <v>6191</v>
      </c>
      <c r="B3480" s="323" t="s">
        <v>805</v>
      </c>
      <c r="C3480" s="323">
        <v>41538</v>
      </c>
      <c r="D3480" s="323">
        <v>94</v>
      </c>
      <c r="E3480" s="324">
        <f t="shared" si="54"/>
        <v>22922.84</v>
      </c>
    </row>
    <row r="3481" spans="1:5" x14ac:dyDescent="0.25">
      <c r="A3481" s="323" t="s">
        <v>6224</v>
      </c>
      <c r="B3481" s="323" t="s">
        <v>805</v>
      </c>
      <c r="C3481" s="323">
        <v>41538</v>
      </c>
      <c r="D3481" s="323">
        <v>239</v>
      </c>
      <c r="E3481" s="324">
        <f t="shared" si="54"/>
        <v>58282.54</v>
      </c>
    </row>
    <row r="3482" spans="1:5" x14ac:dyDescent="0.25">
      <c r="A3482" s="323" t="s">
        <v>6926</v>
      </c>
      <c r="B3482" s="323" t="s">
        <v>805</v>
      </c>
      <c r="C3482" s="323">
        <v>41538</v>
      </c>
      <c r="D3482" s="323">
        <v>47</v>
      </c>
      <c r="E3482" s="324">
        <f t="shared" si="54"/>
        <v>11461.42</v>
      </c>
    </row>
    <row r="3483" spans="1:5" x14ac:dyDescent="0.25">
      <c r="A3483" s="323" t="s">
        <v>3041</v>
      </c>
      <c r="B3483" s="323" t="s">
        <v>805</v>
      </c>
      <c r="C3483" s="323">
        <v>41544</v>
      </c>
      <c r="D3483" s="323">
        <v>160</v>
      </c>
      <c r="E3483" s="324">
        <f t="shared" si="54"/>
        <v>39017.600000000006</v>
      </c>
    </row>
    <row r="3484" spans="1:5" x14ac:dyDescent="0.25">
      <c r="A3484" s="323" t="s">
        <v>3695</v>
      </c>
      <c r="B3484" s="323" t="s">
        <v>805</v>
      </c>
      <c r="C3484" s="323">
        <v>41544</v>
      </c>
      <c r="D3484" s="323">
        <v>108</v>
      </c>
      <c r="E3484" s="324">
        <f t="shared" si="54"/>
        <v>26336.880000000001</v>
      </c>
    </row>
    <row r="3485" spans="1:5" x14ac:dyDescent="0.25">
      <c r="A3485" s="323" t="s">
        <v>4053</v>
      </c>
      <c r="B3485" s="323" t="s">
        <v>805</v>
      </c>
      <c r="C3485" s="323">
        <v>41544</v>
      </c>
      <c r="D3485" s="323">
        <v>218</v>
      </c>
      <c r="E3485" s="324">
        <f t="shared" si="54"/>
        <v>53161.48</v>
      </c>
    </row>
    <row r="3486" spans="1:5" x14ac:dyDescent="0.25">
      <c r="A3486" s="323" t="s">
        <v>4196</v>
      </c>
      <c r="B3486" s="323" t="s">
        <v>805</v>
      </c>
      <c r="C3486" s="323">
        <v>41544</v>
      </c>
      <c r="D3486" s="323">
        <v>388</v>
      </c>
      <c r="E3486" s="324">
        <f t="shared" si="54"/>
        <v>94617.680000000008</v>
      </c>
    </row>
    <row r="3487" spans="1:5" x14ac:dyDescent="0.25">
      <c r="A3487" s="323" t="s">
        <v>4384</v>
      </c>
      <c r="B3487" s="323" t="s">
        <v>805</v>
      </c>
      <c r="C3487" s="323">
        <v>41544</v>
      </c>
      <c r="D3487" s="323">
        <v>137</v>
      </c>
      <c r="E3487" s="324">
        <f t="shared" si="54"/>
        <v>33408.82</v>
      </c>
    </row>
    <row r="3488" spans="1:5" x14ac:dyDescent="0.25">
      <c r="A3488" s="323" t="s">
        <v>4528</v>
      </c>
      <c r="B3488" s="323" t="s">
        <v>805</v>
      </c>
      <c r="C3488" s="323">
        <v>41544</v>
      </c>
      <c r="D3488" s="323">
        <v>192</v>
      </c>
      <c r="E3488" s="324">
        <f t="shared" si="54"/>
        <v>46821.120000000003</v>
      </c>
    </row>
    <row r="3489" spans="1:5" x14ac:dyDescent="0.25">
      <c r="A3489" s="323" t="s">
        <v>6058</v>
      </c>
      <c r="B3489" s="323" t="s">
        <v>805</v>
      </c>
      <c r="C3489" s="323">
        <v>41544</v>
      </c>
      <c r="D3489" s="323">
        <v>194</v>
      </c>
      <c r="E3489" s="324">
        <f t="shared" si="54"/>
        <v>47308.840000000004</v>
      </c>
    </row>
    <row r="3490" spans="1:5" x14ac:dyDescent="0.25">
      <c r="A3490" s="323" t="s">
        <v>6074</v>
      </c>
      <c r="B3490" s="323" t="s">
        <v>805</v>
      </c>
      <c r="C3490" s="323">
        <v>41544</v>
      </c>
      <c r="D3490" s="323">
        <v>362</v>
      </c>
      <c r="E3490" s="324">
        <f t="shared" si="54"/>
        <v>88277.32</v>
      </c>
    </row>
    <row r="3491" spans="1:5" x14ac:dyDescent="0.25">
      <c r="A3491" s="323" t="s">
        <v>6775</v>
      </c>
      <c r="B3491" s="323" t="s">
        <v>805</v>
      </c>
      <c r="C3491" s="323">
        <v>41544</v>
      </c>
      <c r="D3491" s="323">
        <v>164</v>
      </c>
      <c r="E3491" s="324">
        <f t="shared" si="54"/>
        <v>39993.040000000001</v>
      </c>
    </row>
    <row r="3492" spans="1:5" x14ac:dyDescent="0.25">
      <c r="A3492" s="323" t="s">
        <v>4073</v>
      </c>
      <c r="B3492" s="323" t="s">
        <v>816</v>
      </c>
      <c r="C3492" s="323">
        <v>41545</v>
      </c>
      <c r="D3492" s="323">
        <v>203</v>
      </c>
      <c r="E3492" s="324">
        <f t="shared" si="54"/>
        <v>74255.37000000001</v>
      </c>
    </row>
    <row r="3493" spans="1:5" x14ac:dyDescent="0.25">
      <c r="A3493" s="323" t="s">
        <v>5000</v>
      </c>
      <c r="B3493" s="323" t="s">
        <v>805</v>
      </c>
      <c r="C3493" s="323">
        <v>41545</v>
      </c>
      <c r="D3493" s="323">
        <v>165</v>
      </c>
      <c r="E3493" s="324">
        <f t="shared" si="54"/>
        <v>40236.9</v>
      </c>
    </row>
    <row r="3494" spans="1:5" x14ac:dyDescent="0.25">
      <c r="A3494" s="323" t="s">
        <v>5000</v>
      </c>
      <c r="B3494" s="323" t="s">
        <v>805</v>
      </c>
      <c r="C3494" s="323">
        <v>41545</v>
      </c>
      <c r="D3494" s="323">
        <v>98</v>
      </c>
      <c r="E3494" s="324">
        <f t="shared" si="54"/>
        <v>23898.280000000002</v>
      </c>
    </row>
    <row r="3495" spans="1:5" x14ac:dyDescent="0.25">
      <c r="A3495" s="323" t="s">
        <v>5067</v>
      </c>
      <c r="B3495" s="323" t="s">
        <v>805</v>
      </c>
      <c r="C3495" s="323">
        <v>41545</v>
      </c>
      <c r="D3495" s="323">
        <v>186</v>
      </c>
      <c r="E3495" s="324">
        <f t="shared" si="54"/>
        <v>45357.96</v>
      </c>
    </row>
    <row r="3496" spans="1:5" x14ac:dyDescent="0.25">
      <c r="A3496" s="323" t="s">
        <v>5280</v>
      </c>
      <c r="B3496" s="323" t="s">
        <v>805</v>
      </c>
      <c r="C3496" s="323">
        <v>41545</v>
      </c>
      <c r="D3496" s="323">
        <v>172</v>
      </c>
      <c r="E3496" s="324">
        <f t="shared" si="54"/>
        <v>41943.920000000006</v>
      </c>
    </row>
    <row r="3497" spans="1:5" x14ac:dyDescent="0.25">
      <c r="A3497" s="323" t="s">
        <v>5320</v>
      </c>
      <c r="B3497" s="323" t="s">
        <v>805</v>
      </c>
      <c r="C3497" s="323">
        <v>41545</v>
      </c>
      <c r="D3497" s="323">
        <v>402</v>
      </c>
      <c r="E3497" s="324">
        <f t="shared" si="54"/>
        <v>98031.72</v>
      </c>
    </row>
    <row r="3498" spans="1:5" x14ac:dyDescent="0.25">
      <c r="A3498" s="323" t="s">
        <v>5350</v>
      </c>
      <c r="B3498" s="323" t="s">
        <v>805</v>
      </c>
      <c r="C3498" s="323">
        <v>41545</v>
      </c>
      <c r="D3498" s="323">
        <v>580</v>
      </c>
      <c r="E3498" s="324">
        <f t="shared" si="54"/>
        <v>141438.80000000002</v>
      </c>
    </row>
    <row r="3499" spans="1:5" x14ac:dyDescent="0.25">
      <c r="A3499" s="323" t="s">
        <v>5377</v>
      </c>
      <c r="B3499" s="323" t="s">
        <v>805</v>
      </c>
      <c r="C3499" s="323">
        <v>41545</v>
      </c>
      <c r="D3499" s="323">
        <v>82</v>
      </c>
      <c r="E3499" s="324">
        <f t="shared" si="54"/>
        <v>19996.52</v>
      </c>
    </row>
    <row r="3500" spans="1:5" x14ac:dyDescent="0.25">
      <c r="A3500" s="323" t="s">
        <v>6636</v>
      </c>
      <c r="B3500" s="323" t="s">
        <v>805</v>
      </c>
      <c r="C3500" s="323">
        <v>41545</v>
      </c>
      <c r="D3500" s="323">
        <v>369</v>
      </c>
      <c r="E3500" s="324">
        <f t="shared" si="54"/>
        <v>89984.340000000011</v>
      </c>
    </row>
    <row r="3501" spans="1:5" x14ac:dyDescent="0.25">
      <c r="A3501" s="323" t="s">
        <v>6638</v>
      </c>
      <c r="B3501" s="323" t="s">
        <v>805</v>
      </c>
      <c r="C3501" s="323">
        <v>41545</v>
      </c>
      <c r="D3501" s="323">
        <v>299</v>
      </c>
      <c r="E3501" s="324">
        <f t="shared" si="54"/>
        <v>72914.14</v>
      </c>
    </row>
    <row r="3502" spans="1:5" x14ac:dyDescent="0.25">
      <c r="A3502" s="323" t="s">
        <v>2059</v>
      </c>
      <c r="B3502" s="323" t="s">
        <v>805</v>
      </c>
      <c r="C3502" s="323">
        <v>41547</v>
      </c>
      <c r="D3502" s="323">
        <v>232</v>
      </c>
      <c r="E3502" s="324">
        <f t="shared" si="54"/>
        <v>56575.520000000004</v>
      </c>
    </row>
    <row r="3503" spans="1:5" x14ac:dyDescent="0.25">
      <c r="A3503" s="323" t="s">
        <v>2979</v>
      </c>
      <c r="B3503" s="323" t="s">
        <v>805</v>
      </c>
      <c r="C3503" s="323">
        <v>41548</v>
      </c>
      <c r="D3503" s="323">
        <v>334</v>
      </c>
      <c r="E3503" s="324">
        <f t="shared" si="54"/>
        <v>81449.240000000005</v>
      </c>
    </row>
    <row r="3504" spans="1:5" x14ac:dyDescent="0.25">
      <c r="A3504" s="323" t="s">
        <v>1247</v>
      </c>
      <c r="B3504" s="323" t="s">
        <v>805</v>
      </c>
      <c r="C3504" s="323">
        <v>41551</v>
      </c>
      <c r="D3504" s="323">
        <v>240</v>
      </c>
      <c r="E3504" s="324">
        <f t="shared" si="54"/>
        <v>58526.400000000001</v>
      </c>
    </row>
    <row r="3505" spans="1:5" x14ac:dyDescent="0.25">
      <c r="A3505" s="323" t="s">
        <v>1482</v>
      </c>
      <c r="B3505" s="323" t="s">
        <v>805</v>
      </c>
      <c r="C3505" s="323">
        <v>41551</v>
      </c>
      <c r="D3505" s="323">
        <v>184</v>
      </c>
      <c r="E3505" s="324">
        <f t="shared" si="54"/>
        <v>44870.240000000005</v>
      </c>
    </row>
    <row r="3506" spans="1:5" x14ac:dyDescent="0.25">
      <c r="A3506" s="323" t="s">
        <v>1663</v>
      </c>
      <c r="B3506" s="323" t="s">
        <v>805</v>
      </c>
      <c r="C3506" s="323">
        <v>41551</v>
      </c>
      <c r="D3506" s="323">
        <v>52</v>
      </c>
      <c r="E3506" s="324">
        <f t="shared" si="54"/>
        <v>12680.720000000001</v>
      </c>
    </row>
    <row r="3507" spans="1:5" x14ac:dyDescent="0.25">
      <c r="A3507" s="323" t="s">
        <v>1678</v>
      </c>
      <c r="B3507" s="323" t="s">
        <v>805</v>
      </c>
      <c r="C3507" s="323">
        <v>41551</v>
      </c>
      <c r="D3507" s="323">
        <v>94</v>
      </c>
      <c r="E3507" s="324">
        <f t="shared" si="54"/>
        <v>22922.84</v>
      </c>
    </row>
    <row r="3508" spans="1:5" x14ac:dyDescent="0.25">
      <c r="A3508" s="323" t="s">
        <v>1868</v>
      </c>
      <c r="B3508" s="323" t="s">
        <v>805</v>
      </c>
      <c r="C3508" s="323">
        <v>41551</v>
      </c>
      <c r="D3508" s="323">
        <v>35</v>
      </c>
      <c r="E3508" s="324">
        <f t="shared" si="54"/>
        <v>8535.1</v>
      </c>
    </row>
    <row r="3509" spans="1:5" x14ac:dyDescent="0.25">
      <c r="A3509" s="323" t="s">
        <v>2270</v>
      </c>
      <c r="B3509" s="323" t="s">
        <v>805</v>
      </c>
      <c r="C3509" s="323">
        <v>41551</v>
      </c>
      <c r="D3509" s="323">
        <v>216</v>
      </c>
      <c r="E3509" s="324">
        <f t="shared" si="54"/>
        <v>52673.760000000002</v>
      </c>
    </row>
    <row r="3510" spans="1:5" x14ac:dyDescent="0.25">
      <c r="A3510" s="323" t="s">
        <v>2750</v>
      </c>
      <c r="B3510" s="323" t="s">
        <v>805</v>
      </c>
      <c r="C3510" s="323">
        <v>41551</v>
      </c>
      <c r="D3510" s="323">
        <v>151</v>
      </c>
      <c r="E3510" s="324">
        <f t="shared" si="54"/>
        <v>36822.86</v>
      </c>
    </row>
    <row r="3511" spans="1:5" x14ac:dyDescent="0.25">
      <c r="A3511" s="323" t="s">
        <v>2767</v>
      </c>
      <c r="B3511" s="323" t="s">
        <v>805</v>
      </c>
      <c r="C3511" s="323">
        <v>41551</v>
      </c>
      <c r="D3511" s="323">
        <v>208</v>
      </c>
      <c r="E3511" s="324">
        <f t="shared" si="54"/>
        <v>50722.880000000005</v>
      </c>
    </row>
    <row r="3512" spans="1:5" x14ac:dyDescent="0.25">
      <c r="A3512" s="323" t="s">
        <v>4015</v>
      </c>
      <c r="B3512" s="323" t="s">
        <v>805</v>
      </c>
      <c r="C3512" s="323">
        <v>41551</v>
      </c>
      <c r="D3512" s="323">
        <v>152</v>
      </c>
      <c r="E3512" s="324">
        <f t="shared" si="54"/>
        <v>37066.720000000001</v>
      </c>
    </row>
    <row r="3513" spans="1:5" x14ac:dyDescent="0.25">
      <c r="A3513" s="323" t="s">
        <v>4258</v>
      </c>
      <c r="B3513" s="323" t="s">
        <v>805</v>
      </c>
      <c r="C3513" s="323">
        <v>41551</v>
      </c>
      <c r="D3513" s="323">
        <v>56</v>
      </c>
      <c r="E3513" s="324">
        <f t="shared" si="54"/>
        <v>13656.16</v>
      </c>
    </row>
    <row r="3514" spans="1:5" x14ac:dyDescent="0.25">
      <c r="A3514" s="323" t="s">
        <v>4261</v>
      </c>
      <c r="B3514" s="323" t="s">
        <v>805</v>
      </c>
      <c r="C3514" s="323">
        <v>41551</v>
      </c>
      <c r="D3514" s="323">
        <v>176</v>
      </c>
      <c r="E3514" s="324">
        <f t="shared" si="54"/>
        <v>42919.360000000001</v>
      </c>
    </row>
    <row r="3515" spans="1:5" x14ac:dyDescent="0.25">
      <c r="A3515" s="323" t="s">
        <v>4367</v>
      </c>
      <c r="B3515" s="323" t="s">
        <v>805</v>
      </c>
      <c r="C3515" s="323">
        <v>41551</v>
      </c>
      <c r="D3515" s="323">
        <v>45</v>
      </c>
      <c r="E3515" s="324">
        <f t="shared" si="54"/>
        <v>10973.7</v>
      </c>
    </row>
    <row r="3516" spans="1:5" x14ac:dyDescent="0.25">
      <c r="A3516" s="323" t="s">
        <v>4369</v>
      </c>
      <c r="B3516" s="323" t="s">
        <v>805</v>
      </c>
      <c r="C3516" s="323">
        <v>41551</v>
      </c>
      <c r="D3516" s="323">
        <v>101</v>
      </c>
      <c r="E3516" s="324">
        <f t="shared" si="54"/>
        <v>24629.86</v>
      </c>
    </row>
    <row r="3517" spans="1:5" x14ac:dyDescent="0.25">
      <c r="A3517" s="323" t="s">
        <v>7387</v>
      </c>
      <c r="B3517" s="323" t="s">
        <v>805</v>
      </c>
      <c r="C3517" s="323">
        <v>41551</v>
      </c>
      <c r="D3517" s="323">
        <v>104</v>
      </c>
      <c r="E3517" s="324">
        <f t="shared" si="54"/>
        <v>25361.440000000002</v>
      </c>
    </row>
    <row r="3518" spans="1:5" x14ac:dyDescent="0.25">
      <c r="A3518" s="323" t="s">
        <v>3022</v>
      </c>
      <c r="B3518" s="323" t="s">
        <v>805</v>
      </c>
      <c r="C3518" s="323">
        <v>41557</v>
      </c>
      <c r="D3518" s="323">
        <v>102</v>
      </c>
      <c r="E3518" s="324">
        <f t="shared" si="54"/>
        <v>24873.72</v>
      </c>
    </row>
    <row r="3519" spans="1:5" x14ac:dyDescent="0.25">
      <c r="A3519" s="323" t="s">
        <v>3043</v>
      </c>
      <c r="B3519" s="323" t="s">
        <v>805</v>
      </c>
      <c r="C3519" s="323">
        <v>41557</v>
      </c>
      <c r="D3519" s="323">
        <v>245</v>
      </c>
      <c r="E3519" s="324">
        <f t="shared" si="54"/>
        <v>59745.700000000004</v>
      </c>
    </row>
    <row r="3520" spans="1:5" x14ac:dyDescent="0.25">
      <c r="A3520" s="323" t="s">
        <v>3393</v>
      </c>
      <c r="B3520" s="323" t="s">
        <v>805</v>
      </c>
      <c r="C3520" s="323">
        <v>41557</v>
      </c>
      <c r="D3520" s="323">
        <v>81</v>
      </c>
      <c r="E3520" s="324">
        <f t="shared" si="54"/>
        <v>19752.66</v>
      </c>
    </row>
    <row r="3521" spans="1:5" x14ac:dyDescent="0.25">
      <c r="A3521" s="323" t="s">
        <v>3416</v>
      </c>
      <c r="B3521" s="323" t="s">
        <v>805</v>
      </c>
      <c r="C3521" s="323">
        <v>41557</v>
      </c>
      <c r="D3521" s="323">
        <v>145</v>
      </c>
      <c r="E3521" s="324">
        <f t="shared" si="54"/>
        <v>35359.700000000004</v>
      </c>
    </row>
    <row r="3522" spans="1:5" x14ac:dyDescent="0.25">
      <c r="A3522" s="323" t="s">
        <v>3645</v>
      </c>
      <c r="B3522" s="323" t="s">
        <v>805</v>
      </c>
      <c r="C3522" s="323">
        <v>41557</v>
      </c>
      <c r="D3522" s="323">
        <v>40</v>
      </c>
      <c r="E3522" s="324">
        <f t="shared" ref="E3522:E3585" si="55">D3522*IF(B3522=$G$9,WerkdrukbedragPerLeerlingBo,IF(B3522=$G$10,WerkdrukbedragPerLeerlingSbo,IF(B3522=$G$11,WerkdrukbedragPerLeerlingSo,IF(B3522=$G$12,WerkdrukbedragPerLeerlingVso,0))))</f>
        <v>9754.4000000000015</v>
      </c>
    </row>
    <row r="3523" spans="1:5" x14ac:dyDescent="0.25">
      <c r="A3523" s="323" t="s">
        <v>3698</v>
      </c>
      <c r="B3523" s="323" t="s">
        <v>805</v>
      </c>
      <c r="C3523" s="323">
        <v>41557</v>
      </c>
      <c r="D3523" s="323">
        <v>195</v>
      </c>
      <c r="E3523" s="324">
        <f t="shared" si="55"/>
        <v>47552.700000000004</v>
      </c>
    </row>
    <row r="3524" spans="1:5" x14ac:dyDescent="0.25">
      <c r="A3524" s="323" t="s">
        <v>3711</v>
      </c>
      <c r="B3524" s="323" t="s">
        <v>805</v>
      </c>
      <c r="C3524" s="323">
        <v>41557</v>
      </c>
      <c r="D3524" s="323">
        <v>71</v>
      </c>
      <c r="E3524" s="324">
        <f t="shared" si="55"/>
        <v>17314.060000000001</v>
      </c>
    </row>
    <row r="3525" spans="1:5" x14ac:dyDescent="0.25">
      <c r="A3525" s="323" t="s">
        <v>3886</v>
      </c>
      <c r="B3525" s="323" t="s">
        <v>805</v>
      </c>
      <c r="C3525" s="323">
        <v>41557</v>
      </c>
      <c r="D3525" s="323">
        <v>65</v>
      </c>
      <c r="E3525" s="324">
        <f t="shared" si="55"/>
        <v>15850.900000000001</v>
      </c>
    </row>
    <row r="3526" spans="1:5" x14ac:dyDescent="0.25">
      <c r="A3526" s="323" t="s">
        <v>3927</v>
      </c>
      <c r="B3526" s="323" t="s">
        <v>805</v>
      </c>
      <c r="C3526" s="323">
        <v>41557</v>
      </c>
      <c r="D3526" s="323">
        <v>109</v>
      </c>
      <c r="E3526" s="324">
        <f t="shared" si="55"/>
        <v>26580.74</v>
      </c>
    </row>
    <row r="3527" spans="1:5" x14ac:dyDescent="0.25">
      <c r="A3527" s="323" t="s">
        <v>6077</v>
      </c>
      <c r="B3527" s="323" t="s">
        <v>805</v>
      </c>
      <c r="C3527" s="323">
        <v>41557</v>
      </c>
      <c r="D3527" s="323">
        <v>140</v>
      </c>
      <c r="E3527" s="324">
        <f t="shared" si="55"/>
        <v>34140.400000000001</v>
      </c>
    </row>
    <row r="3528" spans="1:5" x14ac:dyDescent="0.25">
      <c r="A3528" s="323" t="s">
        <v>6486</v>
      </c>
      <c r="B3528" s="323" t="s">
        <v>816</v>
      </c>
      <c r="C3528" s="323">
        <v>41557</v>
      </c>
      <c r="D3528" s="323">
        <v>50</v>
      </c>
      <c r="E3528" s="324">
        <f t="shared" si="55"/>
        <v>18289.5</v>
      </c>
    </row>
    <row r="3529" spans="1:5" x14ac:dyDescent="0.25">
      <c r="A3529" s="323" t="s">
        <v>1437</v>
      </c>
      <c r="B3529" s="323" t="s">
        <v>805</v>
      </c>
      <c r="C3529" s="323">
        <v>41558</v>
      </c>
      <c r="D3529" s="323">
        <v>83</v>
      </c>
      <c r="E3529" s="324">
        <f t="shared" si="55"/>
        <v>20240.38</v>
      </c>
    </row>
    <row r="3530" spans="1:5" x14ac:dyDescent="0.25">
      <c r="A3530" s="323" t="s">
        <v>2313</v>
      </c>
      <c r="B3530" s="323" t="s">
        <v>805</v>
      </c>
      <c r="C3530" s="323">
        <v>41558</v>
      </c>
      <c r="D3530" s="323">
        <v>174</v>
      </c>
      <c r="E3530" s="324">
        <f t="shared" si="55"/>
        <v>42431.64</v>
      </c>
    </row>
    <row r="3531" spans="1:5" x14ac:dyDescent="0.25">
      <c r="A3531" s="323" t="s">
        <v>2708</v>
      </c>
      <c r="B3531" s="323" t="s">
        <v>805</v>
      </c>
      <c r="C3531" s="323">
        <v>41558</v>
      </c>
      <c r="D3531" s="323">
        <v>87</v>
      </c>
      <c r="E3531" s="324">
        <f t="shared" si="55"/>
        <v>21215.82</v>
      </c>
    </row>
    <row r="3532" spans="1:5" x14ac:dyDescent="0.25">
      <c r="A3532" s="323" t="s">
        <v>2928</v>
      </c>
      <c r="B3532" s="323" t="s">
        <v>805</v>
      </c>
      <c r="C3532" s="323">
        <v>41558</v>
      </c>
      <c r="D3532" s="323">
        <v>146</v>
      </c>
      <c r="E3532" s="324">
        <f t="shared" si="55"/>
        <v>35603.560000000005</v>
      </c>
    </row>
    <row r="3533" spans="1:5" x14ac:dyDescent="0.25">
      <c r="A3533" s="323" t="s">
        <v>2945</v>
      </c>
      <c r="B3533" s="323" t="s">
        <v>805</v>
      </c>
      <c r="C3533" s="323">
        <v>41558</v>
      </c>
      <c r="D3533" s="323">
        <v>155</v>
      </c>
      <c r="E3533" s="324">
        <f t="shared" si="55"/>
        <v>37798.300000000003</v>
      </c>
    </row>
    <row r="3534" spans="1:5" x14ac:dyDescent="0.25">
      <c r="A3534" s="323" t="s">
        <v>3209</v>
      </c>
      <c r="B3534" s="323" t="s">
        <v>805</v>
      </c>
      <c r="C3534" s="323">
        <v>41558</v>
      </c>
      <c r="D3534" s="323">
        <v>173</v>
      </c>
      <c r="E3534" s="324">
        <f t="shared" si="55"/>
        <v>42187.78</v>
      </c>
    </row>
    <row r="3535" spans="1:5" x14ac:dyDescent="0.25">
      <c r="A3535" s="323" t="s">
        <v>3231</v>
      </c>
      <c r="B3535" s="323" t="s">
        <v>805</v>
      </c>
      <c r="C3535" s="323">
        <v>41558</v>
      </c>
      <c r="D3535" s="323">
        <v>110</v>
      </c>
      <c r="E3535" s="324">
        <f t="shared" si="55"/>
        <v>26824.600000000002</v>
      </c>
    </row>
    <row r="3536" spans="1:5" x14ac:dyDescent="0.25">
      <c r="A3536" s="323" t="s">
        <v>3751</v>
      </c>
      <c r="B3536" s="323" t="s">
        <v>805</v>
      </c>
      <c r="C3536" s="323">
        <v>41558</v>
      </c>
      <c r="D3536" s="323">
        <v>184</v>
      </c>
      <c r="E3536" s="324">
        <f t="shared" si="55"/>
        <v>44870.240000000005</v>
      </c>
    </row>
    <row r="3537" spans="1:5" x14ac:dyDescent="0.25">
      <c r="A3537" s="323" t="s">
        <v>3991</v>
      </c>
      <c r="B3537" s="323" t="s">
        <v>805</v>
      </c>
      <c r="C3537" s="323">
        <v>41558</v>
      </c>
      <c r="D3537" s="323">
        <v>86</v>
      </c>
      <c r="E3537" s="324">
        <f t="shared" si="55"/>
        <v>20971.960000000003</v>
      </c>
    </row>
    <row r="3538" spans="1:5" x14ac:dyDescent="0.25">
      <c r="A3538" s="323" t="s">
        <v>5681</v>
      </c>
      <c r="B3538" s="323" t="s">
        <v>805</v>
      </c>
      <c r="C3538" s="323">
        <v>41558</v>
      </c>
      <c r="D3538" s="323">
        <v>81</v>
      </c>
      <c r="E3538" s="324">
        <f t="shared" si="55"/>
        <v>19752.66</v>
      </c>
    </row>
    <row r="3539" spans="1:5" x14ac:dyDescent="0.25">
      <c r="A3539" s="323" t="s">
        <v>4201</v>
      </c>
      <c r="B3539" s="323" t="s">
        <v>805</v>
      </c>
      <c r="C3539" s="323">
        <v>41560</v>
      </c>
      <c r="D3539" s="323">
        <v>382</v>
      </c>
      <c r="E3539" s="324">
        <f t="shared" si="55"/>
        <v>93154.52</v>
      </c>
    </row>
    <row r="3540" spans="1:5" x14ac:dyDescent="0.25">
      <c r="A3540" s="323" t="s">
        <v>4316</v>
      </c>
      <c r="B3540" s="323" t="s">
        <v>805</v>
      </c>
      <c r="C3540" s="323">
        <v>41560</v>
      </c>
      <c r="D3540" s="323">
        <v>223</v>
      </c>
      <c r="E3540" s="324">
        <f t="shared" si="55"/>
        <v>54380.780000000006</v>
      </c>
    </row>
    <row r="3541" spans="1:5" x14ac:dyDescent="0.25">
      <c r="A3541" s="323" t="s">
        <v>4654</v>
      </c>
      <c r="B3541" s="323" t="s">
        <v>805</v>
      </c>
      <c r="C3541" s="323">
        <v>41560</v>
      </c>
      <c r="D3541" s="323">
        <v>306</v>
      </c>
      <c r="E3541" s="324">
        <f t="shared" si="55"/>
        <v>74621.16</v>
      </c>
    </row>
    <row r="3542" spans="1:5" x14ac:dyDescent="0.25">
      <c r="A3542" s="323" t="s">
        <v>4654</v>
      </c>
      <c r="B3542" s="323" t="s">
        <v>805</v>
      </c>
      <c r="C3542" s="323">
        <v>41560</v>
      </c>
      <c r="D3542" s="323">
        <v>181</v>
      </c>
      <c r="E3542" s="324">
        <f t="shared" si="55"/>
        <v>44138.66</v>
      </c>
    </row>
    <row r="3543" spans="1:5" x14ac:dyDescent="0.25">
      <c r="A3543" s="323" t="s">
        <v>4788</v>
      </c>
      <c r="B3543" s="323" t="s">
        <v>805</v>
      </c>
      <c r="C3543" s="323">
        <v>41560</v>
      </c>
      <c r="D3543" s="323">
        <v>334</v>
      </c>
      <c r="E3543" s="324">
        <f t="shared" si="55"/>
        <v>81449.240000000005</v>
      </c>
    </row>
    <row r="3544" spans="1:5" x14ac:dyDescent="0.25">
      <c r="A3544" s="323" t="s">
        <v>4845</v>
      </c>
      <c r="B3544" s="323" t="s">
        <v>805</v>
      </c>
      <c r="C3544" s="323">
        <v>41560</v>
      </c>
      <c r="D3544" s="323">
        <v>193</v>
      </c>
      <c r="E3544" s="324">
        <f t="shared" si="55"/>
        <v>47064.98</v>
      </c>
    </row>
    <row r="3545" spans="1:5" x14ac:dyDescent="0.25">
      <c r="A3545" s="323" t="s">
        <v>7286</v>
      </c>
      <c r="B3545" s="323" t="s">
        <v>805</v>
      </c>
      <c r="C3545" s="323">
        <v>41560</v>
      </c>
      <c r="D3545" s="323">
        <v>272</v>
      </c>
      <c r="E3545" s="324">
        <f t="shared" si="55"/>
        <v>66329.919999999998</v>
      </c>
    </row>
    <row r="3546" spans="1:5" x14ac:dyDescent="0.25">
      <c r="A3546" s="323" t="s">
        <v>4455</v>
      </c>
      <c r="B3546" s="323" t="s">
        <v>805</v>
      </c>
      <c r="C3546" s="323">
        <v>41561</v>
      </c>
      <c r="D3546" s="323">
        <v>39</v>
      </c>
      <c r="E3546" s="324">
        <f t="shared" si="55"/>
        <v>9510.5400000000009</v>
      </c>
    </row>
    <row r="3547" spans="1:5" x14ac:dyDescent="0.25">
      <c r="A3547" s="323" t="s">
        <v>4563</v>
      </c>
      <c r="B3547" s="323" t="s">
        <v>805</v>
      </c>
      <c r="C3547" s="323">
        <v>41561</v>
      </c>
      <c r="D3547" s="323">
        <v>81</v>
      </c>
      <c r="E3547" s="324">
        <f t="shared" si="55"/>
        <v>19752.66</v>
      </c>
    </row>
    <row r="3548" spans="1:5" x14ac:dyDescent="0.25">
      <c r="A3548" s="323" t="s">
        <v>4651</v>
      </c>
      <c r="B3548" s="323" t="s">
        <v>805</v>
      </c>
      <c r="C3548" s="323">
        <v>41561</v>
      </c>
      <c r="D3548" s="323">
        <v>86</v>
      </c>
      <c r="E3548" s="324">
        <f t="shared" si="55"/>
        <v>20971.960000000003</v>
      </c>
    </row>
    <row r="3549" spans="1:5" x14ac:dyDescent="0.25">
      <c r="A3549" s="323" t="s">
        <v>4714</v>
      </c>
      <c r="B3549" s="323" t="s">
        <v>805</v>
      </c>
      <c r="C3549" s="323">
        <v>41561</v>
      </c>
      <c r="D3549" s="323">
        <v>85</v>
      </c>
      <c r="E3549" s="324">
        <f t="shared" si="55"/>
        <v>20728.100000000002</v>
      </c>
    </row>
    <row r="3550" spans="1:5" x14ac:dyDescent="0.25">
      <c r="A3550" s="323" t="s">
        <v>4785</v>
      </c>
      <c r="B3550" s="323" t="s">
        <v>805</v>
      </c>
      <c r="C3550" s="323">
        <v>41561</v>
      </c>
      <c r="D3550" s="323">
        <v>102</v>
      </c>
      <c r="E3550" s="324">
        <f t="shared" si="55"/>
        <v>24873.72</v>
      </c>
    </row>
    <row r="3551" spans="1:5" x14ac:dyDescent="0.25">
      <c r="A3551" s="323" t="s">
        <v>4844</v>
      </c>
      <c r="B3551" s="323" t="s">
        <v>805</v>
      </c>
      <c r="C3551" s="323">
        <v>41561</v>
      </c>
      <c r="D3551" s="323">
        <v>60</v>
      </c>
      <c r="E3551" s="324">
        <f t="shared" si="55"/>
        <v>14631.6</v>
      </c>
    </row>
    <row r="3552" spans="1:5" x14ac:dyDescent="0.25">
      <c r="A3552" s="323" t="s">
        <v>6054</v>
      </c>
      <c r="B3552" s="323" t="s">
        <v>805</v>
      </c>
      <c r="C3552" s="323">
        <v>41561</v>
      </c>
      <c r="D3552" s="323">
        <v>65</v>
      </c>
      <c r="E3552" s="324">
        <f t="shared" si="55"/>
        <v>15850.900000000001</v>
      </c>
    </row>
    <row r="3553" spans="1:5" x14ac:dyDescent="0.25">
      <c r="A3553" s="323" t="s">
        <v>6054</v>
      </c>
      <c r="B3553" s="323" t="s">
        <v>805</v>
      </c>
      <c r="C3553" s="323">
        <v>41561</v>
      </c>
      <c r="D3553" s="323">
        <v>60</v>
      </c>
      <c r="E3553" s="324">
        <f t="shared" si="55"/>
        <v>14631.6</v>
      </c>
    </row>
    <row r="3554" spans="1:5" x14ac:dyDescent="0.25">
      <c r="A3554" s="323" t="s">
        <v>6054</v>
      </c>
      <c r="B3554" s="323" t="s">
        <v>805</v>
      </c>
      <c r="C3554" s="323">
        <v>41561</v>
      </c>
      <c r="D3554" s="323">
        <v>107</v>
      </c>
      <c r="E3554" s="324">
        <f t="shared" si="55"/>
        <v>26093.02</v>
      </c>
    </row>
    <row r="3555" spans="1:5" x14ac:dyDescent="0.25">
      <c r="A3555" s="323" t="s">
        <v>6054</v>
      </c>
      <c r="B3555" s="323" t="s">
        <v>805</v>
      </c>
      <c r="C3555" s="323">
        <v>41561</v>
      </c>
      <c r="D3555" s="323">
        <v>40</v>
      </c>
      <c r="E3555" s="324">
        <f t="shared" si="55"/>
        <v>9754.4000000000015</v>
      </c>
    </row>
    <row r="3556" spans="1:5" x14ac:dyDescent="0.25">
      <c r="A3556" s="323" t="s">
        <v>6112</v>
      </c>
      <c r="B3556" s="323" t="s">
        <v>805</v>
      </c>
      <c r="C3556" s="323">
        <v>41561</v>
      </c>
      <c r="D3556" s="323">
        <v>93</v>
      </c>
      <c r="E3556" s="324">
        <f t="shared" si="55"/>
        <v>22678.98</v>
      </c>
    </row>
    <row r="3557" spans="1:5" x14ac:dyDescent="0.25">
      <c r="A3557" s="323" t="s">
        <v>6112</v>
      </c>
      <c r="B3557" s="323" t="s">
        <v>805</v>
      </c>
      <c r="C3557" s="323">
        <v>41561</v>
      </c>
      <c r="D3557" s="323">
        <v>86</v>
      </c>
      <c r="E3557" s="324">
        <f t="shared" si="55"/>
        <v>20971.960000000003</v>
      </c>
    </row>
    <row r="3558" spans="1:5" x14ac:dyDescent="0.25">
      <c r="A3558" s="323" t="s">
        <v>6138</v>
      </c>
      <c r="B3558" s="323" t="s">
        <v>805</v>
      </c>
      <c r="C3558" s="323">
        <v>41561</v>
      </c>
      <c r="D3558" s="323">
        <v>111</v>
      </c>
      <c r="E3558" s="324">
        <f t="shared" si="55"/>
        <v>27068.460000000003</v>
      </c>
    </row>
    <row r="3559" spans="1:5" x14ac:dyDescent="0.25">
      <c r="A3559" s="323" t="s">
        <v>6158</v>
      </c>
      <c r="B3559" s="323" t="s">
        <v>805</v>
      </c>
      <c r="C3559" s="323">
        <v>41561</v>
      </c>
      <c r="D3559" s="323">
        <v>264</v>
      </c>
      <c r="E3559" s="324">
        <f t="shared" si="55"/>
        <v>64379.040000000001</v>
      </c>
    </row>
    <row r="3560" spans="1:5" x14ac:dyDescent="0.25">
      <c r="A3560" s="323" t="s">
        <v>6186</v>
      </c>
      <c r="B3560" s="323" t="s">
        <v>805</v>
      </c>
      <c r="C3560" s="323">
        <v>41561</v>
      </c>
      <c r="D3560" s="323">
        <v>341</v>
      </c>
      <c r="E3560" s="324">
        <f t="shared" si="55"/>
        <v>83156.260000000009</v>
      </c>
    </row>
    <row r="3561" spans="1:5" x14ac:dyDescent="0.25">
      <c r="A3561" s="323" t="s">
        <v>6206</v>
      </c>
      <c r="B3561" s="323" t="s">
        <v>805</v>
      </c>
      <c r="C3561" s="323">
        <v>41561</v>
      </c>
      <c r="D3561" s="323">
        <v>144</v>
      </c>
      <c r="E3561" s="324">
        <f t="shared" si="55"/>
        <v>35115.840000000004</v>
      </c>
    </row>
    <row r="3562" spans="1:5" x14ac:dyDescent="0.25">
      <c r="A3562" s="323" t="s">
        <v>6241</v>
      </c>
      <c r="B3562" s="323" t="s">
        <v>805</v>
      </c>
      <c r="C3562" s="323">
        <v>41561</v>
      </c>
      <c r="D3562" s="323">
        <v>93</v>
      </c>
      <c r="E3562" s="324">
        <f t="shared" si="55"/>
        <v>22678.98</v>
      </c>
    </row>
    <row r="3563" spans="1:5" x14ac:dyDescent="0.25">
      <c r="A3563" s="323" t="s">
        <v>6255</v>
      </c>
      <c r="B3563" s="323" t="s">
        <v>805</v>
      </c>
      <c r="C3563" s="323">
        <v>41561</v>
      </c>
      <c r="D3563" s="323">
        <v>110</v>
      </c>
      <c r="E3563" s="324">
        <f t="shared" si="55"/>
        <v>26824.600000000002</v>
      </c>
    </row>
    <row r="3564" spans="1:5" x14ac:dyDescent="0.25">
      <c r="A3564" s="323" t="s">
        <v>6269</v>
      </c>
      <c r="B3564" s="323" t="s">
        <v>805</v>
      </c>
      <c r="C3564" s="323">
        <v>41561</v>
      </c>
      <c r="D3564" s="323">
        <v>162</v>
      </c>
      <c r="E3564" s="324">
        <f t="shared" si="55"/>
        <v>39505.32</v>
      </c>
    </row>
    <row r="3565" spans="1:5" x14ac:dyDescent="0.25">
      <c r="A3565" s="323" t="s">
        <v>1209</v>
      </c>
      <c r="B3565" s="323" t="s">
        <v>805</v>
      </c>
      <c r="C3565" s="323">
        <v>41563</v>
      </c>
      <c r="D3565" s="323">
        <v>304</v>
      </c>
      <c r="E3565" s="324">
        <f t="shared" si="55"/>
        <v>74133.440000000002</v>
      </c>
    </row>
    <row r="3566" spans="1:5" x14ac:dyDescent="0.25">
      <c r="A3566" s="323" t="s">
        <v>1039</v>
      </c>
      <c r="B3566" s="323" t="s">
        <v>805</v>
      </c>
      <c r="C3566" s="323">
        <v>41565</v>
      </c>
      <c r="D3566" s="323">
        <v>166</v>
      </c>
      <c r="E3566" s="324">
        <f t="shared" si="55"/>
        <v>40480.76</v>
      </c>
    </row>
    <row r="3567" spans="1:5" x14ac:dyDescent="0.25">
      <c r="A3567" s="323" t="s">
        <v>3047</v>
      </c>
      <c r="B3567" s="323" t="s">
        <v>805</v>
      </c>
      <c r="C3567" s="323">
        <v>41565</v>
      </c>
      <c r="D3567" s="323">
        <v>91</v>
      </c>
      <c r="E3567" s="324">
        <f t="shared" si="55"/>
        <v>22191.260000000002</v>
      </c>
    </row>
    <row r="3568" spans="1:5" x14ac:dyDescent="0.25">
      <c r="A3568" s="323" t="s">
        <v>3418</v>
      </c>
      <c r="B3568" s="323" t="s">
        <v>805</v>
      </c>
      <c r="C3568" s="323">
        <v>41565</v>
      </c>
      <c r="D3568" s="323">
        <v>113</v>
      </c>
      <c r="E3568" s="324">
        <f t="shared" si="55"/>
        <v>27556.18</v>
      </c>
    </row>
    <row r="3569" spans="1:5" x14ac:dyDescent="0.25">
      <c r="A3569" s="323" t="s">
        <v>3700</v>
      </c>
      <c r="B3569" s="323" t="s">
        <v>805</v>
      </c>
      <c r="C3569" s="323">
        <v>41565</v>
      </c>
      <c r="D3569" s="323">
        <v>90</v>
      </c>
      <c r="E3569" s="324">
        <f t="shared" si="55"/>
        <v>21947.4</v>
      </c>
    </row>
    <row r="3570" spans="1:5" x14ac:dyDescent="0.25">
      <c r="A3570" s="323" t="s">
        <v>5643</v>
      </c>
      <c r="B3570" s="323" t="s">
        <v>805</v>
      </c>
      <c r="C3570" s="323">
        <v>41565</v>
      </c>
      <c r="D3570" s="323">
        <v>271</v>
      </c>
      <c r="E3570" s="324">
        <f t="shared" si="55"/>
        <v>66086.06</v>
      </c>
    </row>
    <row r="3571" spans="1:5" x14ac:dyDescent="0.25">
      <c r="A3571" s="323" t="s">
        <v>5651</v>
      </c>
      <c r="B3571" s="323" t="s">
        <v>805</v>
      </c>
      <c r="C3571" s="323">
        <v>41565</v>
      </c>
      <c r="D3571" s="323">
        <v>139</v>
      </c>
      <c r="E3571" s="324">
        <f t="shared" si="55"/>
        <v>33896.54</v>
      </c>
    </row>
    <row r="3572" spans="1:5" x14ac:dyDescent="0.25">
      <c r="A3572" s="323" t="s">
        <v>5672</v>
      </c>
      <c r="B3572" s="323" t="s">
        <v>805</v>
      </c>
      <c r="C3572" s="323">
        <v>41565</v>
      </c>
      <c r="D3572" s="323">
        <v>197</v>
      </c>
      <c r="E3572" s="324">
        <f t="shared" si="55"/>
        <v>48040.420000000006</v>
      </c>
    </row>
    <row r="3573" spans="1:5" x14ac:dyDescent="0.25">
      <c r="A3573" s="323" t="s">
        <v>5699</v>
      </c>
      <c r="B3573" s="323" t="s">
        <v>805</v>
      </c>
      <c r="C3573" s="323">
        <v>41565</v>
      </c>
      <c r="D3573" s="323">
        <v>154</v>
      </c>
      <c r="E3573" s="324">
        <f t="shared" si="55"/>
        <v>37554.44</v>
      </c>
    </row>
    <row r="3574" spans="1:5" x14ac:dyDescent="0.25">
      <c r="A3574" s="323" t="s">
        <v>5711</v>
      </c>
      <c r="B3574" s="323" t="s">
        <v>805</v>
      </c>
      <c r="C3574" s="323">
        <v>41565</v>
      </c>
      <c r="D3574" s="323">
        <v>107</v>
      </c>
      <c r="E3574" s="324">
        <f t="shared" si="55"/>
        <v>26093.02</v>
      </c>
    </row>
    <row r="3575" spans="1:5" x14ac:dyDescent="0.25">
      <c r="A3575" s="323" t="s">
        <v>5729</v>
      </c>
      <c r="B3575" s="323" t="s">
        <v>805</v>
      </c>
      <c r="C3575" s="323">
        <v>41565</v>
      </c>
      <c r="D3575" s="323">
        <v>104</v>
      </c>
      <c r="E3575" s="324">
        <f t="shared" si="55"/>
        <v>25361.440000000002</v>
      </c>
    </row>
    <row r="3576" spans="1:5" x14ac:dyDescent="0.25">
      <c r="A3576" s="323" t="s">
        <v>5738</v>
      </c>
      <c r="B3576" s="323" t="s">
        <v>805</v>
      </c>
      <c r="C3576" s="323">
        <v>41565</v>
      </c>
      <c r="D3576" s="323">
        <v>156</v>
      </c>
      <c r="E3576" s="324">
        <f t="shared" si="55"/>
        <v>38042.160000000003</v>
      </c>
    </row>
    <row r="3577" spans="1:5" x14ac:dyDescent="0.25">
      <c r="A3577" s="323" t="s">
        <v>5778</v>
      </c>
      <c r="B3577" s="323" t="s">
        <v>805</v>
      </c>
      <c r="C3577" s="323">
        <v>41565</v>
      </c>
      <c r="D3577" s="323">
        <v>167</v>
      </c>
      <c r="E3577" s="324">
        <f t="shared" si="55"/>
        <v>40724.620000000003</v>
      </c>
    </row>
    <row r="3578" spans="1:5" x14ac:dyDescent="0.25">
      <c r="A3578" s="323" t="s">
        <v>5784</v>
      </c>
      <c r="B3578" s="323" t="s">
        <v>805</v>
      </c>
      <c r="C3578" s="323">
        <v>41565</v>
      </c>
      <c r="D3578" s="323">
        <v>151</v>
      </c>
      <c r="E3578" s="324">
        <f t="shared" si="55"/>
        <v>36822.86</v>
      </c>
    </row>
    <row r="3579" spans="1:5" x14ac:dyDescent="0.25">
      <c r="A3579" s="323" t="s">
        <v>5791</v>
      </c>
      <c r="B3579" s="323" t="s">
        <v>805</v>
      </c>
      <c r="C3579" s="323">
        <v>41565</v>
      </c>
      <c r="D3579" s="323">
        <v>109</v>
      </c>
      <c r="E3579" s="324">
        <f t="shared" si="55"/>
        <v>26580.74</v>
      </c>
    </row>
    <row r="3580" spans="1:5" x14ac:dyDescent="0.25">
      <c r="A3580" s="323" t="s">
        <v>5798</v>
      </c>
      <c r="B3580" s="323" t="s">
        <v>805</v>
      </c>
      <c r="C3580" s="323">
        <v>41565</v>
      </c>
      <c r="D3580" s="323">
        <v>516</v>
      </c>
      <c r="E3580" s="324">
        <f t="shared" si="55"/>
        <v>125831.76000000001</v>
      </c>
    </row>
    <row r="3581" spans="1:5" x14ac:dyDescent="0.25">
      <c r="A3581" s="323" t="s">
        <v>5804</v>
      </c>
      <c r="B3581" s="323" t="s">
        <v>805</v>
      </c>
      <c r="C3581" s="323">
        <v>41565</v>
      </c>
      <c r="D3581" s="323">
        <v>120</v>
      </c>
      <c r="E3581" s="324">
        <f t="shared" si="55"/>
        <v>29263.200000000001</v>
      </c>
    </row>
    <row r="3582" spans="1:5" x14ac:dyDescent="0.25">
      <c r="A3582" s="323" t="s">
        <v>5815</v>
      </c>
      <c r="B3582" s="323" t="s">
        <v>805</v>
      </c>
      <c r="C3582" s="323">
        <v>41565</v>
      </c>
      <c r="D3582" s="323">
        <v>268</v>
      </c>
      <c r="E3582" s="324">
        <f t="shared" si="55"/>
        <v>65354.48</v>
      </c>
    </row>
    <row r="3583" spans="1:5" x14ac:dyDescent="0.25">
      <c r="A3583" s="323" t="s">
        <v>5850</v>
      </c>
      <c r="B3583" s="323" t="s">
        <v>805</v>
      </c>
      <c r="C3583" s="323">
        <v>41565</v>
      </c>
      <c r="D3583" s="323">
        <v>109</v>
      </c>
      <c r="E3583" s="324">
        <f t="shared" si="55"/>
        <v>26580.74</v>
      </c>
    </row>
    <row r="3584" spans="1:5" x14ac:dyDescent="0.25">
      <c r="A3584" s="323" t="s">
        <v>5871</v>
      </c>
      <c r="B3584" s="323" t="s">
        <v>805</v>
      </c>
      <c r="C3584" s="323">
        <v>41565</v>
      </c>
      <c r="D3584" s="323">
        <v>928</v>
      </c>
      <c r="E3584" s="324">
        <f t="shared" si="55"/>
        <v>226302.08000000002</v>
      </c>
    </row>
    <row r="3585" spans="1:5" x14ac:dyDescent="0.25">
      <c r="A3585" s="323" t="s">
        <v>5880</v>
      </c>
      <c r="B3585" s="323" t="s">
        <v>805</v>
      </c>
      <c r="C3585" s="323">
        <v>41565</v>
      </c>
      <c r="D3585" s="323">
        <v>132</v>
      </c>
      <c r="E3585" s="324">
        <f t="shared" si="55"/>
        <v>32189.52</v>
      </c>
    </row>
    <row r="3586" spans="1:5" x14ac:dyDescent="0.25">
      <c r="A3586" s="323" t="s">
        <v>5887</v>
      </c>
      <c r="B3586" s="323" t="s">
        <v>805</v>
      </c>
      <c r="C3586" s="323">
        <v>41565</v>
      </c>
      <c r="D3586" s="323">
        <v>253</v>
      </c>
      <c r="E3586" s="324">
        <f t="shared" ref="E3586:E3649" si="56">D3586*IF(B3586=$G$9,WerkdrukbedragPerLeerlingBo,IF(B3586=$G$10,WerkdrukbedragPerLeerlingSbo,IF(B3586=$G$11,WerkdrukbedragPerLeerlingSo,IF(B3586=$G$12,WerkdrukbedragPerLeerlingVso,0))))</f>
        <v>61696.58</v>
      </c>
    </row>
    <row r="3587" spans="1:5" x14ac:dyDescent="0.25">
      <c r="A3587" s="323" t="s">
        <v>5896</v>
      </c>
      <c r="B3587" s="323" t="s">
        <v>805</v>
      </c>
      <c r="C3587" s="323">
        <v>41565</v>
      </c>
      <c r="D3587" s="323">
        <v>263</v>
      </c>
      <c r="E3587" s="324">
        <f t="shared" si="56"/>
        <v>64135.18</v>
      </c>
    </row>
    <row r="3588" spans="1:5" x14ac:dyDescent="0.25">
      <c r="A3588" s="323" t="s">
        <v>5920</v>
      </c>
      <c r="B3588" s="323" t="s">
        <v>805</v>
      </c>
      <c r="C3588" s="323">
        <v>41565</v>
      </c>
      <c r="D3588" s="323">
        <v>139</v>
      </c>
      <c r="E3588" s="324">
        <f t="shared" si="56"/>
        <v>33896.54</v>
      </c>
    </row>
    <row r="3589" spans="1:5" x14ac:dyDescent="0.25">
      <c r="A3589" s="323" t="s">
        <v>5935</v>
      </c>
      <c r="B3589" s="323" t="s">
        <v>805</v>
      </c>
      <c r="C3589" s="323">
        <v>41565</v>
      </c>
      <c r="D3589" s="323">
        <v>126</v>
      </c>
      <c r="E3589" s="324">
        <f t="shared" si="56"/>
        <v>30726.36</v>
      </c>
    </row>
    <row r="3590" spans="1:5" x14ac:dyDescent="0.25">
      <c r="A3590" s="323" t="s">
        <v>5954</v>
      </c>
      <c r="B3590" s="323" t="s">
        <v>805</v>
      </c>
      <c r="C3590" s="323">
        <v>41565</v>
      </c>
      <c r="D3590" s="323">
        <v>277</v>
      </c>
      <c r="E3590" s="324">
        <f t="shared" si="56"/>
        <v>67549.22</v>
      </c>
    </row>
    <row r="3591" spans="1:5" x14ac:dyDescent="0.25">
      <c r="A3591" s="323" t="s">
        <v>5968</v>
      </c>
      <c r="B3591" s="323" t="s">
        <v>805</v>
      </c>
      <c r="C3591" s="323">
        <v>41565</v>
      </c>
      <c r="D3591" s="323">
        <v>203</v>
      </c>
      <c r="E3591" s="324">
        <f t="shared" si="56"/>
        <v>49503.58</v>
      </c>
    </row>
    <row r="3592" spans="1:5" x14ac:dyDescent="0.25">
      <c r="A3592" s="323" t="s">
        <v>5984</v>
      </c>
      <c r="B3592" s="323" t="s">
        <v>805</v>
      </c>
      <c r="C3592" s="323">
        <v>41565</v>
      </c>
      <c r="D3592" s="323">
        <v>250</v>
      </c>
      <c r="E3592" s="324">
        <f t="shared" si="56"/>
        <v>60965</v>
      </c>
    </row>
    <row r="3593" spans="1:5" x14ac:dyDescent="0.25">
      <c r="A3593" s="323" t="s">
        <v>6131</v>
      </c>
      <c r="B3593" s="323" t="s">
        <v>805</v>
      </c>
      <c r="C3593" s="323">
        <v>41565</v>
      </c>
      <c r="D3593" s="323">
        <v>411</v>
      </c>
      <c r="E3593" s="324">
        <f t="shared" si="56"/>
        <v>100226.46</v>
      </c>
    </row>
    <row r="3594" spans="1:5" x14ac:dyDescent="0.25">
      <c r="A3594" s="323" t="s">
        <v>6403</v>
      </c>
      <c r="B3594" s="323" t="s">
        <v>816</v>
      </c>
      <c r="C3594" s="323">
        <v>41565</v>
      </c>
      <c r="D3594" s="323">
        <v>115</v>
      </c>
      <c r="E3594" s="324">
        <f t="shared" si="56"/>
        <v>42065.850000000006</v>
      </c>
    </row>
    <row r="3595" spans="1:5" x14ac:dyDescent="0.25">
      <c r="A3595" s="323" t="s">
        <v>6416</v>
      </c>
      <c r="B3595" s="323" t="s">
        <v>816</v>
      </c>
      <c r="C3595" s="323">
        <v>41565</v>
      </c>
      <c r="D3595" s="323">
        <v>151</v>
      </c>
      <c r="E3595" s="324">
        <f t="shared" si="56"/>
        <v>55234.29</v>
      </c>
    </row>
    <row r="3596" spans="1:5" x14ac:dyDescent="0.25">
      <c r="A3596" s="323" t="s">
        <v>6864</v>
      </c>
      <c r="B3596" s="323" t="s">
        <v>805</v>
      </c>
      <c r="C3596" s="323">
        <v>41565</v>
      </c>
      <c r="D3596" s="323">
        <v>336</v>
      </c>
      <c r="E3596" s="324">
        <f t="shared" si="56"/>
        <v>81936.960000000006</v>
      </c>
    </row>
    <row r="3597" spans="1:5" x14ac:dyDescent="0.25">
      <c r="A3597" s="323" t="s">
        <v>7155</v>
      </c>
      <c r="B3597" s="323" t="s">
        <v>805</v>
      </c>
      <c r="C3597" s="323">
        <v>41565</v>
      </c>
      <c r="D3597" s="323">
        <v>251</v>
      </c>
      <c r="E3597" s="324">
        <f t="shared" si="56"/>
        <v>61208.86</v>
      </c>
    </row>
    <row r="3598" spans="1:5" x14ac:dyDescent="0.25">
      <c r="A3598" s="323" t="s">
        <v>3398</v>
      </c>
      <c r="B3598" s="323" t="s">
        <v>805</v>
      </c>
      <c r="C3598" s="323">
        <v>41566</v>
      </c>
      <c r="D3598" s="323">
        <v>279</v>
      </c>
      <c r="E3598" s="324">
        <f t="shared" si="56"/>
        <v>68036.94</v>
      </c>
    </row>
    <row r="3599" spans="1:5" x14ac:dyDescent="0.25">
      <c r="A3599" s="323" t="s">
        <v>3919</v>
      </c>
      <c r="B3599" s="323" t="s">
        <v>805</v>
      </c>
      <c r="C3599" s="323">
        <v>41566</v>
      </c>
      <c r="D3599" s="323">
        <v>108</v>
      </c>
      <c r="E3599" s="324">
        <f t="shared" si="56"/>
        <v>26336.880000000001</v>
      </c>
    </row>
    <row r="3600" spans="1:5" x14ac:dyDescent="0.25">
      <c r="A3600" s="323" t="s">
        <v>4228</v>
      </c>
      <c r="B3600" s="323" t="s">
        <v>805</v>
      </c>
      <c r="C3600" s="323">
        <v>41566</v>
      </c>
      <c r="D3600" s="323">
        <v>48</v>
      </c>
      <c r="E3600" s="324">
        <f t="shared" si="56"/>
        <v>11705.28</v>
      </c>
    </row>
    <row r="3601" spans="1:5" x14ac:dyDescent="0.25">
      <c r="A3601" s="323" t="s">
        <v>4335</v>
      </c>
      <c r="B3601" s="323" t="s">
        <v>805</v>
      </c>
      <c r="C3601" s="323">
        <v>41566</v>
      </c>
      <c r="D3601" s="323">
        <v>45</v>
      </c>
      <c r="E3601" s="324">
        <f t="shared" si="56"/>
        <v>10973.7</v>
      </c>
    </row>
    <row r="3602" spans="1:5" x14ac:dyDescent="0.25">
      <c r="A3602" s="323" t="s">
        <v>4337</v>
      </c>
      <c r="B3602" s="323" t="s">
        <v>805</v>
      </c>
      <c r="C3602" s="323">
        <v>41566</v>
      </c>
      <c r="D3602" s="323">
        <v>86</v>
      </c>
      <c r="E3602" s="324">
        <f t="shared" si="56"/>
        <v>20971.960000000003</v>
      </c>
    </row>
    <row r="3603" spans="1:5" x14ac:dyDescent="0.25">
      <c r="A3603" s="323" t="s">
        <v>4448</v>
      </c>
      <c r="B3603" s="323" t="s">
        <v>805</v>
      </c>
      <c r="C3603" s="323">
        <v>41566</v>
      </c>
      <c r="D3603" s="323">
        <v>55</v>
      </c>
      <c r="E3603" s="324">
        <f t="shared" si="56"/>
        <v>13412.300000000001</v>
      </c>
    </row>
    <row r="3604" spans="1:5" x14ac:dyDescent="0.25">
      <c r="A3604" s="323" t="s">
        <v>4449</v>
      </c>
      <c r="B3604" s="323" t="s">
        <v>805</v>
      </c>
      <c r="C3604" s="323">
        <v>41566</v>
      </c>
      <c r="D3604" s="323">
        <v>136</v>
      </c>
      <c r="E3604" s="324">
        <f t="shared" si="56"/>
        <v>33164.959999999999</v>
      </c>
    </row>
    <row r="3605" spans="1:5" x14ac:dyDescent="0.25">
      <c r="A3605" s="323" t="s">
        <v>4555</v>
      </c>
      <c r="B3605" s="323" t="s">
        <v>805</v>
      </c>
      <c r="C3605" s="323">
        <v>41566</v>
      </c>
      <c r="D3605" s="323">
        <v>70</v>
      </c>
      <c r="E3605" s="324">
        <f t="shared" si="56"/>
        <v>17070.2</v>
      </c>
    </row>
    <row r="3606" spans="1:5" x14ac:dyDescent="0.25">
      <c r="A3606" s="323" t="s">
        <v>4642</v>
      </c>
      <c r="B3606" s="323" t="s">
        <v>805</v>
      </c>
      <c r="C3606" s="323">
        <v>41566</v>
      </c>
      <c r="D3606" s="323">
        <v>88</v>
      </c>
      <c r="E3606" s="324">
        <f t="shared" si="56"/>
        <v>21459.68</v>
      </c>
    </row>
    <row r="3607" spans="1:5" x14ac:dyDescent="0.25">
      <c r="A3607" s="323" t="s">
        <v>4643</v>
      </c>
      <c r="B3607" s="323" t="s">
        <v>805</v>
      </c>
      <c r="C3607" s="323">
        <v>41566</v>
      </c>
      <c r="D3607" s="323">
        <v>182</v>
      </c>
      <c r="E3607" s="324">
        <f t="shared" si="56"/>
        <v>44382.520000000004</v>
      </c>
    </row>
    <row r="3608" spans="1:5" x14ac:dyDescent="0.25">
      <c r="A3608" s="323" t="s">
        <v>4778</v>
      </c>
      <c r="B3608" s="323" t="s">
        <v>805</v>
      </c>
      <c r="C3608" s="323">
        <v>41566</v>
      </c>
      <c r="D3608" s="323">
        <v>77</v>
      </c>
      <c r="E3608" s="324">
        <f t="shared" si="56"/>
        <v>18777.22</v>
      </c>
    </row>
    <row r="3609" spans="1:5" x14ac:dyDescent="0.25">
      <c r="A3609" s="323" t="s">
        <v>4838</v>
      </c>
      <c r="B3609" s="323" t="s">
        <v>805</v>
      </c>
      <c r="C3609" s="323">
        <v>41566</v>
      </c>
      <c r="D3609" s="323">
        <v>185</v>
      </c>
      <c r="E3609" s="324">
        <f t="shared" si="56"/>
        <v>45114.100000000006</v>
      </c>
    </row>
    <row r="3610" spans="1:5" x14ac:dyDescent="0.25">
      <c r="A3610" s="323" t="s">
        <v>6531</v>
      </c>
      <c r="B3610" s="323" t="s">
        <v>816</v>
      </c>
      <c r="C3610" s="323">
        <v>41566</v>
      </c>
      <c r="D3610" s="323">
        <v>97</v>
      </c>
      <c r="E3610" s="324">
        <f t="shared" si="56"/>
        <v>35481.630000000005</v>
      </c>
    </row>
    <row r="3611" spans="1:5" x14ac:dyDescent="0.25">
      <c r="A3611" s="323" t="s">
        <v>6589</v>
      </c>
      <c r="B3611" s="323" t="s">
        <v>805</v>
      </c>
      <c r="C3611" s="323">
        <v>41566</v>
      </c>
      <c r="D3611" s="323">
        <v>467</v>
      </c>
      <c r="E3611" s="324">
        <f t="shared" si="56"/>
        <v>113882.62000000001</v>
      </c>
    </row>
    <row r="3612" spans="1:5" x14ac:dyDescent="0.25">
      <c r="A3612" s="323" t="s">
        <v>6590</v>
      </c>
      <c r="B3612" s="323" t="s">
        <v>805</v>
      </c>
      <c r="C3612" s="323">
        <v>41566</v>
      </c>
      <c r="D3612" s="323">
        <v>220</v>
      </c>
      <c r="E3612" s="324">
        <f t="shared" si="56"/>
        <v>53649.200000000004</v>
      </c>
    </row>
    <row r="3613" spans="1:5" x14ac:dyDescent="0.25">
      <c r="A3613" s="323" t="s">
        <v>6591</v>
      </c>
      <c r="B3613" s="323" t="s">
        <v>805</v>
      </c>
      <c r="C3613" s="323">
        <v>41566</v>
      </c>
      <c r="D3613" s="323">
        <v>126</v>
      </c>
      <c r="E3613" s="324">
        <f t="shared" si="56"/>
        <v>30726.36</v>
      </c>
    </row>
    <row r="3614" spans="1:5" x14ac:dyDescent="0.25">
      <c r="A3614" s="323" t="s">
        <v>6592</v>
      </c>
      <c r="B3614" s="323" t="s">
        <v>805</v>
      </c>
      <c r="C3614" s="323">
        <v>41566</v>
      </c>
      <c r="D3614" s="323">
        <v>119</v>
      </c>
      <c r="E3614" s="324">
        <f t="shared" si="56"/>
        <v>29019.34</v>
      </c>
    </row>
    <row r="3615" spans="1:5" x14ac:dyDescent="0.25">
      <c r="A3615" s="323" t="s">
        <v>6593</v>
      </c>
      <c r="B3615" s="323" t="s">
        <v>805</v>
      </c>
      <c r="C3615" s="323">
        <v>41566</v>
      </c>
      <c r="D3615" s="323">
        <v>133</v>
      </c>
      <c r="E3615" s="324">
        <f t="shared" si="56"/>
        <v>32433.38</v>
      </c>
    </row>
    <row r="3616" spans="1:5" x14ac:dyDescent="0.25">
      <c r="A3616" s="323" t="s">
        <v>6772</v>
      </c>
      <c r="B3616" s="323" t="s">
        <v>805</v>
      </c>
      <c r="C3616" s="323">
        <v>41566</v>
      </c>
      <c r="D3616" s="323">
        <v>165</v>
      </c>
      <c r="E3616" s="324">
        <f t="shared" si="56"/>
        <v>40236.9</v>
      </c>
    </row>
    <row r="3617" spans="1:5" x14ac:dyDescent="0.25">
      <c r="A3617" s="323" t="s">
        <v>7196</v>
      </c>
      <c r="B3617" s="323" t="s">
        <v>805</v>
      </c>
      <c r="C3617" s="323">
        <v>41566</v>
      </c>
      <c r="D3617" s="323">
        <v>397</v>
      </c>
      <c r="E3617" s="324">
        <f t="shared" si="56"/>
        <v>96812.42</v>
      </c>
    </row>
    <row r="3618" spans="1:5" x14ac:dyDescent="0.25">
      <c r="A3618" s="323" t="s">
        <v>4703</v>
      </c>
      <c r="B3618" s="323" t="s">
        <v>805</v>
      </c>
      <c r="C3618" s="323">
        <v>41567</v>
      </c>
      <c r="D3618" s="323">
        <v>363</v>
      </c>
      <c r="E3618" s="324">
        <f t="shared" si="56"/>
        <v>88521.180000000008</v>
      </c>
    </row>
    <row r="3619" spans="1:5" x14ac:dyDescent="0.25">
      <c r="A3619" s="323" t="s">
        <v>4772</v>
      </c>
      <c r="B3619" s="323" t="s">
        <v>805</v>
      </c>
      <c r="C3619" s="323">
        <v>41567</v>
      </c>
      <c r="D3619" s="323">
        <v>606</v>
      </c>
      <c r="E3619" s="324">
        <f t="shared" si="56"/>
        <v>147779.16</v>
      </c>
    </row>
    <row r="3620" spans="1:5" x14ac:dyDescent="0.25">
      <c r="A3620" s="323" t="s">
        <v>4922</v>
      </c>
      <c r="B3620" s="323" t="s">
        <v>805</v>
      </c>
      <c r="C3620" s="323">
        <v>41567</v>
      </c>
      <c r="D3620" s="323">
        <v>200</v>
      </c>
      <c r="E3620" s="324">
        <f t="shared" si="56"/>
        <v>48772</v>
      </c>
    </row>
    <row r="3621" spans="1:5" x14ac:dyDescent="0.25">
      <c r="A3621" s="323" t="s">
        <v>4964</v>
      </c>
      <c r="B3621" s="323" t="s">
        <v>805</v>
      </c>
      <c r="C3621" s="323">
        <v>41567</v>
      </c>
      <c r="D3621" s="323">
        <v>185</v>
      </c>
      <c r="E3621" s="324">
        <f t="shared" si="56"/>
        <v>45114.100000000006</v>
      </c>
    </row>
    <row r="3622" spans="1:5" x14ac:dyDescent="0.25">
      <c r="A3622" s="323" t="s">
        <v>5002</v>
      </c>
      <c r="B3622" s="323" t="s">
        <v>805</v>
      </c>
      <c r="C3622" s="323">
        <v>41567</v>
      </c>
      <c r="D3622" s="323">
        <v>469</v>
      </c>
      <c r="E3622" s="324">
        <f t="shared" si="56"/>
        <v>114370.34000000001</v>
      </c>
    </row>
    <row r="3623" spans="1:5" x14ac:dyDescent="0.25">
      <c r="A3623" s="323" t="s">
        <v>5040</v>
      </c>
      <c r="B3623" s="323" t="s">
        <v>805</v>
      </c>
      <c r="C3623" s="323">
        <v>41567</v>
      </c>
      <c r="D3623" s="323">
        <v>201</v>
      </c>
      <c r="E3623" s="324">
        <f t="shared" si="56"/>
        <v>49015.86</v>
      </c>
    </row>
    <row r="3624" spans="1:5" x14ac:dyDescent="0.25">
      <c r="A3624" s="323" t="s">
        <v>5151</v>
      </c>
      <c r="B3624" s="323" t="s">
        <v>805</v>
      </c>
      <c r="C3624" s="323">
        <v>41567</v>
      </c>
      <c r="D3624" s="323">
        <v>349</v>
      </c>
      <c r="E3624" s="324">
        <f t="shared" si="56"/>
        <v>85107.14</v>
      </c>
    </row>
    <row r="3625" spans="1:5" x14ac:dyDescent="0.25">
      <c r="A3625" s="323" t="s">
        <v>5243</v>
      </c>
      <c r="B3625" s="323" t="s">
        <v>805</v>
      </c>
      <c r="C3625" s="323">
        <v>41567</v>
      </c>
      <c r="D3625" s="323">
        <v>176</v>
      </c>
      <c r="E3625" s="324">
        <f t="shared" si="56"/>
        <v>42919.360000000001</v>
      </c>
    </row>
    <row r="3626" spans="1:5" x14ac:dyDescent="0.25">
      <c r="A3626" s="323" t="s">
        <v>5282</v>
      </c>
      <c r="B3626" s="323" t="s">
        <v>805</v>
      </c>
      <c r="C3626" s="323">
        <v>41567</v>
      </c>
      <c r="D3626" s="323">
        <v>308</v>
      </c>
      <c r="E3626" s="324">
        <f t="shared" si="56"/>
        <v>75108.88</v>
      </c>
    </row>
    <row r="3627" spans="1:5" x14ac:dyDescent="0.25">
      <c r="A3627" s="323" t="s">
        <v>5321</v>
      </c>
      <c r="B3627" s="323" t="s">
        <v>805</v>
      </c>
      <c r="C3627" s="323">
        <v>41567</v>
      </c>
      <c r="D3627" s="323">
        <v>355</v>
      </c>
      <c r="E3627" s="324">
        <f t="shared" si="56"/>
        <v>86570.3</v>
      </c>
    </row>
    <row r="3628" spans="1:5" x14ac:dyDescent="0.25">
      <c r="A3628" s="323" t="s">
        <v>6545</v>
      </c>
      <c r="B3628" s="323" t="s">
        <v>816</v>
      </c>
      <c r="C3628" s="323">
        <v>41567</v>
      </c>
      <c r="D3628" s="323">
        <v>148</v>
      </c>
      <c r="E3628" s="324">
        <f t="shared" si="56"/>
        <v>54136.920000000006</v>
      </c>
    </row>
    <row r="3629" spans="1:5" x14ac:dyDescent="0.25">
      <c r="A3629" s="323" t="s">
        <v>4451</v>
      </c>
      <c r="B3629" s="323" t="s">
        <v>805</v>
      </c>
      <c r="C3629" s="323">
        <v>41570</v>
      </c>
      <c r="D3629" s="323">
        <v>143</v>
      </c>
      <c r="E3629" s="324">
        <f t="shared" si="56"/>
        <v>34871.980000000003</v>
      </c>
    </row>
    <row r="3630" spans="1:5" x14ac:dyDescent="0.25">
      <c r="A3630" s="323" t="s">
        <v>4539</v>
      </c>
      <c r="B3630" s="323" t="s">
        <v>805</v>
      </c>
      <c r="C3630" s="323">
        <v>41570</v>
      </c>
      <c r="D3630" s="323">
        <v>129</v>
      </c>
      <c r="E3630" s="324">
        <f t="shared" si="56"/>
        <v>31457.940000000002</v>
      </c>
    </row>
    <row r="3631" spans="1:5" x14ac:dyDescent="0.25">
      <c r="A3631" s="323" t="s">
        <v>4559</v>
      </c>
      <c r="B3631" s="323" t="s">
        <v>805</v>
      </c>
      <c r="C3631" s="323">
        <v>41570</v>
      </c>
      <c r="D3631" s="323">
        <v>244</v>
      </c>
      <c r="E3631" s="324">
        <f t="shared" si="56"/>
        <v>59501.840000000004</v>
      </c>
    </row>
    <row r="3632" spans="1:5" x14ac:dyDescent="0.25">
      <c r="A3632" s="323" t="s">
        <v>4627</v>
      </c>
      <c r="B3632" s="323" t="s">
        <v>805</v>
      </c>
      <c r="C3632" s="323">
        <v>41570</v>
      </c>
      <c r="D3632" s="323">
        <v>115</v>
      </c>
      <c r="E3632" s="324">
        <f t="shared" si="56"/>
        <v>28043.9</v>
      </c>
    </row>
    <row r="3633" spans="1:5" x14ac:dyDescent="0.25">
      <c r="A3633" s="323" t="s">
        <v>4739</v>
      </c>
      <c r="B3633" s="323" t="s">
        <v>805</v>
      </c>
      <c r="C3633" s="323">
        <v>41570</v>
      </c>
      <c r="D3633" s="323">
        <v>58</v>
      </c>
      <c r="E3633" s="324">
        <f t="shared" si="56"/>
        <v>14143.880000000001</v>
      </c>
    </row>
    <row r="3634" spans="1:5" x14ac:dyDescent="0.25">
      <c r="A3634" s="323" t="s">
        <v>4769</v>
      </c>
      <c r="B3634" s="323" t="s">
        <v>805</v>
      </c>
      <c r="C3634" s="323">
        <v>41570</v>
      </c>
      <c r="D3634" s="323">
        <v>224</v>
      </c>
      <c r="E3634" s="324">
        <f t="shared" si="56"/>
        <v>54624.639999999999</v>
      </c>
    </row>
    <row r="3635" spans="1:5" x14ac:dyDescent="0.25">
      <c r="A3635" s="323" t="s">
        <v>4781</v>
      </c>
      <c r="B3635" s="323" t="s">
        <v>816</v>
      </c>
      <c r="C3635" s="323">
        <v>41570</v>
      </c>
      <c r="D3635" s="323">
        <v>132</v>
      </c>
      <c r="E3635" s="324">
        <f t="shared" si="56"/>
        <v>48284.280000000006</v>
      </c>
    </row>
    <row r="3636" spans="1:5" x14ac:dyDescent="0.25">
      <c r="A3636" s="323" t="s">
        <v>4812</v>
      </c>
      <c r="B3636" s="323" t="s">
        <v>805</v>
      </c>
      <c r="C3636" s="323">
        <v>41570</v>
      </c>
      <c r="D3636" s="323">
        <v>104</v>
      </c>
      <c r="E3636" s="324">
        <f t="shared" si="56"/>
        <v>25361.440000000002</v>
      </c>
    </row>
    <row r="3637" spans="1:5" x14ac:dyDescent="0.25">
      <c r="A3637" s="323" t="s">
        <v>4915</v>
      </c>
      <c r="B3637" s="323" t="s">
        <v>805</v>
      </c>
      <c r="C3637" s="323">
        <v>41570</v>
      </c>
      <c r="D3637" s="323">
        <v>191</v>
      </c>
      <c r="E3637" s="324">
        <f t="shared" si="56"/>
        <v>46577.26</v>
      </c>
    </row>
    <row r="3638" spans="1:5" x14ac:dyDescent="0.25">
      <c r="A3638" s="323" t="s">
        <v>4950</v>
      </c>
      <c r="B3638" s="323" t="s">
        <v>805</v>
      </c>
      <c r="C3638" s="323">
        <v>41570</v>
      </c>
      <c r="D3638" s="323">
        <v>52</v>
      </c>
      <c r="E3638" s="324">
        <f t="shared" si="56"/>
        <v>12680.720000000001</v>
      </c>
    </row>
    <row r="3639" spans="1:5" x14ac:dyDescent="0.25">
      <c r="A3639" s="323" t="s">
        <v>5012</v>
      </c>
      <c r="B3639" s="323" t="s">
        <v>805</v>
      </c>
      <c r="C3639" s="323">
        <v>41570</v>
      </c>
      <c r="D3639" s="323">
        <v>321</v>
      </c>
      <c r="E3639" s="324">
        <f t="shared" si="56"/>
        <v>78279.06</v>
      </c>
    </row>
    <row r="3640" spans="1:5" x14ac:dyDescent="0.25">
      <c r="A3640" s="323" t="s">
        <v>5101</v>
      </c>
      <c r="B3640" s="323" t="s">
        <v>805</v>
      </c>
      <c r="C3640" s="323">
        <v>41570</v>
      </c>
      <c r="D3640" s="323">
        <v>424</v>
      </c>
      <c r="E3640" s="324">
        <f t="shared" si="56"/>
        <v>103396.64</v>
      </c>
    </row>
    <row r="3641" spans="1:5" x14ac:dyDescent="0.25">
      <c r="A3641" s="323" t="s">
        <v>5156</v>
      </c>
      <c r="B3641" s="323" t="s">
        <v>805</v>
      </c>
      <c r="C3641" s="323">
        <v>41570</v>
      </c>
      <c r="D3641" s="323">
        <v>167</v>
      </c>
      <c r="E3641" s="324">
        <f t="shared" si="56"/>
        <v>40724.620000000003</v>
      </c>
    </row>
    <row r="3642" spans="1:5" x14ac:dyDescent="0.25">
      <c r="A3642" s="323" t="s">
        <v>5289</v>
      </c>
      <c r="B3642" s="323" t="s">
        <v>805</v>
      </c>
      <c r="C3642" s="323">
        <v>41570</v>
      </c>
      <c r="D3642" s="323">
        <v>356</v>
      </c>
      <c r="E3642" s="324">
        <f t="shared" si="56"/>
        <v>86814.16</v>
      </c>
    </row>
    <row r="3643" spans="1:5" x14ac:dyDescent="0.25">
      <c r="A3643" s="323" t="s">
        <v>5383</v>
      </c>
      <c r="B3643" s="323" t="s">
        <v>805</v>
      </c>
      <c r="C3643" s="323">
        <v>41570</v>
      </c>
      <c r="D3643" s="323">
        <v>284</v>
      </c>
      <c r="E3643" s="324">
        <f t="shared" si="56"/>
        <v>69256.240000000005</v>
      </c>
    </row>
    <row r="3644" spans="1:5" x14ac:dyDescent="0.25">
      <c r="A3644" s="323" t="s">
        <v>5404</v>
      </c>
      <c r="B3644" s="323" t="s">
        <v>805</v>
      </c>
      <c r="C3644" s="323">
        <v>41570</v>
      </c>
      <c r="D3644" s="323">
        <v>377</v>
      </c>
      <c r="E3644" s="324">
        <f t="shared" si="56"/>
        <v>91935.22</v>
      </c>
    </row>
    <row r="3645" spans="1:5" x14ac:dyDescent="0.25">
      <c r="A3645" s="323" t="s">
        <v>6144</v>
      </c>
      <c r="B3645" s="323" t="s">
        <v>809</v>
      </c>
      <c r="C3645" s="323">
        <v>41570</v>
      </c>
      <c r="D3645" s="323">
        <v>67</v>
      </c>
      <c r="E3645" s="324">
        <f t="shared" si="56"/>
        <v>32677.24</v>
      </c>
    </row>
    <row r="3646" spans="1:5" x14ac:dyDescent="0.25">
      <c r="A3646" s="323" t="s">
        <v>6144</v>
      </c>
      <c r="B3646" s="323" t="s">
        <v>803</v>
      </c>
      <c r="C3646" s="323">
        <v>41570</v>
      </c>
      <c r="D3646" s="323">
        <v>93</v>
      </c>
      <c r="E3646" s="324">
        <f t="shared" si="56"/>
        <v>45357.96</v>
      </c>
    </row>
    <row r="3647" spans="1:5" x14ac:dyDescent="0.25">
      <c r="A3647" s="323" t="s">
        <v>1069</v>
      </c>
      <c r="B3647" s="323" t="s">
        <v>805</v>
      </c>
      <c r="C3647" s="323">
        <v>41571</v>
      </c>
      <c r="D3647" s="323">
        <v>344</v>
      </c>
      <c r="E3647" s="324">
        <f t="shared" si="56"/>
        <v>83887.840000000011</v>
      </c>
    </row>
    <row r="3648" spans="1:5" x14ac:dyDescent="0.25">
      <c r="A3648" s="323" t="s">
        <v>1145</v>
      </c>
      <c r="B3648" s="323" t="s">
        <v>805</v>
      </c>
      <c r="C3648" s="323">
        <v>41571</v>
      </c>
      <c r="D3648" s="323">
        <v>76</v>
      </c>
      <c r="E3648" s="324">
        <f t="shared" si="56"/>
        <v>18533.36</v>
      </c>
    </row>
    <row r="3649" spans="1:5" x14ac:dyDescent="0.25">
      <c r="A3649" s="323" t="s">
        <v>1922</v>
      </c>
      <c r="B3649" s="323" t="s">
        <v>805</v>
      </c>
      <c r="C3649" s="323">
        <v>41571</v>
      </c>
      <c r="D3649" s="323">
        <v>153</v>
      </c>
      <c r="E3649" s="324">
        <f t="shared" si="56"/>
        <v>37310.58</v>
      </c>
    </row>
    <row r="3650" spans="1:5" x14ac:dyDescent="0.25">
      <c r="A3650" s="323" t="s">
        <v>1950</v>
      </c>
      <c r="B3650" s="323" t="s">
        <v>805</v>
      </c>
      <c r="C3650" s="323">
        <v>41571</v>
      </c>
      <c r="D3650" s="323">
        <v>53</v>
      </c>
      <c r="E3650" s="324">
        <f t="shared" ref="E3650:E3713" si="57">D3650*IF(B3650=$G$9,WerkdrukbedragPerLeerlingBo,IF(B3650=$G$10,WerkdrukbedragPerLeerlingSbo,IF(B3650=$G$11,WerkdrukbedragPerLeerlingSo,IF(B3650=$G$12,WerkdrukbedragPerLeerlingVso,0))))</f>
        <v>12924.58</v>
      </c>
    </row>
    <row r="3651" spans="1:5" x14ac:dyDescent="0.25">
      <c r="A3651" s="323" t="s">
        <v>2025</v>
      </c>
      <c r="B3651" s="323" t="s">
        <v>805</v>
      </c>
      <c r="C3651" s="323">
        <v>41571</v>
      </c>
      <c r="D3651" s="323">
        <v>89</v>
      </c>
      <c r="E3651" s="324">
        <f t="shared" si="57"/>
        <v>21703.54</v>
      </c>
    </row>
    <row r="3652" spans="1:5" x14ac:dyDescent="0.25">
      <c r="A3652" s="323" t="s">
        <v>2126</v>
      </c>
      <c r="B3652" s="323" t="s">
        <v>805</v>
      </c>
      <c r="C3652" s="323">
        <v>41571</v>
      </c>
      <c r="D3652" s="323">
        <v>83</v>
      </c>
      <c r="E3652" s="324">
        <f t="shared" si="57"/>
        <v>20240.38</v>
      </c>
    </row>
    <row r="3653" spans="1:5" x14ac:dyDescent="0.25">
      <c r="A3653" s="323" t="s">
        <v>2355</v>
      </c>
      <c r="B3653" s="323" t="s">
        <v>805</v>
      </c>
      <c r="C3653" s="323">
        <v>41571</v>
      </c>
      <c r="D3653" s="323">
        <v>70</v>
      </c>
      <c r="E3653" s="324">
        <f t="shared" si="57"/>
        <v>17070.2</v>
      </c>
    </row>
    <row r="3654" spans="1:5" x14ac:dyDescent="0.25">
      <c r="A3654" s="323" t="s">
        <v>2376</v>
      </c>
      <c r="B3654" s="323" t="s">
        <v>805</v>
      </c>
      <c r="C3654" s="323">
        <v>41571</v>
      </c>
      <c r="D3654" s="323">
        <v>269</v>
      </c>
      <c r="E3654" s="324">
        <f t="shared" si="57"/>
        <v>65598.34</v>
      </c>
    </row>
    <row r="3655" spans="1:5" x14ac:dyDescent="0.25">
      <c r="A3655" s="323" t="s">
        <v>2377</v>
      </c>
      <c r="B3655" s="323" t="s">
        <v>805</v>
      </c>
      <c r="C3655" s="323">
        <v>41571</v>
      </c>
      <c r="D3655" s="323">
        <v>147</v>
      </c>
      <c r="E3655" s="324">
        <f t="shared" si="57"/>
        <v>35847.420000000006</v>
      </c>
    </row>
    <row r="3656" spans="1:5" x14ac:dyDescent="0.25">
      <c r="A3656" s="323" t="s">
        <v>2610</v>
      </c>
      <c r="B3656" s="323" t="s">
        <v>805</v>
      </c>
      <c r="C3656" s="323">
        <v>41571</v>
      </c>
      <c r="D3656" s="323">
        <v>69</v>
      </c>
      <c r="E3656" s="324">
        <f t="shared" si="57"/>
        <v>16826.34</v>
      </c>
    </row>
    <row r="3657" spans="1:5" x14ac:dyDescent="0.25">
      <c r="A3657" s="323" t="s">
        <v>2650</v>
      </c>
      <c r="B3657" s="323" t="s">
        <v>805</v>
      </c>
      <c r="C3657" s="323">
        <v>41571</v>
      </c>
      <c r="D3657" s="323">
        <v>131</v>
      </c>
      <c r="E3657" s="324">
        <f t="shared" si="57"/>
        <v>31945.660000000003</v>
      </c>
    </row>
    <row r="3658" spans="1:5" x14ac:dyDescent="0.25">
      <c r="A3658" s="323" t="s">
        <v>2911</v>
      </c>
      <c r="B3658" s="323" t="s">
        <v>805</v>
      </c>
      <c r="C3658" s="323">
        <v>41571</v>
      </c>
      <c r="D3658" s="323">
        <v>200</v>
      </c>
      <c r="E3658" s="324">
        <f t="shared" si="57"/>
        <v>48772</v>
      </c>
    </row>
    <row r="3659" spans="1:5" x14ac:dyDescent="0.25">
      <c r="A3659" s="323" t="s">
        <v>2937</v>
      </c>
      <c r="B3659" s="323" t="s">
        <v>805</v>
      </c>
      <c r="C3659" s="323">
        <v>41571</v>
      </c>
      <c r="D3659" s="323">
        <v>125</v>
      </c>
      <c r="E3659" s="324">
        <f t="shared" si="57"/>
        <v>30482.5</v>
      </c>
    </row>
    <row r="3660" spans="1:5" x14ac:dyDescent="0.25">
      <c r="A3660" s="323" t="s">
        <v>2939</v>
      </c>
      <c r="B3660" s="323" t="s">
        <v>805</v>
      </c>
      <c r="C3660" s="323">
        <v>41571</v>
      </c>
      <c r="D3660" s="323">
        <v>58</v>
      </c>
      <c r="E3660" s="324">
        <f t="shared" si="57"/>
        <v>14143.880000000001</v>
      </c>
    </row>
    <row r="3661" spans="1:5" x14ac:dyDescent="0.25">
      <c r="A3661" s="323" t="s">
        <v>2966</v>
      </c>
      <c r="B3661" s="323" t="s">
        <v>805</v>
      </c>
      <c r="C3661" s="323">
        <v>41571</v>
      </c>
      <c r="D3661" s="323">
        <v>75</v>
      </c>
      <c r="E3661" s="324">
        <f t="shared" si="57"/>
        <v>18289.5</v>
      </c>
    </row>
    <row r="3662" spans="1:5" x14ac:dyDescent="0.25">
      <c r="A3662" s="323" t="s">
        <v>3036</v>
      </c>
      <c r="B3662" s="323" t="s">
        <v>805</v>
      </c>
      <c r="C3662" s="323">
        <v>41571</v>
      </c>
      <c r="D3662" s="323">
        <v>115</v>
      </c>
      <c r="E3662" s="324">
        <f t="shared" si="57"/>
        <v>28043.9</v>
      </c>
    </row>
    <row r="3663" spans="1:5" x14ac:dyDescent="0.25">
      <c r="A3663" s="323" t="s">
        <v>3192</v>
      </c>
      <c r="B3663" s="323" t="s">
        <v>805</v>
      </c>
      <c r="C3663" s="323">
        <v>41571</v>
      </c>
      <c r="D3663" s="323">
        <v>120</v>
      </c>
      <c r="E3663" s="324">
        <f t="shared" si="57"/>
        <v>29263.200000000001</v>
      </c>
    </row>
    <row r="3664" spans="1:5" x14ac:dyDescent="0.25">
      <c r="A3664" s="323" t="s">
        <v>3406</v>
      </c>
      <c r="B3664" s="323" t="s">
        <v>805</v>
      </c>
      <c r="C3664" s="323">
        <v>41571</v>
      </c>
      <c r="D3664" s="323">
        <v>49</v>
      </c>
      <c r="E3664" s="324">
        <f t="shared" si="57"/>
        <v>11949.140000000001</v>
      </c>
    </row>
    <row r="3665" spans="1:5" x14ac:dyDescent="0.25">
      <c r="A3665" s="323" t="s">
        <v>3763</v>
      </c>
      <c r="B3665" s="323" t="s">
        <v>805</v>
      </c>
      <c r="C3665" s="323">
        <v>41571</v>
      </c>
      <c r="D3665" s="323">
        <v>113</v>
      </c>
      <c r="E3665" s="324">
        <f t="shared" si="57"/>
        <v>27556.18</v>
      </c>
    </row>
    <row r="3666" spans="1:5" x14ac:dyDescent="0.25">
      <c r="A3666" s="323" t="s">
        <v>3960</v>
      </c>
      <c r="B3666" s="323" t="s">
        <v>805</v>
      </c>
      <c r="C3666" s="323">
        <v>41571</v>
      </c>
      <c r="D3666" s="323">
        <v>221</v>
      </c>
      <c r="E3666" s="324">
        <f t="shared" si="57"/>
        <v>53893.060000000005</v>
      </c>
    </row>
    <row r="3667" spans="1:5" x14ac:dyDescent="0.25">
      <c r="A3667" s="323" t="s">
        <v>4045</v>
      </c>
      <c r="B3667" s="323" t="s">
        <v>805</v>
      </c>
      <c r="C3667" s="323">
        <v>41571</v>
      </c>
      <c r="D3667" s="323">
        <v>181</v>
      </c>
      <c r="E3667" s="324">
        <f t="shared" si="57"/>
        <v>44138.66</v>
      </c>
    </row>
    <row r="3668" spans="1:5" x14ac:dyDescent="0.25">
      <c r="A3668" s="323" t="s">
        <v>4188</v>
      </c>
      <c r="B3668" s="323" t="s">
        <v>805</v>
      </c>
      <c r="C3668" s="323">
        <v>41571</v>
      </c>
      <c r="D3668" s="323">
        <v>252</v>
      </c>
      <c r="E3668" s="324">
        <f t="shared" si="57"/>
        <v>61452.72</v>
      </c>
    </row>
    <row r="3669" spans="1:5" x14ac:dyDescent="0.25">
      <c r="A3669" s="323" t="s">
        <v>4255</v>
      </c>
      <c r="B3669" s="323" t="s">
        <v>805</v>
      </c>
      <c r="C3669" s="323">
        <v>41571</v>
      </c>
      <c r="D3669" s="323">
        <v>263</v>
      </c>
      <c r="E3669" s="324">
        <f t="shared" si="57"/>
        <v>64135.18</v>
      </c>
    </row>
    <row r="3670" spans="1:5" x14ac:dyDescent="0.25">
      <c r="A3670" s="323" t="s">
        <v>4311</v>
      </c>
      <c r="B3670" s="323" t="s">
        <v>805</v>
      </c>
      <c r="C3670" s="323">
        <v>41571</v>
      </c>
      <c r="D3670" s="323">
        <v>183</v>
      </c>
      <c r="E3670" s="324">
        <f t="shared" si="57"/>
        <v>44626.380000000005</v>
      </c>
    </row>
    <row r="3671" spans="1:5" x14ac:dyDescent="0.25">
      <c r="A3671" s="323" t="s">
        <v>4366</v>
      </c>
      <c r="B3671" s="323" t="s">
        <v>805</v>
      </c>
      <c r="C3671" s="323">
        <v>41571</v>
      </c>
      <c r="D3671" s="323">
        <v>68</v>
      </c>
      <c r="E3671" s="324">
        <f t="shared" si="57"/>
        <v>16582.48</v>
      </c>
    </row>
    <row r="3672" spans="1:5" x14ac:dyDescent="0.25">
      <c r="A3672" s="323" t="s">
        <v>4443</v>
      </c>
      <c r="B3672" s="323" t="s">
        <v>805</v>
      </c>
      <c r="C3672" s="323">
        <v>41571</v>
      </c>
      <c r="D3672" s="323">
        <v>129</v>
      </c>
      <c r="E3672" s="324">
        <f t="shared" si="57"/>
        <v>31457.940000000002</v>
      </c>
    </row>
    <row r="3673" spans="1:5" x14ac:dyDescent="0.25">
      <c r="A3673" s="323" t="s">
        <v>4474</v>
      </c>
      <c r="B3673" s="323" t="s">
        <v>805</v>
      </c>
      <c r="C3673" s="323">
        <v>41571</v>
      </c>
      <c r="D3673" s="323">
        <v>212</v>
      </c>
      <c r="E3673" s="324">
        <f t="shared" si="57"/>
        <v>51698.32</v>
      </c>
    </row>
    <row r="3674" spans="1:5" x14ac:dyDescent="0.25">
      <c r="A3674" s="323" t="s">
        <v>4548</v>
      </c>
      <c r="B3674" s="323" t="s">
        <v>805</v>
      </c>
      <c r="C3674" s="323">
        <v>41571</v>
      </c>
      <c r="D3674" s="323">
        <v>309</v>
      </c>
      <c r="E3674" s="324">
        <f t="shared" si="57"/>
        <v>75352.740000000005</v>
      </c>
    </row>
    <row r="3675" spans="1:5" x14ac:dyDescent="0.25">
      <c r="A3675" s="323" t="s">
        <v>4834</v>
      </c>
      <c r="B3675" s="323" t="s">
        <v>805</v>
      </c>
      <c r="C3675" s="323">
        <v>41571</v>
      </c>
      <c r="D3675" s="323">
        <v>141</v>
      </c>
      <c r="E3675" s="324">
        <f t="shared" si="57"/>
        <v>34384.26</v>
      </c>
    </row>
    <row r="3676" spans="1:5" x14ac:dyDescent="0.25">
      <c r="A3676" s="323" t="s">
        <v>4927</v>
      </c>
      <c r="B3676" s="323" t="s">
        <v>805</v>
      </c>
      <c r="C3676" s="323">
        <v>41571</v>
      </c>
      <c r="D3676" s="323">
        <v>64</v>
      </c>
      <c r="E3676" s="324">
        <f t="shared" si="57"/>
        <v>15607.04</v>
      </c>
    </row>
    <row r="3677" spans="1:5" x14ac:dyDescent="0.25">
      <c r="A3677" s="323" t="s">
        <v>4968</v>
      </c>
      <c r="B3677" s="323" t="s">
        <v>805</v>
      </c>
      <c r="C3677" s="323">
        <v>41571</v>
      </c>
      <c r="D3677" s="323">
        <v>126</v>
      </c>
      <c r="E3677" s="324">
        <f t="shared" si="57"/>
        <v>30726.36</v>
      </c>
    </row>
    <row r="3678" spans="1:5" x14ac:dyDescent="0.25">
      <c r="A3678" s="323" t="s">
        <v>6089</v>
      </c>
      <c r="B3678" s="323" t="s">
        <v>805</v>
      </c>
      <c r="C3678" s="323">
        <v>41571</v>
      </c>
      <c r="D3678" s="323">
        <v>101</v>
      </c>
      <c r="E3678" s="324">
        <f t="shared" si="57"/>
        <v>24629.86</v>
      </c>
    </row>
    <row r="3679" spans="1:5" x14ac:dyDescent="0.25">
      <c r="A3679" s="323" t="s">
        <v>6253</v>
      </c>
      <c r="B3679" s="323" t="s">
        <v>805</v>
      </c>
      <c r="C3679" s="323">
        <v>41571</v>
      </c>
      <c r="D3679" s="323">
        <v>185</v>
      </c>
      <c r="E3679" s="324">
        <f t="shared" si="57"/>
        <v>45114.100000000006</v>
      </c>
    </row>
    <row r="3680" spans="1:5" x14ac:dyDescent="0.25">
      <c r="A3680" s="323" t="s">
        <v>6292</v>
      </c>
      <c r="B3680" s="323" t="s">
        <v>805</v>
      </c>
      <c r="C3680" s="323">
        <v>41571</v>
      </c>
      <c r="D3680" s="323">
        <v>66</v>
      </c>
      <c r="E3680" s="324">
        <f t="shared" si="57"/>
        <v>16094.76</v>
      </c>
    </row>
    <row r="3681" spans="1:5" x14ac:dyDescent="0.25">
      <c r="A3681" s="323" t="s">
        <v>6415</v>
      </c>
      <c r="B3681" s="323" t="s">
        <v>805</v>
      </c>
      <c r="C3681" s="323">
        <v>41571</v>
      </c>
      <c r="D3681" s="323">
        <v>96</v>
      </c>
      <c r="E3681" s="324">
        <f t="shared" si="57"/>
        <v>23410.560000000001</v>
      </c>
    </row>
    <row r="3682" spans="1:5" x14ac:dyDescent="0.25">
      <c r="A3682" s="323" t="s">
        <v>5790</v>
      </c>
      <c r="B3682" s="323" t="s">
        <v>805</v>
      </c>
      <c r="C3682" s="323">
        <v>41572</v>
      </c>
      <c r="D3682" s="323">
        <v>173</v>
      </c>
      <c r="E3682" s="324">
        <f t="shared" si="57"/>
        <v>42187.78</v>
      </c>
    </row>
    <row r="3683" spans="1:5" x14ac:dyDescent="0.25">
      <c r="A3683" s="323" t="s">
        <v>5790</v>
      </c>
      <c r="B3683" s="323" t="s">
        <v>805</v>
      </c>
      <c r="C3683" s="323">
        <v>41572</v>
      </c>
      <c r="D3683" s="323">
        <v>116</v>
      </c>
      <c r="E3683" s="324">
        <f t="shared" si="57"/>
        <v>28287.760000000002</v>
      </c>
    </row>
    <row r="3684" spans="1:5" x14ac:dyDescent="0.25">
      <c r="A3684" s="323" t="s">
        <v>5797</v>
      </c>
      <c r="B3684" s="323" t="s">
        <v>805</v>
      </c>
      <c r="C3684" s="323">
        <v>41572</v>
      </c>
      <c r="D3684" s="323">
        <v>232</v>
      </c>
      <c r="E3684" s="324">
        <f t="shared" si="57"/>
        <v>56575.520000000004</v>
      </c>
    </row>
    <row r="3685" spans="1:5" x14ac:dyDescent="0.25">
      <c r="A3685" s="323" t="s">
        <v>5803</v>
      </c>
      <c r="B3685" s="323" t="s">
        <v>805</v>
      </c>
      <c r="C3685" s="323">
        <v>41572</v>
      </c>
      <c r="D3685" s="323">
        <v>314</v>
      </c>
      <c r="E3685" s="324">
        <f t="shared" si="57"/>
        <v>76572.040000000008</v>
      </c>
    </row>
    <row r="3686" spans="1:5" x14ac:dyDescent="0.25">
      <c r="A3686" s="323" t="s">
        <v>5811</v>
      </c>
      <c r="B3686" s="323" t="s">
        <v>805</v>
      </c>
      <c r="C3686" s="323">
        <v>41572</v>
      </c>
      <c r="D3686" s="323">
        <v>167</v>
      </c>
      <c r="E3686" s="324">
        <f t="shared" si="57"/>
        <v>40724.620000000003</v>
      </c>
    </row>
    <row r="3687" spans="1:5" x14ac:dyDescent="0.25">
      <c r="A3687" s="323" t="s">
        <v>5814</v>
      </c>
      <c r="B3687" s="323" t="s">
        <v>805</v>
      </c>
      <c r="C3687" s="323">
        <v>41572</v>
      </c>
      <c r="D3687" s="323">
        <v>278</v>
      </c>
      <c r="E3687" s="324">
        <f t="shared" si="57"/>
        <v>67793.08</v>
      </c>
    </row>
    <row r="3688" spans="1:5" x14ac:dyDescent="0.25">
      <c r="A3688" s="323" t="s">
        <v>5824</v>
      </c>
      <c r="B3688" s="323" t="s">
        <v>805</v>
      </c>
      <c r="C3688" s="323">
        <v>41572</v>
      </c>
      <c r="D3688" s="323">
        <v>307</v>
      </c>
      <c r="E3688" s="324">
        <f t="shared" si="57"/>
        <v>74865.02</v>
      </c>
    </row>
    <row r="3689" spans="1:5" x14ac:dyDescent="0.25">
      <c r="A3689" s="323" t="s">
        <v>5859</v>
      </c>
      <c r="B3689" s="323" t="s">
        <v>805</v>
      </c>
      <c r="C3689" s="323">
        <v>41572</v>
      </c>
      <c r="D3689" s="323">
        <v>466</v>
      </c>
      <c r="E3689" s="324">
        <f t="shared" si="57"/>
        <v>113638.76000000001</v>
      </c>
    </row>
    <row r="3690" spans="1:5" x14ac:dyDescent="0.25">
      <c r="A3690" s="323" t="s">
        <v>5869</v>
      </c>
      <c r="B3690" s="323" t="s">
        <v>805</v>
      </c>
      <c r="C3690" s="323">
        <v>41572</v>
      </c>
      <c r="D3690" s="323">
        <v>205</v>
      </c>
      <c r="E3690" s="324">
        <f t="shared" si="57"/>
        <v>49991.3</v>
      </c>
    </row>
    <row r="3691" spans="1:5" x14ac:dyDescent="0.25">
      <c r="A3691" s="323" t="s">
        <v>5878</v>
      </c>
      <c r="B3691" s="323" t="s">
        <v>805</v>
      </c>
      <c r="C3691" s="323">
        <v>41572</v>
      </c>
      <c r="D3691" s="323">
        <v>169</v>
      </c>
      <c r="E3691" s="324">
        <f t="shared" si="57"/>
        <v>41212.340000000004</v>
      </c>
    </row>
    <row r="3692" spans="1:5" x14ac:dyDescent="0.25">
      <c r="A3692" s="323" t="s">
        <v>5885</v>
      </c>
      <c r="B3692" s="323" t="s">
        <v>805</v>
      </c>
      <c r="C3692" s="323">
        <v>41572</v>
      </c>
      <c r="D3692" s="323">
        <v>241</v>
      </c>
      <c r="E3692" s="324">
        <f t="shared" si="57"/>
        <v>58770.26</v>
      </c>
    </row>
    <row r="3693" spans="1:5" x14ac:dyDescent="0.25">
      <c r="A3693" s="323" t="s">
        <v>5912</v>
      </c>
      <c r="B3693" s="323" t="s">
        <v>805</v>
      </c>
      <c r="C3693" s="323">
        <v>41572</v>
      </c>
      <c r="D3693" s="323">
        <v>137</v>
      </c>
      <c r="E3693" s="324">
        <f t="shared" si="57"/>
        <v>33408.82</v>
      </c>
    </row>
    <row r="3694" spans="1:5" x14ac:dyDescent="0.25">
      <c r="A3694" s="323" t="s">
        <v>5918</v>
      </c>
      <c r="B3694" s="323" t="s">
        <v>805</v>
      </c>
      <c r="C3694" s="323">
        <v>41572</v>
      </c>
      <c r="D3694" s="323">
        <v>449</v>
      </c>
      <c r="E3694" s="324">
        <f t="shared" si="57"/>
        <v>109493.14</v>
      </c>
    </row>
    <row r="3695" spans="1:5" x14ac:dyDescent="0.25">
      <c r="A3695" s="323" t="s">
        <v>6036</v>
      </c>
      <c r="B3695" s="323" t="s">
        <v>805</v>
      </c>
      <c r="C3695" s="323">
        <v>41572</v>
      </c>
      <c r="D3695" s="323">
        <v>569</v>
      </c>
      <c r="E3695" s="324">
        <f t="shared" si="57"/>
        <v>138756.34</v>
      </c>
    </row>
    <row r="3696" spans="1:5" x14ac:dyDescent="0.25">
      <c r="A3696" s="323" t="s">
        <v>6227</v>
      </c>
      <c r="B3696" s="323" t="s">
        <v>805</v>
      </c>
      <c r="C3696" s="323">
        <v>41572</v>
      </c>
      <c r="D3696" s="323">
        <v>557</v>
      </c>
      <c r="E3696" s="324">
        <f t="shared" si="57"/>
        <v>135830.02000000002</v>
      </c>
    </row>
    <row r="3697" spans="1:5" x14ac:dyDescent="0.25">
      <c r="A3697" s="323" t="s">
        <v>6426</v>
      </c>
      <c r="B3697" s="323" t="s">
        <v>805</v>
      </c>
      <c r="C3697" s="323">
        <v>41572</v>
      </c>
      <c r="D3697" s="323">
        <v>452</v>
      </c>
      <c r="E3697" s="324">
        <f t="shared" si="57"/>
        <v>110224.72</v>
      </c>
    </row>
    <row r="3698" spans="1:5" x14ac:dyDescent="0.25">
      <c r="A3698" s="323" t="s">
        <v>6432</v>
      </c>
      <c r="B3698" s="323" t="s">
        <v>805</v>
      </c>
      <c r="C3698" s="323">
        <v>41572</v>
      </c>
      <c r="D3698" s="323">
        <v>327</v>
      </c>
      <c r="E3698" s="324">
        <f t="shared" si="57"/>
        <v>79742.22</v>
      </c>
    </row>
    <row r="3699" spans="1:5" x14ac:dyDescent="0.25">
      <c r="A3699" s="323" t="s">
        <v>6432</v>
      </c>
      <c r="B3699" s="323" t="s">
        <v>805</v>
      </c>
      <c r="C3699" s="323">
        <v>41572</v>
      </c>
      <c r="D3699" s="323">
        <v>233</v>
      </c>
      <c r="E3699" s="324">
        <f t="shared" si="57"/>
        <v>56819.380000000005</v>
      </c>
    </row>
    <row r="3700" spans="1:5" x14ac:dyDescent="0.25">
      <c r="A3700" s="323" t="s">
        <v>6438</v>
      </c>
      <c r="B3700" s="323" t="s">
        <v>805</v>
      </c>
      <c r="C3700" s="323">
        <v>41572</v>
      </c>
      <c r="D3700" s="323">
        <v>166</v>
      </c>
      <c r="E3700" s="324">
        <f t="shared" si="57"/>
        <v>40480.76</v>
      </c>
    </row>
    <row r="3701" spans="1:5" x14ac:dyDescent="0.25">
      <c r="A3701" s="323" t="s">
        <v>6441</v>
      </c>
      <c r="B3701" s="323" t="s">
        <v>805</v>
      </c>
      <c r="C3701" s="323">
        <v>41572</v>
      </c>
      <c r="D3701" s="323">
        <v>196</v>
      </c>
      <c r="E3701" s="324">
        <f t="shared" si="57"/>
        <v>47796.560000000005</v>
      </c>
    </row>
    <row r="3702" spans="1:5" x14ac:dyDescent="0.25">
      <c r="A3702" s="323" t="s">
        <v>6443</v>
      </c>
      <c r="B3702" s="323" t="s">
        <v>805</v>
      </c>
      <c r="C3702" s="323">
        <v>41572</v>
      </c>
      <c r="D3702" s="323">
        <v>127</v>
      </c>
      <c r="E3702" s="324">
        <f t="shared" si="57"/>
        <v>30970.22</v>
      </c>
    </row>
    <row r="3703" spans="1:5" x14ac:dyDescent="0.25">
      <c r="A3703" s="323" t="s">
        <v>6446</v>
      </c>
      <c r="B3703" s="323" t="s">
        <v>805</v>
      </c>
      <c r="C3703" s="323">
        <v>41572</v>
      </c>
      <c r="D3703" s="323">
        <v>184</v>
      </c>
      <c r="E3703" s="324">
        <f t="shared" si="57"/>
        <v>44870.240000000005</v>
      </c>
    </row>
    <row r="3704" spans="1:5" x14ac:dyDescent="0.25">
      <c r="A3704" s="323" t="s">
        <v>6452</v>
      </c>
      <c r="B3704" s="323" t="s">
        <v>805</v>
      </c>
      <c r="C3704" s="323">
        <v>41572</v>
      </c>
      <c r="D3704" s="323">
        <v>244</v>
      </c>
      <c r="E3704" s="324">
        <f t="shared" si="57"/>
        <v>59501.840000000004</v>
      </c>
    </row>
    <row r="3705" spans="1:5" x14ac:dyDescent="0.25">
      <c r="A3705" s="323" t="s">
        <v>6455</v>
      </c>
      <c r="B3705" s="323" t="s">
        <v>805</v>
      </c>
      <c r="C3705" s="323">
        <v>41572</v>
      </c>
      <c r="D3705" s="323">
        <v>196</v>
      </c>
      <c r="E3705" s="324">
        <f t="shared" si="57"/>
        <v>47796.560000000005</v>
      </c>
    </row>
    <row r="3706" spans="1:5" x14ac:dyDescent="0.25">
      <c r="A3706" s="323" t="s">
        <v>6458</v>
      </c>
      <c r="B3706" s="323" t="s">
        <v>805</v>
      </c>
      <c r="C3706" s="323">
        <v>41572</v>
      </c>
      <c r="D3706" s="323">
        <v>225</v>
      </c>
      <c r="E3706" s="324">
        <f t="shared" si="57"/>
        <v>54868.5</v>
      </c>
    </row>
    <row r="3707" spans="1:5" x14ac:dyDescent="0.25">
      <c r="A3707" s="323" t="s">
        <v>6460</v>
      </c>
      <c r="B3707" s="323" t="s">
        <v>805</v>
      </c>
      <c r="C3707" s="323">
        <v>41572</v>
      </c>
      <c r="D3707" s="323">
        <v>417</v>
      </c>
      <c r="E3707" s="324">
        <f t="shared" si="57"/>
        <v>101689.62000000001</v>
      </c>
    </row>
    <row r="3708" spans="1:5" x14ac:dyDescent="0.25">
      <c r="A3708" s="323" t="s">
        <v>6462</v>
      </c>
      <c r="B3708" s="323" t="s">
        <v>805</v>
      </c>
      <c r="C3708" s="323">
        <v>41572</v>
      </c>
      <c r="D3708" s="323">
        <v>325</v>
      </c>
      <c r="E3708" s="324">
        <f t="shared" si="57"/>
        <v>79254.5</v>
      </c>
    </row>
    <row r="3709" spans="1:5" x14ac:dyDescent="0.25">
      <c r="A3709" s="323" t="s">
        <v>6464</v>
      </c>
      <c r="B3709" s="323" t="s">
        <v>805</v>
      </c>
      <c r="C3709" s="323">
        <v>41572</v>
      </c>
      <c r="D3709" s="323">
        <v>358</v>
      </c>
      <c r="E3709" s="324">
        <f t="shared" si="57"/>
        <v>87301.88</v>
      </c>
    </row>
    <row r="3710" spans="1:5" x14ac:dyDescent="0.25">
      <c r="A3710" s="323" t="s">
        <v>6468</v>
      </c>
      <c r="B3710" s="323" t="s">
        <v>805</v>
      </c>
      <c r="C3710" s="323">
        <v>41572</v>
      </c>
      <c r="D3710" s="323">
        <v>462</v>
      </c>
      <c r="E3710" s="324">
        <f t="shared" si="57"/>
        <v>112663.32</v>
      </c>
    </row>
    <row r="3711" spans="1:5" x14ac:dyDescent="0.25">
      <c r="A3711" s="323" t="s">
        <v>6475</v>
      </c>
      <c r="B3711" s="323" t="s">
        <v>805</v>
      </c>
      <c r="C3711" s="323">
        <v>41572</v>
      </c>
      <c r="D3711" s="323">
        <v>322</v>
      </c>
      <c r="E3711" s="324">
        <f t="shared" si="57"/>
        <v>78522.92</v>
      </c>
    </row>
    <row r="3712" spans="1:5" x14ac:dyDescent="0.25">
      <c r="A3712" s="323" t="s">
        <v>6503</v>
      </c>
      <c r="B3712" s="323" t="s">
        <v>805</v>
      </c>
      <c r="C3712" s="323">
        <v>41572</v>
      </c>
      <c r="D3712" s="323">
        <v>411</v>
      </c>
      <c r="E3712" s="324">
        <f t="shared" si="57"/>
        <v>100226.46</v>
      </c>
    </row>
    <row r="3713" spans="1:5" x14ac:dyDescent="0.25">
      <c r="A3713" s="323" t="s">
        <v>6521</v>
      </c>
      <c r="B3713" s="323" t="s">
        <v>805</v>
      </c>
      <c r="C3713" s="323">
        <v>41572</v>
      </c>
      <c r="D3713" s="323">
        <v>579</v>
      </c>
      <c r="E3713" s="324">
        <f t="shared" si="57"/>
        <v>141194.94</v>
      </c>
    </row>
    <row r="3714" spans="1:5" x14ac:dyDescent="0.25">
      <c r="A3714" s="323" t="s">
        <v>6535</v>
      </c>
      <c r="B3714" s="323" t="s">
        <v>805</v>
      </c>
      <c r="C3714" s="323">
        <v>41572</v>
      </c>
      <c r="D3714" s="323">
        <v>225</v>
      </c>
      <c r="E3714" s="324">
        <f t="shared" ref="E3714:E3777" si="58">D3714*IF(B3714=$G$9,WerkdrukbedragPerLeerlingBo,IF(B3714=$G$10,WerkdrukbedragPerLeerlingSbo,IF(B3714=$G$11,WerkdrukbedragPerLeerlingSo,IF(B3714=$G$12,WerkdrukbedragPerLeerlingVso,0))))</f>
        <v>54868.5</v>
      </c>
    </row>
    <row r="3715" spans="1:5" x14ac:dyDescent="0.25">
      <c r="A3715" s="323" t="s">
        <v>6542</v>
      </c>
      <c r="B3715" s="323" t="s">
        <v>805</v>
      </c>
      <c r="C3715" s="323">
        <v>41572</v>
      </c>
      <c r="D3715" s="323">
        <v>385</v>
      </c>
      <c r="E3715" s="324">
        <f t="shared" si="58"/>
        <v>93886.1</v>
      </c>
    </row>
    <row r="3716" spans="1:5" x14ac:dyDescent="0.25">
      <c r="A3716" s="323" t="s">
        <v>6561</v>
      </c>
      <c r="B3716" s="323" t="s">
        <v>805</v>
      </c>
      <c r="C3716" s="323">
        <v>41572</v>
      </c>
      <c r="D3716" s="323">
        <v>238</v>
      </c>
      <c r="E3716" s="324">
        <f t="shared" si="58"/>
        <v>58038.68</v>
      </c>
    </row>
    <row r="3717" spans="1:5" x14ac:dyDescent="0.25">
      <c r="A3717" s="323" t="s">
        <v>6563</v>
      </c>
      <c r="B3717" s="323" t="s">
        <v>805</v>
      </c>
      <c r="C3717" s="323">
        <v>41572</v>
      </c>
      <c r="D3717" s="323">
        <v>143</v>
      </c>
      <c r="E3717" s="324">
        <f t="shared" si="58"/>
        <v>34871.980000000003</v>
      </c>
    </row>
    <row r="3718" spans="1:5" x14ac:dyDescent="0.25">
      <c r="A3718" s="323" t="s">
        <v>6567</v>
      </c>
      <c r="B3718" s="323" t="s">
        <v>805</v>
      </c>
      <c r="C3718" s="323">
        <v>41572</v>
      </c>
      <c r="D3718" s="323">
        <v>274</v>
      </c>
      <c r="E3718" s="324">
        <f t="shared" si="58"/>
        <v>66817.64</v>
      </c>
    </row>
    <row r="3719" spans="1:5" x14ac:dyDescent="0.25">
      <c r="A3719" s="323" t="s">
        <v>6569</v>
      </c>
      <c r="B3719" s="323" t="s">
        <v>805</v>
      </c>
      <c r="C3719" s="323">
        <v>41572</v>
      </c>
      <c r="D3719" s="323">
        <v>229</v>
      </c>
      <c r="E3719" s="324">
        <f t="shared" si="58"/>
        <v>55843.94</v>
      </c>
    </row>
    <row r="3720" spans="1:5" x14ac:dyDescent="0.25">
      <c r="A3720" s="323" t="s">
        <v>6570</v>
      </c>
      <c r="B3720" s="323" t="s">
        <v>805</v>
      </c>
      <c r="C3720" s="323">
        <v>41572</v>
      </c>
      <c r="D3720" s="323">
        <v>232</v>
      </c>
      <c r="E3720" s="324">
        <f t="shared" si="58"/>
        <v>56575.520000000004</v>
      </c>
    </row>
    <row r="3721" spans="1:5" x14ac:dyDescent="0.25">
      <c r="A3721" s="323" t="s">
        <v>6573</v>
      </c>
      <c r="B3721" s="323" t="s">
        <v>805</v>
      </c>
      <c r="C3721" s="323">
        <v>41572</v>
      </c>
      <c r="D3721" s="323">
        <v>327</v>
      </c>
      <c r="E3721" s="324">
        <f t="shared" si="58"/>
        <v>79742.22</v>
      </c>
    </row>
    <row r="3722" spans="1:5" x14ac:dyDescent="0.25">
      <c r="A3722" s="323" t="s">
        <v>6576</v>
      </c>
      <c r="B3722" s="323" t="s">
        <v>805</v>
      </c>
      <c r="C3722" s="323">
        <v>41572</v>
      </c>
      <c r="D3722" s="323">
        <v>206</v>
      </c>
      <c r="E3722" s="324">
        <f t="shared" si="58"/>
        <v>50235.16</v>
      </c>
    </row>
    <row r="3723" spans="1:5" x14ac:dyDescent="0.25">
      <c r="A3723" s="323" t="s">
        <v>6613</v>
      </c>
      <c r="B3723" s="323" t="s">
        <v>809</v>
      </c>
      <c r="C3723" s="323">
        <v>41572</v>
      </c>
      <c r="D3723" s="323">
        <v>115</v>
      </c>
      <c r="E3723" s="324">
        <f t="shared" si="58"/>
        <v>56087.8</v>
      </c>
    </row>
    <row r="3724" spans="1:5" x14ac:dyDescent="0.25">
      <c r="A3724" s="323" t="s">
        <v>6617</v>
      </c>
      <c r="B3724" s="323" t="s">
        <v>816</v>
      </c>
      <c r="C3724" s="323">
        <v>41572</v>
      </c>
      <c r="D3724" s="323">
        <v>231</v>
      </c>
      <c r="E3724" s="324">
        <f t="shared" si="58"/>
        <v>84497.49</v>
      </c>
    </row>
    <row r="3725" spans="1:5" x14ac:dyDescent="0.25">
      <c r="A3725" s="323" t="s">
        <v>6618</v>
      </c>
      <c r="B3725" s="323" t="s">
        <v>809</v>
      </c>
      <c r="C3725" s="323">
        <v>41572</v>
      </c>
      <c r="D3725" s="323">
        <v>118</v>
      </c>
      <c r="E3725" s="324">
        <f t="shared" si="58"/>
        <v>57550.960000000006</v>
      </c>
    </row>
    <row r="3726" spans="1:5" x14ac:dyDescent="0.25">
      <c r="A3726" s="323" t="s">
        <v>6619</v>
      </c>
      <c r="B3726" s="323" t="s">
        <v>816</v>
      </c>
      <c r="C3726" s="323">
        <v>41572</v>
      </c>
      <c r="D3726" s="323">
        <v>130</v>
      </c>
      <c r="E3726" s="324">
        <f t="shared" si="58"/>
        <v>47552.700000000004</v>
      </c>
    </row>
    <row r="3727" spans="1:5" x14ac:dyDescent="0.25">
      <c r="A3727" s="323" t="s">
        <v>6620</v>
      </c>
      <c r="B3727" s="323" t="s">
        <v>809</v>
      </c>
      <c r="C3727" s="323">
        <v>41572</v>
      </c>
      <c r="D3727" s="323">
        <v>104</v>
      </c>
      <c r="E3727" s="324">
        <f t="shared" si="58"/>
        <v>50722.880000000005</v>
      </c>
    </row>
    <row r="3728" spans="1:5" x14ac:dyDescent="0.25">
      <c r="A3728" s="323" t="s">
        <v>6620</v>
      </c>
      <c r="B3728" s="323" t="s">
        <v>803</v>
      </c>
      <c r="C3728" s="323">
        <v>41572</v>
      </c>
      <c r="D3728" s="323">
        <v>110</v>
      </c>
      <c r="E3728" s="324">
        <f t="shared" si="58"/>
        <v>53649.200000000004</v>
      </c>
    </row>
    <row r="3729" spans="1:5" x14ac:dyDescent="0.25">
      <c r="A3729" s="323" t="s">
        <v>6621</v>
      </c>
      <c r="B3729" s="323" t="s">
        <v>816</v>
      </c>
      <c r="C3729" s="323">
        <v>41572</v>
      </c>
      <c r="D3729" s="323">
        <v>169</v>
      </c>
      <c r="E3729" s="324">
        <f t="shared" si="58"/>
        <v>61818.51</v>
      </c>
    </row>
    <row r="3730" spans="1:5" x14ac:dyDescent="0.25">
      <c r="A3730" s="323" t="s">
        <v>6622</v>
      </c>
      <c r="B3730" s="323" t="s">
        <v>809</v>
      </c>
      <c r="C3730" s="323">
        <v>41572</v>
      </c>
      <c r="D3730" s="323">
        <v>76</v>
      </c>
      <c r="E3730" s="324">
        <f t="shared" si="58"/>
        <v>37066.720000000001</v>
      </c>
    </row>
    <row r="3731" spans="1:5" x14ac:dyDescent="0.25">
      <c r="A3731" s="323" t="s">
        <v>6622</v>
      </c>
      <c r="B3731" s="323" t="s">
        <v>803</v>
      </c>
      <c r="C3731" s="323">
        <v>41572</v>
      </c>
      <c r="D3731" s="323">
        <v>94</v>
      </c>
      <c r="E3731" s="324">
        <f t="shared" si="58"/>
        <v>45845.68</v>
      </c>
    </row>
    <row r="3732" spans="1:5" x14ac:dyDescent="0.25">
      <c r="A3732" s="323" t="s">
        <v>6626</v>
      </c>
      <c r="B3732" s="323" t="s">
        <v>809</v>
      </c>
      <c r="C3732" s="323">
        <v>41572</v>
      </c>
      <c r="D3732" s="323">
        <v>266</v>
      </c>
      <c r="E3732" s="324">
        <f t="shared" si="58"/>
        <v>129733.52</v>
      </c>
    </row>
    <row r="3733" spans="1:5" x14ac:dyDescent="0.25">
      <c r="A3733" s="323" t="s">
        <v>6626</v>
      </c>
      <c r="B3733" s="323" t="s">
        <v>809</v>
      </c>
      <c r="C3733" s="323">
        <v>41572</v>
      </c>
      <c r="D3733" s="323">
        <v>10</v>
      </c>
      <c r="E3733" s="324">
        <f t="shared" si="58"/>
        <v>4877.2000000000007</v>
      </c>
    </row>
    <row r="3734" spans="1:5" x14ac:dyDescent="0.25">
      <c r="A3734" s="323" t="s">
        <v>6626</v>
      </c>
      <c r="B3734" s="323" t="s">
        <v>809</v>
      </c>
      <c r="C3734" s="323">
        <v>41572</v>
      </c>
      <c r="D3734" s="323">
        <v>59</v>
      </c>
      <c r="E3734" s="324">
        <f t="shared" si="58"/>
        <v>28775.480000000003</v>
      </c>
    </row>
    <row r="3735" spans="1:5" x14ac:dyDescent="0.25">
      <c r="A3735" s="323" t="s">
        <v>7162</v>
      </c>
      <c r="B3735" s="323" t="s">
        <v>805</v>
      </c>
      <c r="C3735" s="323">
        <v>41572</v>
      </c>
      <c r="D3735" s="323">
        <v>156</v>
      </c>
      <c r="E3735" s="324">
        <f t="shared" si="58"/>
        <v>38042.160000000003</v>
      </c>
    </row>
    <row r="3736" spans="1:5" x14ac:dyDescent="0.25">
      <c r="A3736" s="323" t="s">
        <v>7165</v>
      </c>
      <c r="B3736" s="323" t="s">
        <v>805</v>
      </c>
      <c r="C3736" s="323">
        <v>41572</v>
      </c>
      <c r="D3736" s="323">
        <v>361</v>
      </c>
      <c r="E3736" s="324">
        <f t="shared" si="58"/>
        <v>88033.46</v>
      </c>
    </row>
    <row r="3737" spans="1:5" x14ac:dyDescent="0.25">
      <c r="A3737" s="323" t="s">
        <v>7190</v>
      </c>
      <c r="B3737" s="323" t="s">
        <v>805</v>
      </c>
      <c r="C3737" s="323">
        <v>41572</v>
      </c>
      <c r="D3737" s="323">
        <v>318</v>
      </c>
      <c r="E3737" s="324">
        <f t="shared" si="58"/>
        <v>77547.48000000001</v>
      </c>
    </row>
    <row r="3738" spans="1:5" x14ac:dyDescent="0.25">
      <c r="A3738" s="323" t="s">
        <v>7195</v>
      </c>
      <c r="B3738" s="323" t="s">
        <v>805</v>
      </c>
      <c r="C3738" s="323">
        <v>41572</v>
      </c>
      <c r="D3738" s="323">
        <v>187</v>
      </c>
      <c r="E3738" s="324">
        <f t="shared" si="58"/>
        <v>45601.82</v>
      </c>
    </row>
    <row r="3739" spans="1:5" x14ac:dyDescent="0.25">
      <c r="A3739" s="323" t="s">
        <v>7297</v>
      </c>
      <c r="B3739" s="323" t="s">
        <v>805</v>
      </c>
      <c r="C3739" s="323">
        <v>41572</v>
      </c>
      <c r="D3739" s="323">
        <v>410</v>
      </c>
      <c r="E3739" s="324">
        <f t="shared" si="58"/>
        <v>99982.6</v>
      </c>
    </row>
    <row r="3740" spans="1:5" x14ac:dyDescent="0.25">
      <c r="A3740" s="323" t="s">
        <v>4971</v>
      </c>
      <c r="B3740" s="323" t="s">
        <v>805</v>
      </c>
      <c r="C3740" s="323">
        <v>41573</v>
      </c>
      <c r="D3740" s="323">
        <v>162</v>
      </c>
      <c r="E3740" s="324">
        <f t="shared" si="58"/>
        <v>39505.32</v>
      </c>
    </row>
    <row r="3741" spans="1:5" x14ac:dyDescent="0.25">
      <c r="A3741" s="323" t="s">
        <v>5007</v>
      </c>
      <c r="B3741" s="323" t="s">
        <v>805</v>
      </c>
      <c r="C3741" s="323">
        <v>41573</v>
      </c>
      <c r="D3741" s="323">
        <v>184</v>
      </c>
      <c r="E3741" s="324">
        <f t="shared" si="58"/>
        <v>44870.240000000005</v>
      </c>
    </row>
    <row r="3742" spans="1:5" x14ac:dyDescent="0.25">
      <c r="A3742" s="323" t="s">
        <v>5069</v>
      </c>
      <c r="B3742" s="323" t="s">
        <v>805</v>
      </c>
      <c r="C3742" s="323">
        <v>41573</v>
      </c>
      <c r="D3742" s="323">
        <v>181</v>
      </c>
      <c r="E3742" s="324">
        <f t="shared" si="58"/>
        <v>44138.66</v>
      </c>
    </row>
    <row r="3743" spans="1:5" x14ac:dyDescent="0.25">
      <c r="A3743" s="323" t="s">
        <v>5095</v>
      </c>
      <c r="B3743" s="323" t="s">
        <v>805</v>
      </c>
      <c r="C3743" s="323">
        <v>41573</v>
      </c>
      <c r="D3743" s="323">
        <v>130</v>
      </c>
      <c r="E3743" s="324">
        <f t="shared" si="58"/>
        <v>31701.800000000003</v>
      </c>
    </row>
    <row r="3744" spans="1:5" x14ac:dyDescent="0.25">
      <c r="A3744" s="323" t="s">
        <v>5155</v>
      </c>
      <c r="B3744" s="323" t="s">
        <v>805</v>
      </c>
      <c r="C3744" s="323">
        <v>41573</v>
      </c>
      <c r="D3744" s="323">
        <v>218</v>
      </c>
      <c r="E3744" s="324">
        <f t="shared" si="58"/>
        <v>53161.48</v>
      </c>
    </row>
    <row r="3745" spans="1:5" x14ac:dyDescent="0.25">
      <c r="A3745" s="323" t="s">
        <v>5247</v>
      </c>
      <c r="B3745" s="323" t="s">
        <v>805</v>
      </c>
      <c r="C3745" s="323">
        <v>41573</v>
      </c>
      <c r="D3745" s="323">
        <v>66</v>
      </c>
      <c r="E3745" s="324">
        <f t="shared" si="58"/>
        <v>16094.76</v>
      </c>
    </row>
    <row r="3746" spans="1:5" x14ac:dyDescent="0.25">
      <c r="A3746" s="323" t="s">
        <v>5266</v>
      </c>
      <c r="B3746" s="323" t="s">
        <v>805</v>
      </c>
      <c r="C3746" s="323">
        <v>41573</v>
      </c>
      <c r="D3746" s="323">
        <v>95</v>
      </c>
      <c r="E3746" s="324">
        <f t="shared" si="58"/>
        <v>23166.7</v>
      </c>
    </row>
    <row r="3747" spans="1:5" x14ac:dyDescent="0.25">
      <c r="A3747" s="323" t="s">
        <v>5286</v>
      </c>
      <c r="B3747" s="323" t="s">
        <v>805</v>
      </c>
      <c r="C3747" s="323">
        <v>41573</v>
      </c>
      <c r="D3747" s="323">
        <v>64</v>
      </c>
      <c r="E3747" s="324">
        <f t="shared" si="58"/>
        <v>15607.04</v>
      </c>
    </row>
    <row r="3748" spans="1:5" x14ac:dyDescent="0.25">
      <c r="A3748" s="323" t="s">
        <v>5324</v>
      </c>
      <c r="B3748" s="323" t="s">
        <v>805</v>
      </c>
      <c r="C3748" s="323">
        <v>41573</v>
      </c>
      <c r="D3748" s="323">
        <v>158</v>
      </c>
      <c r="E3748" s="324">
        <f t="shared" si="58"/>
        <v>38529.880000000005</v>
      </c>
    </row>
    <row r="3749" spans="1:5" x14ac:dyDescent="0.25">
      <c r="A3749" s="323" t="s">
        <v>5353</v>
      </c>
      <c r="B3749" s="323" t="s">
        <v>805</v>
      </c>
      <c r="C3749" s="323">
        <v>41573</v>
      </c>
      <c r="D3749" s="323">
        <v>57</v>
      </c>
      <c r="E3749" s="324">
        <f t="shared" si="58"/>
        <v>13900.02</v>
      </c>
    </row>
    <row r="3750" spans="1:5" x14ac:dyDescent="0.25">
      <c r="A3750" s="323" t="s">
        <v>5364</v>
      </c>
      <c r="B3750" s="323" t="s">
        <v>805</v>
      </c>
      <c r="C3750" s="323">
        <v>41573</v>
      </c>
      <c r="D3750" s="323">
        <v>257</v>
      </c>
      <c r="E3750" s="324">
        <f t="shared" si="58"/>
        <v>62672.020000000004</v>
      </c>
    </row>
    <row r="3751" spans="1:5" x14ac:dyDescent="0.25">
      <c r="A3751" s="323" t="s">
        <v>5380</v>
      </c>
      <c r="B3751" s="323" t="s">
        <v>805</v>
      </c>
      <c r="C3751" s="323">
        <v>41573</v>
      </c>
      <c r="D3751" s="323">
        <v>104</v>
      </c>
      <c r="E3751" s="324">
        <f t="shared" si="58"/>
        <v>25361.440000000002</v>
      </c>
    </row>
    <row r="3752" spans="1:5" x14ac:dyDescent="0.25">
      <c r="A3752" s="323" t="s">
        <v>5401</v>
      </c>
      <c r="B3752" s="323" t="s">
        <v>805</v>
      </c>
      <c r="C3752" s="323">
        <v>41573</v>
      </c>
      <c r="D3752" s="323">
        <v>77</v>
      </c>
      <c r="E3752" s="324">
        <f t="shared" si="58"/>
        <v>18777.22</v>
      </c>
    </row>
    <row r="3753" spans="1:5" x14ac:dyDescent="0.25">
      <c r="A3753" s="323" t="s">
        <v>5425</v>
      </c>
      <c r="B3753" s="323" t="s">
        <v>805</v>
      </c>
      <c r="C3753" s="323">
        <v>41573</v>
      </c>
      <c r="D3753" s="323">
        <v>85</v>
      </c>
      <c r="E3753" s="324">
        <f t="shared" si="58"/>
        <v>20728.100000000002</v>
      </c>
    </row>
    <row r="3754" spans="1:5" x14ac:dyDescent="0.25">
      <c r="A3754" s="323" t="s">
        <v>5453</v>
      </c>
      <c r="B3754" s="323" t="s">
        <v>805</v>
      </c>
      <c r="C3754" s="323">
        <v>41573</v>
      </c>
      <c r="D3754" s="323">
        <v>128</v>
      </c>
      <c r="E3754" s="324">
        <f t="shared" si="58"/>
        <v>31214.080000000002</v>
      </c>
    </row>
    <row r="3755" spans="1:5" x14ac:dyDescent="0.25">
      <c r="A3755" s="323" t="s">
        <v>6484</v>
      </c>
      <c r="B3755" s="323" t="s">
        <v>816</v>
      </c>
      <c r="C3755" s="323">
        <v>41573</v>
      </c>
      <c r="D3755" s="323">
        <v>108</v>
      </c>
      <c r="E3755" s="324">
        <f t="shared" si="58"/>
        <v>39505.32</v>
      </c>
    </row>
    <row r="3756" spans="1:5" x14ac:dyDescent="0.25">
      <c r="A3756" s="323" t="s">
        <v>7284</v>
      </c>
      <c r="B3756" s="323" t="s">
        <v>805</v>
      </c>
      <c r="C3756" s="323">
        <v>41573</v>
      </c>
      <c r="D3756" s="323">
        <v>377</v>
      </c>
      <c r="E3756" s="324">
        <f t="shared" si="58"/>
        <v>91935.22</v>
      </c>
    </row>
    <row r="3757" spans="1:5" x14ac:dyDescent="0.25">
      <c r="A3757" s="323" t="s">
        <v>2993</v>
      </c>
      <c r="B3757" s="323" t="s">
        <v>805</v>
      </c>
      <c r="C3757" s="323">
        <v>41574</v>
      </c>
      <c r="D3757" s="323">
        <v>251</v>
      </c>
      <c r="E3757" s="324">
        <f t="shared" si="58"/>
        <v>61208.86</v>
      </c>
    </row>
    <row r="3758" spans="1:5" x14ac:dyDescent="0.25">
      <c r="A3758" s="323" t="s">
        <v>2993</v>
      </c>
      <c r="B3758" s="323" t="s">
        <v>805</v>
      </c>
      <c r="C3758" s="323">
        <v>41574</v>
      </c>
      <c r="D3758" s="323">
        <v>38</v>
      </c>
      <c r="E3758" s="324">
        <f t="shared" si="58"/>
        <v>9266.68</v>
      </c>
    </row>
    <row r="3759" spans="1:5" x14ac:dyDescent="0.25">
      <c r="A3759" s="323" t="s">
        <v>3044</v>
      </c>
      <c r="B3759" s="323" t="s">
        <v>805</v>
      </c>
      <c r="C3759" s="323">
        <v>41574</v>
      </c>
      <c r="D3759" s="323">
        <v>207</v>
      </c>
      <c r="E3759" s="324">
        <f t="shared" si="58"/>
        <v>50479.020000000004</v>
      </c>
    </row>
    <row r="3760" spans="1:5" x14ac:dyDescent="0.25">
      <c r="A3760" s="323" t="s">
        <v>3207</v>
      </c>
      <c r="B3760" s="323" t="s">
        <v>805</v>
      </c>
      <c r="C3760" s="323">
        <v>41574</v>
      </c>
      <c r="D3760" s="323">
        <v>116</v>
      </c>
      <c r="E3760" s="324">
        <f t="shared" si="58"/>
        <v>28287.760000000002</v>
      </c>
    </row>
    <row r="3761" spans="1:5" x14ac:dyDescent="0.25">
      <c r="A3761" s="323" t="s">
        <v>3369</v>
      </c>
      <c r="B3761" s="323" t="s">
        <v>805</v>
      </c>
      <c r="C3761" s="323">
        <v>41574</v>
      </c>
      <c r="D3761" s="323">
        <v>54</v>
      </c>
      <c r="E3761" s="324">
        <f t="shared" si="58"/>
        <v>13168.44</v>
      </c>
    </row>
    <row r="3762" spans="1:5" x14ac:dyDescent="0.25">
      <c r="A3762" s="323" t="s">
        <v>3420</v>
      </c>
      <c r="B3762" s="323" t="s">
        <v>805</v>
      </c>
      <c r="C3762" s="323">
        <v>41574</v>
      </c>
      <c r="D3762" s="323">
        <v>102</v>
      </c>
      <c r="E3762" s="324">
        <f t="shared" si="58"/>
        <v>24873.72</v>
      </c>
    </row>
    <row r="3763" spans="1:5" x14ac:dyDescent="0.25">
      <c r="A3763" s="323" t="s">
        <v>3703</v>
      </c>
      <c r="B3763" s="323" t="s">
        <v>805</v>
      </c>
      <c r="C3763" s="323">
        <v>41574</v>
      </c>
      <c r="D3763" s="323">
        <v>150</v>
      </c>
      <c r="E3763" s="324">
        <f t="shared" si="58"/>
        <v>36579</v>
      </c>
    </row>
    <row r="3764" spans="1:5" x14ac:dyDescent="0.25">
      <c r="A3764" s="323" t="s">
        <v>3921</v>
      </c>
      <c r="B3764" s="323" t="s">
        <v>805</v>
      </c>
      <c r="C3764" s="323">
        <v>41574</v>
      </c>
      <c r="D3764" s="323">
        <v>283</v>
      </c>
      <c r="E3764" s="324">
        <f t="shared" si="58"/>
        <v>69012.38</v>
      </c>
    </row>
    <row r="3765" spans="1:5" x14ac:dyDescent="0.25">
      <c r="A3765" s="323" t="s">
        <v>4229</v>
      </c>
      <c r="B3765" s="323" t="s">
        <v>805</v>
      </c>
      <c r="C3765" s="323">
        <v>41574</v>
      </c>
      <c r="D3765" s="323">
        <v>237</v>
      </c>
      <c r="E3765" s="324">
        <f t="shared" si="58"/>
        <v>57794.82</v>
      </c>
    </row>
    <row r="3766" spans="1:5" x14ac:dyDescent="0.25">
      <c r="A3766" s="323" t="s">
        <v>4925</v>
      </c>
      <c r="B3766" s="323" t="s">
        <v>805</v>
      </c>
      <c r="C3766" s="323">
        <v>41574</v>
      </c>
      <c r="D3766" s="323">
        <v>229</v>
      </c>
      <c r="E3766" s="324">
        <f t="shared" si="58"/>
        <v>55843.94</v>
      </c>
    </row>
    <row r="3767" spans="1:5" x14ac:dyDescent="0.25">
      <c r="A3767" s="323" t="s">
        <v>4967</v>
      </c>
      <c r="B3767" s="323" t="s">
        <v>805</v>
      </c>
      <c r="C3767" s="323">
        <v>41574</v>
      </c>
      <c r="D3767" s="323">
        <v>75</v>
      </c>
      <c r="E3767" s="324">
        <f t="shared" si="58"/>
        <v>18289.5</v>
      </c>
    </row>
    <row r="3768" spans="1:5" x14ac:dyDescent="0.25">
      <c r="A3768" s="323" t="s">
        <v>5003</v>
      </c>
      <c r="B3768" s="323" t="s">
        <v>805</v>
      </c>
      <c r="C3768" s="323">
        <v>41574</v>
      </c>
      <c r="D3768" s="323">
        <v>115</v>
      </c>
      <c r="E3768" s="324">
        <f t="shared" si="58"/>
        <v>28043.9</v>
      </c>
    </row>
    <row r="3769" spans="1:5" x14ac:dyDescent="0.25">
      <c r="A3769" s="323" t="s">
        <v>5244</v>
      </c>
      <c r="B3769" s="323" t="s">
        <v>805</v>
      </c>
      <c r="C3769" s="323">
        <v>41574</v>
      </c>
      <c r="D3769" s="323">
        <v>31</v>
      </c>
      <c r="E3769" s="324">
        <f t="shared" si="58"/>
        <v>7559.6600000000008</v>
      </c>
    </row>
    <row r="3770" spans="1:5" x14ac:dyDescent="0.25">
      <c r="A3770" s="323" t="s">
        <v>5284</v>
      </c>
      <c r="B3770" s="323" t="s">
        <v>805</v>
      </c>
      <c r="C3770" s="323">
        <v>41574</v>
      </c>
      <c r="D3770" s="323">
        <v>122</v>
      </c>
      <c r="E3770" s="324">
        <f t="shared" si="58"/>
        <v>29750.920000000002</v>
      </c>
    </row>
    <row r="3771" spans="1:5" x14ac:dyDescent="0.25">
      <c r="A3771" s="323" t="s">
        <v>5322</v>
      </c>
      <c r="B3771" s="323" t="s">
        <v>805</v>
      </c>
      <c r="C3771" s="323">
        <v>41574</v>
      </c>
      <c r="D3771" s="323">
        <v>84</v>
      </c>
      <c r="E3771" s="324">
        <f t="shared" si="58"/>
        <v>20484.240000000002</v>
      </c>
    </row>
    <row r="3772" spans="1:5" x14ac:dyDescent="0.25">
      <c r="A3772" s="323" t="s">
        <v>6130</v>
      </c>
      <c r="B3772" s="323" t="s">
        <v>805</v>
      </c>
      <c r="C3772" s="323">
        <v>41574</v>
      </c>
      <c r="D3772" s="323">
        <v>42</v>
      </c>
      <c r="E3772" s="324">
        <f t="shared" si="58"/>
        <v>10242.120000000001</v>
      </c>
    </row>
    <row r="3773" spans="1:5" x14ac:dyDescent="0.25">
      <c r="A3773" s="323" t="s">
        <v>6160</v>
      </c>
      <c r="B3773" s="323" t="s">
        <v>805</v>
      </c>
      <c r="C3773" s="323">
        <v>41574</v>
      </c>
      <c r="D3773" s="323">
        <v>31</v>
      </c>
      <c r="E3773" s="324">
        <f t="shared" si="58"/>
        <v>7559.6600000000008</v>
      </c>
    </row>
    <row r="3774" spans="1:5" x14ac:dyDescent="0.25">
      <c r="A3774" s="323" t="s">
        <v>6190</v>
      </c>
      <c r="B3774" s="323" t="s">
        <v>805</v>
      </c>
      <c r="C3774" s="323">
        <v>41574</v>
      </c>
      <c r="D3774" s="323">
        <v>60</v>
      </c>
      <c r="E3774" s="324">
        <f t="shared" si="58"/>
        <v>14631.6</v>
      </c>
    </row>
    <row r="3775" spans="1:5" x14ac:dyDescent="0.25">
      <c r="A3775" s="323" t="s">
        <v>6212</v>
      </c>
      <c r="B3775" s="323" t="s">
        <v>805</v>
      </c>
      <c r="C3775" s="323">
        <v>41574</v>
      </c>
      <c r="D3775" s="323">
        <v>41</v>
      </c>
      <c r="E3775" s="324">
        <f t="shared" si="58"/>
        <v>9998.26</v>
      </c>
    </row>
    <row r="3776" spans="1:5" x14ac:dyDescent="0.25">
      <c r="A3776" s="323" t="s">
        <v>6412</v>
      </c>
      <c r="B3776" s="323" t="s">
        <v>805</v>
      </c>
      <c r="C3776" s="323">
        <v>41574</v>
      </c>
      <c r="D3776" s="323">
        <v>41</v>
      </c>
      <c r="E3776" s="324">
        <f t="shared" si="58"/>
        <v>9998.26</v>
      </c>
    </row>
    <row r="3777" spans="1:5" x14ac:dyDescent="0.25">
      <c r="A3777" s="323" t="s">
        <v>6421</v>
      </c>
      <c r="B3777" s="323" t="s">
        <v>805</v>
      </c>
      <c r="C3777" s="323">
        <v>41574</v>
      </c>
      <c r="D3777" s="323">
        <v>100</v>
      </c>
      <c r="E3777" s="324">
        <f t="shared" si="58"/>
        <v>24386</v>
      </c>
    </row>
    <row r="3778" spans="1:5" x14ac:dyDescent="0.25">
      <c r="A3778" s="323" t="s">
        <v>6317</v>
      </c>
      <c r="B3778" s="323" t="s">
        <v>805</v>
      </c>
      <c r="C3778" s="323">
        <v>41579</v>
      </c>
      <c r="D3778" s="323">
        <v>327</v>
      </c>
      <c r="E3778" s="324">
        <f t="shared" ref="E3778:E3841" si="59">D3778*IF(B3778=$G$9,WerkdrukbedragPerLeerlingBo,IF(B3778=$G$10,WerkdrukbedragPerLeerlingSbo,IF(B3778=$G$11,WerkdrukbedragPerLeerlingSo,IF(B3778=$G$12,WerkdrukbedragPerLeerlingVso,0))))</f>
        <v>79742.22</v>
      </c>
    </row>
    <row r="3779" spans="1:5" x14ac:dyDescent="0.25">
      <c r="A3779" s="323" t="s">
        <v>6321</v>
      </c>
      <c r="B3779" s="323" t="s">
        <v>805</v>
      </c>
      <c r="C3779" s="323">
        <v>41579</v>
      </c>
      <c r="D3779" s="323">
        <v>464</v>
      </c>
      <c r="E3779" s="324">
        <f t="shared" si="59"/>
        <v>113151.04000000001</v>
      </c>
    </row>
    <row r="3780" spans="1:5" x14ac:dyDescent="0.25">
      <c r="A3780" s="323" t="s">
        <v>6388</v>
      </c>
      <c r="B3780" s="323" t="s">
        <v>805</v>
      </c>
      <c r="C3780" s="323">
        <v>41579</v>
      </c>
      <c r="D3780" s="323">
        <v>109</v>
      </c>
      <c r="E3780" s="324">
        <f t="shared" si="59"/>
        <v>26580.74</v>
      </c>
    </row>
    <row r="3781" spans="1:5" x14ac:dyDescent="0.25">
      <c r="A3781" s="323" t="s">
        <v>6574</v>
      </c>
      <c r="B3781" s="323" t="s">
        <v>805</v>
      </c>
      <c r="C3781" s="323">
        <v>41579</v>
      </c>
      <c r="D3781" s="323">
        <v>287</v>
      </c>
      <c r="E3781" s="324">
        <f t="shared" si="59"/>
        <v>69987.820000000007</v>
      </c>
    </row>
    <row r="3782" spans="1:5" x14ac:dyDescent="0.25">
      <c r="A3782" s="323" t="s">
        <v>6649</v>
      </c>
      <c r="B3782" s="323" t="s">
        <v>805</v>
      </c>
      <c r="C3782" s="323">
        <v>41579</v>
      </c>
      <c r="D3782" s="323">
        <v>243</v>
      </c>
      <c r="E3782" s="324">
        <f t="shared" si="59"/>
        <v>59257.98</v>
      </c>
    </row>
    <row r="3783" spans="1:5" x14ac:dyDescent="0.25">
      <c r="A3783" s="323" t="s">
        <v>6653</v>
      </c>
      <c r="B3783" s="323" t="s">
        <v>805</v>
      </c>
      <c r="C3783" s="323">
        <v>41579</v>
      </c>
      <c r="D3783" s="323">
        <v>223</v>
      </c>
      <c r="E3783" s="324">
        <f t="shared" si="59"/>
        <v>54380.780000000006</v>
      </c>
    </row>
    <row r="3784" spans="1:5" x14ac:dyDescent="0.25">
      <c r="A3784" s="323" t="s">
        <v>6654</v>
      </c>
      <c r="B3784" s="323" t="s">
        <v>805</v>
      </c>
      <c r="C3784" s="323">
        <v>41579</v>
      </c>
      <c r="D3784" s="323">
        <v>250</v>
      </c>
      <c r="E3784" s="324">
        <f t="shared" si="59"/>
        <v>60965</v>
      </c>
    </row>
    <row r="3785" spans="1:5" x14ac:dyDescent="0.25">
      <c r="A3785" s="323" t="s">
        <v>6668</v>
      </c>
      <c r="B3785" s="323" t="s">
        <v>805</v>
      </c>
      <c r="C3785" s="323">
        <v>41579</v>
      </c>
      <c r="D3785" s="323">
        <v>494</v>
      </c>
      <c r="E3785" s="324">
        <f t="shared" si="59"/>
        <v>120466.84000000001</v>
      </c>
    </row>
    <row r="3786" spans="1:5" x14ac:dyDescent="0.25">
      <c r="A3786" s="323" t="s">
        <v>6681</v>
      </c>
      <c r="B3786" s="323" t="s">
        <v>805</v>
      </c>
      <c r="C3786" s="323">
        <v>41579</v>
      </c>
      <c r="D3786" s="323">
        <v>688</v>
      </c>
      <c r="E3786" s="324">
        <f t="shared" si="59"/>
        <v>167775.68000000002</v>
      </c>
    </row>
    <row r="3787" spans="1:5" x14ac:dyDescent="0.25">
      <c r="A3787" s="323" t="s">
        <v>6692</v>
      </c>
      <c r="B3787" s="323" t="s">
        <v>816</v>
      </c>
      <c r="C3787" s="323">
        <v>41579</v>
      </c>
      <c r="D3787" s="323">
        <v>200</v>
      </c>
      <c r="E3787" s="324">
        <f t="shared" si="59"/>
        <v>73158</v>
      </c>
    </row>
    <row r="3788" spans="1:5" x14ac:dyDescent="0.25">
      <c r="A3788" s="323" t="s">
        <v>6721</v>
      </c>
      <c r="B3788" s="323" t="s">
        <v>805</v>
      </c>
      <c r="C3788" s="323">
        <v>41579</v>
      </c>
      <c r="D3788" s="323">
        <v>426</v>
      </c>
      <c r="E3788" s="324">
        <f t="shared" si="59"/>
        <v>103884.36</v>
      </c>
    </row>
    <row r="3789" spans="1:5" x14ac:dyDescent="0.25">
      <c r="A3789" s="323" t="s">
        <v>6722</v>
      </c>
      <c r="B3789" s="323" t="s">
        <v>805</v>
      </c>
      <c r="C3789" s="323">
        <v>41579</v>
      </c>
      <c r="D3789" s="323">
        <v>274</v>
      </c>
      <c r="E3789" s="324">
        <f t="shared" si="59"/>
        <v>66817.64</v>
      </c>
    </row>
    <row r="3790" spans="1:5" x14ac:dyDescent="0.25">
      <c r="A3790" s="323" t="s">
        <v>6723</v>
      </c>
      <c r="B3790" s="323" t="s">
        <v>805</v>
      </c>
      <c r="C3790" s="323">
        <v>41579</v>
      </c>
      <c r="D3790" s="323">
        <v>276</v>
      </c>
      <c r="E3790" s="324">
        <f t="shared" si="59"/>
        <v>67305.36</v>
      </c>
    </row>
    <row r="3791" spans="1:5" x14ac:dyDescent="0.25">
      <c r="A3791" s="323" t="s">
        <v>7039</v>
      </c>
      <c r="B3791" s="323" t="s">
        <v>805</v>
      </c>
      <c r="C3791" s="323">
        <v>41579</v>
      </c>
      <c r="D3791" s="323">
        <v>326</v>
      </c>
      <c r="E3791" s="324">
        <f t="shared" si="59"/>
        <v>79498.36</v>
      </c>
    </row>
    <row r="3792" spans="1:5" x14ac:dyDescent="0.25">
      <c r="A3792" s="323" t="s">
        <v>7132</v>
      </c>
      <c r="B3792" s="323" t="s">
        <v>805</v>
      </c>
      <c r="C3792" s="323">
        <v>41579</v>
      </c>
      <c r="D3792" s="323">
        <v>635</v>
      </c>
      <c r="E3792" s="324">
        <f t="shared" si="59"/>
        <v>154851.1</v>
      </c>
    </row>
    <row r="3793" spans="1:5" x14ac:dyDescent="0.25">
      <c r="A3793" s="323" t="s">
        <v>1096</v>
      </c>
      <c r="B3793" s="323" t="s">
        <v>816</v>
      </c>
      <c r="C3793" s="323">
        <v>41580</v>
      </c>
      <c r="D3793" s="323">
        <v>232</v>
      </c>
      <c r="E3793" s="324">
        <f t="shared" si="59"/>
        <v>84863.28</v>
      </c>
    </row>
    <row r="3794" spans="1:5" x14ac:dyDescent="0.25">
      <c r="A3794" s="323" t="s">
        <v>2115</v>
      </c>
      <c r="B3794" s="323" t="s">
        <v>805</v>
      </c>
      <c r="C3794" s="323">
        <v>41580</v>
      </c>
      <c r="D3794" s="323">
        <v>446</v>
      </c>
      <c r="E3794" s="324">
        <f t="shared" si="59"/>
        <v>108761.56000000001</v>
      </c>
    </row>
    <row r="3795" spans="1:5" x14ac:dyDescent="0.25">
      <c r="A3795" s="323" t="s">
        <v>4779</v>
      </c>
      <c r="B3795" s="323" t="s">
        <v>805</v>
      </c>
      <c r="C3795" s="323">
        <v>41580</v>
      </c>
      <c r="D3795" s="323">
        <v>439</v>
      </c>
      <c r="E3795" s="324">
        <f t="shared" si="59"/>
        <v>107054.54000000001</v>
      </c>
    </row>
    <row r="3796" spans="1:5" x14ac:dyDescent="0.25">
      <c r="A3796" s="323" t="s">
        <v>4887</v>
      </c>
      <c r="B3796" s="323" t="s">
        <v>805</v>
      </c>
      <c r="C3796" s="323">
        <v>41580</v>
      </c>
      <c r="D3796" s="323">
        <v>646</v>
      </c>
      <c r="E3796" s="324">
        <f t="shared" si="59"/>
        <v>157533.56</v>
      </c>
    </row>
    <row r="3797" spans="1:5" x14ac:dyDescent="0.25">
      <c r="A3797" s="323" t="s">
        <v>5010</v>
      </c>
      <c r="B3797" s="323" t="s">
        <v>805</v>
      </c>
      <c r="C3797" s="323">
        <v>41580</v>
      </c>
      <c r="D3797" s="323">
        <v>347</v>
      </c>
      <c r="E3797" s="324">
        <f t="shared" si="59"/>
        <v>84619.42</v>
      </c>
    </row>
    <row r="3798" spans="1:5" x14ac:dyDescent="0.25">
      <c r="A3798" s="323" t="s">
        <v>5048</v>
      </c>
      <c r="B3798" s="323" t="s">
        <v>805</v>
      </c>
      <c r="C3798" s="323">
        <v>41580</v>
      </c>
      <c r="D3798" s="323">
        <v>301</v>
      </c>
      <c r="E3798" s="324">
        <f t="shared" si="59"/>
        <v>73401.86</v>
      </c>
    </row>
    <row r="3799" spans="1:5" x14ac:dyDescent="0.25">
      <c r="A3799" s="323" t="s">
        <v>5099</v>
      </c>
      <c r="B3799" s="323" t="s">
        <v>805</v>
      </c>
      <c r="C3799" s="323">
        <v>41580</v>
      </c>
      <c r="D3799" s="323">
        <v>208</v>
      </c>
      <c r="E3799" s="324">
        <f t="shared" si="59"/>
        <v>50722.880000000005</v>
      </c>
    </row>
    <row r="3800" spans="1:5" x14ac:dyDescent="0.25">
      <c r="A3800" s="323" t="s">
        <v>5249</v>
      </c>
      <c r="B3800" s="323" t="s">
        <v>805</v>
      </c>
      <c r="C3800" s="323">
        <v>41580</v>
      </c>
      <c r="D3800" s="323">
        <v>286</v>
      </c>
      <c r="E3800" s="324">
        <f t="shared" si="59"/>
        <v>69743.960000000006</v>
      </c>
    </row>
    <row r="3801" spans="1:5" x14ac:dyDescent="0.25">
      <c r="A3801" s="323" t="s">
        <v>6987</v>
      </c>
      <c r="B3801" s="323" t="s">
        <v>805</v>
      </c>
      <c r="C3801" s="323">
        <v>41580</v>
      </c>
      <c r="D3801" s="323">
        <v>407</v>
      </c>
      <c r="E3801" s="324">
        <f t="shared" si="59"/>
        <v>99251.02</v>
      </c>
    </row>
    <row r="3802" spans="1:5" x14ac:dyDescent="0.25">
      <c r="A3802" s="323" t="s">
        <v>845</v>
      </c>
      <c r="B3802" s="323" t="s">
        <v>805</v>
      </c>
      <c r="C3802" s="323">
        <v>41582</v>
      </c>
      <c r="D3802" s="323">
        <v>75</v>
      </c>
      <c r="E3802" s="324">
        <f t="shared" si="59"/>
        <v>18289.5</v>
      </c>
    </row>
    <row r="3803" spans="1:5" x14ac:dyDescent="0.25">
      <c r="A3803" s="323" t="s">
        <v>1073</v>
      </c>
      <c r="B3803" s="323" t="s">
        <v>805</v>
      </c>
      <c r="C3803" s="323">
        <v>41582</v>
      </c>
      <c r="D3803" s="323">
        <v>74</v>
      </c>
      <c r="E3803" s="324">
        <f t="shared" si="59"/>
        <v>18045.64</v>
      </c>
    </row>
    <row r="3804" spans="1:5" x14ac:dyDescent="0.25">
      <c r="A3804" s="323" t="s">
        <v>1109</v>
      </c>
      <c r="B3804" s="323" t="s">
        <v>805</v>
      </c>
      <c r="C3804" s="323">
        <v>41582</v>
      </c>
      <c r="D3804" s="323">
        <v>230</v>
      </c>
      <c r="E3804" s="324">
        <f t="shared" si="59"/>
        <v>56087.8</v>
      </c>
    </row>
    <row r="3805" spans="1:5" x14ac:dyDescent="0.25">
      <c r="A3805" s="323" t="s">
        <v>1531</v>
      </c>
      <c r="B3805" s="323" t="s">
        <v>805</v>
      </c>
      <c r="C3805" s="323">
        <v>41582</v>
      </c>
      <c r="D3805" s="323">
        <v>76</v>
      </c>
      <c r="E3805" s="324">
        <f t="shared" si="59"/>
        <v>18533.36</v>
      </c>
    </row>
    <row r="3806" spans="1:5" x14ac:dyDescent="0.25">
      <c r="A3806" s="323" t="s">
        <v>2030</v>
      </c>
      <c r="B3806" s="323" t="s">
        <v>805</v>
      </c>
      <c r="C3806" s="323">
        <v>41582</v>
      </c>
      <c r="D3806" s="323">
        <v>133</v>
      </c>
      <c r="E3806" s="324">
        <f t="shared" si="59"/>
        <v>32433.38</v>
      </c>
    </row>
    <row r="3807" spans="1:5" x14ac:dyDescent="0.25">
      <c r="A3807" s="323" t="s">
        <v>2160</v>
      </c>
      <c r="B3807" s="323" t="s">
        <v>805</v>
      </c>
      <c r="C3807" s="323">
        <v>41582</v>
      </c>
      <c r="D3807" s="323">
        <v>103</v>
      </c>
      <c r="E3807" s="324">
        <f t="shared" si="59"/>
        <v>25117.58</v>
      </c>
    </row>
    <row r="3808" spans="1:5" x14ac:dyDescent="0.25">
      <c r="A3808" s="323" t="s">
        <v>2175</v>
      </c>
      <c r="B3808" s="323" t="s">
        <v>805</v>
      </c>
      <c r="C3808" s="323">
        <v>41582</v>
      </c>
      <c r="D3808" s="323">
        <v>52</v>
      </c>
      <c r="E3808" s="324">
        <f t="shared" si="59"/>
        <v>12680.720000000001</v>
      </c>
    </row>
    <row r="3809" spans="1:5" x14ac:dyDescent="0.25">
      <c r="A3809" s="323" t="s">
        <v>2604</v>
      </c>
      <c r="B3809" s="323" t="s">
        <v>805</v>
      </c>
      <c r="C3809" s="323">
        <v>41582</v>
      </c>
      <c r="D3809" s="323">
        <v>97</v>
      </c>
      <c r="E3809" s="324">
        <f t="shared" si="59"/>
        <v>23654.420000000002</v>
      </c>
    </row>
    <row r="3810" spans="1:5" x14ac:dyDescent="0.25">
      <c r="A3810" s="323" t="s">
        <v>2666</v>
      </c>
      <c r="B3810" s="323" t="s">
        <v>805</v>
      </c>
      <c r="C3810" s="323">
        <v>41582</v>
      </c>
      <c r="D3810" s="323">
        <v>137</v>
      </c>
      <c r="E3810" s="324">
        <f t="shared" si="59"/>
        <v>33408.82</v>
      </c>
    </row>
    <row r="3811" spans="1:5" x14ac:dyDescent="0.25">
      <c r="A3811" s="323" t="s">
        <v>3063</v>
      </c>
      <c r="B3811" s="323" t="s">
        <v>805</v>
      </c>
      <c r="C3811" s="323">
        <v>41582</v>
      </c>
      <c r="D3811" s="323">
        <v>187</v>
      </c>
      <c r="E3811" s="324">
        <f t="shared" si="59"/>
        <v>45601.82</v>
      </c>
    </row>
    <row r="3812" spans="1:5" x14ac:dyDescent="0.25">
      <c r="A3812" s="323" t="s">
        <v>3097</v>
      </c>
      <c r="B3812" s="323" t="s">
        <v>805</v>
      </c>
      <c r="C3812" s="323">
        <v>41582</v>
      </c>
      <c r="D3812" s="323">
        <v>254</v>
      </c>
      <c r="E3812" s="324">
        <f t="shared" si="59"/>
        <v>61940.44</v>
      </c>
    </row>
    <row r="3813" spans="1:5" x14ac:dyDescent="0.25">
      <c r="A3813" s="323" t="s">
        <v>3377</v>
      </c>
      <c r="B3813" s="323" t="s">
        <v>805</v>
      </c>
      <c r="C3813" s="323">
        <v>41582</v>
      </c>
      <c r="D3813" s="323">
        <v>155</v>
      </c>
      <c r="E3813" s="324">
        <f t="shared" si="59"/>
        <v>37798.300000000003</v>
      </c>
    </row>
    <row r="3814" spans="1:5" x14ac:dyDescent="0.25">
      <c r="A3814" s="323" t="s">
        <v>3654</v>
      </c>
      <c r="B3814" s="323" t="s">
        <v>805</v>
      </c>
      <c r="C3814" s="323">
        <v>41582</v>
      </c>
      <c r="D3814" s="323">
        <v>238</v>
      </c>
      <c r="E3814" s="324">
        <f t="shared" si="59"/>
        <v>58038.68</v>
      </c>
    </row>
    <row r="3815" spans="1:5" x14ac:dyDescent="0.25">
      <c r="A3815" s="323" t="s">
        <v>3733</v>
      </c>
      <c r="B3815" s="323" t="s">
        <v>805</v>
      </c>
      <c r="C3815" s="323">
        <v>41582</v>
      </c>
      <c r="D3815" s="323">
        <v>201</v>
      </c>
      <c r="E3815" s="324">
        <f t="shared" si="59"/>
        <v>49015.86</v>
      </c>
    </row>
    <row r="3816" spans="1:5" x14ac:dyDescent="0.25">
      <c r="A3816" s="323" t="s">
        <v>3782</v>
      </c>
      <c r="B3816" s="323" t="s">
        <v>805</v>
      </c>
      <c r="C3816" s="323">
        <v>41582</v>
      </c>
      <c r="D3816" s="323">
        <v>311</v>
      </c>
      <c r="E3816" s="324">
        <f t="shared" si="59"/>
        <v>75840.460000000006</v>
      </c>
    </row>
    <row r="3817" spans="1:5" x14ac:dyDescent="0.25">
      <c r="A3817" s="323" t="s">
        <v>3940</v>
      </c>
      <c r="B3817" s="323" t="s">
        <v>805</v>
      </c>
      <c r="C3817" s="323">
        <v>41582</v>
      </c>
      <c r="D3817" s="323">
        <v>145</v>
      </c>
      <c r="E3817" s="324">
        <f t="shared" si="59"/>
        <v>35359.700000000004</v>
      </c>
    </row>
    <row r="3818" spans="1:5" x14ac:dyDescent="0.25">
      <c r="A3818" s="323" t="s">
        <v>3973</v>
      </c>
      <c r="B3818" s="323" t="s">
        <v>805</v>
      </c>
      <c r="C3818" s="323">
        <v>41582</v>
      </c>
      <c r="D3818" s="323">
        <v>108</v>
      </c>
      <c r="E3818" s="324">
        <f t="shared" si="59"/>
        <v>26336.880000000001</v>
      </c>
    </row>
    <row r="3819" spans="1:5" x14ac:dyDescent="0.25">
      <c r="A3819" s="323" t="s">
        <v>4498</v>
      </c>
      <c r="B3819" s="323" t="s">
        <v>805</v>
      </c>
      <c r="C3819" s="323">
        <v>41582</v>
      </c>
      <c r="D3819" s="323">
        <v>141</v>
      </c>
      <c r="E3819" s="324">
        <f t="shared" si="59"/>
        <v>34384.26</v>
      </c>
    </row>
    <row r="3820" spans="1:5" x14ac:dyDescent="0.25">
      <c r="A3820" s="323" t="s">
        <v>4684</v>
      </c>
      <c r="B3820" s="323" t="s">
        <v>805</v>
      </c>
      <c r="C3820" s="323">
        <v>41582</v>
      </c>
      <c r="D3820" s="323">
        <v>207</v>
      </c>
      <c r="E3820" s="324">
        <f t="shared" si="59"/>
        <v>50479.020000000004</v>
      </c>
    </row>
    <row r="3821" spans="1:5" x14ac:dyDescent="0.25">
      <c r="A3821" s="323" t="s">
        <v>4746</v>
      </c>
      <c r="B3821" s="323" t="s">
        <v>805</v>
      </c>
      <c r="C3821" s="323">
        <v>41582</v>
      </c>
      <c r="D3821" s="323">
        <v>103</v>
      </c>
      <c r="E3821" s="324">
        <f t="shared" si="59"/>
        <v>25117.58</v>
      </c>
    </row>
    <row r="3822" spans="1:5" x14ac:dyDescent="0.25">
      <c r="A3822" s="323" t="s">
        <v>4814</v>
      </c>
      <c r="B3822" s="323" t="s">
        <v>805</v>
      </c>
      <c r="C3822" s="323">
        <v>41582</v>
      </c>
      <c r="D3822" s="323">
        <v>156</v>
      </c>
      <c r="E3822" s="324">
        <f t="shared" si="59"/>
        <v>38042.160000000003</v>
      </c>
    </row>
    <row r="3823" spans="1:5" x14ac:dyDescent="0.25">
      <c r="A3823" s="323" t="s">
        <v>4900</v>
      </c>
      <c r="B3823" s="323" t="s">
        <v>805</v>
      </c>
      <c r="C3823" s="323">
        <v>41582</v>
      </c>
      <c r="D3823" s="323">
        <v>58</v>
      </c>
      <c r="E3823" s="324">
        <f t="shared" si="59"/>
        <v>14143.880000000001</v>
      </c>
    </row>
    <row r="3824" spans="1:5" x14ac:dyDescent="0.25">
      <c r="A3824" s="323" t="s">
        <v>5029</v>
      </c>
      <c r="B3824" s="323" t="s">
        <v>805</v>
      </c>
      <c r="C3824" s="323">
        <v>41582</v>
      </c>
      <c r="D3824" s="323">
        <v>99</v>
      </c>
      <c r="E3824" s="324">
        <f t="shared" si="59"/>
        <v>24142.140000000003</v>
      </c>
    </row>
    <row r="3825" spans="1:5" x14ac:dyDescent="0.25">
      <c r="A3825" s="323" t="s">
        <v>5159</v>
      </c>
      <c r="B3825" s="323" t="s">
        <v>805</v>
      </c>
      <c r="C3825" s="323">
        <v>41582</v>
      </c>
      <c r="D3825" s="323">
        <v>44</v>
      </c>
      <c r="E3825" s="324">
        <f t="shared" si="59"/>
        <v>10729.84</v>
      </c>
    </row>
    <row r="3826" spans="1:5" x14ac:dyDescent="0.25">
      <c r="A3826" s="323" t="s">
        <v>6240</v>
      </c>
      <c r="B3826" s="323" t="s">
        <v>805</v>
      </c>
      <c r="C3826" s="323">
        <v>41582</v>
      </c>
      <c r="D3826" s="323">
        <v>144</v>
      </c>
      <c r="E3826" s="324">
        <f t="shared" si="59"/>
        <v>35115.840000000004</v>
      </c>
    </row>
    <row r="3827" spans="1:5" x14ac:dyDescent="0.25">
      <c r="A3827" s="323" t="s">
        <v>6268</v>
      </c>
      <c r="B3827" s="323" t="s">
        <v>805</v>
      </c>
      <c r="C3827" s="323">
        <v>41582</v>
      </c>
      <c r="D3827" s="323">
        <v>100</v>
      </c>
      <c r="E3827" s="324">
        <f t="shared" si="59"/>
        <v>24386</v>
      </c>
    </row>
    <row r="3828" spans="1:5" x14ac:dyDescent="0.25">
      <c r="A3828" s="323" t="s">
        <v>1948</v>
      </c>
      <c r="B3828" s="323" t="s">
        <v>805</v>
      </c>
      <c r="C3828" s="323">
        <v>41583</v>
      </c>
      <c r="D3828" s="323">
        <v>60</v>
      </c>
      <c r="E3828" s="324">
        <f t="shared" si="59"/>
        <v>14631.6</v>
      </c>
    </row>
    <row r="3829" spans="1:5" x14ac:dyDescent="0.25">
      <c r="A3829" s="323" t="s">
        <v>2568</v>
      </c>
      <c r="B3829" s="323" t="s">
        <v>805</v>
      </c>
      <c r="C3829" s="323">
        <v>41583</v>
      </c>
      <c r="D3829" s="323">
        <v>109</v>
      </c>
      <c r="E3829" s="324">
        <f t="shared" si="59"/>
        <v>26580.74</v>
      </c>
    </row>
    <row r="3830" spans="1:5" x14ac:dyDescent="0.25">
      <c r="A3830" s="323" t="s">
        <v>2727</v>
      </c>
      <c r="B3830" s="323" t="s">
        <v>805</v>
      </c>
      <c r="C3830" s="323">
        <v>41583</v>
      </c>
      <c r="D3830" s="323">
        <v>107</v>
      </c>
      <c r="E3830" s="324">
        <f t="shared" si="59"/>
        <v>26093.02</v>
      </c>
    </row>
    <row r="3831" spans="1:5" x14ac:dyDescent="0.25">
      <c r="A3831" s="323" t="s">
        <v>2913</v>
      </c>
      <c r="B3831" s="323" t="s">
        <v>805</v>
      </c>
      <c r="C3831" s="323">
        <v>41583</v>
      </c>
      <c r="D3831" s="323">
        <v>97</v>
      </c>
      <c r="E3831" s="324">
        <f t="shared" si="59"/>
        <v>23654.420000000002</v>
      </c>
    </row>
    <row r="3832" spans="1:5" x14ac:dyDescent="0.25">
      <c r="A3832" s="323" t="s">
        <v>3242</v>
      </c>
      <c r="B3832" s="323" t="s">
        <v>805</v>
      </c>
      <c r="C3832" s="323">
        <v>41583</v>
      </c>
      <c r="D3832" s="323">
        <v>140</v>
      </c>
      <c r="E3832" s="324">
        <f t="shared" si="59"/>
        <v>34140.400000000001</v>
      </c>
    </row>
    <row r="3833" spans="1:5" x14ac:dyDescent="0.25">
      <c r="A3833" s="323" t="s">
        <v>1602</v>
      </c>
      <c r="B3833" s="323" t="s">
        <v>805</v>
      </c>
      <c r="C3833" s="323">
        <v>41588</v>
      </c>
      <c r="D3833" s="323">
        <v>114</v>
      </c>
      <c r="E3833" s="324">
        <f t="shared" si="59"/>
        <v>27800.04</v>
      </c>
    </row>
    <row r="3834" spans="1:5" x14ac:dyDescent="0.25">
      <c r="A3834" s="323" t="s">
        <v>1644</v>
      </c>
      <c r="B3834" s="323" t="s">
        <v>805</v>
      </c>
      <c r="C3834" s="323">
        <v>41595</v>
      </c>
      <c r="D3834" s="323">
        <v>201</v>
      </c>
      <c r="E3834" s="324">
        <f t="shared" si="59"/>
        <v>49015.86</v>
      </c>
    </row>
    <row r="3835" spans="1:5" x14ac:dyDescent="0.25">
      <c r="A3835" s="323" t="s">
        <v>2348</v>
      </c>
      <c r="B3835" s="323" t="s">
        <v>805</v>
      </c>
      <c r="C3835" s="323">
        <v>41595</v>
      </c>
      <c r="D3835" s="323">
        <v>406</v>
      </c>
      <c r="E3835" s="324">
        <f t="shared" si="59"/>
        <v>99007.16</v>
      </c>
    </row>
    <row r="3836" spans="1:5" x14ac:dyDescent="0.25">
      <c r="A3836" s="323" t="s">
        <v>2388</v>
      </c>
      <c r="B3836" s="323" t="s">
        <v>805</v>
      </c>
      <c r="C3836" s="323">
        <v>41595</v>
      </c>
      <c r="D3836" s="323">
        <v>192</v>
      </c>
      <c r="E3836" s="324">
        <f t="shared" si="59"/>
        <v>46821.120000000003</v>
      </c>
    </row>
    <row r="3837" spans="1:5" x14ac:dyDescent="0.25">
      <c r="A3837" s="323" t="s">
        <v>3012</v>
      </c>
      <c r="B3837" s="323" t="s">
        <v>805</v>
      </c>
      <c r="C3837" s="323">
        <v>41595</v>
      </c>
      <c r="D3837" s="323">
        <v>317</v>
      </c>
      <c r="E3837" s="324">
        <f t="shared" si="59"/>
        <v>77303.62000000001</v>
      </c>
    </row>
    <row r="3838" spans="1:5" x14ac:dyDescent="0.25">
      <c r="A3838" s="323" t="s">
        <v>3028</v>
      </c>
      <c r="B3838" s="323" t="s">
        <v>805</v>
      </c>
      <c r="C3838" s="323">
        <v>41595</v>
      </c>
      <c r="D3838" s="323">
        <v>256</v>
      </c>
      <c r="E3838" s="324">
        <f t="shared" si="59"/>
        <v>62428.160000000003</v>
      </c>
    </row>
    <row r="3839" spans="1:5" x14ac:dyDescent="0.25">
      <c r="A3839" s="323" t="s">
        <v>3664</v>
      </c>
      <c r="B3839" s="323" t="s">
        <v>805</v>
      </c>
      <c r="C3839" s="323">
        <v>41595</v>
      </c>
      <c r="D3839" s="323">
        <v>517</v>
      </c>
      <c r="E3839" s="324">
        <f t="shared" si="59"/>
        <v>126075.62000000001</v>
      </c>
    </row>
    <row r="3840" spans="1:5" x14ac:dyDescent="0.25">
      <c r="A3840" s="323" t="s">
        <v>3878</v>
      </c>
      <c r="B3840" s="323" t="s">
        <v>805</v>
      </c>
      <c r="C3840" s="323">
        <v>41595</v>
      </c>
      <c r="D3840" s="323">
        <v>145</v>
      </c>
      <c r="E3840" s="324">
        <f t="shared" si="59"/>
        <v>35359.700000000004</v>
      </c>
    </row>
    <row r="3841" spans="1:5" x14ac:dyDescent="0.25">
      <c r="A3841" s="323" t="s">
        <v>4049</v>
      </c>
      <c r="B3841" s="323" t="s">
        <v>805</v>
      </c>
      <c r="C3841" s="323">
        <v>41595</v>
      </c>
      <c r="D3841" s="323">
        <v>418</v>
      </c>
      <c r="E3841" s="324">
        <f t="shared" si="59"/>
        <v>101933.48000000001</v>
      </c>
    </row>
    <row r="3842" spans="1:5" x14ac:dyDescent="0.25">
      <c r="A3842" s="323" t="s">
        <v>4312</v>
      </c>
      <c r="B3842" s="323" t="s">
        <v>805</v>
      </c>
      <c r="C3842" s="323">
        <v>41595</v>
      </c>
      <c r="D3842" s="323">
        <v>349</v>
      </c>
      <c r="E3842" s="324">
        <f t="shared" ref="E3842:E3905" si="60">D3842*IF(B3842=$G$9,WerkdrukbedragPerLeerlingBo,IF(B3842=$G$10,WerkdrukbedragPerLeerlingSbo,IF(B3842=$G$11,WerkdrukbedragPerLeerlingSo,IF(B3842=$G$12,WerkdrukbedragPerLeerlingVso,0))))</f>
        <v>85107.14</v>
      </c>
    </row>
    <row r="3843" spans="1:5" x14ac:dyDescent="0.25">
      <c r="A3843" s="323" t="s">
        <v>6910</v>
      </c>
      <c r="B3843" s="323" t="s">
        <v>805</v>
      </c>
      <c r="C3843" s="323">
        <v>41595</v>
      </c>
      <c r="D3843" s="323">
        <v>197</v>
      </c>
      <c r="E3843" s="324">
        <f t="shared" si="60"/>
        <v>48040.420000000006</v>
      </c>
    </row>
    <row r="3844" spans="1:5" x14ac:dyDescent="0.25">
      <c r="A3844" s="323" t="s">
        <v>6911</v>
      </c>
      <c r="B3844" s="323" t="s">
        <v>805</v>
      </c>
      <c r="C3844" s="323">
        <v>41595</v>
      </c>
      <c r="D3844" s="323">
        <v>341</v>
      </c>
      <c r="E3844" s="324">
        <f t="shared" si="60"/>
        <v>83156.260000000009</v>
      </c>
    </row>
    <row r="3845" spans="1:5" x14ac:dyDescent="0.25">
      <c r="A3845" s="323" t="s">
        <v>7498</v>
      </c>
      <c r="B3845" s="323" t="s">
        <v>805</v>
      </c>
      <c r="C3845" s="323">
        <v>41595</v>
      </c>
      <c r="D3845" s="323">
        <v>7</v>
      </c>
      <c r="E3845" s="324">
        <f t="shared" si="60"/>
        <v>1707.02</v>
      </c>
    </row>
    <row r="3846" spans="1:5" x14ac:dyDescent="0.25">
      <c r="A3846" s="323" t="s">
        <v>7355</v>
      </c>
      <c r="B3846" s="323" t="s">
        <v>805</v>
      </c>
      <c r="C3846" s="323">
        <v>41596</v>
      </c>
      <c r="D3846" s="323">
        <v>215</v>
      </c>
      <c r="E3846" s="324">
        <f t="shared" si="60"/>
        <v>52429.9</v>
      </c>
    </row>
    <row r="3847" spans="1:5" x14ac:dyDescent="0.25">
      <c r="A3847" s="323" t="s">
        <v>6067</v>
      </c>
      <c r="B3847" s="323" t="s">
        <v>805</v>
      </c>
      <c r="C3847" s="323">
        <v>41604</v>
      </c>
      <c r="D3847" s="323">
        <v>480</v>
      </c>
      <c r="E3847" s="324">
        <f t="shared" si="60"/>
        <v>117052.8</v>
      </c>
    </row>
    <row r="3848" spans="1:5" x14ac:dyDescent="0.25">
      <c r="A3848" s="323" t="s">
        <v>6103</v>
      </c>
      <c r="B3848" s="323" t="s">
        <v>805</v>
      </c>
      <c r="C3848" s="323">
        <v>41604</v>
      </c>
      <c r="D3848" s="323">
        <v>176</v>
      </c>
      <c r="E3848" s="324">
        <f t="shared" si="60"/>
        <v>42919.360000000001</v>
      </c>
    </row>
    <row r="3849" spans="1:5" x14ac:dyDescent="0.25">
      <c r="A3849" s="323" t="s">
        <v>3707</v>
      </c>
      <c r="B3849" s="323" t="s">
        <v>805</v>
      </c>
      <c r="C3849" s="323">
        <v>41611</v>
      </c>
      <c r="D3849" s="323">
        <v>312</v>
      </c>
      <c r="E3849" s="324">
        <f t="shared" si="60"/>
        <v>76084.320000000007</v>
      </c>
    </row>
    <row r="3850" spans="1:5" x14ac:dyDescent="0.25">
      <c r="A3850" s="323" t="s">
        <v>3925</v>
      </c>
      <c r="B3850" s="323" t="s">
        <v>805</v>
      </c>
      <c r="C3850" s="323">
        <v>41611</v>
      </c>
      <c r="D3850" s="323">
        <v>106</v>
      </c>
      <c r="E3850" s="324">
        <f t="shared" si="60"/>
        <v>25849.16</v>
      </c>
    </row>
    <row r="3851" spans="1:5" x14ac:dyDescent="0.25">
      <c r="A3851" s="323" t="s">
        <v>4327</v>
      </c>
      <c r="B3851" s="323" t="s">
        <v>805</v>
      </c>
      <c r="C3851" s="323">
        <v>41611</v>
      </c>
      <c r="D3851" s="323">
        <v>332</v>
      </c>
      <c r="E3851" s="324">
        <f t="shared" si="60"/>
        <v>80961.52</v>
      </c>
    </row>
    <row r="3852" spans="1:5" x14ac:dyDescent="0.25">
      <c r="A3852" s="323" t="s">
        <v>4441</v>
      </c>
      <c r="B3852" s="323" t="s">
        <v>805</v>
      </c>
      <c r="C3852" s="323">
        <v>41611</v>
      </c>
      <c r="D3852" s="323">
        <v>179</v>
      </c>
      <c r="E3852" s="324">
        <f t="shared" si="60"/>
        <v>43650.94</v>
      </c>
    </row>
    <row r="3853" spans="1:5" x14ac:dyDescent="0.25">
      <c r="A3853" s="323" t="s">
        <v>4546</v>
      </c>
      <c r="B3853" s="323" t="s">
        <v>805</v>
      </c>
      <c r="C3853" s="323">
        <v>41611</v>
      </c>
      <c r="D3853" s="323">
        <v>130</v>
      </c>
      <c r="E3853" s="324">
        <f t="shared" si="60"/>
        <v>31701.800000000003</v>
      </c>
    </row>
    <row r="3854" spans="1:5" x14ac:dyDescent="0.25">
      <c r="A3854" s="323" t="s">
        <v>6732</v>
      </c>
      <c r="B3854" s="323" t="s">
        <v>805</v>
      </c>
      <c r="C3854" s="323">
        <v>41611</v>
      </c>
      <c r="D3854" s="323">
        <v>43</v>
      </c>
      <c r="E3854" s="324">
        <f t="shared" si="60"/>
        <v>10485.980000000001</v>
      </c>
    </row>
    <row r="3855" spans="1:5" x14ac:dyDescent="0.25">
      <c r="A3855" s="323" t="s">
        <v>6767</v>
      </c>
      <c r="B3855" s="323" t="s">
        <v>805</v>
      </c>
      <c r="C3855" s="323">
        <v>41611</v>
      </c>
      <c r="D3855" s="323">
        <v>195</v>
      </c>
      <c r="E3855" s="324">
        <f t="shared" si="60"/>
        <v>47552.700000000004</v>
      </c>
    </row>
    <row r="3856" spans="1:5" x14ac:dyDescent="0.25">
      <c r="A3856" s="323" t="s">
        <v>6773</v>
      </c>
      <c r="B3856" s="323" t="s">
        <v>805</v>
      </c>
      <c r="C3856" s="323">
        <v>41611</v>
      </c>
      <c r="D3856" s="323">
        <v>241</v>
      </c>
      <c r="E3856" s="324">
        <f t="shared" si="60"/>
        <v>58770.26</v>
      </c>
    </row>
    <row r="3857" spans="1:5" x14ac:dyDescent="0.25">
      <c r="A3857" s="323" t="s">
        <v>6816</v>
      </c>
      <c r="B3857" s="323" t="s">
        <v>805</v>
      </c>
      <c r="C3857" s="323">
        <v>41611</v>
      </c>
      <c r="D3857" s="323">
        <v>579</v>
      </c>
      <c r="E3857" s="324">
        <f t="shared" si="60"/>
        <v>141194.94</v>
      </c>
    </row>
    <row r="3858" spans="1:5" x14ac:dyDescent="0.25">
      <c r="A3858" s="323" t="s">
        <v>6882</v>
      </c>
      <c r="B3858" s="323" t="s">
        <v>805</v>
      </c>
      <c r="C3858" s="323">
        <v>41611</v>
      </c>
      <c r="D3858" s="323">
        <v>71</v>
      </c>
      <c r="E3858" s="324">
        <f t="shared" si="60"/>
        <v>17314.060000000001</v>
      </c>
    </row>
    <row r="3859" spans="1:5" x14ac:dyDescent="0.25">
      <c r="A3859" s="323" t="s">
        <v>6902</v>
      </c>
      <c r="B3859" s="323" t="s">
        <v>805</v>
      </c>
      <c r="C3859" s="323">
        <v>41611</v>
      </c>
      <c r="D3859" s="323">
        <v>438</v>
      </c>
      <c r="E3859" s="324">
        <f t="shared" si="60"/>
        <v>106810.68000000001</v>
      </c>
    </row>
    <row r="3860" spans="1:5" x14ac:dyDescent="0.25">
      <c r="A3860" s="323" t="s">
        <v>7013</v>
      </c>
      <c r="B3860" s="323" t="s">
        <v>805</v>
      </c>
      <c r="C3860" s="323">
        <v>41611</v>
      </c>
      <c r="D3860" s="323">
        <v>191</v>
      </c>
      <c r="E3860" s="324">
        <f t="shared" si="60"/>
        <v>46577.26</v>
      </c>
    </row>
    <row r="3861" spans="1:5" x14ac:dyDescent="0.25">
      <c r="A3861" s="323" t="s">
        <v>7014</v>
      </c>
      <c r="B3861" s="323" t="s">
        <v>805</v>
      </c>
      <c r="C3861" s="323">
        <v>41611</v>
      </c>
      <c r="D3861" s="323">
        <v>269</v>
      </c>
      <c r="E3861" s="324">
        <f t="shared" si="60"/>
        <v>65598.34</v>
      </c>
    </row>
    <row r="3862" spans="1:5" x14ac:dyDescent="0.25">
      <c r="A3862" s="323" t="s">
        <v>7211</v>
      </c>
      <c r="B3862" s="323" t="s">
        <v>805</v>
      </c>
      <c r="C3862" s="323">
        <v>41611</v>
      </c>
      <c r="D3862" s="323">
        <v>661</v>
      </c>
      <c r="E3862" s="324">
        <f t="shared" si="60"/>
        <v>161191.46000000002</v>
      </c>
    </row>
    <row r="3863" spans="1:5" x14ac:dyDescent="0.25">
      <c r="A3863" s="323" t="s">
        <v>812</v>
      </c>
      <c r="B3863" s="323" t="s">
        <v>805</v>
      </c>
      <c r="C3863" s="323">
        <v>41613</v>
      </c>
      <c r="D3863" s="323">
        <v>72</v>
      </c>
      <c r="E3863" s="324">
        <f t="shared" si="60"/>
        <v>17557.920000000002</v>
      </c>
    </row>
    <row r="3864" spans="1:5" x14ac:dyDescent="0.25">
      <c r="A3864" s="323" t="s">
        <v>1057</v>
      </c>
      <c r="B3864" s="323" t="s">
        <v>805</v>
      </c>
      <c r="C3864" s="323">
        <v>41613</v>
      </c>
      <c r="D3864" s="323">
        <v>82</v>
      </c>
      <c r="E3864" s="324">
        <f t="shared" si="60"/>
        <v>19996.52</v>
      </c>
    </row>
    <row r="3865" spans="1:5" x14ac:dyDescent="0.25">
      <c r="A3865" s="323" t="s">
        <v>2135</v>
      </c>
      <c r="B3865" s="323" t="s">
        <v>805</v>
      </c>
      <c r="C3865" s="323">
        <v>41613</v>
      </c>
      <c r="D3865" s="323">
        <v>106</v>
      </c>
      <c r="E3865" s="324">
        <f t="shared" si="60"/>
        <v>25849.16</v>
      </c>
    </row>
    <row r="3866" spans="1:5" x14ac:dyDescent="0.25">
      <c r="A3866" s="323" t="s">
        <v>2147</v>
      </c>
      <c r="B3866" s="323" t="s">
        <v>805</v>
      </c>
      <c r="C3866" s="323">
        <v>41613</v>
      </c>
      <c r="D3866" s="323">
        <v>149</v>
      </c>
      <c r="E3866" s="324">
        <f t="shared" si="60"/>
        <v>36335.14</v>
      </c>
    </row>
    <row r="3867" spans="1:5" x14ac:dyDescent="0.25">
      <c r="A3867" s="323" t="s">
        <v>2991</v>
      </c>
      <c r="B3867" s="323" t="s">
        <v>805</v>
      </c>
      <c r="C3867" s="323">
        <v>41613</v>
      </c>
      <c r="D3867" s="323">
        <v>65</v>
      </c>
      <c r="E3867" s="324">
        <f t="shared" si="60"/>
        <v>15850.900000000001</v>
      </c>
    </row>
    <row r="3868" spans="1:5" x14ac:dyDescent="0.25">
      <c r="A3868" s="323" t="s">
        <v>3045</v>
      </c>
      <c r="B3868" s="323" t="s">
        <v>805</v>
      </c>
      <c r="C3868" s="323">
        <v>41613</v>
      </c>
      <c r="D3868" s="323">
        <v>128</v>
      </c>
      <c r="E3868" s="324">
        <f t="shared" si="60"/>
        <v>31214.080000000002</v>
      </c>
    </row>
    <row r="3869" spans="1:5" x14ac:dyDescent="0.25">
      <c r="A3869" s="323" t="s">
        <v>3368</v>
      </c>
      <c r="B3869" s="323" t="s">
        <v>805</v>
      </c>
      <c r="C3869" s="323">
        <v>41613</v>
      </c>
      <c r="D3869" s="323">
        <v>121</v>
      </c>
      <c r="E3869" s="324">
        <f t="shared" si="60"/>
        <v>29507.06</v>
      </c>
    </row>
    <row r="3870" spans="1:5" x14ac:dyDescent="0.25">
      <c r="A3870" s="323" t="s">
        <v>3382</v>
      </c>
      <c r="B3870" s="323" t="s">
        <v>805</v>
      </c>
      <c r="C3870" s="323">
        <v>41613</v>
      </c>
      <c r="D3870" s="323">
        <v>77</v>
      </c>
      <c r="E3870" s="324">
        <f t="shared" si="60"/>
        <v>18777.22</v>
      </c>
    </row>
    <row r="3871" spans="1:5" x14ac:dyDescent="0.25">
      <c r="A3871" s="323" t="s">
        <v>3668</v>
      </c>
      <c r="B3871" s="323" t="s">
        <v>805</v>
      </c>
      <c r="C3871" s="323">
        <v>41613</v>
      </c>
      <c r="D3871" s="323">
        <v>131</v>
      </c>
      <c r="E3871" s="324">
        <f t="shared" si="60"/>
        <v>31945.660000000003</v>
      </c>
    </row>
    <row r="3872" spans="1:5" x14ac:dyDescent="0.25">
      <c r="A3872" s="323" t="s">
        <v>3668</v>
      </c>
      <c r="B3872" s="323" t="s">
        <v>805</v>
      </c>
      <c r="C3872" s="323">
        <v>41613</v>
      </c>
      <c r="D3872" s="323">
        <v>75</v>
      </c>
      <c r="E3872" s="324">
        <f t="shared" si="60"/>
        <v>18289.5</v>
      </c>
    </row>
    <row r="3873" spans="1:5" x14ac:dyDescent="0.25">
      <c r="A3873" s="323" t="s">
        <v>3699</v>
      </c>
      <c r="B3873" s="323" t="s">
        <v>805</v>
      </c>
      <c r="C3873" s="323">
        <v>41613</v>
      </c>
      <c r="D3873" s="323">
        <v>66</v>
      </c>
      <c r="E3873" s="324">
        <f t="shared" si="60"/>
        <v>16094.76</v>
      </c>
    </row>
    <row r="3874" spans="1:5" x14ac:dyDescent="0.25">
      <c r="A3874" s="323" t="s">
        <v>3893</v>
      </c>
      <c r="B3874" s="323" t="s">
        <v>805</v>
      </c>
      <c r="C3874" s="323">
        <v>41613</v>
      </c>
      <c r="D3874" s="323">
        <v>134</v>
      </c>
      <c r="E3874" s="324">
        <f t="shared" si="60"/>
        <v>32677.24</v>
      </c>
    </row>
    <row r="3875" spans="1:5" x14ac:dyDescent="0.25">
      <c r="A3875" s="323" t="s">
        <v>4056</v>
      </c>
      <c r="B3875" s="323" t="s">
        <v>805</v>
      </c>
      <c r="C3875" s="323">
        <v>41613</v>
      </c>
      <c r="D3875" s="323">
        <v>110</v>
      </c>
      <c r="E3875" s="324">
        <f t="shared" si="60"/>
        <v>26824.600000000002</v>
      </c>
    </row>
    <row r="3876" spans="1:5" x14ac:dyDescent="0.25">
      <c r="A3876" s="323" t="s">
        <v>4066</v>
      </c>
      <c r="B3876" s="323" t="s">
        <v>805</v>
      </c>
      <c r="C3876" s="323">
        <v>41613</v>
      </c>
      <c r="D3876" s="323">
        <v>76</v>
      </c>
      <c r="E3876" s="324">
        <f t="shared" si="60"/>
        <v>18533.36</v>
      </c>
    </row>
    <row r="3877" spans="1:5" x14ac:dyDescent="0.25">
      <c r="A3877" s="323" t="s">
        <v>4088</v>
      </c>
      <c r="B3877" s="323" t="s">
        <v>805</v>
      </c>
      <c r="C3877" s="323">
        <v>41613</v>
      </c>
      <c r="D3877" s="323">
        <v>55</v>
      </c>
      <c r="E3877" s="324">
        <f t="shared" si="60"/>
        <v>13412.300000000001</v>
      </c>
    </row>
    <row r="3878" spans="1:5" x14ac:dyDescent="0.25">
      <c r="A3878" s="323" t="s">
        <v>4200</v>
      </c>
      <c r="B3878" s="323" t="s">
        <v>805</v>
      </c>
      <c r="C3878" s="323">
        <v>41613</v>
      </c>
      <c r="D3878" s="323">
        <v>223</v>
      </c>
      <c r="E3878" s="324">
        <f t="shared" si="60"/>
        <v>54380.780000000006</v>
      </c>
    </row>
    <row r="3879" spans="1:5" x14ac:dyDescent="0.25">
      <c r="A3879" s="323" t="s">
        <v>4230</v>
      </c>
      <c r="B3879" s="323" t="s">
        <v>805</v>
      </c>
      <c r="C3879" s="323">
        <v>41613</v>
      </c>
      <c r="D3879" s="323">
        <v>98</v>
      </c>
      <c r="E3879" s="324">
        <f t="shared" si="60"/>
        <v>23898.280000000002</v>
      </c>
    </row>
    <row r="3880" spans="1:5" x14ac:dyDescent="0.25">
      <c r="A3880" s="323" t="s">
        <v>4338</v>
      </c>
      <c r="B3880" s="323" t="s">
        <v>805</v>
      </c>
      <c r="C3880" s="323">
        <v>41613</v>
      </c>
      <c r="D3880" s="323">
        <v>172</v>
      </c>
      <c r="E3880" s="324">
        <f t="shared" si="60"/>
        <v>41943.920000000006</v>
      </c>
    </row>
    <row r="3881" spans="1:5" x14ac:dyDescent="0.25">
      <c r="A3881" s="323" t="s">
        <v>4558</v>
      </c>
      <c r="B3881" s="323" t="s">
        <v>805</v>
      </c>
      <c r="C3881" s="323">
        <v>41613</v>
      </c>
      <c r="D3881" s="323">
        <v>205</v>
      </c>
      <c r="E3881" s="324">
        <f t="shared" si="60"/>
        <v>49991.3</v>
      </c>
    </row>
    <row r="3882" spans="1:5" x14ac:dyDescent="0.25">
      <c r="A3882" s="323" t="s">
        <v>4645</v>
      </c>
      <c r="B3882" s="323" t="s">
        <v>805</v>
      </c>
      <c r="C3882" s="323">
        <v>41613</v>
      </c>
      <c r="D3882" s="323">
        <v>183</v>
      </c>
      <c r="E3882" s="324">
        <f t="shared" si="60"/>
        <v>44626.380000000005</v>
      </c>
    </row>
    <row r="3883" spans="1:5" x14ac:dyDescent="0.25">
      <c r="A3883" s="323" t="s">
        <v>4710</v>
      </c>
      <c r="B3883" s="323" t="s">
        <v>805</v>
      </c>
      <c r="C3883" s="323">
        <v>41613</v>
      </c>
      <c r="D3883" s="323">
        <v>162</v>
      </c>
      <c r="E3883" s="324">
        <f t="shared" si="60"/>
        <v>39505.32</v>
      </c>
    </row>
    <row r="3884" spans="1:5" x14ac:dyDescent="0.25">
      <c r="A3884" s="323" t="s">
        <v>6114</v>
      </c>
      <c r="B3884" s="323" t="s">
        <v>805</v>
      </c>
      <c r="C3884" s="323">
        <v>41613</v>
      </c>
      <c r="D3884" s="323">
        <v>112</v>
      </c>
      <c r="E3884" s="324">
        <f t="shared" si="60"/>
        <v>27312.32</v>
      </c>
    </row>
    <row r="3885" spans="1:5" x14ac:dyDescent="0.25">
      <c r="A3885" s="323" t="s">
        <v>6510</v>
      </c>
      <c r="B3885" s="323" t="s">
        <v>816</v>
      </c>
      <c r="C3885" s="323">
        <v>41613</v>
      </c>
      <c r="D3885" s="323">
        <v>127</v>
      </c>
      <c r="E3885" s="324">
        <f t="shared" si="60"/>
        <v>46455.33</v>
      </c>
    </row>
    <row r="3886" spans="1:5" x14ac:dyDescent="0.25">
      <c r="A3886" s="323" t="s">
        <v>6526</v>
      </c>
      <c r="B3886" s="323" t="s">
        <v>809</v>
      </c>
      <c r="C3886" s="323">
        <v>41613</v>
      </c>
      <c r="D3886" s="323">
        <v>51</v>
      </c>
      <c r="E3886" s="324">
        <f t="shared" si="60"/>
        <v>24873.72</v>
      </c>
    </row>
    <row r="3887" spans="1:5" x14ac:dyDescent="0.25">
      <c r="A3887" s="323" t="s">
        <v>6526</v>
      </c>
      <c r="B3887" s="323" t="s">
        <v>803</v>
      </c>
      <c r="C3887" s="323">
        <v>41613</v>
      </c>
      <c r="D3887" s="323">
        <v>61</v>
      </c>
      <c r="E3887" s="324">
        <f t="shared" si="60"/>
        <v>29750.920000000002</v>
      </c>
    </row>
    <row r="3888" spans="1:5" x14ac:dyDescent="0.25">
      <c r="A3888" s="323" t="s">
        <v>2596</v>
      </c>
      <c r="B3888" s="323" t="s">
        <v>805</v>
      </c>
      <c r="C3888" s="323">
        <v>41616</v>
      </c>
      <c r="D3888" s="323">
        <v>225</v>
      </c>
      <c r="E3888" s="324">
        <f t="shared" si="60"/>
        <v>54868.5</v>
      </c>
    </row>
    <row r="3889" spans="1:5" x14ac:dyDescent="0.25">
      <c r="A3889" s="323" t="s">
        <v>5860</v>
      </c>
      <c r="B3889" s="323" t="s">
        <v>805</v>
      </c>
      <c r="C3889" s="323">
        <v>41616</v>
      </c>
      <c r="D3889" s="323">
        <v>110</v>
      </c>
      <c r="E3889" s="324">
        <f t="shared" si="60"/>
        <v>26824.600000000002</v>
      </c>
    </row>
    <row r="3890" spans="1:5" x14ac:dyDescent="0.25">
      <c r="A3890" s="323" t="s">
        <v>5870</v>
      </c>
      <c r="B3890" s="323" t="s">
        <v>805</v>
      </c>
      <c r="C3890" s="323">
        <v>41616</v>
      </c>
      <c r="D3890" s="323">
        <v>81</v>
      </c>
      <c r="E3890" s="324">
        <f t="shared" si="60"/>
        <v>19752.66</v>
      </c>
    </row>
    <row r="3891" spans="1:5" x14ac:dyDescent="0.25">
      <c r="A3891" s="323" t="s">
        <v>5879</v>
      </c>
      <c r="B3891" s="323" t="s">
        <v>805</v>
      </c>
      <c r="C3891" s="323">
        <v>41616</v>
      </c>
      <c r="D3891" s="323">
        <v>185</v>
      </c>
      <c r="E3891" s="324">
        <f t="shared" si="60"/>
        <v>45114.100000000006</v>
      </c>
    </row>
    <row r="3892" spans="1:5" x14ac:dyDescent="0.25">
      <c r="A3892" s="323" t="s">
        <v>5886</v>
      </c>
      <c r="B3892" s="323" t="s">
        <v>805</v>
      </c>
      <c r="C3892" s="323">
        <v>41616</v>
      </c>
      <c r="D3892" s="323">
        <v>152</v>
      </c>
      <c r="E3892" s="324">
        <f t="shared" si="60"/>
        <v>37066.720000000001</v>
      </c>
    </row>
    <row r="3893" spans="1:5" x14ac:dyDescent="0.25">
      <c r="A3893" s="323" t="s">
        <v>5902</v>
      </c>
      <c r="B3893" s="323" t="s">
        <v>805</v>
      </c>
      <c r="C3893" s="323">
        <v>41616</v>
      </c>
      <c r="D3893" s="323">
        <v>260</v>
      </c>
      <c r="E3893" s="324">
        <f t="shared" si="60"/>
        <v>63403.600000000006</v>
      </c>
    </row>
    <row r="3894" spans="1:5" x14ac:dyDescent="0.25">
      <c r="A3894" s="323" t="s">
        <v>5913</v>
      </c>
      <c r="B3894" s="323" t="s">
        <v>805</v>
      </c>
      <c r="C3894" s="323">
        <v>41616</v>
      </c>
      <c r="D3894" s="323">
        <v>109</v>
      </c>
      <c r="E3894" s="324">
        <f t="shared" si="60"/>
        <v>26580.74</v>
      </c>
    </row>
    <row r="3895" spans="1:5" x14ac:dyDescent="0.25">
      <c r="A3895" s="323" t="s">
        <v>5919</v>
      </c>
      <c r="B3895" s="323" t="s">
        <v>805</v>
      </c>
      <c r="C3895" s="323">
        <v>41616</v>
      </c>
      <c r="D3895" s="323">
        <v>241</v>
      </c>
      <c r="E3895" s="324">
        <f t="shared" si="60"/>
        <v>58770.26</v>
      </c>
    </row>
    <row r="3896" spans="1:5" x14ac:dyDescent="0.25">
      <c r="A3896" s="323" t="s">
        <v>5934</v>
      </c>
      <c r="B3896" s="323" t="s">
        <v>805</v>
      </c>
      <c r="C3896" s="323">
        <v>41616</v>
      </c>
      <c r="D3896" s="323">
        <v>133</v>
      </c>
      <c r="E3896" s="324">
        <f t="shared" si="60"/>
        <v>32433.38</v>
      </c>
    </row>
    <row r="3897" spans="1:5" x14ac:dyDescent="0.25">
      <c r="A3897" s="323" t="s">
        <v>5943</v>
      </c>
      <c r="B3897" s="323" t="s">
        <v>805</v>
      </c>
      <c r="C3897" s="323">
        <v>41616</v>
      </c>
      <c r="D3897" s="323">
        <v>224</v>
      </c>
      <c r="E3897" s="324">
        <f t="shared" si="60"/>
        <v>54624.639999999999</v>
      </c>
    </row>
    <row r="3898" spans="1:5" x14ac:dyDescent="0.25">
      <c r="A3898" s="323" t="s">
        <v>5953</v>
      </c>
      <c r="B3898" s="323" t="s">
        <v>805</v>
      </c>
      <c r="C3898" s="323">
        <v>41616</v>
      </c>
      <c r="D3898" s="323">
        <v>81</v>
      </c>
      <c r="E3898" s="324">
        <f t="shared" si="60"/>
        <v>19752.66</v>
      </c>
    </row>
    <row r="3899" spans="1:5" x14ac:dyDescent="0.25">
      <c r="A3899" s="323" t="s">
        <v>5967</v>
      </c>
      <c r="B3899" s="323" t="s">
        <v>805</v>
      </c>
      <c r="C3899" s="323">
        <v>41616</v>
      </c>
      <c r="D3899" s="323">
        <v>84</v>
      </c>
      <c r="E3899" s="324">
        <f t="shared" si="60"/>
        <v>20484.240000000002</v>
      </c>
    </row>
    <row r="3900" spans="1:5" x14ac:dyDescent="0.25">
      <c r="A3900" s="323" t="s">
        <v>5974</v>
      </c>
      <c r="B3900" s="323" t="s">
        <v>805</v>
      </c>
      <c r="C3900" s="323">
        <v>41616</v>
      </c>
      <c r="D3900" s="323">
        <v>110</v>
      </c>
      <c r="E3900" s="324">
        <f t="shared" si="60"/>
        <v>26824.600000000002</v>
      </c>
    </row>
    <row r="3901" spans="1:5" x14ac:dyDescent="0.25">
      <c r="A3901" s="323" t="s">
        <v>5979</v>
      </c>
      <c r="B3901" s="323" t="s">
        <v>805</v>
      </c>
      <c r="C3901" s="323">
        <v>41616</v>
      </c>
      <c r="D3901" s="323">
        <v>147</v>
      </c>
      <c r="E3901" s="324">
        <f t="shared" si="60"/>
        <v>35847.420000000006</v>
      </c>
    </row>
    <row r="3902" spans="1:5" x14ac:dyDescent="0.25">
      <c r="A3902" s="323" t="s">
        <v>5983</v>
      </c>
      <c r="B3902" s="323" t="s">
        <v>805</v>
      </c>
      <c r="C3902" s="323">
        <v>41616</v>
      </c>
      <c r="D3902" s="323">
        <v>162</v>
      </c>
      <c r="E3902" s="324">
        <f t="shared" si="60"/>
        <v>39505.32</v>
      </c>
    </row>
    <row r="3903" spans="1:5" x14ac:dyDescent="0.25">
      <c r="A3903" s="323" t="s">
        <v>6007</v>
      </c>
      <c r="B3903" s="323" t="s">
        <v>805</v>
      </c>
      <c r="C3903" s="323">
        <v>41616</v>
      </c>
      <c r="D3903" s="323">
        <v>174</v>
      </c>
      <c r="E3903" s="324">
        <f t="shared" si="60"/>
        <v>42431.64</v>
      </c>
    </row>
    <row r="3904" spans="1:5" x14ac:dyDescent="0.25">
      <c r="A3904" s="323" t="s">
        <v>6007</v>
      </c>
      <c r="B3904" s="323" t="s">
        <v>805</v>
      </c>
      <c r="C3904" s="323">
        <v>41616</v>
      </c>
      <c r="D3904" s="323">
        <v>49</v>
      </c>
      <c r="E3904" s="324">
        <f t="shared" si="60"/>
        <v>11949.140000000001</v>
      </c>
    </row>
    <row r="3905" spans="1:5" x14ac:dyDescent="0.25">
      <c r="A3905" s="323" t="s">
        <v>6011</v>
      </c>
      <c r="B3905" s="323" t="s">
        <v>805</v>
      </c>
      <c r="C3905" s="323">
        <v>41616</v>
      </c>
      <c r="D3905" s="323">
        <v>140</v>
      </c>
      <c r="E3905" s="324">
        <f t="shared" si="60"/>
        <v>34140.400000000001</v>
      </c>
    </row>
    <row r="3906" spans="1:5" x14ac:dyDescent="0.25">
      <c r="A3906" s="323" t="s">
        <v>6015</v>
      </c>
      <c r="B3906" s="323" t="s">
        <v>805</v>
      </c>
      <c r="C3906" s="323">
        <v>41616</v>
      </c>
      <c r="D3906" s="323">
        <v>110</v>
      </c>
      <c r="E3906" s="324">
        <f t="shared" ref="E3906:E3969" si="61">D3906*IF(B3906=$G$9,WerkdrukbedragPerLeerlingBo,IF(B3906=$G$10,WerkdrukbedragPerLeerlingSbo,IF(B3906=$G$11,WerkdrukbedragPerLeerlingSo,IF(B3906=$G$12,WerkdrukbedragPerLeerlingVso,0))))</f>
        <v>26824.600000000002</v>
      </c>
    </row>
    <row r="3907" spans="1:5" x14ac:dyDescent="0.25">
      <c r="A3907" s="323" t="s">
        <v>6020</v>
      </c>
      <c r="B3907" s="323" t="s">
        <v>805</v>
      </c>
      <c r="C3907" s="323">
        <v>41616</v>
      </c>
      <c r="D3907" s="323">
        <v>92</v>
      </c>
      <c r="E3907" s="324">
        <f t="shared" si="61"/>
        <v>22435.120000000003</v>
      </c>
    </row>
    <row r="3908" spans="1:5" x14ac:dyDescent="0.25">
      <c r="A3908" s="323" t="s">
        <v>6031</v>
      </c>
      <c r="B3908" s="323" t="s">
        <v>805</v>
      </c>
      <c r="C3908" s="323">
        <v>41616</v>
      </c>
      <c r="D3908" s="323">
        <v>344</v>
      </c>
      <c r="E3908" s="324">
        <f t="shared" si="61"/>
        <v>83887.840000000011</v>
      </c>
    </row>
    <row r="3909" spans="1:5" x14ac:dyDescent="0.25">
      <c r="A3909" s="323" t="s">
        <v>6639</v>
      </c>
      <c r="B3909" s="323" t="s">
        <v>816</v>
      </c>
      <c r="C3909" s="323">
        <v>41616</v>
      </c>
      <c r="D3909" s="323">
        <v>130</v>
      </c>
      <c r="E3909" s="324">
        <f t="shared" si="61"/>
        <v>47552.700000000004</v>
      </c>
    </row>
    <row r="3910" spans="1:5" x14ac:dyDescent="0.25">
      <c r="A3910" s="323" t="s">
        <v>6975</v>
      </c>
      <c r="B3910" s="323" t="s">
        <v>805</v>
      </c>
      <c r="C3910" s="323">
        <v>41616</v>
      </c>
      <c r="D3910" s="323">
        <v>81</v>
      </c>
      <c r="E3910" s="324">
        <f t="shared" si="61"/>
        <v>19752.66</v>
      </c>
    </row>
    <row r="3911" spans="1:5" x14ac:dyDescent="0.25">
      <c r="A3911" s="323" t="s">
        <v>7304</v>
      </c>
      <c r="B3911" s="323" t="s">
        <v>805</v>
      </c>
      <c r="C3911" s="323">
        <v>41616</v>
      </c>
      <c r="D3911" s="323">
        <v>133</v>
      </c>
      <c r="E3911" s="324">
        <f t="shared" si="61"/>
        <v>32433.38</v>
      </c>
    </row>
    <row r="3912" spans="1:5" x14ac:dyDescent="0.25">
      <c r="A3912" s="323" t="s">
        <v>1442</v>
      </c>
      <c r="B3912" s="323" t="s">
        <v>805</v>
      </c>
      <c r="C3912" s="323">
        <v>41617</v>
      </c>
      <c r="D3912" s="323">
        <v>212</v>
      </c>
      <c r="E3912" s="324">
        <f t="shared" si="61"/>
        <v>51698.32</v>
      </c>
    </row>
    <row r="3913" spans="1:5" x14ac:dyDescent="0.25">
      <c r="A3913" s="323" t="s">
        <v>4831</v>
      </c>
      <c r="B3913" s="323" t="s">
        <v>805</v>
      </c>
      <c r="C3913" s="323">
        <v>41617</v>
      </c>
      <c r="D3913" s="323">
        <v>423</v>
      </c>
      <c r="E3913" s="324">
        <f t="shared" si="61"/>
        <v>103152.78</v>
      </c>
    </row>
    <row r="3914" spans="1:5" x14ac:dyDescent="0.25">
      <c r="A3914" s="323" t="s">
        <v>4921</v>
      </c>
      <c r="B3914" s="323" t="s">
        <v>805</v>
      </c>
      <c r="C3914" s="323">
        <v>41617</v>
      </c>
      <c r="D3914" s="323">
        <v>123</v>
      </c>
      <c r="E3914" s="324">
        <f t="shared" si="61"/>
        <v>29994.780000000002</v>
      </c>
    </row>
    <row r="3915" spans="1:5" x14ac:dyDescent="0.25">
      <c r="A3915" s="323" t="s">
        <v>5001</v>
      </c>
      <c r="B3915" s="323" t="s">
        <v>805</v>
      </c>
      <c r="C3915" s="323">
        <v>41617</v>
      </c>
      <c r="D3915" s="323">
        <v>221</v>
      </c>
      <c r="E3915" s="324">
        <f t="shared" si="61"/>
        <v>53893.060000000005</v>
      </c>
    </row>
    <row r="3916" spans="1:5" x14ac:dyDescent="0.25">
      <c r="A3916" s="323" t="s">
        <v>5039</v>
      </c>
      <c r="B3916" s="323" t="s">
        <v>805</v>
      </c>
      <c r="C3916" s="323">
        <v>41617</v>
      </c>
      <c r="D3916" s="323">
        <v>112</v>
      </c>
      <c r="E3916" s="324">
        <f t="shared" si="61"/>
        <v>27312.32</v>
      </c>
    </row>
    <row r="3917" spans="1:5" x14ac:dyDescent="0.25">
      <c r="A3917" s="323" t="s">
        <v>5092</v>
      </c>
      <c r="B3917" s="323" t="s">
        <v>805</v>
      </c>
      <c r="C3917" s="323">
        <v>41617</v>
      </c>
      <c r="D3917" s="323">
        <v>142</v>
      </c>
      <c r="E3917" s="324">
        <f t="shared" si="61"/>
        <v>34628.120000000003</v>
      </c>
    </row>
    <row r="3918" spans="1:5" x14ac:dyDescent="0.25">
      <c r="A3918" s="323" t="s">
        <v>5242</v>
      </c>
      <c r="B3918" s="323" t="s">
        <v>805</v>
      </c>
      <c r="C3918" s="323">
        <v>41617</v>
      </c>
      <c r="D3918" s="323">
        <v>123</v>
      </c>
      <c r="E3918" s="324">
        <f t="shared" si="61"/>
        <v>29994.780000000002</v>
      </c>
    </row>
    <row r="3919" spans="1:5" x14ac:dyDescent="0.25">
      <c r="A3919" s="323" t="s">
        <v>5281</v>
      </c>
      <c r="B3919" s="323" t="s">
        <v>805</v>
      </c>
      <c r="C3919" s="323">
        <v>41617</v>
      </c>
      <c r="D3919" s="323">
        <v>48</v>
      </c>
      <c r="E3919" s="324">
        <f t="shared" si="61"/>
        <v>11705.28</v>
      </c>
    </row>
    <row r="3920" spans="1:5" x14ac:dyDescent="0.25">
      <c r="A3920" s="323" t="s">
        <v>5351</v>
      </c>
      <c r="B3920" s="323" t="s">
        <v>805</v>
      </c>
      <c r="C3920" s="323">
        <v>41617</v>
      </c>
      <c r="D3920" s="323">
        <v>46</v>
      </c>
      <c r="E3920" s="324">
        <f t="shared" si="61"/>
        <v>11217.560000000001</v>
      </c>
    </row>
    <row r="3921" spans="1:5" x14ac:dyDescent="0.25">
      <c r="A3921" s="323" t="s">
        <v>5378</v>
      </c>
      <c r="B3921" s="323" t="s">
        <v>805</v>
      </c>
      <c r="C3921" s="323">
        <v>41617</v>
      </c>
      <c r="D3921" s="323">
        <v>135</v>
      </c>
      <c r="E3921" s="324">
        <f t="shared" si="61"/>
        <v>32921.1</v>
      </c>
    </row>
    <row r="3922" spans="1:5" x14ac:dyDescent="0.25">
      <c r="A3922" s="323" t="s">
        <v>6480</v>
      </c>
      <c r="B3922" s="323" t="s">
        <v>816</v>
      </c>
      <c r="C3922" s="323">
        <v>41617</v>
      </c>
      <c r="D3922" s="323">
        <v>89</v>
      </c>
      <c r="E3922" s="324">
        <f t="shared" si="61"/>
        <v>32555.31</v>
      </c>
    </row>
    <row r="3923" spans="1:5" x14ac:dyDescent="0.25">
      <c r="A3923" s="323" t="s">
        <v>1521</v>
      </c>
      <c r="B3923" s="323" t="s">
        <v>805</v>
      </c>
      <c r="C3923" s="323">
        <v>41621</v>
      </c>
      <c r="D3923" s="323">
        <v>86</v>
      </c>
      <c r="E3923" s="324">
        <f t="shared" si="61"/>
        <v>20971.960000000003</v>
      </c>
    </row>
    <row r="3924" spans="1:5" x14ac:dyDescent="0.25">
      <c r="A3924" s="323" t="s">
        <v>1910</v>
      </c>
      <c r="B3924" s="323" t="s">
        <v>805</v>
      </c>
      <c r="C3924" s="323">
        <v>41621</v>
      </c>
      <c r="D3924" s="323">
        <v>189</v>
      </c>
      <c r="E3924" s="324">
        <f t="shared" si="61"/>
        <v>46089.54</v>
      </c>
    </row>
    <row r="3925" spans="1:5" x14ac:dyDescent="0.25">
      <c r="A3925" s="323" t="s">
        <v>1992</v>
      </c>
      <c r="B3925" s="323" t="s">
        <v>805</v>
      </c>
      <c r="C3925" s="323">
        <v>41621</v>
      </c>
      <c r="D3925" s="323">
        <v>220</v>
      </c>
      <c r="E3925" s="324">
        <f t="shared" si="61"/>
        <v>53649.200000000004</v>
      </c>
    </row>
    <row r="3926" spans="1:5" x14ac:dyDescent="0.25">
      <c r="A3926" s="323" t="s">
        <v>2904</v>
      </c>
      <c r="B3926" s="323" t="s">
        <v>805</v>
      </c>
      <c r="C3926" s="323">
        <v>41621</v>
      </c>
      <c r="D3926" s="323">
        <v>211</v>
      </c>
      <c r="E3926" s="324">
        <f t="shared" si="61"/>
        <v>51454.460000000006</v>
      </c>
    </row>
    <row r="3927" spans="1:5" x14ac:dyDescent="0.25">
      <c r="A3927" s="323" t="s">
        <v>2940</v>
      </c>
      <c r="B3927" s="323" t="s">
        <v>805</v>
      </c>
      <c r="C3927" s="323">
        <v>41621</v>
      </c>
      <c r="D3927" s="323">
        <v>170</v>
      </c>
      <c r="E3927" s="324">
        <f t="shared" si="61"/>
        <v>41456.200000000004</v>
      </c>
    </row>
    <row r="3928" spans="1:5" x14ac:dyDescent="0.25">
      <c r="A3928" s="323" t="s">
        <v>3261</v>
      </c>
      <c r="B3928" s="323" t="s">
        <v>805</v>
      </c>
      <c r="C3928" s="323">
        <v>41621</v>
      </c>
      <c r="D3928" s="323">
        <v>309</v>
      </c>
      <c r="E3928" s="324">
        <f t="shared" si="61"/>
        <v>75352.740000000005</v>
      </c>
    </row>
    <row r="3929" spans="1:5" x14ac:dyDescent="0.25">
      <c r="A3929" s="323" t="s">
        <v>3576</v>
      </c>
      <c r="B3929" s="323" t="s">
        <v>805</v>
      </c>
      <c r="C3929" s="323">
        <v>41621</v>
      </c>
      <c r="D3929" s="323">
        <v>270</v>
      </c>
      <c r="E3929" s="324">
        <f t="shared" si="61"/>
        <v>65842.2</v>
      </c>
    </row>
    <row r="3930" spans="1:5" x14ac:dyDescent="0.25">
      <c r="A3930" s="323" t="s">
        <v>4192</v>
      </c>
      <c r="B3930" s="323" t="s">
        <v>805</v>
      </c>
      <c r="C3930" s="323">
        <v>41621</v>
      </c>
      <c r="D3930" s="323">
        <v>274</v>
      </c>
      <c r="E3930" s="324">
        <f t="shared" si="61"/>
        <v>66817.64</v>
      </c>
    </row>
    <row r="3931" spans="1:5" x14ac:dyDescent="0.25">
      <c r="A3931" s="323" t="s">
        <v>836</v>
      </c>
      <c r="B3931" s="323" t="s">
        <v>805</v>
      </c>
      <c r="C3931" s="323">
        <v>41624</v>
      </c>
      <c r="D3931" s="323">
        <v>75</v>
      </c>
      <c r="E3931" s="324">
        <f t="shared" si="61"/>
        <v>18289.5</v>
      </c>
    </row>
    <row r="3932" spans="1:5" x14ac:dyDescent="0.25">
      <c r="A3932" s="323" t="s">
        <v>1088</v>
      </c>
      <c r="B3932" s="323" t="s">
        <v>805</v>
      </c>
      <c r="C3932" s="323">
        <v>41624</v>
      </c>
      <c r="D3932" s="323">
        <v>213</v>
      </c>
      <c r="E3932" s="324">
        <f t="shared" si="61"/>
        <v>51942.18</v>
      </c>
    </row>
    <row r="3933" spans="1:5" x14ac:dyDescent="0.25">
      <c r="A3933" s="323" t="s">
        <v>1488</v>
      </c>
      <c r="B3933" s="323" t="s">
        <v>805</v>
      </c>
      <c r="C3933" s="323">
        <v>41624</v>
      </c>
      <c r="D3933" s="323">
        <v>124</v>
      </c>
      <c r="E3933" s="324">
        <f t="shared" si="61"/>
        <v>30238.640000000003</v>
      </c>
    </row>
    <row r="3934" spans="1:5" x14ac:dyDescent="0.25">
      <c r="A3934" s="323" t="s">
        <v>2308</v>
      </c>
      <c r="B3934" s="323" t="s">
        <v>805</v>
      </c>
      <c r="C3934" s="323">
        <v>41624</v>
      </c>
      <c r="D3934" s="323">
        <v>123</v>
      </c>
      <c r="E3934" s="324">
        <f t="shared" si="61"/>
        <v>29994.780000000002</v>
      </c>
    </row>
    <row r="3935" spans="1:5" x14ac:dyDescent="0.25">
      <c r="A3935" s="323" t="s">
        <v>2683</v>
      </c>
      <c r="B3935" s="323" t="s">
        <v>805</v>
      </c>
      <c r="C3935" s="323">
        <v>41624</v>
      </c>
      <c r="D3935" s="323">
        <v>115</v>
      </c>
      <c r="E3935" s="324">
        <f t="shared" si="61"/>
        <v>28043.9</v>
      </c>
    </row>
    <row r="3936" spans="1:5" x14ac:dyDescent="0.25">
      <c r="A3936" s="323" t="s">
        <v>2688</v>
      </c>
      <c r="B3936" s="323" t="s">
        <v>805</v>
      </c>
      <c r="C3936" s="323">
        <v>41624</v>
      </c>
      <c r="D3936" s="323">
        <v>137</v>
      </c>
      <c r="E3936" s="324">
        <f t="shared" si="61"/>
        <v>33408.82</v>
      </c>
    </row>
    <row r="3937" spans="1:5" x14ac:dyDescent="0.25">
      <c r="A3937" s="323" t="s">
        <v>3223</v>
      </c>
      <c r="B3937" s="323" t="s">
        <v>805</v>
      </c>
      <c r="C3937" s="323">
        <v>41624</v>
      </c>
      <c r="D3937" s="323">
        <v>176</v>
      </c>
      <c r="E3937" s="324">
        <f t="shared" si="61"/>
        <v>42919.360000000001</v>
      </c>
    </row>
    <row r="3938" spans="1:5" x14ac:dyDescent="0.25">
      <c r="A3938" s="323" t="s">
        <v>3233</v>
      </c>
      <c r="B3938" s="323" t="s">
        <v>805</v>
      </c>
      <c r="C3938" s="323">
        <v>41624</v>
      </c>
      <c r="D3938" s="323">
        <v>152</v>
      </c>
      <c r="E3938" s="324">
        <f t="shared" si="61"/>
        <v>37066.720000000001</v>
      </c>
    </row>
    <row r="3939" spans="1:5" x14ac:dyDescent="0.25">
      <c r="A3939" s="323" t="s">
        <v>3555</v>
      </c>
      <c r="B3939" s="323" t="s">
        <v>805</v>
      </c>
      <c r="C3939" s="323">
        <v>41624</v>
      </c>
      <c r="D3939" s="323">
        <v>343</v>
      </c>
      <c r="E3939" s="324">
        <f t="shared" si="61"/>
        <v>83643.98000000001</v>
      </c>
    </row>
    <row r="3940" spans="1:5" x14ac:dyDescent="0.25">
      <c r="A3940" s="323" t="s">
        <v>6788</v>
      </c>
      <c r="B3940" s="323" t="s">
        <v>805</v>
      </c>
      <c r="C3940" s="323">
        <v>41624</v>
      </c>
      <c r="D3940" s="323">
        <v>149</v>
      </c>
      <c r="E3940" s="324">
        <f t="shared" si="61"/>
        <v>36335.14</v>
      </c>
    </row>
    <row r="3941" spans="1:5" x14ac:dyDescent="0.25">
      <c r="A3941" s="323" t="s">
        <v>6936</v>
      </c>
      <c r="B3941" s="323" t="s">
        <v>805</v>
      </c>
      <c r="C3941" s="323">
        <v>41624</v>
      </c>
      <c r="D3941" s="323">
        <v>101</v>
      </c>
      <c r="E3941" s="324">
        <f t="shared" si="61"/>
        <v>24629.86</v>
      </c>
    </row>
    <row r="3942" spans="1:5" x14ac:dyDescent="0.25">
      <c r="A3942" s="323" t="s">
        <v>6969</v>
      </c>
      <c r="B3942" s="323" t="s">
        <v>805</v>
      </c>
      <c r="C3942" s="323">
        <v>41624</v>
      </c>
      <c r="D3942" s="323">
        <v>67</v>
      </c>
      <c r="E3942" s="324">
        <f t="shared" si="61"/>
        <v>16338.62</v>
      </c>
    </row>
    <row r="3943" spans="1:5" x14ac:dyDescent="0.25">
      <c r="A3943" s="323" t="s">
        <v>5465</v>
      </c>
      <c r="B3943" s="323" t="s">
        <v>805</v>
      </c>
      <c r="C3943" s="323">
        <v>41626</v>
      </c>
      <c r="D3943" s="323">
        <v>317</v>
      </c>
      <c r="E3943" s="324">
        <f t="shared" si="61"/>
        <v>77303.62000000001</v>
      </c>
    </row>
    <row r="3944" spans="1:5" x14ac:dyDescent="0.25">
      <c r="A3944" s="323" t="s">
        <v>1441</v>
      </c>
      <c r="B3944" s="323" t="s">
        <v>805</v>
      </c>
      <c r="C3944" s="323">
        <v>41629</v>
      </c>
      <c r="D3944" s="323">
        <v>174</v>
      </c>
      <c r="E3944" s="324">
        <f t="shared" si="61"/>
        <v>42431.64</v>
      </c>
    </row>
    <row r="3945" spans="1:5" x14ac:dyDescent="0.25">
      <c r="A3945" s="323" t="s">
        <v>2094</v>
      </c>
      <c r="B3945" s="323" t="s">
        <v>805</v>
      </c>
      <c r="C3945" s="323">
        <v>41629</v>
      </c>
      <c r="D3945" s="323">
        <v>64</v>
      </c>
      <c r="E3945" s="324">
        <f t="shared" si="61"/>
        <v>15607.04</v>
      </c>
    </row>
    <row r="3946" spans="1:5" x14ac:dyDescent="0.25">
      <c r="A3946" s="323" t="s">
        <v>3009</v>
      </c>
      <c r="B3946" s="323" t="s">
        <v>805</v>
      </c>
      <c r="C3946" s="323">
        <v>41629</v>
      </c>
      <c r="D3946" s="323">
        <v>64</v>
      </c>
      <c r="E3946" s="324">
        <f t="shared" si="61"/>
        <v>15607.04</v>
      </c>
    </row>
    <row r="3947" spans="1:5" x14ac:dyDescent="0.25">
      <c r="A3947" s="323" t="s">
        <v>4530</v>
      </c>
      <c r="B3947" s="323" t="s">
        <v>805</v>
      </c>
      <c r="C3947" s="323">
        <v>41629</v>
      </c>
      <c r="D3947" s="323">
        <v>66</v>
      </c>
      <c r="E3947" s="324">
        <f t="shared" si="61"/>
        <v>16094.76</v>
      </c>
    </row>
    <row r="3948" spans="1:5" x14ac:dyDescent="0.25">
      <c r="A3948" s="323" t="s">
        <v>4624</v>
      </c>
      <c r="B3948" s="323" t="s">
        <v>805</v>
      </c>
      <c r="C3948" s="323">
        <v>41629</v>
      </c>
      <c r="D3948" s="323">
        <v>487</v>
      </c>
      <c r="E3948" s="324">
        <f t="shared" si="61"/>
        <v>118759.82</v>
      </c>
    </row>
    <row r="3949" spans="1:5" x14ac:dyDescent="0.25">
      <c r="A3949" s="323" t="s">
        <v>4827</v>
      </c>
      <c r="B3949" s="323" t="s">
        <v>805</v>
      </c>
      <c r="C3949" s="323">
        <v>41629</v>
      </c>
      <c r="D3949" s="323">
        <v>162</v>
      </c>
      <c r="E3949" s="324">
        <f t="shared" si="61"/>
        <v>39505.32</v>
      </c>
    </row>
    <row r="3950" spans="1:5" x14ac:dyDescent="0.25">
      <c r="A3950" s="323" t="s">
        <v>4872</v>
      </c>
      <c r="B3950" s="323" t="s">
        <v>805</v>
      </c>
      <c r="C3950" s="323">
        <v>41629</v>
      </c>
      <c r="D3950" s="323">
        <v>127</v>
      </c>
      <c r="E3950" s="324">
        <f t="shared" si="61"/>
        <v>30970.22</v>
      </c>
    </row>
    <row r="3951" spans="1:5" x14ac:dyDescent="0.25">
      <c r="A3951" s="323" t="s">
        <v>6476</v>
      </c>
      <c r="B3951" s="323" t="s">
        <v>816</v>
      </c>
      <c r="C3951" s="323">
        <v>41629</v>
      </c>
      <c r="D3951" s="323">
        <v>121</v>
      </c>
      <c r="E3951" s="324">
        <f t="shared" si="61"/>
        <v>44260.590000000004</v>
      </c>
    </row>
    <row r="3952" spans="1:5" x14ac:dyDescent="0.25">
      <c r="A3952" s="323" t="s">
        <v>6504</v>
      </c>
      <c r="B3952" s="323" t="s">
        <v>809</v>
      </c>
      <c r="C3952" s="323">
        <v>41629</v>
      </c>
      <c r="D3952" s="323">
        <v>53</v>
      </c>
      <c r="E3952" s="324">
        <f t="shared" si="61"/>
        <v>25849.16</v>
      </c>
    </row>
    <row r="3953" spans="1:5" x14ac:dyDescent="0.25">
      <c r="A3953" s="323" t="s">
        <v>6504</v>
      </c>
      <c r="B3953" s="323" t="s">
        <v>803</v>
      </c>
      <c r="C3953" s="323">
        <v>41629</v>
      </c>
      <c r="D3953" s="323">
        <v>62</v>
      </c>
      <c r="E3953" s="324">
        <f t="shared" si="61"/>
        <v>30238.640000000003</v>
      </c>
    </row>
    <row r="3954" spans="1:5" x14ac:dyDescent="0.25">
      <c r="A3954" s="323" t="s">
        <v>1040</v>
      </c>
      <c r="B3954" s="323" t="s">
        <v>805</v>
      </c>
      <c r="C3954" s="323">
        <v>41630</v>
      </c>
      <c r="D3954" s="323">
        <v>69</v>
      </c>
      <c r="E3954" s="324">
        <f t="shared" si="61"/>
        <v>16826.34</v>
      </c>
    </row>
    <row r="3955" spans="1:5" x14ac:dyDescent="0.25">
      <c r="A3955" s="323" t="s">
        <v>1062</v>
      </c>
      <c r="B3955" s="323" t="s">
        <v>805</v>
      </c>
      <c r="C3955" s="323">
        <v>41630</v>
      </c>
      <c r="D3955" s="323">
        <v>38</v>
      </c>
      <c r="E3955" s="324">
        <f t="shared" si="61"/>
        <v>9266.68</v>
      </c>
    </row>
    <row r="3956" spans="1:5" x14ac:dyDescent="0.25">
      <c r="A3956" s="323" t="s">
        <v>2091</v>
      </c>
      <c r="B3956" s="323" t="s">
        <v>805</v>
      </c>
      <c r="C3956" s="323">
        <v>41630</v>
      </c>
      <c r="D3956" s="323">
        <v>73</v>
      </c>
      <c r="E3956" s="324">
        <f t="shared" si="61"/>
        <v>17801.780000000002</v>
      </c>
    </row>
    <row r="3957" spans="1:5" x14ac:dyDescent="0.25">
      <c r="A3957" s="323" t="s">
        <v>2128</v>
      </c>
      <c r="B3957" s="323" t="s">
        <v>805</v>
      </c>
      <c r="C3957" s="323">
        <v>41630</v>
      </c>
      <c r="D3957" s="323">
        <v>121</v>
      </c>
      <c r="E3957" s="324">
        <f t="shared" si="61"/>
        <v>29507.06</v>
      </c>
    </row>
    <row r="3958" spans="1:5" x14ac:dyDescent="0.25">
      <c r="A3958" s="323" t="s">
        <v>3008</v>
      </c>
      <c r="B3958" s="323" t="s">
        <v>805</v>
      </c>
      <c r="C3958" s="323">
        <v>41630</v>
      </c>
      <c r="D3958" s="323">
        <v>99</v>
      </c>
      <c r="E3958" s="324">
        <f t="shared" si="61"/>
        <v>24142.140000000003</v>
      </c>
    </row>
    <row r="3959" spans="1:5" x14ac:dyDescent="0.25">
      <c r="A3959" s="323" t="s">
        <v>3410</v>
      </c>
      <c r="B3959" s="323" t="s">
        <v>805</v>
      </c>
      <c r="C3959" s="323">
        <v>41630</v>
      </c>
      <c r="D3959" s="323">
        <v>107</v>
      </c>
      <c r="E3959" s="324">
        <f t="shared" si="61"/>
        <v>26093.02</v>
      </c>
    </row>
    <row r="3960" spans="1:5" x14ac:dyDescent="0.25">
      <c r="A3960" s="323" t="s">
        <v>3675</v>
      </c>
      <c r="B3960" s="323" t="s">
        <v>805</v>
      </c>
      <c r="C3960" s="323">
        <v>41630</v>
      </c>
      <c r="D3960" s="323">
        <v>76</v>
      </c>
      <c r="E3960" s="324">
        <f t="shared" si="61"/>
        <v>18533.36</v>
      </c>
    </row>
    <row r="3961" spans="1:5" x14ac:dyDescent="0.25">
      <c r="A3961" s="323" t="s">
        <v>3688</v>
      </c>
      <c r="B3961" s="323" t="s">
        <v>805</v>
      </c>
      <c r="C3961" s="323">
        <v>41630</v>
      </c>
      <c r="D3961" s="323">
        <v>62</v>
      </c>
      <c r="E3961" s="324">
        <f t="shared" si="61"/>
        <v>15119.320000000002</v>
      </c>
    </row>
    <row r="3962" spans="1:5" x14ac:dyDescent="0.25">
      <c r="A3962" s="323" t="s">
        <v>3890</v>
      </c>
      <c r="B3962" s="323" t="s">
        <v>805</v>
      </c>
      <c r="C3962" s="323">
        <v>41630</v>
      </c>
      <c r="D3962" s="323">
        <v>99</v>
      </c>
      <c r="E3962" s="324">
        <f t="shared" si="61"/>
        <v>24142.140000000003</v>
      </c>
    </row>
    <row r="3963" spans="1:5" x14ac:dyDescent="0.25">
      <c r="A3963" s="323" t="s">
        <v>3899</v>
      </c>
      <c r="B3963" s="323" t="s">
        <v>805</v>
      </c>
      <c r="C3963" s="323">
        <v>41630</v>
      </c>
      <c r="D3963" s="323">
        <v>135</v>
      </c>
      <c r="E3963" s="324">
        <f t="shared" si="61"/>
        <v>32921.1</v>
      </c>
    </row>
    <row r="3964" spans="1:5" x14ac:dyDescent="0.25">
      <c r="A3964" s="323" t="s">
        <v>4061</v>
      </c>
      <c r="B3964" s="323" t="s">
        <v>805</v>
      </c>
      <c r="C3964" s="323">
        <v>41630</v>
      </c>
      <c r="D3964" s="323">
        <v>34</v>
      </c>
      <c r="E3964" s="324">
        <f t="shared" si="61"/>
        <v>8291.24</v>
      </c>
    </row>
    <row r="3965" spans="1:5" x14ac:dyDescent="0.25">
      <c r="A3965" s="323" t="s">
        <v>4072</v>
      </c>
      <c r="B3965" s="323" t="s">
        <v>805</v>
      </c>
      <c r="C3965" s="323">
        <v>41630</v>
      </c>
      <c r="D3965" s="323">
        <v>103</v>
      </c>
      <c r="E3965" s="324">
        <f t="shared" si="61"/>
        <v>25117.58</v>
      </c>
    </row>
    <row r="3966" spans="1:5" x14ac:dyDescent="0.25">
      <c r="A3966" s="323" t="s">
        <v>4072</v>
      </c>
      <c r="B3966" s="323" t="s">
        <v>805</v>
      </c>
      <c r="C3966" s="323">
        <v>41630</v>
      </c>
      <c r="D3966" s="323">
        <v>43</v>
      </c>
      <c r="E3966" s="324">
        <f t="shared" si="61"/>
        <v>10485.980000000001</v>
      </c>
    </row>
    <row r="3967" spans="1:5" x14ac:dyDescent="0.25">
      <c r="A3967" s="323" t="s">
        <v>4084</v>
      </c>
      <c r="B3967" s="323" t="s">
        <v>805</v>
      </c>
      <c r="C3967" s="323">
        <v>41630</v>
      </c>
      <c r="D3967" s="323">
        <v>69</v>
      </c>
      <c r="E3967" s="324">
        <f t="shared" si="61"/>
        <v>16826.34</v>
      </c>
    </row>
    <row r="3968" spans="1:5" x14ac:dyDescent="0.25">
      <c r="A3968" s="323" t="s">
        <v>4537</v>
      </c>
      <c r="B3968" s="323" t="s">
        <v>805</v>
      </c>
      <c r="C3968" s="323">
        <v>41630</v>
      </c>
      <c r="D3968" s="323">
        <v>133</v>
      </c>
      <c r="E3968" s="324">
        <f t="shared" si="61"/>
        <v>32433.38</v>
      </c>
    </row>
    <row r="3969" spans="1:5" x14ac:dyDescent="0.25">
      <c r="A3969" s="323" t="s">
        <v>4699</v>
      </c>
      <c r="B3969" s="323" t="s">
        <v>805</v>
      </c>
      <c r="C3969" s="323">
        <v>41630</v>
      </c>
      <c r="D3969" s="323">
        <v>117</v>
      </c>
      <c r="E3969" s="324">
        <f t="shared" si="61"/>
        <v>28531.620000000003</v>
      </c>
    </row>
    <row r="3970" spans="1:5" x14ac:dyDescent="0.25">
      <c r="A3970" s="323" t="s">
        <v>4768</v>
      </c>
      <c r="B3970" s="323" t="s">
        <v>805</v>
      </c>
      <c r="C3970" s="323">
        <v>41630</v>
      </c>
      <c r="D3970" s="323">
        <v>34</v>
      </c>
      <c r="E3970" s="324">
        <f t="shared" ref="E3970:E4033" si="62">D3970*IF(B3970=$G$9,WerkdrukbedragPerLeerlingBo,IF(B3970=$G$10,WerkdrukbedragPerLeerlingSbo,IF(B3970=$G$11,WerkdrukbedragPerLeerlingSo,IF(B3970=$G$12,WerkdrukbedragPerLeerlingVso,0))))</f>
        <v>8291.24</v>
      </c>
    </row>
    <row r="3971" spans="1:5" x14ac:dyDescent="0.25">
      <c r="A3971" s="323" t="s">
        <v>6195</v>
      </c>
      <c r="B3971" s="323" t="s">
        <v>805</v>
      </c>
      <c r="C3971" s="323">
        <v>41630</v>
      </c>
      <c r="D3971" s="323">
        <v>279</v>
      </c>
      <c r="E3971" s="324">
        <f t="shared" si="62"/>
        <v>68036.94</v>
      </c>
    </row>
    <row r="3972" spans="1:5" x14ac:dyDescent="0.25">
      <c r="A3972" s="323" t="s">
        <v>6209</v>
      </c>
      <c r="B3972" s="323" t="s">
        <v>805</v>
      </c>
      <c r="C3972" s="323">
        <v>41630</v>
      </c>
      <c r="D3972" s="323">
        <v>59</v>
      </c>
      <c r="E3972" s="324">
        <f t="shared" si="62"/>
        <v>14387.740000000002</v>
      </c>
    </row>
    <row r="3973" spans="1:5" x14ac:dyDescent="0.25">
      <c r="A3973" s="323" t="s">
        <v>6211</v>
      </c>
      <c r="B3973" s="323" t="s">
        <v>805</v>
      </c>
      <c r="C3973" s="323">
        <v>41630</v>
      </c>
      <c r="D3973" s="323">
        <v>35</v>
      </c>
      <c r="E3973" s="324">
        <f t="shared" si="62"/>
        <v>8535.1</v>
      </c>
    </row>
    <row r="3974" spans="1:5" x14ac:dyDescent="0.25">
      <c r="A3974" s="323" t="s">
        <v>6215</v>
      </c>
      <c r="B3974" s="323" t="s">
        <v>805</v>
      </c>
      <c r="C3974" s="323">
        <v>41630</v>
      </c>
      <c r="D3974" s="323">
        <v>47</v>
      </c>
      <c r="E3974" s="324">
        <f t="shared" si="62"/>
        <v>11461.42</v>
      </c>
    </row>
    <row r="3975" spans="1:5" x14ac:dyDescent="0.25">
      <c r="A3975" s="323" t="s">
        <v>6226</v>
      </c>
      <c r="B3975" s="323" t="s">
        <v>805</v>
      </c>
      <c r="C3975" s="323">
        <v>41630</v>
      </c>
      <c r="D3975" s="323">
        <v>37</v>
      </c>
      <c r="E3975" s="324">
        <f t="shared" si="62"/>
        <v>9022.82</v>
      </c>
    </row>
    <row r="3976" spans="1:5" x14ac:dyDescent="0.25">
      <c r="A3976" s="323" t="s">
        <v>6230</v>
      </c>
      <c r="B3976" s="323" t="s">
        <v>805</v>
      </c>
      <c r="C3976" s="323">
        <v>41630</v>
      </c>
      <c r="D3976" s="323">
        <v>200</v>
      </c>
      <c r="E3976" s="324">
        <f t="shared" si="62"/>
        <v>48772</v>
      </c>
    </row>
    <row r="3977" spans="1:5" x14ac:dyDescent="0.25">
      <c r="A3977" s="323" t="s">
        <v>6246</v>
      </c>
      <c r="B3977" s="323" t="s">
        <v>805</v>
      </c>
      <c r="C3977" s="323">
        <v>41630</v>
      </c>
      <c r="D3977" s="323">
        <v>289</v>
      </c>
      <c r="E3977" s="324">
        <f t="shared" si="62"/>
        <v>70475.540000000008</v>
      </c>
    </row>
    <row r="3978" spans="1:5" x14ac:dyDescent="0.25">
      <c r="A3978" s="323" t="s">
        <v>6258</v>
      </c>
      <c r="B3978" s="323" t="s">
        <v>805</v>
      </c>
      <c r="C3978" s="323">
        <v>41630</v>
      </c>
      <c r="D3978" s="323">
        <v>165</v>
      </c>
      <c r="E3978" s="324">
        <f t="shared" si="62"/>
        <v>40236.9</v>
      </c>
    </row>
    <row r="3979" spans="1:5" x14ac:dyDescent="0.25">
      <c r="A3979" s="323" t="s">
        <v>7034</v>
      </c>
      <c r="B3979" s="323" t="s">
        <v>805</v>
      </c>
      <c r="C3979" s="323">
        <v>41630</v>
      </c>
      <c r="D3979" s="323">
        <v>72</v>
      </c>
      <c r="E3979" s="324">
        <f t="shared" si="62"/>
        <v>17557.920000000002</v>
      </c>
    </row>
    <row r="3980" spans="1:5" x14ac:dyDescent="0.25">
      <c r="A3980" s="323" t="s">
        <v>4450</v>
      </c>
      <c r="B3980" s="323" t="s">
        <v>805</v>
      </c>
      <c r="C3980" s="323">
        <v>41631</v>
      </c>
      <c r="D3980" s="323">
        <v>98</v>
      </c>
      <c r="E3980" s="324">
        <f t="shared" si="62"/>
        <v>23898.280000000002</v>
      </c>
    </row>
    <row r="3981" spans="1:5" x14ac:dyDescent="0.25">
      <c r="A3981" s="323" t="s">
        <v>4500</v>
      </c>
      <c r="B3981" s="323" t="s">
        <v>805</v>
      </c>
      <c r="C3981" s="323">
        <v>41631</v>
      </c>
      <c r="D3981" s="323">
        <v>88</v>
      </c>
      <c r="E3981" s="324">
        <f t="shared" si="62"/>
        <v>21459.68</v>
      </c>
    </row>
    <row r="3982" spans="1:5" x14ac:dyDescent="0.25">
      <c r="A3982" s="323" t="s">
        <v>4557</v>
      </c>
      <c r="B3982" s="323" t="s">
        <v>805</v>
      </c>
      <c r="C3982" s="323">
        <v>41631</v>
      </c>
      <c r="D3982" s="323">
        <v>45</v>
      </c>
      <c r="E3982" s="324">
        <f t="shared" si="62"/>
        <v>10973.7</v>
      </c>
    </row>
    <row r="3983" spans="1:5" x14ac:dyDescent="0.25">
      <c r="A3983" s="323" t="s">
        <v>4600</v>
      </c>
      <c r="B3983" s="323" t="s">
        <v>805</v>
      </c>
      <c r="C3983" s="323">
        <v>41631</v>
      </c>
      <c r="D3983" s="323">
        <v>257</v>
      </c>
      <c r="E3983" s="324">
        <f t="shared" si="62"/>
        <v>62672.020000000004</v>
      </c>
    </row>
    <row r="3984" spans="1:5" x14ac:dyDescent="0.25">
      <c r="A3984" s="323" t="s">
        <v>4644</v>
      </c>
      <c r="B3984" s="323" t="s">
        <v>805</v>
      </c>
      <c r="C3984" s="323">
        <v>41631</v>
      </c>
      <c r="D3984" s="323">
        <v>78</v>
      </c>
      <c r="E3984" s="324">
        <f t="shared" si="62"/>
        <v>19021.080000000002</v>
      </c>
    </row>
    <row r="3985" spans="1:5" x14ac:dyDescent="0.25">
      <c r="A3985" s="323" t="s">
        <v>4679</v>
      </c>
      <c r="B3985" s="323" t="s">
        <v>805</v>
      </c>
      <c r="C3985" s="323">
        <v>41631</v>
      </c>
      <c r="D3985" s="323">
        <v>123</v>
      </c>
      <c r="E3985" s="324">
        <f t="shared" si="62"/>
        <v>29994.780000000002</v>
      </c>
    </row>
    <row r="3986" spans="1:5" x14ac:dyDescent="0.25">
      <c r="A3986" s="323" t="s">
        <v>4685</v>
      </c>
      <c r="B3986" s="323" t="s">
        <v>805</v>
      </c>
      <c r="C3986" s="323">
        <v>41631</v>
      </c>
      <c r="D3986" s="323">
        <v>57</v>
      </c>
      <c r="E3986" s="324">
        <f t="shared" si="62"/>
        <v>13900.02</v>
      </c>
    </row>
    <row r="3987" spans="1:5" x14ac:dyDescent="0.25">
      <c r="A3987" s="323" t="s">
        <v>4709</v>
      </c>
      <c r="B3987" s="323" t="s">
        <v>805</v>
      </c>
      <c r="C3987" s="323">
        <v>41631</v>
      </c>
      <c r="D3987" s="323">
        <v>49</v>
      </c>
      <c r="E3987" s="324">
        <f t="shared" si="62"/>
        <v>11949.140000000001</v>
      </c>
    </row>
    <row r="3988" spans="1:5" x14ac:dyDescent="0.25">
      <c r="A3988" s="323" t="s">
        <v>4747</v>
      </c>
      <c r="B3988" s="323" t="s">
        <v>805</v>
      </c>
      <c r="C3988" s="323">
        <v>41631</v>
      </c>
      <c r="D3988" s="323">
        <v>171</v>
      </c>
      <c r="E3988" s="324">
        <f t="shared" si="62"/>
        <v>41700.060000000005</v>
      </c>
    </row>
    <row r="3989" spans="1:5" x14ac:dyDescent="0.25">
      <c r="A3989" s="323" t="s">
        <v>4808</v>
      </c>
      <c r="B3989" s="323" t="s">
        <v>805</v>
      </c>
      <c r="C3989" s="323">
        <v>41631</v>
      </c>
      <c r="D3989" s="323">
        <v>80</v>
      </c>
      <c r="E3989" s="324">
        <f t="shared" si="62"/>
        <v>19508.800000000003</v>
      </c>
    </row>
    <row r="3990" spans="1:5" x14ac:dyDescent="0.25">
      <c r="A3990" s="323" t="s">
        <v>4839</v>
      </c>
      <c r="B3990" s="323" t="s">
        <v>805</v>
      </c>
      <c r="C3990" s="323">
        <v>41631</v>
      </c>
      <c r="D3990" s="323">
        <v>158</v>
      </c>
      <c r="E3990" s="324">
        <f t="shared" si="62"/>
        <v>38529.880000000005</v>
      </c>
    </row>
    <row r="3991" spans="1:5" x14ac:dyDescent="0.25">
      <c r="A3991" s="323" t="s">
        <v>4856</v>
      </c>
      <c r="B3991" s="323" t="s">
        <v>805</v>
      </c>
      <c r="C3991" s="323">
        <v>41631</v>
      </c>
      <c r="D3991" s="323">
        <v>61</v>
      </c>
      <c r="E3991" s="324">
        <f t="shared" si="62"/>
        <v>14875.460000000001</v>
      </c>
    </row>
    <row r="3992" spans="1:5" x14ac:dyDescent="0.25">
      <c r="A3992" s="323" t="s">
        <v>4861</v>
      </c>
      <c r="B3992" s="323" t="s">
        <v>805</v>
      </c>
      <c r="C3992" s="323">
        <v>41631</v>
      </c>
      <c r="D3992" s="323">
        <v>220</v>
      </c>
      <c r="E3992" s="324">
        <f t="shared" si="62"/>
        <v>53649.200000000004</v>
      </c>
    </row>
    <row r="3993" spans="1:5" x14ac:dyDescent="0.25">
      <c r="A3993" s="323" t="s">
        <v>4886</v>
      </c>
      <c r="B3993" s="323" t="s">
        <v>805</v>
      </c>
      <c r="C3993" s="323">
        <v>41631</v>
      </c>
      <c r="D3993" s="323">
        <v>88</v>
      </c>
      <c r="E3993" s="324">
        <f t="shared" si="62"/>
        <v>21459.68</v>
      </c>
    </row>
    <row r="3994" spans="1:5" x14ac:dyDescent="0.25">
      <c r="A3994" s="323" t="s">
        <v>4931</v>
      </c>
      <c r="B3994" s="323" t="s">
        <v>805</v>
      </c>
      <c r="C3994" s="323">
        <v>41631</v>
      </c>
      <c r="D3994" s="323">
        <v>206</v>
      </c>
      <c r="E3994" s="324">
        <f t="shared" si="62"/>
        <v>50235.16</v>
      </c>
    </row>
    <row r="3995" spans="1:5" x14ac:dyDescent="0.25">
      <c r="A3995" s="323" t="s">
        <v>4947</v>
      </c>
      <c r="B3995" s="323" t="s">
        <v>805</v>
      </c>
      <c r="C3995" s="323">
        <v>41631</v>
      </c>
      <c r="D3995" s="323">
        <v>192</v>
      </c>
      <c r="E3995" s="324">
        <f t="shared" si="62"/>
        <v>46821.120000000003</v>
      </c>
    </row>
    <row r="3996" spans="1:5" x14ac:dyDescent="0.25">
      <c r="A3996" s="323" t="s">
        <v>4953</v>
      </c>
      <c r="B3996" s="323" t="s">
        <v>805</v>
      </c>
      <c r="C3996" s="323">
        <v>41631</v>
      </c>
      <c r="D3996" s="323">
        <v>61</v>
      </c>
      <c r="E3996" s="324">
        <f t="shared" si="62"/>
        <v>14875.460000000001</v>
      </c>
    </row>
    <row r="3997" spans="1:5" x14ac:dyDescent="0.25">
      <c r="A3997" s="323" t="s">
        <v>4973</v>
      </c>
      <c r="B3997" s="323" t="s">
        <v>805</v>
      </c>
      <c r="C3997" s="323">
        <v>41631</v>
      </c>
      <c r="D3997" s="323">
        <v>114</v>
      </c>
      <c r="E3997" s="324">
        <f t="shared" si="62"/>
        <v>27800.04</v>
      </c>
    </row>
    <row r="3998" spans="1:5" x14ac:dyDescent="0.25">
      <c r="A3998" s="323" t="s">
        <v>5009</v>
      </c>
      <c r="B3998" s="323" t="s">
        <v>805</v>
      </c>
      <c r="C3998" s="323">
        <v>41631</v>
      </c>
      <c r="D3998" s="323">
        <v>154</v>
      </c>
      <c r="E3998" s="324">
        <f t="shared" si="62"/>
        <v>37554.44</v>
      </c>
    </row>
    <row r="3999" spans="1:5" x14ac:dyDescent="0.25">
      <c r="A3999" s="323" t="s">
        <v>5030</v>
      </c>
      <c r="B3999" s="323" t="s">
        <v>805</v>
      </c>
      <c r="C3999" s="323">
        <v>41631</v>
      </c>
      <c r="D3999" s="323">
        <v>114</v>
      </c>
      <c r="E3999" s="324">
        <f t="shared" si="62"/>
        <v>27800.04</v>
      </c>
    </row>
    <row r="4000" spans="1:5" x14ac:dyDescent="0.25">
      <c r="A4000" s="323" t="s">
        <v>5047</v>
      </c>
      <c r="B4000" s="323" t="s">
        <v>805</v>
      </c>
      <c r="C4000" s="323">
        <v>41631</v>
      </c>
      <c r="D4000" s="323">
        <v>83</v>
      </c>
      <c r="E4000" s="324">
        <f t="shared" si="62"/>
        <v>20240.38</v>
      </c>
    </row>
    <row r="4001" spans="1:5" x14ac:dyDescent="0.25">
      <c r="A4001" s="323" t="s">
        <v>5061</v>
      </c>
      <c r="B4001" s="323" t="s">
        <v>805</v>
      </c>
      <c r="C4001" s="323">
        <v>41631</v>
      </c>
      <c r="D4001" s="323">
        <v>77</v>
      </c>
      <c r="E4001" s="324">
        <f t="shared" si="62"/>
        <v>18777.22</v>
      </c>
    </row>
    <row r="4002" spans="1:5" x14ac:dyDescent="0.25">
      <c r="A4002" s="323" t="s">
        <v>5071</v>
      </c>
      <c r="B4002" s="323" t="s">
        <v>805</v>
      </c>
      <c r="C4002" s="323">
        <v>41631</v>
      </c>
      <c r="D4002" s="323">
        <v>32</v>
      </c>
      <c r="E4002" s="324">
        <f t="shared" si="62"/>
        <v>7803.52</v>
      </c>
    </row>
    <row r="4003" spans="1:5" x14ac:dyDescent="0.25">
      <c r="A4003" s="323" t="s">
        <v>5081</v>
      </c>
      <c r="B4003" s="323" t="s">
        <v>805</v>
      </c>
      <c r="C4003" s="323">
        <v>41631</v>
      </c>
      <c r="D4003" s="323">
        <v>305</v>
      </c>
      <c r="E4003" s="324">
        <f t="shared" si="62"/>
        <v>74377.3</v>
      </c>
    </row>
    <row r="4004" spans="1:5" x14ac:dyDescent="0.25">
      <c r="A4004" s="323" t="s">
        <v>5083</v>
      </c>
      <c r="B4004" s="323" t="s">
        <v>805</v>
      </c>
      <c r="C4004" s="323">
        <v>41631</v>
      </c>
      <c r="D4004" s="323">
        <v>38</v>
      </c>
      <c r="E4004" s="324">
        <f t="shared" si="62"/>
        <v>9266.68</v>
      </c>
    </row>
    <row r="4005" spans="1:5" x14ac:dyDescent="0.25">
      <c r="A4005" s="323" t="s">
        <v>5098</v>
      </c>
      <c r="B4005" s="323" t="s">
        <v>805</v>
      </c>
      <c r="C4005" s="323">
        <v>41631</v>
      </c>
      <c r="D4005" s="323">
        <v>41</v>
      </c>
      <c r="E4005" s="324">
        <f t="shared" si="62"/>
        <v>9998.26</v>
      </c>
    </row>
    <row r="4006" spans="1:5" x14ac:dyDescent="0.25">
      <c r="A4006" s="323" t="s">
        <v>5120</v>
      </c>
      <c r="B4006" s="323" t="s">
        <v>805</v>
      </c>
      <c r="C4006" s="323">
        <v>41631</v>
      </c>
      <c r="D4006" s="323">
        <v>122</v>
      </c>
      <c r="E4006" s="324">
        <f t="shared" si="62"/>
        <v>29750.920000000002</v>
      </c>
    </row>
    <row r="4007" spans="1:5" x14ac:dyDescent="0.25">
      <c r="A4007" s="323" t="s">
        <v>5123</v>
      </c>
      <c r="B4007" s="323" t="s">
        <v>805</v>
      </c>
      <c r="C4007" s="323">
        <v>41631</v>
      </c>
      <c r="D4007" s="323">
        <v>55</v>
      </c>
      <c r="E4007" s="324">
        <f t="shared" si="62"/>
        <v>13412.300000000001</v>
      </c>
    </row>
    <row r="4008" spans="1:5" x14ac:dyDescent="0.25">
      <c r="A4008" s="323" t="s">
        <v>5184</v>
      </c>
      <c r="B4008" s="323" t="s">
        <v>805</v>
      </c>
      <c r="C4008" s="323">
        <v>41631</v>
      </c>
      <c r="D4008" s="323">
        <v>158</v>
      </c>
      <c r="E4008" s="324">
        <f t="shared" si="62"/>
        <v>38529.880000000005</v>
      </c>
    </row>
    <row r="4009" spans="1:5" x14ac:dyDescent="0.25">
      <c r="A4009" s="323" t="s">
        <v>5248</v>
      </c>
      <c r="B4009" s="323" t="s">
        <v>805</v>
      </c>
      <c r="C4009" s="323">
        <v>41631</v>
      </c>
      <c r="D4009" s="323">
        <v>40</v>
      </c>
      <c r="E4009" s="324">
        <f t="shared" si="62"/>
        <v>9754.4000000000015</v>
      </c>
    </row>
    <row r="4010" spans="1:5" x14ac:dyDescent="0.25">
      <c r="A4010" s="323" t="s">
        <v>5268</v>
      </c>
      <c r="B4010" s="323" t="s">
        <v>805</v>
      </c>
      <c r="C4010" s="323">
        <v>41631</v>
      </c>
      <c r="D4010" s="323">
        <v>68</v>
      </c>
      <c r="E4010" s="324">
        <f t="shared" si="62"/>
        <v>16582.48</v>
      </c>
    </row>
    <row r="4011" spans="1:5" x14ac:dyDescent="0.25">
      <c r="A4011" s="323" t="s">
        <v>5300</v>
      </c>
      <c r="B4011" s="323" t="s">
        <v>805</v>
      </c>
      <c r="C4011" s="323">
        <v>41631</v>
      </c>
      <c r="D4011" s="323">
        <v>185</v>
      </c>
      <c r="E4011" s="324">
        <f t="shared" si="62"/>
        <v>45114.100000000006</v>
      </c>
    </row>
    <row r="4012" spans="1:5" x14ac:dyDescent="0.25">
      <c r="A4012" s="323" t="s">
        <v>5306</v>
      </c>
      <c r="B4012" s="323" t="s">
        <v>805</v>
      </c>
      <c r="C4012" s="323">
        <v>41631</v>
      </c>
      <c r="D4012" s="323">
        <v>143</v>
      </c>
      <c r="E4012" s="324">
        <f t="shared" si="62"/>
        <v>34871.980000000003</v>
      </c>
    </row>
    <row r="4013" spans="1:5" x14ac:dyDescent="0.25">
      <c r="A4013" s="323" t="s">
        <v>5326</v>
      </c>
      <c r="B4013" s="323" t="s">
        <v>805</v>
      </c>
      <c r="C4013" s="323">
        <v>41631</v>
      </c>
      <c r="D4013" s="323">
        <v>42</v>
      </c>
      <c r="E4013" s="324">
        <f t="shared" si="62"/>
        <v>10242.120000000001</v>
      </c>
    </row>
    <row r="4014" spans="1:5" x14ac:dyDescent="0.25">
      <c r="A4014" s="323" t="s">
        <v>5337</v>
      </c>
      <c r="B4014" s="323" t="s">
        <v>805</v>
      </c>
      <c r="C4014" s="323">
        <v>41631</v>
      </c>
      <c r="D4014" s="323">
        <v>55</v>
      </c>
      <c r="E4014" s="324">
        <f t="shared" si="62"/>
        <v>13412.300000000001</v>
      </c>
    </row>
    <row r="4015" spans="1:5" x14ac:dyDescent="0.25">
      <c r="A4015" s="323" t="s">
        <v>5340</v>
      </c>
      <c r="B4015" s="323" t="s">
        <v>805</v>
      </c>
      <c r="C4015" s="323">
        <v>41631</v>
      </c>
      <c r="D4015" s="323">
        <v>76</v>
      </c>
      <c r="E4015" s="324">
        <f t="shared" si="62"/>
        <v>18533.36</v>
      </c>
    </row>
    <row r="4016" spans="1:5" x14ac:dyDescent="0.25">
      <c r="A4016" s="323" t="s">
        <v>5366</v>
      </c>
      <c r="B4016" s="323" t="s">
        <v>805</v>
      </c>
      <c r="C4016" s="323">
        <v>41631</v>
      </c>
      <c r="D4016" s="323">
        <v>74</v>
      </c>
      <c r="E4016" s="324">
        <f t="shared" si="62"/>
        <v>18045.64</v>
      </c>
    </row>
    <row r="4017" spans="1:5" x14ac:dyDescent="0.25">
      <c r="A4017" s="323" t="s">
        <v>6485</v>
      </c>
      <c r="B4017" s="323" t="s">
        <v>816</v>
      </c>
      <c r="C4017" s="323">
        <v>41631</v>
      </c>
      <c r="D4017" s="323">
        <v>57</v>
      </c>
      <c r="E4017" s="324">
        <f t="shared" si="62"/>
        <v>20850.030000000002</v>
      </c>
    </row>
    <row r="4018" spans="1:5" x14ac:dyDescent="0.25">
      <c r="A4018" s="323" t="s">
        <v>6495</v>
      </c>
      <c r="B4018" s="323" t="s">
        <v>816</v>
      </c>
      <c r="C4018" s="323">
        <v>41631</v>
      </c>
      <c r="D4018" s="323">
        <v>42</v>
      </c>
      <c r="E4018" s="324">
        <f t="shared" si="62"/>
        <v>15363.18</v>
      </c>
    </row>
    <row r="4019" spans="1:5" x14ac:dyDescent="0.25">
      <c r="A4019" s="323" t="s">
        <v>813</v>
      </c>
      <c r="B4019" s="323" t="s">
        <v>805</v>
      </c>
      <c r="C4019" s="323">
        <v>41632</v>
      </c>
      <c r="D4019" s="323">
        <v>114</v>
      </c>
      <c r="E4019" s="324">
        <f t="shared" si="62"/>
        <v>27800.04</v>
      </c>
    </row>
    <row r="4020" spans="1:5" x14ac:dyDescent="0.25">
      <c r="A4020" s="323" t="s">
        <v>815</v>
      </c>
      <c r="B4020" s="323" t="s">
        <v>816</v>
      </c>
      <c r="C4020" s="323">
        <v>41632</v>
      </c>
      <c r="D4020" s="323">
        <v>73</v>
      </c>
      <c r="E4020" s="324">
        <f t="shared" si="62"/>
        <v>26702.670000000002</v>
      </c>
    </row>
    <row r="4021" spans="1:5" x14ac:dyDescent="0.25">
      <c r="A4021" s="323" t="s">
        <v>829</v>
      </c>
      <c r="B4021" s="323" t="s">
        <v>805</v>
      </c>
      <c r="C4021" s="323">
        <v>41632</v>
      </c>
      <c r="D4021" s="323">
        <v>128</v>
      </c>
      <c r="E4021" s="324">
        <f t="shared" si="62"/>
        <v>31214.080000000002</v>
      </c>
    </row>
    <row r="4022" spans="1:5" x14ac:dyDescent="0.25">
      <c r="A4022" s="323" t="s">
        <v>840</v>
      </c>
      <c r="B4022" s="323" t="s">
        <v>805</v>
      </c>
      <c r="C4022" s="323">
        <v>41632</v>
      </c>
      <c r="D4022" s="323">
        <v>121</v>
      </c>
      <c r="E4022" s="324">
        <f t="shared" si="62"/>
        <v>29507.06</v>
      </c>
    </row>
    <row r="4023" spans="1:5" x14ac:dyDescent="0.25">
      <c r="A4023" s="323" t="s">
        <v>1048</v>
      </c>
      <c r="B4023" s="323" t="s">
        <v>805</v>
      </c>
      <c r="C4023" s="323">
        <v>41632</v>
      </c>
      <c r="D4023" s="323">
        <v>72</v>
      </c>
      <c r="E4023" s="324">
        <f t="shared" si="62"/>
        <v>17557.920000000002</v>
      </c>
    </row>
    <row r="4024" spans="1:5" x14ac:dyDescent="0.25">
      <c r="A4024" s="323" t="s">
        <v>1090</v>
      </c>
      <c r="B4024" s="323" t="s">
        <v>805</v>
      </c>
      <c r="C4024" s="323">
        <v>41632</v>
      </c>
      <c r="D4024" s="323">
        <v>126</v>
      </c>
      <c r="E4024" s="324">
        <f t="shared" si="62"/>
        <v>30726.36</v>
      </c>
    </row>
    <row r="4025" spans="1:5" x14ac:dyDescent="0.25">
      <c r="A4025" s="323" t="s">
        <v>1093</v>
      </c>
      <c r="B4025" s="323" t="s">
        <v>805</v>
      </c>
      <c r="C4025" s="323">
        <v>41632</v>
      </c>
      <c r="D4025" s="323">
        <v>182</v>
      </c>
      <c r="E4025" s="324">
        <f t="shared" si="62"/>
        <v>44382.520000000004</v>
      </c>
    </row>
    <row r="4026" spans="1:5" x14ac:dyDescent="0.25">
      <c r="A4026" s="323" t="s">
        <v>1133</v>
      </c>
      <c r="B4026" s="323" t="s">
        <v>805</v>
      </c>
      <c r="C4026" s="323">
        <v>41632</v>
      </c>
      <c r="D4026" s="323">
        <v>98</v>
      </c>
      <c r="E4026" s="324">
        <f t="shared" si="62"/>
        <v>23898.280000000002</v>
      </c>
    </row>
    <row r="4027" spans="1:5" x14ac:dyDescent="0.25">
      <c r="A4027" s="323" t="s">
        <v>1230</v>
      </c>
      <c r="B4027" s="323" t="s">
        <v>805</v>
      </c>
      <c r="C4027" s="323">
        <v>41632</v>
      </c>
      <c r="D4027" s="323">
        <v>101</v>
      </c>
      <c r="E4027" s="324">
        <f t="shared" si="62"/>
        <v>24629.86</v>
      </c>
    </row>
    <row r="4028" spans="1:5" x14ac:dyDescent="0.25">
      <c r="A4028" s="323" t="s">
        <v>1231</v>
      </c>
      <c r="B4028" s="323" t="s">
        <v>805</v>
      </c>
      <c r="C4028" s="323">
        <v>41632</v>
      </c>
      <c r="D4028" s="323">
        <v>128</v>
      </c>
      <c r="E4028" s="324">
        <f t="shared" si="62"/>
        <v>31214.080000000002</v>
      </c>
    </row>
    <row r="4029" spans="1:5" x14ac:dyDescent="0.25">
      <c r="A4029" s="323" t="s">
        <v>1571</v>
      </c>
      <c r="B4029" s="323" t="s">
        <v>805</v>
      </c>
      <c r="C4029" s="323">
        <v>41632</v>
      </c>
      <c r="D4029" s="323">
        <v>242</v>
      </c>
      <c r="E4029" s="324">
        <f t="shared" si="62"/>
        <v>59014.12</v>
      </c>
    </row>
    <row r="4030" spans="1:5" x14ac:dyDescent="0.25">
      <c r="A4030" s="323" t="s">
        <v>2168</v>
      </c>
      <c r="B4030" s="323" t="s">
        <v>805</v>
      </c>
      <c r="C4030" s="323">
        <v>41632</v>
      </c>
      <c r="D4030" s="323">
        <v>146</v>
      </c>
      <c r="E4030" s="324">
        <f t="shared" si="62"/>
        <v>35603.560000000005</v>
      </c>
    </row>
    <row r="4031" spans="1:5" x14ac:dyDescent="0.25">
      <c r="A4031" s="323" t="s">
        <v>2171</v>
      </c>
      <c r="B4031" s="323" t="s">
        <v>805</v>
      </c>
      <c r="C4031" s="323">
        <v>41632</v>
      </c>
      <c r="D4031" s="323">
        <v>129</v>
      </c>
      <c r="E4031" s="324">
        <f t="shared" si="62"/>
        <v>31457.940000000002</v>
      </c>
    </row>
    <row r="4032" spans="1:5" x14ac:dyDescent="0.25">
      <c r="A4032" s="323" t="s">
        <v>2286</v>
      </c>
      <c r="B4032" s="323" t="s">
        <v>805</v>
      </c>
      <c r="C4032" s="323">
        <v>41632</v>
      </c>
      <c r="D4032" s="323">
        <v>98</v>
      </c>
      <c r="E4032" s="324">
        <f t="shared" si="62"/>
        <v>23898.280000000002</v>
      </c>
    </row>
    <row r="4033" spans="1:5" x14ac:dyDescent="0.25">
      <c r="A4033" s="323" t="s">
        <v>2394</v>
      </c>
      <c r="B4033" s="323" t="s">
        <v>805</v>
      </c>
      <c r="C4033" s="323">
        <v>41632</v>
      </c>
      <c r="D4033" s="323">
        <v>165</v>
      </c>
      <c r="E4033" s="324">
        <f t="shared" si="62"/>
        <v>40236.9</v>
      </c>
    </row>
    <row r="4034" spans="1:5" x14ac:dyDescent="0.25">
      <c r="A4034" s="323" t="s">
        <v>3183</v>
      </c>
      <c r="B4034" s="323" t="s">
        <v>805</v>
      </c>
      <c r="C4034" s="323">
        <v>41632</v>
      </c>
      <c r="D4034" s="323">
        <v>504</v>
      </c>
      <c r="E4034" s="324">
        <f t="shared" ref="E4034:E4097" si="63">D4034*IF(B4034=$G$9,WerkdrukbedragPerLeerlingBo,IF(B4034=$G$10,WerkdrukbedragPerLeerlingSbo,IF(B4034=$G$11,WerkdrukbedragPerLeerlingSo,IF(B4034=$G$12,WerkdrukbedragPerLeerlingVso,0))))</f>
        <v>122905.44</v>
      </c>
    </row>
    <row r="4035" spans="1:5" x14ac:dyDescent="0.25">
      <c r="A4035" s="323" t="s">
        <v>3518</v>
      </c>
      <c r="B4035" s="323" t="s">
        <v>805</v>
      </c>
      <c r="C4035" s="323">
        <v>41632</v>
      </c>
      <c r="D4035" s="323">
        <v>309</v>
      </c>
      <c r="E4035" s="324">
        <f t="shared" si="63"/>
        <v>75352.740000000005</v>
      </c>
    </row>
    <row r="4036" spans="1:5" x14ac:dyDescent="0.25">
      <c r="A4036" s="323" t="s">
        <v>5195</v>
      </c>
      <c r="B4036" s="323" t="s">
        <v>805</v>
      </c>
      <c r="C4036" s="323">
        <v>41632</v>
      </c>
      <c r="D4036" s="323">
        <v>133</v>
      </c>
      <c r="E4036" s="324">
        <f t="shared" si="63"/>
        <v>32433.38</v>
      </c>
    </row>
    <row r="4037" spans="1:5" x14ac:dyDescent="0.25">
      <c r="A4037" s="323" t="s">
        <v>6996</v>
      </c>
      <c r="B4037" s="323" t="s">
        <v>805</v>
      </c>
      <c r="C4037" s="323">
        <v>41632</v>
      </c>
      <c r="D4037" s="323">
        <v>156</v>
      </c>
      <c r="E4037" s="324">
        <f t="shared" si="63"/>
        <v>38042.160000000003</v>
      </c>
    </row>
    <row r="4038" spans="1:5" x14ac:dyDescent="0.25">
      <c r="A4038" s="323" t="s">
        <v>7366</v>
      </c>
      <c r="B4038" s="323" t="s">
        <v>805</v>
      </c>
      <c r="C4038" s="323">
        <v>41632</v>
      </c>
      <c r="D4038" s="323">
        <v>523</v>
      </c>
      <c r="E4038" s="324">
        <f t="shared" si="63"/>
        <v>127538.78000000001</v>
      </c>
    </row>
    <row r="4039" spans="1:5" x14ac:dyDescent="0.25">
      <c r="A4039" s="323" t="s">
        <v>2127</v>
      </c>
      <c r="B4039" s="323" t="s">
        <v>805</v>
      </c>
      <c r="C4039" s="323">
        <v>41633</v>
      </c>
      <c r="D4039" s="323">
        <v>353</v>
      </c>
      <c r="E4039" s="324">
        <f t="shared" si="63"/>
        <v>86082.58</v>
      </c>
    </row>
    <row r="4040" spans="1:5" x14ac:dyDescent="0.25">
      <c r="A4040" s="323" t="s">
        <v>2130</v>
      </c>
      <c r="B4040" s="323" t="s">
        <v>805</v>
      </c>
      <c r="C4040" s="323">
        <v>41633</v>
      </c>
      <c r="D4040" s="323">
        <v>72</v>
      </c>
      <c r="E4040" s="324">
        <f t="shared" si="63"/>
        <v>17557.920000000002</v>
      </c>
    </row>
    <row r="4041" spans="1:5" x14ac:dyDescent="0.25">
      <c r="A4041" s="323" t="s">
        <v>2142</v>
      </c>
      <c r="B4041" s="323" t="s">
        <v>805</v>
      </c>
      <c r="C4041" s="323">
        <v>41633</v>
      </c>
      <c r="D4041" s="323">
        <v>264</v>
      </c>
      <c r="E4041" s="324">
        <f t="shared" si="63"/>
        <v>64379.040000000001</v>
      </c>
    </row>
    <row r="4042" spans="1:5" x14ac:dyDescent="0.25">
      <c r="A4042" s="323" t="s">
        <v>2629</v>
      </c>
      <c r="B4042" s="323" t="s">
        <v>805</v>
      </c>
      <c r="C4042" s="323">
        <v>41633</v>
      </c>
      <c r="D4042" s="323">
        <v>123</v>
      </c>
      <c r="E4042" s="324">
        <f t="shared" si="63"/>
        <v>29994.780000000002</v>
      </c>
    </row>
    <row r="4043" spans="1:5" x14ac:dyDescent="0.25">
      <c r="A4043" s="323" t="s">
        <v>2630</v>
      </c>
      <c r="B4043" s="323" t="s">
        <v>805</v>
      </c>
      <c r="C4043" s="323">
        <v>41633</v>
      </c>
      <c r="D4043" s="323">
        <v>350</v>
      </c>
      <c r="E4043" s="324">
        <f t="shared" si="63"/>
        <v>85351</v>
      </c>
    </row>
    <row r="4044" spans="1:5" x14ac:dyDescent="0.25">
      <c r="A4044" s="323" t="s">
        <v>2992</v>
      </c>
      <c r="B4044" s="323" t="s">
        <v>805</v>
      </c>
      <c r="C4044" s="323">
        <v>41633</v>
      </c>
      <c r="D4044" s="323">
        <v>85</v>
      </c>
      <c r="E4044" s="324">
        <f t="shared" si="63"/>
        <v>20728.100000000002</v>
      </c>
    </row>
    <row r="4045" spans="1:5" x14ac:dyDescent="0.25">
      <c r="A4045" s="323" t="s">
        <v>3038</v>
      </c>
      <c r="B4045" s="323" t="s">
        <v>805</v>
      </c>
      <c r="C4045" s="323">
        <v>41633</v>
      </c>
      <c r="D4045" s="323">
        <v>259</v>
      </c>
      <c r="E4045" s="324">
        <f t="shared" si="63"/>
        <v>63159.740000000005</v>
      </c>
    </row>
    <row r="4046" spans="1:5" x14ac:dyDescent="0.25">
      <c r="A4046" s="323" t="s">
        <v>3039</v>
      </c>
      <c r="B4046" s="323" t="s">
        <v>805</v>
      </c>
      <c r="C4046" s="323">
        <v>41633</v>
      </c>
      <c r="D4046" s="323">
        <v>77</v>
      </c>
      <c r="E4046" s="324">
        <f t="shared" si="63"/>
        <v>18777.22</v>
      </c>
    </row>
    <row r="4047" spans="1:5" x14ac:dyDescent="0.25">
      <c r="A4047" s="323" t="s">
        <v>3529</v>
      </c>
      <c r="B4047" s="323" t="s">
        <v>805</v>
      </c>
      <c r="C4047" s="323">
        <v>41633</v>
      </c>
      <c r="D4047" s="323">
        <v>230</v>
      </c>
      <c r="E4047" s="324">
        <f t="shared" si="63"/>
        <v>56087.8</v>
      </c>
    </row>
    <row r="4048" spans="1:5" x14ac:dyDescent="0.25">
      <c r="A4048" s="323" t="s">
        <v>3677</v>
      </c>
      <c r="B4048" s="323" t="s">
        <v>805</v>
      </c>
      <c r="C4048" s="323">
        <v>41633</v>
      </c>
      <c r="D4048" s="323">
        <v>136</v>
      </c>
      <c r="E4048" s="324">
        <f t="shared" si="63"/>
        <v>33164.959999999999</v>
      </c>
    </row>
    <row r="4049" spans="1:5" x14ac:dyDescent="0.25">
      <c r="A4049" s="323" t="s">
        <v>3902</v>
      </c>
      <c r="B4049" s="323" t="s">
        <v>805</v>
      </c>
      <c r="C4049" s="323">
        <v>41633</v>
      </c>
      <c r="D4049" s="323">
        <v>183</v>
      </c>
      <c r="E4049" s="324">
        <f t="shared" si="63"/>
        <v>44626.380000000005</v>
      </c>
    </row>
    <row r="4050" spans="1:5" x14ac:dyDescent="0.25">
      <c r="A4050" s="323" t="s">
        <v>6083</v>
      </c>
      <c r="B4050" s="323" t="s">
        <v>805</v>
      </c>
      <c r="C4050" s="323">
        <v>41633</v>
      </c>
      <c r="D4050" s="323">
        <v>89</v>
      </c>
      <c r="E4050" s="324">
        <f t="shared" si="63"/>
        <v>21703.54</v>
      </c>
    </row>
    <row r="4051" spans="1:5" x14ac:dyDescent="0.25">
      <c r="A4051" s="323" t="s">
        <v>6729</v>
      </c>
      <c r="B4051" s="323" t="s">
        <v>805</v>
      </c>
      <c r="C4051" s="323">
        <v>41633</v>
      </c>
      <c r="D4051" s="323">
        <v>127</v>
      </c>
      <c r="E4051" s="324">
        <f t="shared" si="63"/>
        <v>30970.22</v>
      </c>
    </row>
    <row r="4052" spans="1:5" x14ac:dyDescent="0.25">
      <c r="A4052" s="323" t="s">
        <v>7208</v>
      </c>
      <c r="B4052" s="323" t="s">
        <v>805</v>
      </c>
      <c r="C4052" s="323">
        <v>41633</v>
      </c>
      <c r="D4052" s="323">
        <v>162</v>
      </c>
      <c r="E4052" s="324">
        <f t="shared" si="63"/>
        <v>39505.32</v>
      </c>
    </row>
    <row r="4053" spans="1:5" x14ac:dyDescent="0.25">
      <c r="A4053" s="323" t="s">
        <v>7477</v>
      </c>
      <c r="B4053" s="323" t="s">
        <v>805</v>
      </c>
      <c r="C4053" s="323">
        <v>41633</v>
      </c>
      <c r="D4053" s="323">
        <v>401</v>
      </c>
      <c r="E4053" s="324">
        <f t="shared" si="63"/>
        <v>97787.86</v>
      </c>
    </row>
    <row r="4054" spans="1:5" x14ac:dyDescent="0.25">
      <c r="A4054" s="323" t="s">
        <v>2577</v>
      </c>
      <c r="B4054" s="323" t="s">
        <v>805</v>
      </c>
      <c r="C4054" s="323">
        <v>41634</v>
      </c>
      <c r="D4054" s="323">
        <v>161</v>
      </c>
      <c r="E4054" s="324">
        <f t="shared" si="63"/>
        <v>39261.46</v>
      </c>
    </row>
    <row r="4055" spans="1:5" x14ac:dyDescent="0.25">
      <c r="A4055" s="323" t="s">
        <v>983</v>
      </c>
      <c r="B4055" s="323" t="s">
        <v>803</v>
      </c>
      <c r="C4055" s="323">
        <v>41635</v>
      </c>
      <c r="D4055" s="323">
        <v>78</v>
      </c>
      <c r="E4055" s="324">
        <f t="shared" si="63"/>
        <v>38042.160000000003</v>
      </c>
    </row>
    <row r="4056" spans="1:5" x14ac:dyDescent="0.25">
      <c r="A4056" s="323" t="s">
        <v>983</v>
      </c>
      <c r="B4056" s="323" t="s">
        <v>803</v>
      </c>
      <c r="C4056" s="323">
        <v>41635</v>
      </c>
      <c r="D4056" s="323">
        <v>39</v>
      </c>
      <c r="E4056" s="324">
        <f t="shared" si="63"/>
        <v>19021.080000000002</v>
      </c>
    </row>
    <row r="4057" spans="1:5" x14ac:dyDescent="0.25">
      <c r="A4057" s="323" t="s">
        <v>4080</v>
      </c>
      <c r="B4057" s="323" t="s">
        <v>805</v>
      </c>
      <c r="C4057" s="323">
        <v>41637</v>
      </c>
      <c r="D4057" s="323">
        <v>256</v>
      </c>
      <c r="E4057" s="324">
        <f t="shared" si="63"/>
        <v>62428.160000000003</v>
      </c>
    </row>
    <row r="4058" spans="1:5" x14ac:dyDescent="0.25">
      <c r="A4058" s="323" t="s">
        <v>4217</v>
      </c>
      <c r="B4058" s="323" t="s">
        <v>805</v>
      </c>
      <c r="C4058" s="323">
        <v>41637</v>
      </c>
      <c r="D4058" s="323">
        <v>68</v>
      </c>
      <c r="E4058" s="324">
        <f t="shared" si="63"/>
        <v>16582.48</v>
      </c>
    </row>
    <row r="4059" spans="1:5" x14ac:dyDescent="0.25">
      <c r="A4059" s="323" t="s">
        <v>4549</v>
      </c>
      <c r="B4059" s="323" t="s">
        <v>805</v>
      </c>
      <c r="C4059" s="323">
        <v>41637</v>
      </c>
      <c r="D4059" s="323">
        <v>124</v>
      </c>
      <c r="E4059" s="324">
        <f t="shared" si="63"/>
        <v>30238.640000000003</v>
      </c>
    </row>
    <row r="4060" spans="1:5" x14ac:dyDescent="0.25">
      <c r="A4060" s="323" t="s">
        <v>4775</v>
      </c>
      <c r="B4060" s="323" t="s">
        <v>805</v>
      </c>
      <c r="C4060" s="323">
        <v>41637</v>
      </c>
      <c r="D4060" s="323">
        <v>65</v>
      </c>
      <c r="E4060" s="324">
        <f t="shared" si="63"/>
        <v>15850.900000000001</v>
      </c>
    </row>
    <row r="4061" spans="1:5" x14ac:dyDescent="0.25">
      <c r="A4061" s="323" t="s">
        <v>6098</v>
      </c>
      <c r="B4061" s="323" t="s">
        <v>805</v>
      </c>
      <c r="C4061" s="323">
        <v>41637</v>
      </c>
      <c r="D4061" s="323">
        <v>85</v>
      </c>
      <c r="E4061" s="324">
        <f t="shared" si="63"/>
        <v>20728.100000000002</v>
      </c>
    </row>
    <row r="4062" spans="1:5" x14ac:dyDescent="0.25">
      <c r="A4062" s="323" t="s">
        <v>810</v>
      </c>
      <c r="B4062" s="323" t="s">
        <v>805</v>
      </c>
      <c r="C4062" s="323">
        <v>41638</v>
      </c>
      <c r="D4062" s="323">
        <v>92</v>
      </c>
      <c r="E4062" s="324">
        <f t="shared" si="63"/>
        <v>22435.120000000003</v>
      </c>
    </row>
    <row r="4063" spans="1:5" x14ac:dyDescent="0.25">
      <c r="A4063" s="323" t="s">
        <v>955</v>
      </c>
      <c r="B4063" s="323" t="s">
        <v>805</v>
      </c>
      <c r="C4063" s="323">
        <v>41638</v>
      </c>
      <c r="D4063" s="323">
        <v>245</v>
      </c>
      <c r="E4063" s="324">
        <f t="shared" si="63"/>
        <v>59745.700000000004</v>
      </c>
    </row>
    <row r="4064" spans="1:5" x14ac:dyDescent="0.25">
      <c r="A4064" s="323" t="s">
        <v>959</v>
      </c>
      <c r="B4064" s="323" t="s">
        <v>805</v>
      </c>
      <c r="C4064" s="323">
        <v>41638</v>
      </c>
      <c r="D4064" s="323">
        <v>118</v>
      </c>
      <c r="E4064" s="324">
        <f t="shared" si="63"/>
        <v>28775.480000000003</v>
      </c>
    </row>
    <row r="4065" spans="1:5" x14ac:dyDescent="0.25">
      <c r="A4065" s="323" t="s">
        <v>1024</v>
      </c>
      <c r="B4065" s="323" t="s">
        <v>805</v>
      </c>
      <c r="C4065" s="323">
        <v>41638</v>
      </c>
      <c r="D4065" s="323">
        <v>77</v>
      </c>
      <c r="E4065" s="324">
        <f t="shared" si="63"/>
        <v>18777.22</v>
      </c>
    </row>
    <row r="4066" spans="1:5" x14ac:dyDescent="0.25">
      <c r="A4066" s="323" t="s">
        <v>1439</v>
      </c>
      <c r="B4066" s="323" t="s">
        <v>805</v>
      </c>
      <c r="C4066" s="323">
        <v>41638</v>
      </c>
      <c r="D4066" s="323">
        <v>87</v>
      </c>
      <c r="E4066" s="324">
        <f t="shared" si="63"/>
        <v>21215.82</v>
      </c>
    </row>
    <row r="4067" spans="1:5" x14ac:dyDescent="0.25">
      <c r="A4067" s="323" t="s">
        <v>2104</v>
      </c>
      <c r="B4067" s="323" t="s">
        <v>805</v>
      </c>
      <c r="C4067" s="323">
        <v>41638</v>
      </c>
      <c r="D4067" s="323">
        <v>97</v>
      </c>
      <c r="E4067" s="324">
        <f t="shared" si="63"/>
        <v>23654.420000000002</v>
      </c>
    </row>
    <row r="4068" spans="1:5" x14ac:dyDescent="0.25">
      <c r="A4068" s="323" t="s">
        <v>2538</v>
      </c>
      <c r="B4068" s="323" t="s">
        <v>805</v>
      </c>
      <c r="C4068" s="323">
        <v>41638</v>
      </c>
      <c r="D4068" s="323">
        <v>185</v>
      </c>
      <c r="E4068" s="324">
        <f t="shared" si="63"/>
        <v>45114.100000000006</v>
      </c>
    </row>
    <row r="4069" spans="1:5" x14ac:dyDescent="0.25">
      <c r="A4069" s="323" t="s">
        <v>2628</v>
      </c>
      <c r="B4069" s="323" t="s">
        <v>805</v>
      </c>
      <c r="C4069" s="323">
        <v>41638</v>
      </c>
      <c r="D4069" s="323">
        <v>161</v>
      </c>
      <c r="E4069" s="324">
        <f t="shared" si="63"/>
        <v>39261.46</v>
      </c>
    </row>
    <row r="4070" spans="1:5" x14ac:dyDescent="0.25">
      <c r="A4070" s="323" t="s">
        <v>2995</v>
      </c>
      <c r="B4070" s="323" t="s">
        <v>805</v>
      </c>
      <c r="C4070" s="323">
        <v>41638</v>
      </c>
      <c r="D4070" s="323">
        <v>121</v>
      </c>
      <c r="E4070" s="324">
        <f t="shared" si="63"/>
        <v>29507.06</v>
      </c>
    </row>
    <row r="4071" spans="1:5" x14ac:dyDescent="0.25">
      <c r="A4071" s="323" t="s">
        <v>3019</v>
      </c>
      <c r="B4071" s="323" t="s">
        <v>805</v>
      </c>
      <c r="C4071" s="323">
        <v>41638</v>
      </c>
      <c r="D4071" s="323">
        <v>44</v>
      </c>
      <c r="E4071" s="324">
        <f t="shared" si="63"/>
        <v>10729.84</v>
      </c>
    </row>
    <row r="4072" spans="1:5" x14ac:dyDescent="0.25">
      <c r="A4072" s="323" t="s">
        <v>3046</v>
      </c>
      <c r="B4072" s="323" t="s">
        <v>805</v>
      </c>
      <c r="C4072" s="323">
        <v>41638</v>
      </c>
      <c r="D4072" s="323">
        <v>201</v>
      </c>
      <c r="E4072" s="324">
        <f t="shared" si="63"/>
        <v>49015.86</v>
      </c>
    </row>
    <row r="4073" spans="1:5" x14ac:dyDescent="0.25">
      <c r="A4073" s="323" t="s">
        <v>3197</v>
      </c>
      <c r="B4073" s="323" t="s">
        <v>805</v>
      </c>
      <c r="C4073" s="323">
        <v>41638</v>
      </c>
      <c r="D4073" s="323">
        <v>73</v>
      </c>
      <c r="E4073" s="324">
        <f t="shared" si="63"/>
        <v>17801.780000000002</v>
      </c>
    </row>
    <row r="4074" spans="1:5" x14ac:dyDescent="0.25">
      <c r="A4074" s="323" t="s">
        <v>3205</v>
      </c>
      <c r="B4074" s="323" t="s">
        <v>805</v>
      </c>
      <c r="C4074" s="323">
        <v>41638</v>
      </c>
      <c r="D4074" s="323">
        <v>93</v>
      </c>
      <c r="E4074" s="324">
        <f t="shared" si="63"/>
        <v>22678.98</v>
      </c>
    </row>
    <row r="4075" spans="1:5" x14ac:dyDescent="0.25">
      <c r="A4075" s="323" t="s">
        <v>3407</v>
      </c>
      <c r="B4075" s="323" t="s">
        <v>805</v>
      </c>
      <c r="C4075" s="323">
        <v>41638</v>
      </c>
      <c r="D4075" s="323">
        <v>74</v>
      </c>
      <c r="E4075" s="324">
        <f t="shared" si="63"/>
        <v>18045.64</v>
      </c>
    </row>
    <row r="4076" spans="1:5" x14ac:dyDescent="0.25">
      <c r="A4076" s="323" t="s">
        <v>3407</v>
      </c>
      <c r="B4076" s="323" t="s">
        <v>805</v>
      </c>
      <c r="C4076" s="323">
        <v>41638</v>
      </c>
      <c r="D4076" s="323">
        <v>55</v>
      </c>
      <c r="E4076" s="324">
        <f t="shared" si="63"/>
        <v>13412.300000000001</v>
      </c>
    </row>
    <row r="4077" spans="1:5" x14ac:dyDescent="0.25">
      <c r="A4077" s="323" t="s">
        <v>3534</v>
      </c>
      <c r="B4077" s="323" t="s">
        <v>805</v>
      </c>
      <c r="C4077" s="323">
        <v>41638</v>
      </c>
      <c r="D4077" s="323">
        <v>80</v>
      </c>
      <c r="E4077" s="324">
        <f t="shared" si="63"/>
        <v>19508.800000000003</v>
      </c>
    </row>
    <row r="4078" spans="1:5" x14ac:dyDescent="0.25">
      <c r="A4078" s="323" t="s">
        <v>3646</v>
      </c>
      <c r="B4078" s="323" t="s">
        <v>805</v>
      </c>
      <c r="C4078" s="323">
        <v>41638</v>
      </c>
      <c r="D4078" s="323">
        <v>77</v>
      </c>
      <c r="E4078" s="324">
        <f t="shared" si="63"/>
        <v>18777.22</v>
      </c>
    </row>
    <row r="4079" spans="1:5" x14ac:dyDescent="0.25">
      <c r="A4079" s="323" t="s">
        <v>3670</v>
      </c>
      <c r="B4079" s="323" t="s">
        <v>805</v>
      </c>
      <c r="C4079" s="323">
        <v>41638</v>
      </c>
      <c r="D4079" s="323">
        <v>115</v>
      </c>
      <c r="E4079" s="324">
        <f t="shared" si="63"/>
        <v>28043.9</v>
      </c>
    </row>
    <row r="4080" spans="1:5" x14ac:dyDescent="0.25">
      <c r="A4080" s="323" t="s">
        <v>3686</v>
      </c>
      <c r="B4080" s="323" t="s">
        <v>805</v>
      </c>
      <c r="C4080" s="323">
        <v>41638</v>
      </c>
      <c r="D4080" s="323">
        <v>209</v>
      </c>
      <c r="E4080" s="324">
        <f t="shared" si="63"/>
        <v>50966.740000000005</v>
      </c>
    </row>
    <row r="4081" spans="1:5" x14ac:dyDescent="0.25">
      <c r="A4081" s="323" t="s">
        <v>3909</v>
      </c>
      <c r="B4081" s="323" t="s">
        <v>805</v>
      </c>
      <c r="C4081" s="323">
        <v>41638</v>
      </c>
      <c r="D4081" s="323">
        <v>131</v>
      </c>
      <c r="E4081" s="324">
        <f t="shared" si="63"/>
        <v>31945.660000000003</v>
      </c>
    </row>
    <row r="4082" spans="1:5" x14ac:dyDescent="0.25">
      <c r="A4082" s="323" t="s">
        <v>6153</v>
      </c>
      <c r="B4082" s="323" t="s">
        <v>805</v>
      </c>
      <c r="C4082" s="323">
        <v>41638</v>
      </c>
      <c r="D4082" s="323">
        <v>197</v>
      </c>
      <c r="E4082" s="324">
        <f t="shared" si="63"/>
        <v>48040.420000000006</v>
      </c>
    </row>
    <row r="4083" spans="1:5" x14ac:dyDescent="0.25">
      <c r="A4083" s="323" t="s">
        <v>6175</v>
      </c>
      <c r="B4083" s="323" t="s">
        <v>805</v>
      </c>
      <c r="C4083" s="323">
        <v>41638</v>
      </c>
      <c r="D4083" s="323">
        <v>73</v>
      </c>
      <c r="E4083" s="324">
        <f t="shared" si="63"/>
        <v>17801.780000000002</v>
      </c>
    </row>
    <row r="4084" spans="1:5" x14ac:dyDescent="0.25">
      <c r="A4084" s="323" t="s">
        <v>6175</v>
      </c>
      <c r="B4084" s="323" t="s">
        <v>805</v>
      </c>
      <c r="C4084" s="323">
        <v>41638</v>
      </c>
      <c r="D4084" s="323">
        <v>152</v>
      </c>
      <c r="E4084" s="324">
        <f t="shared" si="63"/>
        <v>37066.720000000001</v>
      </c>
    </row>
    <row r="4085" spans="1:5" x14ac:dyDescent="0.25">
      <c r="A4085" s="323" t="s">
        <v>4952</v>
      </c>
      <c r="B4085" s="323" t="s">
        <v>805</v>
      </c>
      <c r="C4085" s="323">
        <v>41639</v>
      </c>
      <c r="D4085" s="323">
        <v>242</v>
      </c>
      <c r="E4085" s="324">
        <f t="shared" si="63"/>
        <v>59014.12</v>
      </c>
    </row>
    <row r="4086" spans="1:5" x14ac:dyDescent="0.25">
      <c r="A4086" s="323" t="s">
        <v>5028</v>
      </c>
      <c r="B4086" s="323" t="s">
        <v>805</v>
      </c>
      <c r="C4086" s="323">
        <v>41639</v>
      </c>
      <c r="D4086" s="323">
        <v>211</v>
      </c>
      <c r="E4086" s="324">
        <f t="shared" si="63"/>
        <v>51454.460000000006</v>
      </c>
    </row>
    <row r="4087" spans="1:5" x14ac:dyDescent="0.25">
      <c r="A4087" s="323" t="s">
        <v>5082</v>
      </c>
      <c r="B4087" s="323" t="s">
        <v>805</v>
      </c>
      <c r="C4087" s="323">
        <v>41639</v>
      </c>
      <c r="D4087" s="323">
        <v>315</v>
      </c>
      <c r="E4087" s="324">
        <f t="shared" si="63"/>
        <v>76815.900000000009</v>
      </c>
    </row>
    <row r="4088" spans="1:5" x14ac:dyDescent="0.25">
      <c r="A4088" s="323" t="s">
        <v>5339</v>
      </c>
      <c r="B4088" s="323" t="s">
        <v>805</v>
      </c>
      <c r="C4088" s="323">
        <v>41639</v>
      </c>
      <c r="D4088" s="323">
        <v>253</v>
      </c>
      <c r="E4088" s="324">
        <f t="shared" si="63"/>
        <v>61696.58</v>
      </c>
    </row>
    <row r="4089" spans="1:5" x14ac:dyDescent="0.25">
      <c r="A4089" s="323" t="s">
        <v>5363</v>
      </c>
      <c r="B4089" s="323" t="s">
        <v>805</v>
      </c>
      <c r="C4089" s="323">
        <v>41639</v>
      </c>
      <c r="D4089" s="323">
        <v>226</v>
      </c>
      <c r="E4089" s="324">
        <f t="shared" si="63"/>
        <v>55112.36</v>
      </c>
    </row>
    <row r="4090" spans="1:5" x14ac:dyDescent="0.25">
      <c r="A4090" s="323" t="s">
        <v>5439</v>
      </c>
      <c r="B4090" s="323" t="s">
        <v>805</v>
      </c>
      <c r="C4090" s="323">
        <v>41639</v>
      </c>
      <c r="D4090" s="323">
        <v>622</v>
      </c>
      <c r="E4090" s="324">
        <f t="shared" si="63"/>
        <v>151680.92000000001</v>
      </c>
    </row>
    <row r="4091" spans="1:5" x14ac:dyDescent="0.25">
      <c r="A4091" s="323" t="s">
        <v>6391</v>
      </c>
      <c r="B4091" s="323" t="s">
        <v>816</v>
      </c>
      <c r="C4091" s="323">
        <v>41639</v>
      </c>
      <c r="D4091" s="323">
        <v>165</v>
      </c>
      <c r="E4091" s="324">
        <f t="shared" si="63"/>
        <v>60355.350000000006</v>
      </c>
    </row>
    <row r="4092" spans="1:5" x14ac:dyDescent="0.25">
      <c r="A4092" s="323" t="s">
        <v>4564</v>
      </c>
      <c r="B4092" s="323" t="s">
        <v>816</v>
      </c>
      <c r="C4092" s="323">
        <v>41645</v>
      </c>
      <c r="D4092" s="323">
        <v>140</v>
      </c>
      <c r="E4092" s="324">
        <f t="shared" si="63"/>
        <v>51210.600000000006</v>
      </c>
    </row>
    <row r="4093" spans="1:5" x14ac:dyDescent="0.25">
      <c r="A4093" s="323" t="s">
        <v>6453</v>
      </c>
      <c r="B4093" s="323" t="s">
        <v>805</v>
      </c>
      <c r="C4093" s="323">
        <v>41645</v>
      </c>
      <c r="D4093" s="323">
        <v>318</v>
      </c>
      <c r="E4093" s="324">
        <f t="shared" si="63"/>
        <v>77547.48000000001</v>
      </c>
    </row>
    <row r="4094" spans="1:5" x14ac:dyDescent="0.25">
      <c r="A4094" s="323" t="s">
        <v>6456</v>
      </c>
      <c r="B4094" s="323" t="s">
        <v>805</v>
      </c>
      <c r="C4094" s="323">
        <v>41645</v>
      </c>
      <c r="D4094" s="323">
        <v>304</v>
      </c>
      <c r="E4094" s="324">
        <f t="shared" si="63"/>
        <v>74133.440000000002</v>
      </c>
    </row>
    <row r="4095" spans="1:5" x14ac:dyDescent="0.25">
      <c r="A4095" s="323" t="s">
        <v>6461</v>
      </c>
      <c r="B4095" s="323" t="s">
        <v>805</v>
      </c>
      <c r="C4095" s="323">
        <v>41645</v>
      </c>
      <c r="D4095" s="323">
        <v>409</v>
      </c>
      <c r="E4095" s="324">
        <f t="shared" si="63"/>
        <v>99738.74</v>
      </c>
    </row>
    <row r="4096" spans="1:5" x14ac:dyDescent="0.25">
      <c r="A4096" s="323" t="s">
        <v>6465</v>
      </c>
      <c r="B4096" s="323" t="s">
        <v>805</v>
      </c>
      <c r="C4096" s="323">
        <v>41645</v>
      </c>
      <c r="D4096" s="323">
        <v>412</v>
      </c>
      <c r="E4096" s="324">
        <f t="shared" si="63"/>
        <v>100470.32</v>
      </c>
    </row>
    <row r="4097" spans="1:5" x14ac:dyDescent="0.25">
      <c r="A4097" s="323" t="s">
        <v>6467</v>
      </c>
      <c r="B4097" s="323" t="s">
        <v>805</v>
      </c>
      <c r="C4097" s="323">
        <v>41645</v>
      </c>
      <c r="D4097" s="323">
        <v>154</v>
      </c>
      <c r="E4097" s="324">
        <f t="shared" si="63"/>
        <v>37554.44</v>
      </c>
    </row>
    <row r="4098" spans="1:5" x14ac:dyDescent="0.25">
      <c r="A4098" s="323" t="s">
        <v>6469</v>
      </c>
      <c r="B4098" s="323" t="s">
        <v>805</v>
      </c>
      <c r="C4098" s="323">
        <v>41645</v>
      </c>
      <c r="D4098" s="323">
        <v>373</v>
      </c>
      <c r="E4098" s="324">
        <f t="shared" ref="E4098:E4161" si="64">D4098*IF(B4098=$G$9,WerkdrukbedragPerLeerlingBo,IF(B4098=$G$10,WerkdrukbedragPerLeerlingSbo,IF(B4098=$G$11,WerkdrukbedragPerLeerlingSo,IF(B4098=$G$12,WerkdrukbedragPerLeerlingVso,0))))</f>
        <v>90959.78</v>
      </c>
    </row>
    <row r="4099" spans="1:5" x14ac:dyDescent="0.25">
      <c r="A4099" s="323" t="s">
        <v>6471</v>
      </c>
      <c r="B4099" s="323" t="s">
        <v>805</v>
      </c>
      <c r="C4099" s="323">
        <v>41645</v>
      </c>
      <c r="D4099" s="323">
        <v>237</v>
      </c>
      <c r="E4099" s="324">
        <f t="shared" si="64"/>
        <v>57794.82</v>
      </c>
    </row>
    <row r="4100" spans="1:5" x14ac:dyDescent="0.25">
      <c r="A4100" s="323" t="s">
        <v>6489</v>
      </c>
      <c r="B4100" s="323" t="s">
        <v>805</v>
      </c>
      <c r="C4100" s="323">
        <v>41645</v>
      </c>
      <c r="D4100" s="323">
        <v>173</v>
      </c>
      <c r="E4100" s="324">
        <f t="shared" si="64"/>
        <v>42187.78</v>
      </c>
    </row>
    <row r="4101" spans="1:5" x14ac:dyDescent="0.25">
      <c r="A4101" s="323" t="s">
        <v>6527</v>
      </c>
      <c r="B4101" s="323" t="s">
        <v>805</v>
      </c>
      <c r="C4101" s="323">
        <v>41645</v>
      </c>
      <c r="D4101" s="323">
        <v>117</v>
      </c>
      <c r="E4101" s="324">
        <f t="shared" si="64"/>
        <v>28531.620000000003</v>
      </c>
    </row>
    <row r="4102" spans="1:5" x14ac:dyDescent="0.25">
      <c r="A4102" s="323" t="s">
        <v>6538</v>
      </c>
      <c r="B4102" s="323" t="s">
        <v>805</v>
      </c>
      <c r="C4102" s="323">
        <v>41645</v>
      </c>
      <c r="D4102" s="323">
        <v>565</v>
      </c>
      <c r="E4102" s="324">
        <f t="shared" si="64"/>
        <v>137780.9</v>
      </c>
    </row>
    <row r="4103" spans="1:5" x14ac:dyDescent="0.25">
      <c r="A4103" s="323" t="s">
        <v>6551</v>
      </c>
      <c r="B4103" s="323" t="s">
        <v>805</v>
      </c>
      <c r="C4103" s="323">
        <v>41645</v>
      </c>
      <c r="D4103" s="323">
        <v>170</v>
      </c>
      <c r="E4103" s="324">
        <f t="shared" si="64"/>
        <v>41456.200000000004</v>
      </c>
    </row>
    <row r="4104" spans="1:5" x14ac:dyDescent="0.25">
      <c r="A4104" s="323" t="s">
        <v>6554</v>
      </c>
      <c r="B4104" s="323" t="s">
        <v>805</v>
      </c>
      <c r="C4104" s="323">
        <v>41645</v>
      </c>
      <c r="D4104" s="323">
        <v>209</v>
      </c>
      <c r="E4104" s="324">
        <f t="shared" si="64"/>
        <v>50966.740000000005</v>
      </c>
    </row>
    <row r="4105" spans="1:5" x14ac:dyDescent="0.25">
      <c r="A4105" s="323" t="s">
        <v>6558</v>
      </c>
      <c r="B4105" s="323" t="s">
        <v>805</v>
      </c>
      <c r="C4105" s="323">
        <v>41645</v>
      </c>
      <c r="D4105" s="323">
        <v>380</v>
      </c>
      <c r="E4105" s="324">
        <f t="shared" si="64"/>
        <v>92666.8</v>
      </c>
    </row>
    <row r="4106" spans="1:5" x14ac:dyDescent="0.25">
      <c r="A4106" s="323" t="s">
        <v>6560</v>
      </c>
      <c r="B4106" s="323" t="s">
        <v>805</v>
      </c>
      <c r="C4106" s="323">
        <v>41645</v>
      </c>
      <c r="D4106" s="323">
        <v>334</v>
      </c>
      <c r="E4106" s="324">
        <f t="shared" si="64"/>
        <v>81449.240000000005</v>
      </c>
    </row>
    <row r="4107" spans="1:5" x14ac:dyDescent="0.25">
      <c r="A4107" s="323" t="s">
        <v>6812</v>
      </c>
      <c r="B4107" s="323" t="s">
        <v>805</v>
      </c>
      <c r="C4107" s="323">
        <v>41645</v>
      </c>
      <c r="D4107" s="323">
        <v>272</v>
      </c>
      <c r="E4107" s="324">
        <f t="shared" si="64"/>
        <v>66329.919999999998</v>
      </c>
    </row>
    <row r="4108" spans="1:5" x14ac:dyDescent="0.25">
      <c r="A4108" s="323" t="s">
        <v>7312</v>
      </c>
      <c r="B4108" s="323" t="s">
        <v>805</v>
      </c>
      <c r="C4108" s="323">
        <v>41645</v>
      </c>
      <c r="D4108" s="323">
        <v>361</v>
      </c>
      <c r="E4108" s="324">
        <f t="shared" si="64"/>
        <v>88033.46</v>
      </c>
    </row>
    <row r="4109" spans="1:5" x14ac:dyDescent="0.25">
      <c r="A4109" s="323" t="s">
        <v>7372</v>
      </c>
      <c r="B4109" s="323" t="s">
        <v>805</v>
      </c>
      <c r="C4109" s="323">
        <v>41645</v>
      </c>
      <c r="D4109" s="323">
        <v>515</v>
      </c>
      <c r="E4109" s="324">
        <f t="shared" si="64"/>
        <v>125587.90000000001</v>
      </c>
    </row>
    <row r="4110" spans="1:5" x14ac:dyDescent="0.25">
      <c r="A4110" s="323" t="s">
        <v>804</v>
      </c>
      <c r="B4110" s="323" t="s">
        <v>805</v>
      </c>
      <c r="C4110" s="323">
        <v>41646</v>
      </c>
      <c r="D4110" s="323">
        <v>100</v>
      </c>
      <c r="E4110" s="324">
        <f t="shared" si="64"/>
        <v>24386</v>
      </c>
    </row>
    <row r="4111" spans="1:5" x14ac:dyDescent="0.25">
      <c r="A4111" s="323" t="s">
        <v>807</v>
      </c>
      <c r="B4111" s="323" t="s">
        <v>805</v>
      </c>
      <c r="C4111" s="323">
        <v>41646</v>
      </c>
      <c r="D4111" s="323">
        <v>65</v>
      </c>
      <c r="E4111" s="324">
        <f t="shared" si="64"/>
        <v>15850.900000000001</v>
      </c>
    </row>
    <row r="4112" spans="1:5" x14ac:dyDescent="0.25">
      <c r="A4112" s="323" t="s">
        <v>832</v>
      </c>
      <c r="B4112" s="323" t="s">
        <v>816</v>
      </c>
      <c r="C4112" s="323">
        <v>41646</v>
      </c>
      <c r="D4112" s="323">
        <v>55</v>
      </c>
      <c r="E4112" s="324">
        <f t="shared" si="64"/>
        <v>20118.45</v>
      </c>
    </row>
    <row r="4113" spans="1:5" x14ac:dyDescent="0.25">
      <c r="A4113" s="323" t="s">
        <v>835</v>
      </c>
      <c r="B4113" s="323" t="s">
        <v>805</v>
      </c>
      <c r="C4113" s="323">
        <v>41646</v>
      </c>
      <c r="D4113" s="323">
        <v>95</v>
      </c>
      <c r="E4113" s="324">
        <f t="shared" si="64"/>
        <v>23166.7</v>
      </c>
    </row>
    <row r="4114" spans="1:5" x14ac:dyDescent="0.25">
      <c r="A4114" s="323" t="s">
        <v>1027</v>
      </c>
      <c r="B4114" s="323" t="s">
        <v>805</v>
      </c>
      <c r="C4114" s="323">
        <v>41646</v>
      </c>
      <c r="D4114" s="323">
        <v>211</v>
      </c>
      <c r="E4114" s="324">
        <f t="shared" si="64"/>
        <v>51454.460000000006</v>
      </c>
    </row>
    <row r="4115" spans="1:5" x14ac:dyDescent="0.25">
      <c r="A4115" s="323" t="s">
        <v>1035</v>
      </c>
      <c r="B4115" s="323" t="s">
        <v>805</v>
      </c>
      <c r="C4115" s="323">
        <v>41646</v>
      </c>
      <c r="D4115" s="323">
        <v>136</v>
      </c>
      <c r="E4115" s="324">
        <f t="shared" si="64"/>
        <v>33164.959999999999</v>
      </c>
    </row>
    <row r="4116" spans="1:5" x14ac:dyDescent="0.25">
      <c r="A4116" s="323" t="s">
        <v>1086</v>
      </c>
      <c r="B4116" s="323" t="s">
        <v>805</v>
      </c>
      <c r="C4116" s="323">
        <v>41646</v>
      </c>
      <c r="D4116" s="323">
        <v>142</v>
      </c>
      <c r="E4116" s="324">
        <f t="shared" si="64"/>
        <v>34628.120000000003</v>
      </c>
    </row>
    <row r="4117" spans="1:5" x14ac:dyDescent="0.25">
      <c r="A4117" s="323" t="s">
        <v>1087</v>
      </c>
      <c r="B4117" s="323" t="s">
        <v>805</v>
      </c>
      <c r="C4117" s="323">
        <v>41646</v>
      </c>
      <c r="D4117" s="323">
        <v>82</v>
      </c>
      <c r="E4117" s="324">
        <f t="shared" si="64"/>
        <v>19996.52</v>
      </c>
    </row>
    <row r="4118" spans="1:5" x14ac:dyDescent="0.25">
      <c r="A4118" s="323" t="s">
        <v>1098</v>
      </c>
      <c r="B4118" s="323" t="s">
        <v>805</v>
      </c>
      <c r="C4118" s="323">
        <v>41646</v>
      </c>
      <c r="D4118" s="323">
        <v>224</v>
      </c>
      <c r="E4118" s="324">
        <f t="shared" si="64"/>
        <v>54624.639999999999</v>
      </c>
    </row>
    <row r="4119" spans="1:5" x14ac:dyDescent="0.25">
      <c r="A4119" s="323" t="s">
        <v>1098</v>
      </c>
      <c r="B4119" s="323" t="s">
        <v>805</v>
      </c>
      <c r="C4119" s="323">
        <v>41646</v>
      </c>
      <c r="D4119" s="323">
        <v>167</v>
      </c>
      <c r="E4119" s="324">
        <f t="shared" si="64"/>
        <v>40724.620000000003</v>
      </c>
    </row>
    <row r="4120" spans="1:5" x14ac:dyDescent="0.25">
      <c r="A4120" s="323" t="s">
        <v>1188</v>
      </c>
      <c r="B4120" s="323" t="s">
        <v>805</v>
      </c>
      <c r="C4120" s="323">
        <v>41646</v>
      </c>
      <c r="D4120" s="323">
        <v>148</v>
      </c>
      <c r="E4120" s="324">
        <f t="shared" si="64"/>
        <v>36091.279999999999</v>
      </c>
    </row>
    <row r="4121" spans="1:5" x14ac:dyDescent="0.25">
      <c r="A4121" s="323" t="s">
        <v>1272</v>
      </c>
      <c r="B4121" s="323" t="s">
        <v>805</v>
      </c>
      <c r="C4121" s="323">
        <v>41646</v>
      </c>
      <c r="D4121" s="323">
        <v>198</v>
      </c>
      <c r="E4121" s="324">
        <f t="shared" si="64"/>
        <v>48284.280000000006</v>
      </c>
    </row>
    <row r="4122" spans="1:5" x14ac:dyDescent="0.25">
      <c r="A4122" s="323" t="s">
        <v>1375</v>
      </c>
      <c r="B4122" s="323" t="s">
        <v>805</v>
      </c>
      <c r="C4122" s="323">
        <v>41646</v>
      </c>
      <c r="D4122" s="323">
        <v>110</v>
      </c>
      <c r="E4122" s="324">
        <f t="shared" si="64"/>
        <v>26824.600000000002</v>
      </c>
    </row>
    <row r="4123" spans="1:5" x14ac:dyDescent="0.25">
      <c r="A4123" s="323" t="s">
        <v>1880</v>
      </c>
      <c r="B4123" s="323" t="s">
        <v>805</v>
      </c>
      <c r="C4123" s="323">
        <v>41646</v>
      </c>
      <c r="D4123" s="323">
        <v>200</v>
      </c>
      <c r="E4123" s="324">
        <f t="shared" si="64"/>
        <v>48772</v>
      </c>
    </row>
    <row r="4124" spans="1:5" x14ac:dyDescent="0.25">
      <c r="A4124" s="323" t="s">
        <v>1995</v>
      </c>
      <c r="B4124" s="323" t="s">
        <v>805</v>
      </c>
      <c r="C4124" s="323">
        <v>41646</v>
      </c>
      <c r="D4124" s="323">
        <v>283</v>
      </c>
      <c r="E4124" s="324">
        <f t="shared" si="64"/>
        <v>69012.38</v>
      </c>
    </row>
    <row r="4125" spans="1:5" x14ac:dyDescent="0.25">
      <c r="A4125" s="323" t="s">
        <v>2009</v>
      </c>
      <c r="B4125" s="323" t="s">
        <v>805</v>
      </c>
      <c r="C4125" s="323">
        <v>41646</v>
      </c>
      <c r="D4125" s="323">
        <v>197</v>
      </c>
      <c r="E4125" s="324">
        <f t="shared" si="64"/>
        <v>48040.420000000006</v>
      </c>
    </row>
    <row r="4126" spans="1:5" x14ac:dyDescent="0.25">
      <c r="A4126" s="323" t="s">
        <v>2268</v>
      </c>
      <c r="B4126" s="323" t="s">
        <v>805</v>
      </c>
      <c r="C4126" s="323">
        <v>41646</v>
      </c>
      <c r="D4126" s="323">
        <v>197</v>
      </c>
      <c r="E4126" s="324">
        <f t="shared" si="64"/>
        <v>48040.420000000006</v>
      </c>
    </row>
    <row r="4127" spans="1:5" x14ac:dyDescent="0.25">
      <c r="A4127" s="323" t="s">
        <v>2337</v>
      </c>
      <c r="B4127" s="323" t="s">
        <v>805</v>
      </c>
      <c r="C4127" s="323">
        <v>41646</v>
      </c>
      <c r="D4127" s="323">
        <v>107</v>
      </c>
      <c r="E4127" s="324">
        <f t="shared" si="64"/>
        <v>26093.02</v>
      </c>
    </row>
    <row r="4128" spans="1:5" x14ac:dyDescent="0.25">
      <c r="A4128" s="323" t="s">
        <v>2704</v>
      </c>
      <c r="B4128" s="323" t="s">
        <v>805</v>
      </c>
      <c r="C4128" s="323">
        <v>41646</v>
      </c>
      <c r="D4128" s="323">
        <v>108</v>
      </c>
      <c r="E4128" s="324">
        <f t="shared" si="64"/>
        <v>26336.880000000001</v>
      </c>
    </row>
    <row r="4129" spans="1:5" x14ac:dyDescent="0.25">
      <c r="A4129" s="323" t="s">
        <v>2720</v>
      </c>
      <c r="B4129" s="323" t="s">
        <v>805</v>
      </c>
      <c r="C4129" s="323">
        <v>41646</v>
      </c>
      <c r="D4129" s="323">
        <v>164</v>
      </c>
      <c r="E4129" s="324">
        <f t="shared" si="64"/>
        <v>39993.040000000001</v>
      </c>
    </row>
    <row r="4130" spans="1:5" x14ac:dyDescent="0.25">
      <c r="A4130" s="323" t="s">
        <v>5161</v>
      </c>
      <c r="B4130" s="323" t="s">
        <v>805</v>
      </c>
      <c r="C4130" s="323">
        <v>41646</v>
      </c>
      <c r="D4130" s="323">
        <v>406</v>
      </c>
      <c r="E4130" s="324">
        <f t="shared" si="64"/>
        <v>99007.16</v>
      </c>
    </row>
    <row r="4131" spans="1:5" x14ac:dyDescent="0.25">
      <c r="A4131" s="323" t="s">
        <v>5161</v>
      </c>
      <c r="B4131" s="323" t="s">
        <v>805</v>
      </c>
      <c r="C4131" s="323">
        <v>41646</v>
      </c>
      <c r="D4131" s="323">
        <v>110</v>
      </c>
      <c r="E4131" s="324">
        <f t="shared" si="64"/>
        <v>26824.600000000002</v>
      </c>
    </row>
    <row r="4132" spans="1:5" x14ac:dyDescent="0.25">
      <c r="A4132" s="323" t="s">
        <v>6985</v>
      </c>
      <c r="B4132" s="323" t="s">
        <v>805</v>
      </c>
      <c r="C4132" s="323">
        <v>41646</v>
      </c>
      <c r="D4132" s="323">
        <v>166</v>
      </c>
      <c r="E4132" s="324">
        <f t="shared" si="64"/>
        <v>40480.76</v>
      </c>
    </row>
    <row r="4133" spans="1:5" x14ac:dyDescent="0.25">
      <c r="A4133" s="323" t="s">
        <v>7065</v>
      </c>
      <c r="B4133" s="323" t="s">
        <v>805</v>
      </c>
      <c r="C4133" s="323">
        <v>41646</v>
      </c>
      <c r="D4133" s="323">
        <v>96</v>
      </c>
      <c r="E4133" s="324">
        <f t="shared" si="64"/>
        <v>23410.560000000001</v>
      </c>
    </row>
    <row r="4134" spans="1:5" x14ac:dyDescent="0.25">
      <c r="A4134" s="323" t="s">
        <v>7102</v>
      </c>
      <c r="B4134" s="323" t="s">
        <v>805</v>
      </c>
      <c r="C4134" s="323">
        <v>41646</v>
      </c>
      <c r="D4134" s="323">
        <v>83</v>
      </c>
      <c r="E4134" s="324">
        <f t="shared" si="64"/>
        <v>20240.38</v>
      </c>
    </row>
    <row r="4135" spans="1:5" x14ac:dyDescent="0.25">
      <c r="A4135" s="323" t="s">
        <v>1941</v>
      </c>
      <c r="B4135" s="323" t="s">
        <v>805</v>
      </c>
      <c r="C4135" s="323">
        <v>41651</v>
      </c>
      <c r="D4135" s="323">
        <v>208</v>
      </c>
      <c r="E4135" s="324">
        <f t="shared" si="64"/>
        <v>50722.880000000005</v>
      </c>
    </row>
    <row r="4136" spans="1:5" x14ac:dyDescent="0.25">
      <c r="A4136" s="323" t="s">
        <v>1942</v>
      </c>
      <c r="B4136" s="323" t="s">
        <v>805</v>
      </c>
      <c r="C4136" s="323">
        <v>41651</v>
      </c>
      <c r="D4136" s="323">
        <v>37</v>
      </c>
      <c r="E4136" s="324">
        <f t="shared" si="64"/>
        <v>9022.82</v>
      </c>
    </row>
    <row r="4137" spans="1:5" x14ac:dyDescent="0.25">
      <c r="A4137" s="323" t="s">
        <v>3061</v>
      </c>
      <c r="B4137" s="323" t="s">
        <v>805</v>
      </c>
      <c r="C4137" s="323">
        <v>41651</v>
      </c>
      <c r="D4137" s="323">
        <v>60</v>
      </c>
      <c r="E4137" s="324">
        <f t="shared" si="64"/>
        <v>14631.6</v>
      </c>
    </row>
    <row r="4138" spans="1:5" x14ac:dyDescent="0.25">
      <c r="A4138" s="323" t="s">
        <v>3435</v>
      </c>
      <c r="B4138" s="323" t="s">
        <v>805</v>
      </c>
      <c r="C4138" s="323">
        <v>41651</v>
      </c>
      <c r="D4138" s="323">
        <v>155</v>
      </c>
      <c r="E4138" s="324">
        <f t="shared" si="64"/>
        <v>37798.300000000003</v>
      </c>
    </row>
    <row r="4139" spans="1:5" x14ac:dyDescent="0.25">
      <c r="A4139" s="323" t="s">
        <v>1034</v>
      </c>
      <c r="B4139" s="323" t="s">
        <v>805</v>
      </c>
      <c r="C4139" s="323">
        <v>41662</v>
      </c>
      <c r="D4139" s="323">
        <v>123</v>
      </c>
      <c r="E4139" s="324">
        <f t="shared" si="64"/>
        <v>29994.780000000002</v>
      </c>
    </row>
    <row r="4140" spans="1:5" x14ac:dyDescent="0.25">
      <c r="A4140" s="323" t="s">
        <v>1042</v>
      </c>
      <c r="B4140" s="323" t="s">
        <v>805</v>
      </c>
      <c r="C4140" s="323">
        <v>41662</v>
      </c>
      <c r="D4140" s="323">
        <v>168</v>
      </c>
      <c r="E4140" s="324">
        <f t="shared" si="64"/>
        <v>40968.480000000003</v>
      </c>
    </row>
    <row r="4141" spans="1:5" x14ac:dyDescent="0.25">
      <c r="A4141" s="323" t="s">
        <v>1065</v>
      </c>
      <c r="B4141" s="323" t="s">
        <v>805</v>
      </c>
      <c r="C4141" s="323">
        <v>41662</v>
      </c>
      <c r="D4141" s="323">
        <v>239</v>
      </c>
      <c r="E4141" s="324">
        <f t="shared" si="64"/>
        <v>58282.54</v>
      </c>
    </row>
    <row r="4142" spans="1:5" x14ac:dyDescent="0.25">
      <c r="A4142" s="323" t="s">
        <v>2087</v>
      </c>
      <c r="B4142" s="323" t="s">
        <v>805</v>
      </c>
      <c r="C4142" s="323">
        <v>41662</v>
      </c>
      <c r="D4142" s="323">
        <v>368</v>
      </c>
      <c r="E4142" s="324">
        <f t="shared" si="64"/>
        <v>89740.48000000001</v>
      </c>
    </row>
    <row r="4143" spans="1:5" x14ac:dyDescent="0.25">
      <c r="A4143" s="323" t="s">
        <v>2625</v>
      </c>
      <c r="B4143" s="323" t="s">
        <v>805</v>
      </c>
      <c r="C4143" s="323">
        <v>41662</v>
      </c>
      <c r="D4143" s="323">
        <v>300</v>
      </c>
      <c r="E4143" s="324">
        <f t="shared" si="64"/>
        <v>73158</v>
      </c>
    </row>
    <row r="4144" spans="1:5" x14ac:dyDescent="0.25">
      <c r="A4144" s="323" t="s">
        <v>2636</v>
      </c>
      <c r="B4144" s="323" t="s">
        <v>805</v>
      </c>
      <c r="C4144" s="323">
        <v>41662</v>
      </c>
      <c r="D4144" s="323">
        <v>240</v>
      </c>
      <c r="E4144" s="324">
        <f t="shared" si="64"/>
        <v>58526.400000000001</v>
      </c>
    </row>
    <row r="4145" spans="1:5" x14ac:dyDescent="0.25">
      <c r="A4145" s="323" t="s">
        <v>3001</v>
      </c>
      <c r="B4145" s="323" t="s">
        <v>805</v>
      </c>
      <c r="C4145" s="323">
        <v>41662</v>
      </c>
      <c r="D4145" s="323">
        <v>251</v>
      </c>
      <c r="E4145" s="324">
        <f t="shared" si="64"/>
        <v>61208.86</v>
      </c>
    </row>
    <row r="4146" spans="1:5" x14ac:dyDescent="0.25">
      <c r="A4146" s="323" t="s">
        <v>3381</v>
      </c>
      <c r="B4146" s="323" t="s">
        <v>805</v>
      </c>
      <c r="C4146" s="323">
        <v>41662</v>
      </c>
      <c r="D4146" s="323">
        <v>117</v>
      </c>
      <c r="E4146" s="324">
        <f t="shared" si="64"/>
        <v>28531.620000000003</v>
      </c>
    </row>
    <row r="4147" spans="1:5" x14ac:dyDescent="0.25">
      <c r="A4147" s="323" t="s">
        <v>3661</v>
      </c>
      <c r="B4147" s="323" t="s">
        <v>805</v>
      </c>
      <c r="C4147" s="323">
        <v>41662</v>
      </c>
      <c r="D4147" s="323">
        <v>57</v>
      </c>
      <c r="E4147" s="324">
        <f t="shared" si="64"/>
        <v>13900.02</v>
      </c>
    </row>
    <row r="4148" spans="1:5" x14ac:dyDescent="0.25">
      <c r="A4148" s="323" t="s">
        <v>6105</v>
      </c>
      <c r="B4148" s="323" t="s">
        <v>805</v>
      </c>
      <c r="C4148" s="323">
        <v>41662</v>
      </c>
      <c r="D4148" s="323">
        <v>91</v>
      </c>
      <c r="E4148" s="324">
        <f t="shared" si="64"/>
        <v>22191.260000000002</v>
      </c>
    </row>
    <row r="4149" spans="1:5" x14ac:dyDescent="0.25">
      <c r="A4149" s="323" t="s">
        <v>6844</v>
      </c>
      <c r="B4149" s="323" t="s">
        <v>805</v>
      </c>
      <c r="C4149" s="323">
        <v>41662</v>
      </c>
      <c r="D4149" s="323">
        <v>110</v>
      </c>
      <c r="E4149" s="324">
        <f t="shared" si="64"/>
        <v>26824.600000000002</v>
      </c>
    </row>
    <row r="4150" spans="1:5" x14ac:dyDescent="0.25">
      <c r="A4150" s="323" t="s">
        <v>6896</v>
      </c>
      <c r="B4150" s="323" t="s">
        <v>805</v>
      </c>
      <c r="C4150" s="323">
        <v>41662</v>
      </c>
      <c r="D4150" s="323">
        <v>193</v>
      </c>
      <c r="E4150" s="324">
        <f t="shared" si="64"/>
        <v>47064.98</v>
      </c>
    </row>
    <row r="4151" spans="1:5" x14ac:dyDescent="0.25">
      <c r="A4151" s="323" t="s">
        <v>6988</v>
      </c>
      <c r="B4151" s="323" t="s">
        <v>805</v>
      </c>
      <c r="C4151" s="323">
        <v>41662</v>
      </c>
      <c r="D4151" s="323">
        <v>791</v>
      </c>
      <c r="E4151" s="324">
        <f t="shared" si="64"/>
        <v>192893.26</v>
      </c>
    </row>
    <row r="4152" spans="1:5" x14ac:dyDescent="0.25">
      <c r="A4152" s="323" t="s">
        <v>7023</v>
      </c>
      <c r="B4152" s="323" t="s">
        <v>805</v>
      </c>
      <c r="C4152" s="323">
        <v>41662</v>
      </c>
      <c r="D4152" s="323">
        <v>198</v>
      </c>
      <c r="E4152" s="324">
        <f t="shared" si="64"/>
        <v>48284.280000000006</v>
      </c>
    </row>
    <row r="4153" spans="1:5" x14ac:dyDescent="0.25">
      <c r="A4153" s="323" t="s">
        <v>6304</v>
      </c>
      <c r="B4153" s="323" t="s">
        <v>805</v>
      </c>
      <c r="C4153" s="323">
        <v>41663</v>
      </c>
      <c r="D4153" s="323">
        <v>311</v>
      </c>
      <c r="E4153" s="324">
        <f t="shared" si="64"/>
        <v>75840.460000000006</v>
      </c>
    </row>
    <row r="4154" spans="1:5" x14ac:dyDescent="0.25">
      <c r="A4154" s="323" t="s">
        <v>6308</v>
      </c>
      <c r="B4154" s="323" t="s">
        <v>805</v>
      </c>
      <c r="C4154" s="323">
        <v>41663</v>
      </c>
      <c r="D4154" s="323">
        <v>324</v>
      </c>
      <c r="E4154" s="324">
        <f t="shared" si="64"/>
        <v>79010.64</v>
      </c>
    </row>
    <row r="4155" spans="1:5" x14ac:dyDescent="0.25">
      <c r="A4155" s="323" t="s">
        <v>6354</v>
      </c>
      <c r="B4155" s="323" t="s">
        <v>805</v>
      </c>
      <c r="C4155" s="323">
        <v>41663</v>
      </c>
      <c r="D4155" s="323">
        <v>350</v>
      </c>
      <c r="E4155" s="324">
        <f t="shared" si="64"/>
        <v>85351</v>
      </c>
    </row>
    <row r="4156" spans="1:5" x14ac:dyDescent="0.25">
      <c r="A4156" s="323" t="s">
        <v>6367</v>
      </c>
      <c r="B4156" s="323" t="s">
        <v>805</v>
      </c>
      <c r="C4156" s="323">
        <v>41663</v>
      </c>
      <c r="D4156" s="323">
        <v>258</v>
      </c>
      <c r="E4156" s="324">
        <f t="shared" si="64"/>
        <v>62915.880000000005</v>
      </c>
    </row>
    <row r="4157" spans="1:5" x14ac:dyDescent="0.25">
      <c r="A4157" s="323" t="s">
        <v>6650</v>
      </c>
      <c r="B4157" s="323" t="s">
        <v>805</v>
      </c>
      <c r="C4157" s="323">
        <v>41663</v>
      </c>
      <c r="D4157" s="323">
        <v>384</v>
      </c>
      <c r="E4157" s="324">
        <f t="shared" si="64"/>
        <v>93642.240000000005</v>
      </c>
    </row>
    <row r="4158" spans="1:5" x14ac:dyDescent="0.25">
      <c r="A4158" s="323" t="s">
        <v>6659</v>
      </c>
      <c r="B4158" s="323" t="s">
        <v>805</v>
      </c>
      <c r="C4158" s="323">
        <v>41663</v>
      </c>
      <c r="D4158" s="323">
        <v>251</v>
      </c>
      <c r="E4158" s="324">
        <f t="shared" si="64"/>
        <v>61208.86</v>
      </c>
    </row>
    <row r="4159" spans="1:5" x14ac:dyDescent="0.25">
      <c r="A4159" s="323" t="s">
        <v>6662</v>
      </c>
      <c r="B4159" s="323" t="s">
        <v>805</v>
      </c>
      <c r="C4159" s="323">
        <v>41663</v>
      </c>
      <c r="D4159" s="323">
        <v>365</v>
      </c>
      <c r="E4159" s="324">
        <f t="shared" si="64"/>
        <v>89008.900000000009</v>
      </c>
    </row>
    <row r="4160" spans="1:5" x14ac:dyDescent="0.25">
      <c r="A4160" s="323" t="s">
        <v>6670</v>
      </c>
      <c r="B4160" s="323" t="s">
        <v>805</v>
      </c>
      <c r="C4160" s="323">
        <v>41663</v>
      </c>
      <c r="D4160" s="323">
        <v>275</v>
      </c>
      <c r="E4160" s="324">
        <f t="shared" si="64"/>
        <v>67061.5</v>
      </c>
    </row>
    <row r="4161" spans="1:5" x14ac:dyDescent="0.25">
      <c r="A4161" s="323" t="s">
        <v>6677</v>
      </c>
      <c r="B4161" s="323" t="s">
        <v>805</v>
      </c>
      <c r="C4161" s="323">
        <v>41663</v>
      </c>
      <c r="D4161" s="323">
        <v>156</v>
      </c>
      <c r="E4161" s="324">
        <f t="shared" si="64"/>
        <v>38042.160000000003</v>
      </c>
    </row>
    <row r="4162" spans="1:5" x14ac:dyDescent="0.25">
      <c r="A4162" s="323" t="s">
        <v>6682</v>
      </c>
      <c r="B4162" s="323" t="s">
        <v>805</v>
      </c>
      <c r="C4162" s="323">
        <v>41663</v>
      </c>
      <c r="D4162" s="323">
        <v>520</v>
      </c>
      <c r="E4162" s="324">
        <f t="shared" ref="E4162:E4225" si="65">D4162*IF(B4162=$G$9,WerkdrukbedragPerLeerlingBo,IF(B4162=$G$10,WerkdrukbedragPerLeerlingSbo,IF(B4162=$G$11,WerkdrukbedragPerLeerlingSo,IF(B4162=$G$12,WerkdrukbedragPerLeerlingVso,0))))</f>
        <v>126807.20000000001</v>
      </c>
    </row>
    <row r="4163" spans="1:5" x14ac:dyDescent="0.25">
      <c r="A4163" s="323" t="s">
        <v>6682</v>
      </c>
      <c r="B4163" s="323" t="s">
        <v>805</v>
      </c>
      <c r="C4163" s="323">
        <v>41663</v>
      </c>
      <c r="D4163" s="323">
        <v>188</v>
      </c>
      <c r="E4163" s="324">
        <f t="shared" si="65"/>
        <v>45845.68</v>
      </c>
    </row>
    <row r="4164" spans="1:5" x14ac:dyDescent="0.25">
      <c r="A4164" s="323" t="s">
        <v>6684</v>
      </c>
      <c r="B4164" s="323" t="s">
        <v>805</v>
      </c>
      <c r="C4164" s="323">
        <v>41663</v>
      </c>
      <c r="D4164" s="323">
        <v>287</v>
      </c>
      <c r="E4164" s="324">
        <f t="shared" si="65"/>
        <v>69987.820000000007</v>
      </c>
    </row>
    <row r="4165" spans="1:5" x14ac:dyDescent="0.25">
      <c r="A4165" s="323" t="s">
        <v>6685</v>
      </c>
      <c r="B4165" s="323" t="s">
        <v>805</v>
      </c>
      <c r="C4165" s="323">
        <v>41663</v>
      </c>
      <c r="D4165" s="323">
        <v>279</v>
      </c>
      <c r="E4165" s="324">
        <f t="shared" si="65"/>
        <v>68036.94</v>
      </c>
    </row>
    <row r="4166" spans="1:5" x14ac:dyDescent="0.25">
      <c r="A4166" s="323" t="s">
        <v>6693</v>
      </c>
      <c r="B4166" s="323" t="s">
        <v>805</v>
      </c>
      <c r="C4166" s="323">
        <v>41663</v>
      </c>
      <c r="D4166" s="323">
        <v>295</v>
      </c>
      <c r="E4166" s="324">
        <f t="shared" si="65"/>
        <v>71938.7</v>
      </c>
    </row>
    <row r="4167" spans="1:5" x14ac:dyDescent="0.25">
      <c r="A4167" s="323" t="s">
        <v>6694</v>
      </c>
      <c r="B4167" s="323" t="s">
        <v>805</v>
      </c>
      <c r="C4167" s="323">
        <v>41663</v>
      </c>
      <c r="D4167" s="323">
        <v>145</v>
      </c>
      <c r="E4167" s="324">
        <f t="shared" si="65"/>
        <v>35359.700000000004</v>
      </c>
    </row>
    <row r="4168" spans="1:5" x14ac:dyDescent="0.25">
      <c r="A4168" s="323" t="s">
        <v>6697</v>
      </c>
      <c r="B4168" s="323" t="s">
        <v>805</v>
      </c>
      <c r="C4168" s="323">
        <v>41663</v>
      </c>
      <c r="D4168" s="323">
        <v>268</v>
      </c>
      <c r="E4168" s="324">
        <f t="shared" si="65"/>
        <v>65354.48</v>
      </c>
    </row>
    <row r="4169" spans="1:5" x14ac:dyDescent="0.25">
      <c r="A4169" s="323" t="s">
        <v>6705</v>
      </c>
      <c r="B4169" s="323" t="s">
        <v>805</v>
      </c>
      <c r="C4169" s="323">
        <v>41663</v>
      </c>
      <c r="D4169" s="323">
        <v>371</v>
      </c>
      <c r="E4169" s="324">
        <f t="shared" si="65"/>
        <v>90472.060000000012</v>
      </c>
    </row>
    <row r="4170" spans="1:5" x14ac:dyDescent="0.25">
      <c r="A4170" s="323" t="s">
        <v>6062</v>
      </c>
      <c r="B4170" s="323" t="s">
        <v>803</v>
      </c>
      <c r="C4170" s="323">
        <v>41664</v>
      </c>
      <c r="D4170" s="323">
        <v>111</v>
      </c>
      <c r="E4170" s="324">
        <f t="shared" si="65"/>
        <v>54136.920000000006</v>
      </c>
    </row>
    <row r="4171" spans="1:5" x14ac:dyDescent="0.25">
      <c r="A4171" s="323" t="s">
        <v>6062</v>
      </c>
      <c r="B4171" s="323" t="s">
        <v>803</v>
      </c>
      <c r="C4171" s="323">
        <v>41664</v>
      </c>
      <c r="D4171" s="323">
        <v>322</v>
      </c>
      <c r="E4171" s="324">
        <f t="shared" si="65"/>
        <v>157045.84</v>
      </c>
    </row>
    <row r="4172" spans="1:5" x14ac:dyDescent="0.25">
      <c r="A4172" s="323" t="s">
        <v>968</v>
      </c>
      <c r="B4172" s="323" t="s">
        <v>809</v>
      </c>
      <c r="C4172" s="323">
        <v>41671</v>
      </c>
      <c r="D4172" s="323">
        <v>33</v>
      </c>
      <c r="E4172" s="324">
        <f t="shared" si="65"/>
        <v>16094.76</v>
      </c>
    </row>
    <row r="4173" spans="1:5" x14ac:dyDescent="0.25">
      <c r="A4173" s="323" t="s">
        <v>968</v>
      </c>
      <c r="B4173" s="323" t="s">
        <v>803</v>
      </c>
      <c r="C4173" s="323">
        <v>41671</v>
      </c>
      <c r="D4173" s="323">
        <v>35</v>
      </c>
      <c r="E4173" s="324">
        <f t="shared" si="65"/>
        <v>17070.2</v>
      </c>
    </row>
    <row r="4174" spans="1:5" x14ac:dyDescent="0.25">
      <c r="A4174" s="323" t="s">
        <v>970</v>
      </c>
      <c r="B4174" s="323" t="s">
        <v>816</v>
      </c>
      <c r="C4174" s="323">
        <v>41671</v>
      </c>
      <c r="D4174" s="323">
        <v>94</v>
      </c>
      <c r="E4174" s="324">
        <f t="shared" si="65"/>
        <v>34384.26</v>
      </c>
    </row>
    <row r="4175" spans="1:5" x14ac:dyDescent="0.25">
      <c r="A4175" s="323" t="s">
        <v>1008</v>
      </c>
      <c r="B4175" s="323" t="s">
        <v>816</v>
      </c>
      <c r="C4175" s="323">
        <v>41671</v>
      </c>
      <c r="D4175" s="323">
        <v>206</v>
      </c>
      <c r="E4175" s="324">
        <f t="shared" si="65"/>
        <v>75352.740000000005</v>
      </c>
    </row>
    <row r="4176" spans="1:5" x14ac:dyDescent="0.25">
      <c r="A4176" s="323" t="s">
        <v>1927</v>
      </c>
      <c r="B4176" s="323" t="s">
        <v>816</v>
      </c>
      <c r="C4176" s="323">
        <v>41671</v>
      </c>
      <c r="D4176" s="323">
        <v>76</v>
      </c>
      <c r="E4176" s="324">
        <f t="shared" si="65"/>
        <v>27800.04</v>
      </c>
    </row>
    <row r="4177" spans="1:5" x14ac:dyDescent="0.25">
      <c r="A4177" s="323" t="s">
        <v>5668</v>
      </c>
      <c r="B4177" s="323" t="s">
        <v>809</v>
      </c>
      <c r="C4177" s="323">
        <v>41671</v>
      </c>
      <c r="D4177" s="323">
        <v>52</v>
      </c>
      <c r="E4177" s="324">
        <f t="shared" si="65"/>
        <v>25361.440000000002</v>
      </c>
    </row>
    <row r="4178" spans="1:5" x14ac:dyDescent="0.25">
      <c r="A4178" s="323" t="s">
        <v>5668</v>
      </c>
      <c r="B4178" s="323" t="s">
        <v>803</v>
      </c>
      <c r="C4178" s="323">
        <v>41671</v>
      </c>
      <c r="D4178" s="323">
        <v>78</v>
      </c>
      <c r="E4178" s="324">
        <f t="shared" si="65"/>
        <v>38042.160000000003</v>
      </c>
    </row>
    <row r="4179" spans="1:5" x14ac:dyDescent="0.25">
      <c r="A4179" s="323" t="s">
        <v>5668</v>
      </c>
      <c r="B4179" s="323" t="s">
        <v>809</v>
      </c>
      <c r="C4179" s="323">
        <v>41671</v>
      </c>
      <c r="D4179" s="323">
        <v>22</v>
      </c>
      <c r="E4179" s="324">
        <f t="shared" si="65"/>
        <v>10729.84</v>
      </c>
    </row>
    <row r="4180" spans="1:5" x14ac:dyDescent="0.25">
      <c r="A4180" s="323" t="s">
        <v>5668</v>
      </c>
      <c r="B4180" s="323" t="s">
        <v>803</v>
      </c>
      <c r="C4180" s="323">
        <v>41671</v>
      </c>
      <c r="D4180" s="323">
        <v>30</v>
      </c>
      <c r="E4180" s="324">
        <f t="shared" si="65"/>
        <v>14631.6</v>
      </c>
    </row>
    <row r="4181" spans="1:5" x14ac:dyDescent="0.25">
      <c r="A4181" s="323" t="s">
        <v>5668</v>
      </c>
      <c r="B4181" s="323" t="s">
        <v>809</v>
      </c>
      <c r="C4181" s="323">
        <v>41671</v>
      </c>
      <c r="D4181" s="323">
        <v>27</v>
      </c>
      <c r="E4181" s="324">
        <f t="shared" si="65"/>
        <v>13168.44</v>
      </c>
    </row>
    <row r="4182" spans="1:5" x14ac:dyDescent="0.25">
      <c r="A4182" s="323" t="s">
        <v>3642</v>
      </c>
      <c r="B4182" s="323" t="s">
        <v>805</v>
      </c>
      <c r="C4182" s="323">
        <v>41672</v>
      </c>
      <c r="D4182" s="323">
        <v>383</v>
      </c>
      <c r="E4182" s="324">
        <f t="shared" si="65"/>
        <v>93398.38</v>
      </c>
    </row>
    <row r="4183" spans="1:5" x14ac:dyDescent="0.25">
      <c r="A4183" s="323" t="s">
        <v>3883</v>
      </c>
      <c r="B4183" s="323" t="s">
        <v>805</v>
      </c>
      <c r="C4183" s="323">
        <v>41672</v>
      </c>
      <c r="D4183" s="323">
        <v>392</v>
      </c>
      <c r="E4183" s="324">
        <f t="shared" si="65"/>
        <v>95593.12000000001</v>
      </c>
    </row>
    <row r="4184" spans="1:5" x14ac:dyDescent="0.25">
      <c r="A4184" s="323" t="s">
        <v>3987</v>
      </c>
      <c r="B4184" s="323" t="s">
        <v>805</v>
      </c>
      <c r="C4184" s="323">
        <v>41672</v>
      </c>
      <c r="D4184" s="323">
        <v>329</v>
      </c>
      <c r="E4184" s="324">
        <f t="shared" si="65"/>
        <v>80229.94</v>
      </c>
    </row>
    <row r="4185" spans="1:5" x14ac:dyDescent="0.25">
      <c r="A4185" s="323" t="s">
        <v>4193</v>
      </c>
      <c r="B4185" s="323" t="s">
        <v>805</v>
      </c>
      <c r="C4185" s="323">
        <v>41672</v>
      </c>
      <c r="D4185" s="323">
        <v>271</v>
      </c>
      <c r="E4185" s="324">
        <f t="shared" si="65"/>
        <v>66086.06</v>
      </c>
    </row>
    <row r="4186" spans="1:5" x14ac:dyDescent="0.25">
      <c r="A4186" s="323" t="s">
        <v>4277</v>
      </c>
      <c r="B4186" s="323" t="s">
        <v>805</v>
      </c>
      <c r="C4186" s="323">
        <v>41672</v>
      </c>
      <c r="D4186" s="323">
        <v>143</v>
      </c>
      <c r="E4186" s="324">
        <f t="shared" si="65"/>
        <v>34871.980000000003</v>
      </c>
    </row>
    <row r="4187" spans="1:5" x14ac:dyDescent="0.25">
      <c r="A4187" s="323" t="s">
        <v>4421</v>
      </c>
      <c r="B4187" s="323" t="s">
        <v>805</v>
      </c>
      <c r="C4187" s="323">
        <v>41672</v>
      </c>
      <c r="D4187" s="323">
        <v>332</v>
      </c>
      <c r="E4187" s="324">
        <f t="shared" si="65"/>
        <v>80961.52</v>
      </c>
    </row>
    <row r="4188" spans="1:5" x14ac:dyDescent="0.25">
      <c r="A4188" s="323" t="s">
        <v>6193</v>
      </c>
      <c r="B4188" s="323" t="s">
        <v>805</v>
      </c>
      <c r="C4188" s="323">
        <v>41672</v>
      </c>
      <c r="D4188" s="323">
        <v>338</v>
      </c>
      <c r="E4188" s="324">
        <f t="shared" si="65"/>
        <v>82424.680000000008</v>
      </c>
    </row>
    <row r="4189" spans="1:5" x14ac:dyDescent="0.25">
      <c r="A4189" s="323" t="s">
        <v>6208</v>
      </c>
      <c r="B4189" s="323" t="s">
        <v>805</v>
      </c>
      <c r="C4189" s="323">
        <v>41672</v>
      </c>
      <c r="D4189" s="323">
        <v>172</v>
      </c>
      <c r="E4189" s="324">
        <f t="shared" si="65"/>
        <v>41943.920000000006</v>
      </c>
    </row>
    <row r="4190" spans="1:5" x14ac:dyDescent="0.25">
      <c r="A4190" s="323" t="s">
        <v>6225</v>
      </c>
      <c r="B4190" s="323" t="s">
        <v>805</v>
      </c>
      <c r="C4190" s="323">
        <v>41672</v>
      </c>
      <c r="D4190" s="323">
        <v>156</v>
      </c>
      <c r="E4190" s="324">
        <f t="shared" si="65"/>
        <v>38042.160000000003</v>
      </c>
    </row>
    <row r="4191" spans="1:5" x14ac:dyDescent="0.25">
      <c r="A4191" s="323" t="s">
        <v>6257</v>
      </c>
      <c r="B4191" s="323" t="s">
        <v>805</v>
      </c>
      <c r="C4191" s="323">
        <v>41672</v>
      </c>
      <c r="D4191" s="323">
        <v>345</v>
      </c>
      <c r="E4191" s="324">
        <f t="shared" si="65"/>
        <v>84131.700000000012</v>
      </c>
    </row>
    <row r="4192" spans="1:5" x14ac:dyDescent="0.25">
      <c r="A4192" s="323" t="s">
        <v>6764</v>
      </c>
      <c r="B4192" s="323" t="s">
        <v>805</v>
      </c>
      <c r="C4192" s="323">
        <v>41672</v>
      </c>
      <c r="D4192" s="323">
        <v>216</v>
      </c>
      <c r="E4192" s="324">
        <f t="shared" si="65"/>
        <v>52673.760000000002</v>
      </c>
    </row>
    <row r="4193" spans="1:5" x14ac:dyDescent="0.25">
      <c r="A4193" s="323" t="s">
        <v>6798</v>
      </c>
      <c r="B4193" s="323" t="s">
        <v>805</v>
      </c>
      <c r="C4193" s="323">
        <v>41672</v>
      </c>
      <c r="D4193" s="323">
        <v>486</v>
      </c>
      <c r="E4193" s="324">
        <f t="shared" si="65"/>
        <v>118515.96</v>
      </c>
    </row>
    <row r="4194" spans="1:5" x14ac:dyDescent="0.25">
      <c r="A4194" s="323" t="s">
        <v>7032</v>
      </c>
      <c r="B4194" s="323" t="s">
        <v>805</v>
      </c>
      <c r="C4194" s="323">
        <v>41672</v>
      </c>
      <c r="D4194" s="323">
        <v>190</v>
      </c>
      <c r="E4194" s="324">
        <f t="shared" si="65"/>
        <v>46333.4</v>
      </c>
    </row>
    <row r="4195" spans="1:5" x14ac:dyDescent="0.25">
      <c r="A4195" s="323" t="s">
        <v>7322</v>
      </c>
      <c r="B4195" s="323" t="s">
        <v>805</v>
      </c>
      <c r="C4195" s="323">
        <v>41672</v>
      </c>
      <c r="D4195" s="323">
        <v>683</v>
      </c>
      <c r="E4195" s="324">
        <f t="shared" si="65"/>
        <v>166556.38</v>
      </c>
    </row>
    <row r="4196" spans="1:5" x14ac:dyDescent="0.25">
      <c r="A4196" s="323" t="s">
        <v>7395</v>
      </c>
      <c r="B4196" s="323" t="s">
        <v>805</v>
      </c>
      <c r="C4196" s="323">
        <v>41672</v>
      </c>
      <c r="D4196" s="323">
        <v>456</v>
      </c>
      <c r="E4196" s="324">
        <f t="shared" si="65"/>
        <v>111200.16</v>
      </c>
    </row>
    <row r="4197" spans="1:5" x14ac:dyDescent="0.25">
      <c r="A4197" s="323" t="s">
        <v>6315</v>
      </c>
      <c r="B4197" s="323" t="s">
        <v>805</v>
      </c>
      <c r="C4197" s="323">
        <v>41674</v>
      </c>
      <c r="D4197" s="323">
        <v>130</v>
      </c>
      <c r="E4197" s="324">
        <f t="shared" si="65"/>
        <v>31701.800000000003</v>
      </c>
    </row>
    <row r="4198" spans="1:5" x14ac:dyDescent="0.25">
      <c r="A4198" s="323" t="s">
        <v>6322</v>
      </c>
      <c r="B4198" s="323" t="s">
        <v>805</v>
      </c>
      <c r="C4198" s="323">
        <v>41674</v>
      </c>
      <c r="D4198" s="323">
        <v>72</v>
      </c>
      <c r="E4198" s="324">
        <f t="shared" si="65"/>
        <v>17557.920000000002</v>
      </c>
    </row>
    <row r="4199" spans="1:5" x14ac:dyDescent="0.25">
      <c r="A4199" s="323" t="s">
        <v>6327</v>
      </c>
      <c r="B4199" s="323" t="s">
        <v>805</v>
      </c>
      <c r="C4199" s="323">
        <v>41674</v>
      </c>
      <c r="D4199" s="323">
        <v>225</v>
      </c>
      <c r="E4199" s="324">
        <f t="shared" si="65"/>
        <v>54868.5</v>
      </c>
    </row>
    <row r="4200" spans="1:5" x14ac:dyDescent="0.25">
      <c r="A4200" s="323" t="s">
        <v>6340</v>
      </c>
      <c r="B4200" s="323" t="s">
        <v>805</v>
      </c>
      <c r="C4200" s="323">
        <v>41674</v>
      </c>
      <c r="D4200" s="323">
        <v>241</v>
      </c>
      <c r="E4200" s="324">
        <f t="shared" si="65"/>
        <v>58770.26</v>
      </c>
    </row>
    <row r="4201" spans="1:5" x14ac:dyDescent="0.25">
      <c r="A4201" s="323" t="s">
        <v>6348</v>
      </c>
      <c r="B4201" s="323" t="s">
        <v>805</v>
      </c>
      <c r="C4201" s="323">
        <v>41674</v>
      </c>
      <c r="D4201" s="323">
        <v>146</v>
      </c>
      <c r="E4201" s="324">
        <f t="shared" si="65"/>
        <v>35603.560000000005</v>
      </c>
    </row>
    <row r="4202" spans="1:5" x14ac:dyDescent="0.25">
      <c r="A4202" s="323" t="s">
        <v>6368</v>
      </c>
      <c r="B4202" s="323" t="s">
        <v>805</v>
      </c>
      <c r="C4202" s="323">
        <v>41674</v>
      </c>
      <c r="D4202" s="323">
        <v>92</v>
      </c>
      <c r="E4202" s="324">
        <f t="shared" si="65"/>
        <v>22435.120000000003</v>
      </c>
    </row>
    <row r="4203" spans="1:5" x14ac:dyDescent="0.25">
      <c r="A4203" s="323" t="s">
        <v>6376</v>
      </c>
      <c r="B4203" s="323" t="s">
        <v>805</v>
      </c>
      <c r="C4203" s="323">
        <v>41674</v>
      </c>
      <c r="D4203" s="323">
        <v>94</v>
      </c>
      <c r="E4203" s="324">
        <f t="shared" si="65"/>
        <v>22922.84</v>
      </c>
    </row>
    <row r="4204" spans="1:5" x14ac:dyDescent="0.25">
      <c r="A4204" s="323" t="s">
        <v>6379</v>
      </c>
      <c r="B4204" s="323" t="s">
        <v>805</v>
      </c>
      <c r="C4204" s="323">
        <v>41674</v>
      </c>
      <c r="D4204" s="323">
        <v>54</v>
      </c>
      <c r="E4204" s="324">
        <f t="shared" si="65"/>
        <v>13168.44</v>
      </c>
    </row>
    <row r="4205" spans="1:5" x14ac:dyDescent="0.25">
      <c r="A4205" s="323" t="s">
        <v>6383</v>
      </c>
      <c r="B4205" s="323" t="s">
        <v>805</v>
      </c>
      <c r="C4205" s="323">
        <v>41674</v>
      </c>
      <c r="D4205" s="323">
        <v>57</v>
      </c>
      <c r="E4205" s="324">
        <f t="shared" si="65"/>
        <v>13900.02</v>
      </c>
    </row>
    <row r="4206" spans="1:5" x14ac:dyDescent="0.25">
      <c r="A4206" s="323" t="s">
        <v>6958</v>
      </c>
      <c r="B4206" s="323" t="s">
        <v>805</v>
      </c>
      <c r="C4206" s="323">
        <v>41674</v>
      </c>
      <c r="D4206" s="323">
        <v>187</v>
      </c>
      <c r="E4206" s="324">
        <f t="shared" si="65"/>
        <v>45601.82</v>
      </c>
    </row>
    <row r="4207" spans="1:5" x14ac:dyDescent="0.25">
      <c r="A4207" s="323" t="s">
        <v>7255</v>
      </c>
      <c r="B4207" s="323" t="s">
        <v>805</v>
      </c>
      <c r="C4207" s="323">
        <v>41674</v>
      </c>
      <c r="D4207" s="323">
        <v>401</v>
      </c>
      <c r="E4207" s="324">
        <f t="shared" si="65"/>
        <v>97787.86</v>
      </c>
    </row>
    <row r="4208" spans="1:5" x14ac:dyDescent="0.25">
      <c r="A4208" s="323" t="s">
        <v>4075</v>
      </c>
      <c r="B4208" s="323" t="s">
        <v>805</v>
      </c>
      <c r="C4208" s="323">
        <v>41675</v>
      </c>
      <c r="D4208" s="323">
        <v>211</v>
      </c>
      <c r="E4208" s="324">
        <f t="shared" si="65"/>
        <v>51454.460000000006</v>
      </c>
    </row>
    <row r="4209" spans="1:5" x14ac:dyDescent="0.25">
      <c r="A4209" s="323" t="s">
        <v>4439</v>
      </c>
      <c r="B4209" s="323" t="s">
        <v>805</v>
      </c>
      <c r="C4209" s="323">
        <v>41675</v>
      </c>
      <c r="D4209" s="323">
        <v>578</v>
      </c>
      <c r="E4209" s="324">
        <f t="shared" si="65"/>
        <v>140951.08000000002</v>
      </c>
    </row>
    <row r="4210" spans="1:5" x14ac:dyDescent="0.25">
      <c r="A4210" s="323" t="s">
        <v>5119</v>
      </c>
      <c r="B4210" s="323" t="s">
        <v>805</v>
      </c>
      <c r="C4210" s="323">
        <v>41676</v>
      </c>
      <c r="D4210" s="323">
        <v>463</v>
      </c>
      <c r="E4210" s="324">
        <f t="shared" si="65"/>
        <v>112907.18000000001</v>
      </c>
    </row>
    <row r="4211" spans="1:5" x14ac:dyDescent="0.25">
      <c r="A4211" s="323" t="s">
        <v>5119</v>
      </c>
      <c r="B4211" s="323" t="s">
        <v>805</v>
      </c>
      <c r="C4211" s="323">
        <v>41676</v>
      </c>
      <c r="D4211" s="323">
        <v>183</v>
      </c>
      <c r="E4211" s="324">
        <f t="shared" si="65"/>
        <v>44626.380000000005</v>
      </c>
    </row>
    <row r="4212" spans="1:5" x14ac:dyDescent="0.25">
      <c r="A4212" s="323" t="s">
        <v>5403</v>
      </c>
      <c r="B4212" s="323" t="s">
        <v>816</v>
      </c>
      <c r="C4212" s="323">
        <v>41676</v>
      </c>
      <c r="D4212" s="323">
        <v>298</v>
      </c>
      <c r="E4212" s="324">
        <f t="shared" si="65"/>
        <v>109005.42000000001</v>
      </c>
    </row>
    <row r="4213" spans="1:5" x14ac:dyDescent="0.25">
      <c r="A4213" s="323" t="s">
        <v>5618</v>
      </c>
      <c r="B4213" s="323" t="s">
        <v>805</v>
      </c>
      <c r="C4213" s="323">
        <v>41676</v>
      </c>
      <c r="D4213" s="323">
        <v>214</v>
      </c>
      <c r="E4213" s="324">
        <f t="shared" si="65"/>
        <v>52186.04</v>
      </c>
    </row>
    <row r="4214" spans="1:5" x14ac:dyDescent="0.25">
      <c r="A4214" s="323" t="s">
        <v>5638</v>
      </c>
      <c r="B4214" s="323" t="s">
        <v>805</v>
      </c>
      <c r="C4214" s="323">
        <v>41676</v>
      </c>
      <c r="D4214" s="323">
        <v>237</v>
      </c>
      <c r="E4214" s="324">
        <f t="shared" si="65"/>
        <v>57794.82</v>
      </c>
    </row>
    <row r="4215" spans="1:5" x14ac:dyDescent="0.25">
      <c r="A4215" s="323" t="s">
        <v>5653</v>
      </c>
      <c r="B4215" s="323" t="s">
        <v>805</v>
      </c>
      <c r="C4215" s="323">
        <v>41676</v>
      </c>
      <c r="D4215" s="323">
        <v>414</v>
      </c>
      <c r="E4215" s="324">
        <f t="shared" si="65"/>
        <v>100958.04000000001</v>
      </c>
    </row>
    <row r="4216" spans="1:5" x14ac:dyDescent="0.25">
      <c r="A4216" s="323" t="s">
        <v>5675</v>
      </c>
      <c r="B4216" s="323" t="s">
        <v>805</v>
      </c>
      <c r="C4216" s="323">
        <v>41676</v>
      </c>
      <c r="D4216" s="323">
        <v>233</v>
      </c>
      <c r="E4216" s="324">
        <f t="shared" si="65"/>
        <v>56819.380000000005</v>
      </c>
    </row>
    <row r="4217" spans="1:5" x14ac:dyDescent="0.25">
      <c r="A4217" s="323" t="s">
        <v>5721</v>
      </c>
      <c r="B4217" s="323" t="s">
        <v>805</v>
      </c>
      <c r="C4217" s="323">
        <v>41676</v>
      </c>
      <c r="D4217" s="323">
        <v>158</v>
      </c>
      <c r="E4217" s="324">
        <f t="shared" si="65"/>
        <v>38529.880000000005</v>
      </c>
    </row>
    <row r="4218" spans="1:5" x14ac:dyDescent="0.25">
      <c r="A4218" s="323" t="s">
        <v>5721</v>
      </c>
      <c r="B4218" s="323" t="s">
        <v>805</v>
      </c>
      <c r="C4218" s="323">
        <v>41676</v>
      </c>
      <c r="D4218" s="323">
        <v>153</v>
      </c>
      <c r="E4218" s="324">
        <f t="shared" si="65"/>
        <v>37310.58</v>
      </c>
    </row>
    <row r="4219" spans="1:5" x14ac:dyDescent="0.25">
      <c r="A4219" s="323" t="s">
        <v>5731</v>
      </c>
      <c r="B4219" s="323" t="s">
        <v>805</v>
      </c>
      <c r="C4219" s="323">
        <v>41676</v>
      </c>
      <c r="D4219" s="323">
        <v>166</v>
      </c>
      <c r="E4219" s="324">
        <f t="shared" si="65"/>
        <v>40480.76</v>
      </c>
    </row>
    <row r="4220" spans="1:5" x14ac:dyDescent="0.25">
      <c r="A4220" s="323" t="s">
        <v>5739</v>
      </c>
      <c r="B4220" s="323" t="s">
        <v>805</v>
      </c>
      <c r="C4220" s="323">
        <v>41676</v>
      </c>
      <c r="D4220" s="323">
        <v>98</v>
      </c>
      <c r="E4220" s="324">
        <f t="shared" si="65"/>
        <v>23898.280000000002</v>
      </c>
    </row>
    <row r="4221" spans="1:5" x14ac:dyDescent="0.25">
      <c r="A4221" s="323" t="s">
        <v>5748</v>
      </c>
      <c r="B4221" s="323" t="s">
        <v>805</v>
      </c>
      <c r="C4221" s="323">
        <v>41676</v>
      </c>
      <c r="D4221" s="323">
        <v>192</v>
      </c>
      <c r="E4221" s="324">
        <f t="shared" si="65"/>
        <v>46821.120000000003</v>
      </c>
    </row>
    <row r="4222" spans="1:5" x14ac:dyDescent="0.25">
      <c r="A4222" s="323" t="s">
        <v>5753</v>
      </c>
      <c r="B4222" s="323" t="s">
        <v>805</v>
      </c>
      <c r="C4222" s="323">
        <v>41676</v>
      </c>
      <c r="D4222" s="323">
        <v>134</v>
      </c>
      <c r="E4222" s="324">
        <f t="shared" si="65"/>
        <v>32677.24</v>
      </c>
    </row>
    <row r="4223" spans="1:5" x14ac:dyDescent="0.25">
      <c r="A4223" s="323" t="s">
        <v>5770</v>
      </c>
      <c r="B4223" s="323" t="s">
        <v>805</v>
      </c>
      <c r="C4223" s="323">
        <v>41676</v>
      </c>
      <c r="D4223" s="323">
        <v>86</v>
      </c>
      <c r="E4223" s="324">
        <f t="shared" si="65"/>
        <v>20971.960000000003</v>
      </c>
    </row>
    <row r="4224" spans="1:5" x14ac:dyDescent="0.25">
      <c r="A4224" s="323" t="s">
        <v>5770</v>
      </c>
      <c r="B4224" s="323" t="s">
        <v>805</v>
      </c>
      <c r="C4224" s="323">
        <v>41676</v>
      </c>
      <c r="D4224" s="323">
        <v>83</v>
      </c>
      <c r="E4224" s="324">
        <f t="shared" si="65"/>
        <v>20240.38</v>
      </c>
    </row>
    <row r="4225" spans="1:5" x14ac:dyDescent="0.25">
      <c r="A4225" s="323" t="s">
        <v>5775</v>
      </c>
      <c r="B4225" s="323" t="s">
        <v>805</v>
      </c>
      <c r="C4225" s="323">
        <v>41676</v>
      </c>
      <c r="D4225" s="323">
        <v>182</v>
      </c>
      <c r="E4225" s="324">
        <f t="shared" si="65"/>
        <v>44382.520000000004</v>
      </c>
    </row>
    <row r="4226" spans="1:5" x14ac:dyDescent="0.25">
      <c r="A4226" s="323" t="s">
        <v>5779</v>
      </c>
      <c r="B4226" s="323" t="s">
        <v>805</v>
      </c>
      <c r="C4226" s="323">
        <v>41676</v>
      </c>
      <c r="D4226" s="323">
        <v>348</v>
      </c>
      <c r="E4226" s="324">
        <f t="shared" ref="E4226:E4289" si="66">D4226*IF(B4226=$G$9,WerkdrukbedragPerLeerlingBo,IF(B4226=$G$10,WerkdrukbedragPerLeerlingSbo,IF(B4226=$G$11,WerkdrukbedragPerLeerlingSo,IF(B4226=$G$12,WerkdrukbedragPerLeerlingVso,0))))</f>
        <v>84863.28</v>
      </c>
    </row>
    <row r="4227" spans="1:5" x14ac:dyDescent="0.25">
      <c r="A4227" s="323" t="s">
        <v>5807</v>
      </c>
      <c r="B4227" s="323" t="s">
        <v>816</v>
      </c>
      <c r="C4227" s="323">
        <v>41676</v>
      </c>
      <c r="D4227" s="323">
        <v>190</v>
      </c>
      <c r="E4227" s="324">
        <f t="shared" si="66"/>
        <v>69500.100000000006</v>
      </c>
    </row>
    <row r="4228" spans="1:5" x14ac:dyDescent="0.25">
      <c r="A4228" s="323" t="s">
        <v>5862</v>
      </c>
      <c r="B4228" s="323" t="s">
        <v>805</v>
      </c>
      <c r="C4228" s="323">
        <v>41676</v>
      </c>
      <c r="D4228" s="323">
        <v>171</v>
      </c>
      <c r="E4228" s="324">
        <f t="shared" si="66"/>
        <v>41700.060000000005</v>
      </c>
    </row>
    <row r="4229" spans="1:5" x14ac:dyDescent="0.25">
      <c r="A4229" s="323" t="s">
        <v>6744</v>
      </c>
      <c r="B4229" s="323" t="s">
        <v>805</v>
      </c>
      <c r="C4229" s="323">
        <v>41676</v>
      </c>
      <c r="D4229" s="323">
        <v>280</v>
      </c>
      <c r="E4229" s="324">
        <f t="shared" si="66"/>
        <v>68280.800000000003</v>
      </c>
    </row>
    <row r="4230" spans="1:5" x14ac:dyDescent="0.25">
      <c r="A4230" s="323" t="s">
        <v>6757</v>
      </c>
      <c r="B4230" s="323" t="s">
        <v>805</v>
      </c>
      <c r="C4230" s="323">
        <v>41676</v>
      </c>
      <c r="D4230" s="323">
        <v>214</v>
      </c>
      <c r="E4230" s="324">
        <f t="shared" si="66"/>
        <v>52186.04</v>
      </c>
    </row>
    <row r="4231" spans="1:5" x14ac:dyDescent="0.25">
      <c r="A4231" s="323" t="s">
        <v>6836</v>
      </c>
      <c r="B4231" s="323" t="s">
        <v>805</v>
      </c>
      <c r="C4231" s="323">
        <v>41676</v>
      </c>
      <c r="D4231" s="323">
        <v>220</v>
      </c>
      <c r="E4231" s="324">
        <f t="shared" si="66"/>
        <v>53649.200000000004</v>
      </c>
    </row>
    <row r="4232" spans="1:5" x14ac:dyDescent="0.25">
      <c r="A4232" s="323" t="s">
        <v>6913</v>
      </c>
      <c r="B4232" s="323" t="s">
        <v>805</v>
      </c>
      <c r="C4232" s="323">
        <v>41676</v>
      </c>
      <c r="D4232" s="323">
        <v>194</v>
      </c>
      <c r="E4232" s="324">
        <f t="shared" si="66"/>
        <v>47308.840000000004</v>
      </c>
    </row>
    <row r="4233" spans="1:5" x14ac:dyDescent="0.25">
      <c r="A4233" s="323" t="s">
        <v>7020</v>
      </c>
      <c r="B4233" s="323" t="s">
        <v>805</v>
      </c>
      <c r="C4233" s="323">
        <v>41676</v>
      </c>
      <c r="D4233" s="323">
        <v>229</v>
      </c>
      <c r="E4233" s="324">
        <f t="shared" si="66"/>
        <v>55843.94</v>
      </c>
    </row>
    <row r="4234" spans="1:5" x14ac:dyDescent="0.25">
      <c r="A4234" s="323" t="s">
        <v>7021</v>
      </c>
      <c r="B4234" s="323" t="s">
        <v>805</v>
      </c>
      <c r="C4234" s="323">
        <v>41676</v>
      </c>
      <c r="D4234" s="323">
        <v>391</v>
      </c>
      <c r="E4234" s="324">
        <f t="shared" si="66"/>
        <v>95349.260000000009</v>
      </c>
    </row>
    <row r="4235" spans="1:5" x14ac:dyDescent="0.25">
      <c r="A4235" s="323" t="s">
        <v>7077</v>
      </c>
      <c r="B4235" s="323" t="s">
        <v>805</v>
      </c>
      <c r="C4235" s="323">
        <v>41676</v>
      </c>
      <c r="D4235" s="323">
        <v>339</v>
      </c>
      <c r="E4235" s="324">
        <f t="shared" si="66"/>
        <v>82668.540000000008</v>
      </c>
    </row>
    <row r="4236" spans="1:5" x14ac:dyDescent="0.25">
      <c r="A4236" s="323" t="s">
        <v>7146</v>
      </c>
      <c r="B4236" s="323" t="s">
        <v>805</v>
      </c>
      <c r="C4236" s="323">
        <v>41676</v>
      </c>
      <c r="D4236" s="323">
        <v>224</v>
      </c>
      <c r="E4236" s="324">
        <f t="shared" si="66"/>
        <v>54624.639999999999</v>
      </c>
    </row>
    <row r="4237" spans="1:5" x14ac:dyDescent="0.25">
      <c r="A4237" s="323" t="s">
        <v>7148</v>
      </c>
      <c r="B4237" s="323" t="s">
        <v>805</v>
      </c>
      <c r="C4237" s="323">
        <v>41676</v>
      </c>
      <c r="D4237" s="323">
        <v>241</v>
      </c>
      <c r="E4237" s="324">
        <f t="shared" si="66"/>
        <v>58770.26</v>
      </c>
    </row>
    <row r="4238" spans="1:5" x14ac:dyDescent="0.25">
      <c r="A4238" s="323" t="s">
        <v>7186</v>
      </c>
      <c r="B4238" s="323" t="s">
        <v>805</v>
      </c>
      <c r="C4238" s="323">
        <v>41676</v>
      </c>
      <c r="D4238" s="323">
        <v>185</v>
      </c>
      <c r="E4238" s="324">
        <f t="shared" si="66"/>
        <v>45114.100000000006</v>
      </c>
    </row>
    <row r="4239" spans="1:5" x14ac:dyDescent="0.25">
      <c r="A4239" s="323" t="s">
        <v>7187</v>
      </c>
      <c r="B4239" s="323" t="s">
        <v>805</v>
      </c>
      <c r="C4239" s="323">
        <v>41676</v>
      </c>
      <c r="D4239" s="323">
        <v>160</v>
      </c>
      <c r="E4239" s="324">
        <f t="shared" si="66"/>
        <v>39017.600000000006</v>
      </c>
    </row>
    <row r="4240" spans="1:5" x14ac:dyDescent="0.25">
      <c r="A4240" s="323" t="s">
        <v>7188</v>
      </c>
      <c r="B4240" s="323" t="s">
        <v>805</v>
      </c>
      <c r="C4240" s="323">
        <v>41676</v>
      </c>
      <c r="D4240" s="323">
        <v>399</v>
      </c>
      <c r="E4240" s="324">
        <f t="shared" si="66"/>
        <v>97300.14</v>
      </c>
    </row>
    <row r="4241" spans="1:5" x14ac:dyDescent="0.25">
      <c r="A4241" s="323" t="s">
        <v>7189</v>
      </c>
      <c r="B4241" s="323" t="s">
        <v>805</v>
      </c>
      <c r="C4241" s="323">
        <v>41676</v>
      </c>
      <c r="D4241" s="323">
        <v>728</v>
      </c>
      <c r="E4241" s="324">
        <f t="shared" si="66"/>
        <v>177530.08000000002</v>
      </c>
    </row>
    <row r="4242" spans="1:5" x14ac:dyDescent="0.25">
      <c r="A4242" s="323" t="s">
        <v>7206</v>
      </c>
      <c r="B4242" s="323" t="s">
        <v>805</v>
      </c>
      <c r="C4242" s="323">
        <v>41676</v>
      </c>
      <c r="D4242" s="323">
        <v>196</v>
      </c>
      <c r="E4242" s="324">
        <f t="shared" si="66"/>
        <v>47796.560000000005</v>
      </c>
    </row>
    <row r="4243" spans="1:5" x14ac:dyDescent="0.25">
      <c r="A4243" s="323" t="s">
        <v>7263</v>
      </c>
      <c r="B4243" s="323" t="s">
        <v>805</v>
      </c>
      <c r="C4243" s="323">
        <v>41676</v>
      </c>
      <c r="D4243" s="323">
        <v>484</v>
      </c>
      <c r="E4243" s="324">
        <f t="shared" si="66"/>
        <v>118028.24</v>
      </c>
    </row>
    <row r="4244" spans="1:5" x14ac:dyDescent="0.25">
      <c r="A4244" s="323" t="s">
        <v>7293</v>
      </c>
      <c r="B4244" s="323" t="s">
        <v>805</v>
      </c>
      <c r="C4244" s="323">
        <v>41676</v>
      </c>
      <c r="D4244" s="323">
        <v>155</v>
      </c>
      <c r="E4244" s="324">
        <f t="shared" si="66"/>
        <v>37798.300000000003</v>
      </c>
    </row>
    <row r="4245" spans="1:5" x14ac:dyDescent="0.25">
      <c r="A4245" s="323" t="s">
        <v>1139</v>
      </c>
      <c r="B4245" s="323" t="s">
        <v>805</v>
      </c>
      <c r="C4245" s="323">
        <v>41692</v>
      </c>
      <c r="D4245" s="323">
        <v>268</v>
      </c>
      <c r="E4245" s="324">
        <f t="shared" si="66"/>
        <v>65354.48</v>
      </c>
    </row>
    <row r="4246" spans="1:5" x14ac:dyDescent="0.25">
      <c r="A4246" s="323" t="s">
        <v>1140</v>
      </c>
      <c r="B4246" s="323" t="s">
        <v>805</v>
      </c>
      <c r="C4246" s="323">
        <v>41692</v>
      </c>
      <c r="D4246" s="323">
        <v>204</v>
      </c>
      <c r="E4246" s="324">
        <f t="shared" si="66"/>
        <v>49747.44</v>
      </c>
    </row>
    <row r="4247" spans="1:5" x14ac:dyDescent="0.25">
      <c r="A4247" s="323" t="s">
        <v>1185</v>
      </c>
      <c r="B4247" s="323" t="s">
        <v>805</v>
      </c>
      <c r="C4247" s="323">
        <v>41692</v>
      </c>
      <c r="D4247" s="323">
        <v>279</v>
      </c>
      <c r="E4247" s="324">
        <f t="shared" si="66"/>
        <v>68036.94</v>
      </c>
    </row>
    <row r="4248" spans="1:5" x14ac:dyDescent="0.25">
      <c r="A4248" s="323" t="s">
        <v>1193</v>
      </c>
      <c r="B4248" s="323" t="s">
        <v>805</v>
      </c>
      <c r="C4248" s="323">
        <v>41692</v>
      </c>
      <c r="D4248" s="323">
        <v>345</v>
      </c>
      <c r="E4248" s="324">
        <f t="shared" si="66"/>
        <v>84131.700000000012</v>
      </c>
    </row>
    <row r="4249" spans="1:5" x14ac:dyDescent="0.25">
      <c r="A4249" s="323" t="s">
        <v>1205</v>
      </c>
      <c r="B4249" s="323" t="s">
        <v>805</v>
      </c>
      <c r="C4249" s="323">
        <v>41692</v>
      </c>
      <c r="D4249" s="323">
        <v>183</v>
      </c>
      <c r="E4249" s="324">
        <f t="shared" si="66"/>
        <v>44626.380000000005</v>
      </c>
    </row>
    <row r="4250" spans="1:5" x14ac:dyDescent="0.25">
      <c r="A4250" s="323" t="s">
        <v>1260</v>
      </c>
      <c r="B4250" s="323" t="s">
        <v>805</v>
      </c>
      <c r="C4250" s="323">
        <v>41692</v>
      </c>
      <c r="D4250" s="323">
        <v>208</v>
      </c>
      <c r="E4250" s="324">
        <f t="shared" si="66"/>
        <v>50722.880000000005</v>
      </c>
    </row>
    <row r="4251" spans="1:5" x14ac:dyDescent="0.25">
      <c r="A4251" s="323" t="s">
        <v>1361</v>
      </c>
      <c r="B4251" s="323" t="s">
        <v>805</v>
      </c>
      <c r="C4251" s="323">
        <v>41692</v>
      </c>
      <c r="D4251" s="323">
        <v>101</v>
      </c>
      <c r="E4251" s="324">
        <f t="shared" si="66"/>
        <v>24629.86</v>
      </c>
    </row>
    <row r="4252" spans="1:5" x14ac:dyDescent="0.25">
      <c r="A4252" s="323" t="s">
        <v>1730</v>
      </c>
      <c r="B4252" s="323" t="s">
        <v>805</v>
      </c>
      <c r="C4252" s="323">
        <v>41692</v>
      </c>
      <c r="D4252" s="323">
        <v>331</v>
      </c>
      <c r="E4252" s="324">
        <f t="shared" si="66"/>
        <v>80717.66</v>
      </c>
    </row>
    <row r="4253" spans="1:5" x14ac:dyDescent="0.25">
      <c r="A4253" s="323" t="s">
        <v>1743</v>
      </c>
      <c r="B4253" s="323" t="s">
        <v>805</v>
      </c>
      <c r="C4253" s="323">
        <v>41692</v>
      </c>
      <c r="D4253" s="323">
        <v>283</v>
      </c>
      <c r="E4253" s="324">
        <f t="shared" si="66"/>
        <v>69012.38</v>
      </c>
    </row>
    <row r="4254" spans="1:5" x14ac:dyDescent="0.25">
      <c r="A4254" s="323" t="s">
        <v>1750</v>
      </c>
      <c r="B4254" s="323" t="s">
        <v>805</v>
      </c>
      <c r="C4254" s="323">
        <v>41692</v>
      </c>
      <c r="D4254" s="323">
        <v>224</v>
      </c>
      <c r="E4254" s="324">
        <f t="shared" si="66"/>
        <v>54624.639999999999</v>
      </c>
    </row>
    <row r="4255" spans="1:5" x14ac:dyDescent="0.25">
      <c r="A4255" s="323" t="s">
        <v>2080</v>
      </c>
      <c r="B4255" s="323" t="s">
        <v>805</v>
      </c>
      <c r="C4255" s="323">
        <v>41692</v>
      </c>
      <c r="D4255" s="323">
        <v>411</v>
      </c>
      <c r="E4255" s="324">
        <f t="shared" si="66"/>
        <v>100226.46</v>
      </c>
    </row>
    <row r="4256" spans="1:5" x14ac:dyDescent="0.25">
      <c r="A4256" s="323" t="s">
        <v>2243</v>
      </c>
      <c r="B4256" s="323" t="s">
        <v>805</v>
      </c>
      <c r="C4256" s="323">
        <v>41692</v>
      </c>
      <c r="D4256" s="323">
        <v>78</v>
      </c>
      <c r="E4256" s="324">
        <f t="shared" si="66"/>
        <v>19021.080000000002</v>
      </c>
    </row>
    <row r="4257" spans="1:5" x14ac:dyDescent="0.25">
      <c r="A4257" s="323" t="s">
        <v>2251</v>
      </c>
      <c r="B4257" s="323" t="s">
        <v>805</v>
      </c>
      <c r="C4257" s="323">
        <v>41692</v>
      </c>
      <c r="D4257" s="323">
        <v>232</v>
      </c>
      <c r="E4257" s="324">
        <f t="shared" si="66"/>
        <v>56575.520000000004</v>
      </c>
    </row>
    <row r="4258" spans="1:5" x14ac:dyDescent="0.25">
      <c r="A4258" s="323" t="s">
        <v>2559</v>
      </c>
      <c r="B4258" s="323" t="s">
        <v>805</v>
      </c>
      <c r="C4258" s="323">
        <v>41692</v>
      </c>
      <c r="D4258" s="323">
        <v>176</v>
      </c>
      <c r="E4258" s="324">
        <f t="shared" si="66"/>
        <v>42919.360000000001</v>
      </c>
    </row>
    <row r="4259" spans="1:5" x14ac:dyDescent="0.25">
      <c r="A4259" s="323" t="s">
        <v>2803</v>
      </c>
      <c r="B4259" s="323" t="s">
        <v>805</v>
      </c>
      <c r="C4259" s="323">
        <v>41692</v>
      </c>
      <c r="D4259" s="323">
        <v>519</v>
      </c>
      <c r="E4259" s="324">
        <f t="shared" si="66"/>
        <v>126563.34000000001</v>
      </c>
    </row>
    <row r="4260" spans="1:5" x14ac:dyDescent="0.25">
      <c r="A4260" s="323" t="s">
        <v>2810</v>
      </c>
      <c r="B4260" s="323" t="s">
        <v>805</v>
      </c>
      <c r="C4260" s="323">
        <v>41692</v>
      </c>
      <c r="D4260" s="323">
        <v>205</v>
      </c>
      <c r="E4260" s="324">
        <f t="shared" si="66"/>
        <v>49991.3</v>
      </c>
    </row>
    <row r="4261" spans="1:5" x14ac:dyDescent="0.25">
      <c r="A4261" s="323" t="s">
        <v>3083</v>
      </c>
      <c r="B4261" s="323" t="s">
        <v>805</v>
      </c>
      <c r="C4261" s="323">
        <v>41692</v>
      </c>
      <c r="D4261" s="323">
        <v>190</v>
      </c>
      <c r="E4261" s="324">
        <f t="shared" si="66"/>
        <v>46333.4</v>
      </c>
    </row>
    <row r="4262" spans="1:5" x14ac:dyDescent="0.25">
      <c r="A4262" s="323" t="s">
        <v>3103</v>
      </c>
      <c r="B4262" s="323" t="s">
        <v>805</v>
      </c>
      <c r="C4262" s="323">
        <v>41692</v>
      </c>
      <c r="D4262" s="323">
        <v>169</v>
      </c>
      <c r="E4262" s="324">
        <f t="shared" si="66"/>
        <v>41212.340000000004</v>
      </c>
    </row>
    <row r="4263" spans="1:5" x14ac:dyDescent="0.25">
      <c r="A4263" s="323" t="s">
        <v>3463</v>
      </c>
      <c r="B4263" s="323" t="s">
        <v>805</v>
      </c>
      <c r="C4263" s="323">
        <v>41692</v>
      </c>
      <c r="D4263" s="323">
        <v>192</v>
      </c>
      <c r="E4263" s="324">
        <f t="shared" si="66"/>
        <v>46821.120000000003</v>
      </c>
    </row>
    <row r="4264" spans="1:5" x14ac:dyDescent="0.25">
      <c r="A4264" s="323" t="s">
        <v>3738</v>
      </c>
      <c r="B4264" s="323" t="s">
        <v>805</v>
      </c>
      <c r="C4264" s="323">
        <v>41692</v>
      </c>
      <c r="D4264" s="323">
        <v>212</v>
      </c>
      <c r="E4264" s="324">
        <f t="shared" si="66"/>
        <v>51698.32</v>
      </c>
    </row>
    <row r="4265" spans="1:5" x14ac:dyDescent="0.25">
      <c r="A4265" s="323" t="s">
        <v>5298</v>
      </c>
      <c r="B4265" s="323" t="s">
        <v>805</v>
      </c>
      <c r="C4265" s="323">
        <v>41692</v>
      </c>
      <c r="D4265" s="323">
        <v>236</v>
      </c>
      <c r="E4265" s="324">
        <f t="shared" si="66"/>
        <v>57550.960000000006</v>
      </c>
    </row>
    <row r="4266" spans="1:5" x14ac:dyDescent="0.25">
      <c r="A4266" s="323" t="s">
        <v>6887</v>
      </c>
      <c r="B4266" s="323" t="s">
        <v>805</v>
      </c>
      <c r="C4266" s="323">
        <v>41692</v>
      </c>
      <c r="D4266" s="323">
        <v>357</v>
      </c>
      <c r="E4266" s="324">
        <f t="shared" si="66"/>
        <v>87058.02</v>
      </c>
    </row>
    <row r="4267" spans="1:5" x14ac:dyDescent="0.25">
      <c r="A4267" s="323" t="s">
        <v>6938</v>
      </c>
      <c r="B4267" s="323" t="s">
        <v>816</v>
      </c>
      <c r="C4267" s="323">
        <v>41692</v>
      </c>
      <c r="D4267" s="323">
        <v>108</v>
      </c>
      <c r="E4267" s="324">
        <f t="shared" si="66"/>
        <v>39505.32</v>
      </c>
    </row>
    <row r="4268" spans="1:5" x14ac:dyDescent="0.25">
      <c r="A4268" s="323" t="s">
        <v>3376</v>
      </c>
      <c r="B4268" s="323" t="s">
        <v>805</v>
      </c>
      <c r="C4268" s="323">
        <v>41693</v>
      </c>
      <c r="D4268" s="323">
        <v>54</v>
      </c>
      <c r="E4268" s="324">
        <f t="shared" si="66"/>
        <v>13168.44</v>
      </c>
    </row>
    <row r="4269" spans="1:5" x14ac:dyDescent="0.25">
      <c r="A4269" s="323" t="s">
        <v>3652</v>
      </c>
      <c r="B4269" s="323" t="s">
        <v>805</v>
      </c>
      <c r="C4269" s="323">
        <v>41693</v>
      </c>
      <c r="D4269" s="323">
        <v>40</v>
      </c>
      <c r="E4269" s="324">
        <f t="shared" si="66"/>
        <v>9754.4000000000015</v>
      </c>
    </row>
    <row r="4270" spans="1:5" x14ac:dyDescent="0.25">
      <c r="A4270" s="323" t="s">
        <v>3795</v>
      </c>
      <c r="B4270" s="323" t="s">
        <v>805</v>
      </c>
      <c r="C4270" s="323">
        <v>41693</v>
      </c>
      <c r="D4270" s="323">
        <v>50</v>
      </c>
      <c r="E4270" s="324">
        <f t="shared" si="66"/>
        <v>12193</v>
      </c>
    </row>
    <row r="4271" spans="1:5" x14ac:dyDescent="0.25">
      <c r="A4271" s="323" t="s">
        <v>4139</v>
      </c>
      <c r="B4271" s="323" t="s">
        <v>805</v>
      </c>
      <c r="C4271" s="323">
        <v>41693</v>
      </c>
      <c r="D4271" s="323">
        <v>207</v>
      </c>
      <c r="E4271" s="324">
        <f t="shared" si="66"/>
        <v>50479.020000000004</v>
      </c>
    </row>
    <row r="4272" spans="1:5" x14ac:dyDescent="0.25">
      <c r="A4272" s="323" t="s">
        <v>4275</v>
      </c>
      <c r="B4272" s="323" t="s">
        <v>805</v>
      </c>
      <c r="C4272" s="323">
        <v>41693</v>
      </c>
      <c r="D4272" s="323">
        <v>137</v>
      </c>
      <c r="E4272" s="324">
        <f t="shared" si="66"/>
        <v>33408.82</v>
      </c>
    </row>
    <row r="4273" spans="1:5" x14ac:dyDescent="0.25">
      <c r="A4273" s="323" t="s">
        <v>4329</v>
      </c>
      <c r="B4273" s="323" t="s">
        <v>816</v>
      </c>
      <c r="C4273" s="323">
        <v>41693</v>
      </c>
      <c r="D4273" s="323">
        <v>114</v>
      </c>
      <c r="E4273" s="324">
        <f t="shared" si="66"/>
        <v>41700.060000000005</v>
      </c>
    </row>
    <row r="4274" spans="1:5" x14ac:dyDescent="0.25">
      <c r="A4274" s="323" t="s">
        <v>4774</v>
      </c>
      <c r="B4274" s="323" t="s">
        <v>805</v>
      </c>
      <c r="C4274" s="323">
        <v>41693</v>
      </c>
      <c r="D4274" s="323">
        <v>104</v>
      </c>
      <c r="E4274" s="324">
        <f t="shared" si="66"/>
        <v>25361.440000000002</v>
      </c>
    </row>
    <row r="4275" spans="1:5" x14ac:dyDescent="0.25">
      <c r="A4275" s="323" t="s">
        <v>4833</v>
      </c>
      <c r="B4275" s="323" t="s">
        <v>805</v>
      </c>
      <c r="C4275" s="323">
        <v>41693</v>
      </c>
      <c r="D4275" s="323">
        <v>152</v>
      </c>
      <c r="E4275" s="324">
        <f t="shared" si="66"/>
        <v>37066.720000000001</v>
      </c>
    </row>
    <row r="4276" spans="1:5" x14ac:dyDescent="0.25">
      <c r="A4276" s="323" t="s">
        <v>5041</v>
      </c>
      <c r="B4276" s="323" t="s">
        <v>805</v>
      </c>
      <c r="C4276" s="323">
        <v>41693</v>
      </c>
      <c r="D4276" s="323">
        <v>107</v>
      </c>
      <c r="E4276" s="324">
        <f t="shared" si="66"/>
        <v>26093.02</v>
      </c>
    </row>
    <row r="4277" spans="1:5" x14ac:dyDescent="0.25">
      <c r="A4277" s="323" t="s">
        <v>5153</v>
      </c>
      <c r="B4277" s="323" t="s">
        <v>805</v>
      </c>
      <c r="C4277" s="323">
        <v>41693</v>
      </c>
      <c r="D4277" s="323">
        <v>54</v>
      </c>
      <c r="E4277" s="324">
        <f t="shared" si="66"/>
        <v>13168.44</v>
      </c>
    </row>
    <row r="4278" spans="1:5" x14ac:dyDescent="0.25">
      <c r="A4278" s="323" t="s">
        <v>6196</v>
      </c>
      <c r="B4278" s="323" t="s">
        <v>805</v>
      </c>
      <c r="C4278" s="323">
        <v>41693</v>
      </c>
      <c r="D4278" s="323">
        <v>94</v>
      </c>
      <c r="E4278" s="324">
        <f t="shared" si="66"/>
        <v>22922.84</v>
      </c>
    </row>
    <row r="4279" spans="1:5" x14ac:dyDescent="0.25">
      <c r="A4279" s="323" t="s">
        <v>6213</v>
      </c>
      <c r="B4279" s="323" t="s">
        <v>805</v>
      </c>
      <c r="C4279" s="323">
        <v>41693</v>
      </c>
      <c r="D4279" s="323">
        <v>95</v>
      </c>
      <c r="E4279" s="324">
        <f t="shared" si="66"/>
        <v>23166.7</v>
      </c>
    </row>
    <row r="4280" spans="1:5" x14ac:dyDescent="0.25">
      <c r="A4280" s="323" t="s">
        <v>6228</v>
      </c>
      <c r="B4280" s="323" t="s">
        <v>805</v>
      </c>
      <c r="C4280" s="323">
        <v>41693</v>
      </c>
      <c r="D4280" s="323">
        <v>305</v>
      </c>
      <c r="E4280" s="324">
        <f t="shared" si="66"/>
        <v>74377.3</v>
      </c>
    </row>
    <row r="4281" spans="1:5" x14ac:dyDescent="0.25">
      <c r="A4281" s="323" t="s">
        <v>6229</v>
      </c>
      <c r="B4281" s="323" t="s">
        <v>805</v>
      </c>
      <c r="C4281" s="323">
        <v>41693</v>
      </c>
      <c r="D4281" s="323">
        <v>99</v>
      </c>
      <c r="E4281" s="324">
        <f t="shared" si="66"/>
        <v>24142.140000000003</v>
      </c>
    </row>
    <row r="4282" spans="1:5" x14ac:dyDescent="0.25">
      <c r="A4282" s="323" t="s">
        <v>6245</v>
      </c>
      <c r="B4282" s="323" t="s">
        <v>805</v>
      </c>
      <c r="C4282" s="323">
        <v>41693</v>
      </c>
      <c r="D4282" s="323">
        <v>53</v>
      </c>
      <c r="E4282" s="324">
        <f t="shared" si="66"/>
        <v>12924.58</v>
      </c>
    </row>
    <row r="4283" spans="1:5" x14ac:dyDescent="0.25">
      <c r="A4283" s="323" t="s">
        <v>6260</v>
      </c>
      <c r="B4283" s="323" t="s">
        <v>805</v>
      </c>
      <c r="C4283" s="323">
        <v>41693</v>
      </c>
      <c r="D4283" s="323">
        <v>104</v>
      </c>
      <c r="E4283" s="324">
        <f t="shared" si="66"/>
        <v>25361.440000000002</v>
      </c>
    </row>
    <row r="4284" spans="1:5" x14ac:dyDescent="0.25">
      <c r="A4284" s="323" t="s">
        <v>6261</v>
      </c>
      <c r="B4284" s="323" t="s">
        <v>805</v>
      </c>
      <c r="C4284" s="323">
        <v>41693</v>
      </c>
      <c r="D4284" s="323">
        <v>76</v>
      </c>
      <c r="E4284" s="324">
        <f t="shared" si="66"/>
        <v>18533.36</v>
      </c>
    </row>
    <row r="4285" spans="1:5" x14ac:dyDescent="0.25">
      <c r="A4285" s="323" t="s">
        <v>6273</v>
      </c>
      <c r="B4285" s="323" t="s">
        <v>805</v>
      </c>
      <c r="C4285" s="323">
        <v>41693</v>
      </c>
      <c r="D4285" s="323">
        <v>97</v>
      </c>
      <c r="E4285" s="324">
        <f t="shared" si="66"/>
        <v>23654.420000000002</v>
      </c>
    </row>
    <row r="4286" spans="1:5" x14ac:dyDescent="0.25">
      <c r="A4286" s="323" t="s">
        <v>6281</v>
      </c>
      <c r="B4286" s="323" t="s">
        <v>805</v>
      </c>
      <c r="C4286" s="323">
        <v>41693</v>
      </c>
      <c r="D4286" s="323">
        <v>63</v>
      </c>
      <c r="E4286" s="324">
        <f t="shared" si="66"/>
        <v>15363.18</v>
      </c>
    </row>
    <row r="4287" spans="1:5" x14ac:dyDescent="0.25">
      <c r="A4287" s="323" t="s">
        <v>6296</v>
      </c>
      <c r="B4287" s="323" t="s">
        <v>805</v>
      </c>
      <c r="C4287" s="323">
        <v>41693</v>
      </c>
      <c r="D4287" s="323">
        <v>36</v>
      </c>
      <c r="E4287" s="324">
        <f t="shared" si="66"/>
        <v>8778.9600000000009</v>
      </c>
    </row>
    <row r="4288" spans="1:5" x14ac:dyDescent="0.25">
      <c r="A4288" s="323" t="s">
        <v>6287</v>
      </c>
      <c r="B4288" s="323" t="s">
        <v>805</v>
      </c>
      <c r="C4288" s="323">
        <v>41716</v>
      </c>
      <c r="D4288" s="323">
        <v>255</v>
      </c>
      <c r="E4288" s="324">
        <f t="shared" si="66"/>
        <v>62184.3</v>
      </c>
    </row>
    <row r="4289" spans="1:5" x14ac:dyDescent="0.25">
      <c r="A4289" s="323" t="s">
        <v>6314</v>
      </c>
      <c r="B4289" s="323" t="s">
        <v>805</v>
      </c>
      <c r="C4289" s="323">
        <v>41716</v>
      </c>
      <c r="D4289" s="323">
        <v>259</v>
      </c>
      <c r="E4289" s="324">
        <f t="shared" si="66"/>
        <v>63159.740000000005</v>
      </c>
    </row>
    <row r="4290" spans="1:5" x14ac:dyDescent="0.25">
      <c r="A4290" s="323" t="s">
        <v>6332</v>
      </c>
      <c r="B4290" s="323" t="s">
        <v>805</v>
      </c>
      <c r="C4290" s="323">
        <v>41716</v>
      </c>
      <c r="D4290" s="323">
        <v>66</v>
      </c>
      <c r="E4290" s="324">
        <f t="shared" ref="E4290:E4353" si="67">D4290*IF(B4290=$G$9,WerkdrukbedragPerLeerlingBo,IF(B4290=$G$10,WerkdrukbedragPerLeerlingSbo,IF(B4290=$G$11,WerkdrukbedragPerLeerlingSo,IF(B4290=$G$12,WerkdrukbedragPerLeerlingVso,0))))</f>
        <v>16094.76</v>
      </c>
    </row>
    <row r="4291" spans="1:5" x14ac:dyDescent="0.25">
      <c r="A4291" s="323" t="s">
        <v>6339</v>
      </c>
      <c r="B4291" s="323" t="s">
        <v>805</v>
      </c>
      <c r="C4291" s="323">
        <v>41716</v>
      </c>
      <c r="D4291" s="323">
        <v>184</v>
      </c>
      <c r="E4291" s="324">
        <f t="shared" si="67"/>
        <v>44870.240000000005</v>
      </c>
    </row>
    <row r="4292" spans="1:5" x14ac:dyDescent="0.25">
      <c r="A4292" s="323" t="s">
        <v>6347</v>
      </c>
      <c r="B4292" s="323" t="s">
        <v>805</v>
      </c>
      <c r="C4292" s="323">
        <v>41716</v>
      </c>
      <c r="D4292" s="323">
        <v>345</v>
      </c>
      <c r="E4292" s="324">
        <f t="shared" si="67"/>
        <v>84131.700000000012</v>
      </c>
    </row>
    <row r="4293" spans="1:5" x14ac:dyDescent="0.25">
      <c r="A4293" s="323" t="s">
        <v>6373</v>
      </c>
      <c r="B4293" s="323" t="s">
        <v>805</v>
      </c>
      <c r="C4293" s="323">
        <v>41716</v>
      </c>
      <c r="D4293" s="323">
        <v>122</v>
      </c>
      <c r="E4293" s="324">
        <f t="shared" si="67"/>
        <v>29750.920000000002</v>
      </c>
    </row>
    <row r="4294" spans="1:5" x14ac:dyDescent="0.25">
      <c r="A4294" s="323" t="s">
        <v>6648</v>
      </c>
      <c r="B4294" s="323" t="s">
        <v>805</v>
      </c>
      <c r="C4294" s="323">
        <v>41716</v>
      </c>
      <c r="D4294" s="323">
        <v>220</v>
      </c>
      <c r="E4294" s="324">
        <f t="shared" si="67"/>
        <v>53649.200000000004</v>
      </c>
    </row>
    <row r="4295" spans="1:5" x14ac:dyDescent="0.25">
      <c r="A4295" s="323" t="s">
        <v>6658</v>
      </c>
      <c r="B4295" s="323" t="s">
        <v>805</v>
      </c>
      <c r="C4295" s="323">
        <v>41716</v>
      </c>
      <c r="D4295" s="323">
        <v>124</v>
      </c>
      <c r="E4295" s="324">
        <f t="shared" si="67"/>
        <v>30238.640000000003</v>
      </c>
    </row>
    <row r="4296" spans="1:5" x14ac:dyDescent="0.25">
      <c r="A4296" s="323" t="s">
        <v>6675</v>
      </c>
      <c r="B4296" s="323" t="s">
        <v>805</v>
      </c>
      <c r="C4296" s="323">
        <v>41716</v>
      </c>
      <c r="D4296" s="323">
        <v>89</v>
      </c>
      <c r="E4296" s="324">
        <f t="shared" si="67"/>
        <v>21703.54</v>
      </c>
    </row>
    <row r="4297" spans="1:5" x14ac:dyDescent="0.25">
      <c r="A4297" s="323" t="s">
        <v>6678</v>
      </c>
      <c r="B4297" s="323" t="s">
        <v>805</v>
      </c>
      <c r="C4297" s="323">
        <v>41716</v>
      </c>
      <c r="D4297" s="323">
        <v>310</v>
      </c>
      <c r="E4297" s="324">
        <f t="shared" si="67"/>
        <v>75596.600000000006</v>
      </c>
    </row>
    <row r="4298" spans="1:5" x14ac:dyDescent="0.25">
      <c r="A4298" s="323" t="s">
        <v>6695</v>
      </c>
      <c r="B4298" s="323" t="s">
        <v>805</v>
      </c>
      <c r="C4298" s="323">
        <v>41716</v>
      </c>
      <c r="D4298" s="323">
        <v>297</v>
      </c>
      <c r="E4298" s="324">
        <f t="shared" si="67"/>
        <v>72426.42</v>
      </c>
    </row>
    <row r="4299" spans="1:5" x14ac:dyDescent="0.25">
      <c r="A4299" s="323" t="s">
        <v>6696</v>
      </c>
      <c r="B4299" s="323" t="s">
        <v>805</v>
      </c>
      <c r="C4299" s="323">
        <v>41716</v>
      </c>
      <c r="D4299" s="323">
        <v>269</v>
      </c>
      <c r="E4299" s="324">
        <f t="shared" si="67"/>
        <v>65598.34</v>
      </c>
    </row>
    <row r="4300" spans="1:5" x14ac:dyDescent="0.25">
      <c r="A4300" s="323" t="s">
        <v>6701</v>
      </c>
      <c r="B4300" s="323" t="s">
        <v>805</v>
      </c>
      <c r="C4300" s="323">
        <v>41716</v>
      </c>
      <c r="D4300" s="323">
        <v>434</v>
      </c>
      <c r="E4300" s="324">
        <f t="shared" si="67"/>
        <v>105835.24</v>
      </c>
    </row>
    <row r="4301" spans="1:5" x14ac:dyDescent="0.25">
      <c r="A4301" s="323" t="s">
        <v>6731</v>
      </c>
      <c r="B4301" s="323" t="s">
        <v>816</v>
      </c>
      <c r="C4301" s="323">
        <v>41716</v>
      </c>
      <c r="D4301" s="323">
        <v>82</v>
      </c>
      <c r="E4301" s="324">
        <f t="shared" si="67"/>
        <v>29994.780000000002</v>
      </c>
    </row>
    <row r="4302" spans="1:5" x14ac:dyDescent="0.25">
      <c r="A4302" s="323" t="s">
        <v>3564</v>
      </c>
      <c r="B4302" s="323" t="s">
        <v>805</v>
      </c>
      <c r="C4302" s="323">
        <v>41731</v>
      </c>
      <c r="D4302" s="323">
        <v>218</v>
      </c>
      <c r="E4302" s="324">
        <f t="shared" si="67"/>
        <v>53161.48</v>
      </c>
    </row>
    <row r="4303" spans="1:5" x14ac:dyDescent="0.25">
      <c r="A4303" s="323" t="s">
        <v>3819</v>
      </c>
      <c r="B4303" s="323" t="s">
        <v>805</v>
      </c>
      <c r="C4303" s="323">
        <v>41731</v>
      </c>
      <c r="D4303" s="323">
        <v>119</v>
      </c>
      <c r="E4303" s="324">
        <f t="shared" si="67"/>
        <v>29019.34</v>
      </c>
    </row>
    <row r="4304" spans="1:5" x14ac:dyDescent="0.25">
      <c r="A4304" s="323" t="s">
        <v>4010</v>
      </c>
      <c r="B4304" s="323" t="s">
        <v>805</v>
      </c>
      <c r="C4304" s="323">
        <v>41731</v>
      </c>
      <c r="D4304" s="323">
        <v>247</v>
      </c>
      <c r="E4304" s="324">
        <f t="shared" si="67"/>
        <v>60233.420000000006</v>
      </c>
    </row>
    <row r="4305" spans="1:5" x14ac:dyDescent="0.25">
      <c r="A4305" s="323" t="s">
        <v>4291</v>
      </c>
      <c r="B4305" s="323" t="s">
        <v>805</v>
      </c>
      <c r="C4305" s="323">
        <v>41731</v>
      </c>
      <c r="D4305" s="323">
        <v>258</v>
      </c>
      <c r="E4305" s="324">
        <f t="shared" si="67"/>
        <v>62915.880000000005</v>
      </c>
    </row>
    <row r="4306" spans="1:5" x14ac:dyDescent="0.25">
      <c r="A4306" s="323" t="s">
        <v>4399</v>
      </c>
      <c r="B4306" s="323" t="s">
        <v>805</v>
      </c>
      <c r="C4306" s="323">
        <v>41731</v>
      </c>
      <c r="D4306" s="323">
        <v>70</v>
      </c>
      <c r="E4306" s="324">
        <f t="shared" si="67"/>
        <v>17070.2</v>
      </c>
    </row>
    <row r="4307" spans="1:5" x14ac:dyDescent="0.25">
      <c r="A4307" s="323" t="s">
        <v>4510</v>
      </c>
      <c r="B4307" s="323" t="s">
        <v>805</v>
      </c>
      <c r="C4307" s="323">
        <v>41731</v>
      </c>
      <c r="D4307" s="323">
        <v>190</v>
      </c>
      <c r="E4307" s="324">
        <f t="shared" si="67"/>
        <v>46333.4</v>
      </c>
    </row>
    <row r="4308" spans="1:5" x14ac:dyDescent="0.25">
      <c r="A4308" s="323" t="s">
        <v>5214</v>
      </c>
      <c r="B4308" s="323" t="s">
        <v>805</v>
      </c>
      <c r="C4308" s="323">
        <v>41731</v>
      </c>
      <c r="D4308" s="323">
        <v>159</v>
      </c>
      <c r="E4308" s="324">
        <f t="shared" si="67"/>
        <v>38773.740000000005</v>
      </c>
    </row>
    <row r="4309" spans="1:5" x14ac:dyDescent="0.25">
      <c r="A4309" s="323" t="s">
        <v>4336</v>
      </c>
      <c r="B4309" s="323" t="s">
        <v>805</v>
      </c>
      <c r="C4309" s="323">
        <v>41735</v>
      </c>
      <c r="D4309" s="323">
        <v>354</v>
      </c>
      <c r="E4309" s="324">
        <f t="shared" si="67"/>
        <v>86326.44</v>
      </c>
    </row>
    <row r="4310" spans="1:5" x14ac:dyDescent="0.25">
      <c r="A4310" s="323" t="s">
        <v>4556</v>
      </c>
      <c r="B4310" s="323" t="s">
        <v>805</v>
      </c>
      <c r="C4310" s="323">
        <v>41735</v>
      </c>
      <c r="D4310" s="323">
        <v>136</v>
      </c>
      <c r="E4310" s="324">
        <f t="shared" si="67"/>
        <v>33164.959999999999</v>
      </c>
    </row>
    <row r="4311" spans="1:5" x14ac:dyDescent="0.25">
      <c r="A4311" s="323" t="s">
        <v>4972</v>
      </c>
      <c r="B4311" s="323" t="s">
        <v>805</v>
      </c>
      <c r="C4311" s="323">
        <v>41735</v>
      </c>
      <c r="D4311" s="323">
        <v>69</v>
      </c>
      <c r="E4311" s="324">
        <f t="shared" si="67"/>
        <v>16826.34</v>
      </c>
    </row>
    <row r="4312" spans="1:5" x14ac:dyDescent="0.25">
      <c r="A4312" s="323" t="s">
        <v>5008</v>
      </c>
      <c r="B4312" s="323" t="s">
        <v>805</v>
      </c>
      <c r="C4312" s="323">
        <v>41735</v>
      </c>
      <c r="D4312" s="323">
        <v>41</v>
      </c>
      <c r="E4312" s="324">
        <f t="shared" si="67"/>
        <v>9998.26</v>
      </c>
    </row>
    <row r="4313" spans="1:5" x14ac:dyDescent="0.25">
      <c r="A4313" s="323" t="s">
        <v>5035</v>
      </c>
      <c r="B4313" s="323" t="s">
        <v>805</v>
      </c>
      <c r="C4313" s="323">
        <v>41735</v>
      </c>
      <c r="D4313" s="323">
        <v>270</v>
      </c>
      <c r="E4313" s="324">
        <f t="shared" si="67"/>
        <v>65842.2</v>
      </c>
    </row>
    <row r="4314" spans="1:5" x14ac:dyDescent="0.25">
      <c r="A4314" s="323" t="s">
        <v>5046</v>
      </c>
      <c r="B4314" s="323" t="s">
        <v>805</v>
      </c>
      <c r="C4314" s="323">
        <v>41735</v>
      </c>
      <c r="D4314" s="323">
        <v>75</v>
      </c>
      <c r="E4314" s="324">
        <f t="shared" si="67"/>
        <v>18289.5</v>
      </c>
    </row>
    <row r="4315" spans="1:5" x14ac:dyDescent="0.25">
      <c r="A4315" s="323" t="s">
        <v>5070</v>
      </c>
      <c r="B4315" s="323" t="s">
        <v>805</v>
      </c>
      <c r="C4315" s="323">
        <v>41735</v>
      </c>
      <c r="D4315" s="323">
        <v>41</v>
      </c>
      <c r="E4315" s="324">
        <f t="shared" si="67"/>
        <v>9998.26</v>
      </c>
    </row>
    <row r="4316" spans="1:5" x14ac:dyDescent="0.25">
      <c r="A4316" s="323" t="s">
        <v>5088</v>
      </c>
      <c r="B4316" s="323" t="s">
        <v>805</v>
      </c>
      <c r="C4316" s="323">
        <v>41735</v>
      </c>
      <c r="D4316" s="323">
        <v>135</v>
      </c>
      <c r="E4316" s="324">
        <f t="shared" si="67"/>
        <v>32921.1</v>
      </c>
    </row>
    <row r="4317" spans="1:5" x14ac:dyDescent="0.25">
      <c r="A4317" s="323" t="s">
        <v>5097</v>
      </c>
      <c r="B4317" s="323" t="s">
        <v>805</v>
      </c>
      <c r="C4317" s="323">
        <v>41735</v>
      </c>
      <c r="D4317" s="323">
        <v>123</v>
      </c>
      <c r="E4317" s="324">
        <f t="shared" si="67"/>
        <v>29994.780000000002</v>
      </c>
    </row>
    <row r="4318" spans="1:5" x14ac:dyDescent="0.25">
      <c r="A4318" s="323" t="s">
        <v>5148</v>
      </c>
      <c r="B4318" s="323" t="s">
        <v>805</v>
      </c>
      <c r="C4318" s="323">
        <v>41735</v>
      </c>
      <c r="D4318" s="323">
        <v>218</v>
      </c>
      <c r="E4318" s="324">
        <f t="shared" si="67"/>
        <v>53161.48</v>
      </c>
    </row>
    <row r="4319" spans="1:5" x14ac:dyDescent="0.25">
      <c r="A4319" s="323" t="s">
        <v>5316</v>
      </c>
      <c r="B4319" s="323" t="s">
        <v>805</v>
      </c>
      <c r="C4319" s="323">
        <v>41735</v>
      </c>
      <c r="D4319" s="323">
        <v>95</v>
      </c>
      <c r="E4319" s="324">
        <f t="shared" si="67"/>
        <v>23166.7</v>
      </c>
    </row>
    <row r="4320" spans="1:5" x14ac:dyDescent="0.25">
      <c r="A4320" s="323" t="s">
        <v>5421</v>
      </c>
      <c r="B4320" s="323" t="s">
        <v>805</v>
      </c>
      <c r="C4320" s="323">
        <v>41735</v>
      </c>
      <c r="D4320" s="323">
        <v>307</v>
      </c>
      <c r="E4320" s="324">
        <f t="shared" si="67"/>
        <v>74865.02</v>
      </c>
    </row>
    <row r="4321" spans="1:5" x14ac:dyDescent="0.25">
      <c r="A4321" s="323" t="s">
        <v>5479</v>
      </c>
      <c r="B4321" s="323" t="s">
        <v>805</v>
      </c>
      <c r="C4321" s="323">
        <v>41735</v>
      </c>
      <c r="D4321" s="323">
        <v>86</v>
      </c>
      <c r="E4321" s="324">
        <f t="shared" si="67"/>
        <v>20971.960000000003</v>
      </c>
    </row>
    <row r="4322" spans="1:5" x14ac:dyDescent="0.25">
      <c r="A4322" s="323" t="s">
        <v>5522</v>
      </c>
      <c r="B4322" s="323" t="s">
        <v>805</v>
      </c>
      <c r="C4322" s="323">
        <v>41735</v>
      </c>
      <c r="D4322" s="323">
        <v>55</v>
      </c>
      <c r="E4322" s="324">
        <f t="shared" si="67"/>
        <v>13412.300000000001</v>
      </c>
    </row>
    <row r="4323" spans="1:5" x14ac:dyDescent="0.25">
      <c r="A4323" s="323" t="s">
        <v>5585</v>
      </c>
      <c r="B4323" s="323" t="s">
        <v>805</v>
      </c>
      <c r="C4323" s="323">
        <v>41735</v>
      </c>
      <c r="D4323" s="323">
        <v>95</v>
      </c>
      <c r="E4323" s="324">
        <f t="shared" si="67"/>
        <v>23166.7</v>
      </c>
    </row>
    <row r="4324" spans="1:5" x14ac:dyDescent="0.25">
      <c r="A4324" s="323" t="s">
        <v>6477</v>
      </c>
      <c r="B4324" s="323" t="s">
        <v>816</v>
      </c>
      <c r="C4324" s="323">
        <v>41735</v>
      </c>
      <c r="D4324" s="323">
        <v>145</v>
      </c>
      <c r="E4324" s="324">
        <f t="shared" si="67"/>
        <v>53039.55</v>
      </c>
    </row>
    <row r="4325" spans="1:5" x14ac:dyDescent="0.25">
      <c r="A4325" s="323" t="s">
        <v>7294</v>
      </c>
      <c r="B4325" s="323" t="s">
        <v>805</v>
      </c>
      <c r="C4325" s="323">
        <v>41735</v>
      </c>
      <c r="D4325" s="323">
        <v>399</v>
      </c>
      <c r="E4325" s="324">
        <f t="shared" si="67"/>
        <v>97300.14</v>
      </c>
    </row>
    <row r="4326" spans="1:5" x14ac:dyDescent="0.25">
      <c r="A4326" s="323" t="s">
        <v>1518</v>
      </c>
      <c r="B4326" s="323" t="s">
        <v>805</v>
      </c>
      <c r="C4326" s="323">
        <v>41736</v>
      </c>
      <c r="D4326" s="323">
        <v>112</v>
      </c>
      <c r="E4326" s="324">
        <f t="shared" si="67"/>
        <v>27312.32</v>
      </c>
    </row>
    <row r="4327" spans="1:5" x14ac:dyDescent="0.25">
      <c r="A4327" s="323" t="s">
        <v>2686</v>
      </c>
      <c r="B4327" s="323" t="s">
        <v>805</v>
      </c>
      <c r="C4327" s="323">
        <v>41736</v>
      </c>
      <c r="D4327" s="323">
        <v>140</v>
      </c>
      <c r="E4327" s="324">
        <f t="shared" si="67"/>
        <v>34140.400000000001</v>
      </c>
    </row>
    <row r="4328" spans="1:5" x14ac:dyDescent="0.25">
      <c r="A4328" s="323" t="s">
        <v>3224</v>
      </c>
      <c r="B4328" s="323" t="s">
        <v>805</v>
      </c>
      <c r="C4328" s="323">
        <v>41736</v>
      </c>
      <c r="D4328" s="323">
        <v>162</v>
      </c>
      <c r="E4328" s="324">
        <f t="shared" si="67"/>
        <v>39505.32</v>
      </c>
    </row>
    <row r="4329" spans="1:5" x14ac:dyDescent="0.25">
      <c r="A4329" s="323" t="s">
        <v>6424</v>
      </c>
      <c r="B4329" s="323" t="s">
        <v>805</v>
      </c>
      <c r="C4329" s="323">
        <v>41736</v>
      </c>
      <c r="D4329" s="323">
        <v>227</v>
      </c>
      <c r="E4329" s="324">
        <f t="shared" si="67"/>
        <v>55356.22</v>
      </c>
    </row>
    <row r="4330" spans="1:5" x14ac:dyDescent="0.25">
      <c r="A4330" s="323" t="s">
        <v>6431</v>
      </c>
      <c r="B4330" s="323" t="s">
        <v>805</v>
      </c>
      <c r="C4330" s="323">
        <v>41736</v>
      </c>
      <c r="D4330" s="323">
        <v>224</v>
      </c>
      <c r="E4330" s="324">
        <f t="shared" si="67"/>
        <v>54624.639999999999</v>
      </c>
    </row>
    <row r="4331" spans="1:5" x14ac:dyDescent="0.25">
      <c r="A4331" s="323" t="s">
        <v>5571</v>
      </c>
      <c r="B4331" s="323" t="s">
        <v>805</v>
      </c>
      <c r="C4331" s="323">
        <v>41772</v>
      </c>
      <c r="D4331" s="323">
        <v>417</v>
      </c>
      <c r="E4331" s="324">
        <f t="shared" si="67"/>
        <v>101689.62000000001</v>
      </c>
    </row>
    <row r="4332" spans="1:5" x14ac:dyDescent="0.25">
      <c r="A4332" s="323" t="s">
        <v>5590</v>
      </c>
      <c r="B4332" s="323" t="s">
        <v>805</v>
      </c>
      <c r="C4332" s="323">
        <v>41772</v>
      </c>
      <c r="D4332" s="323">
        <v>306</v>
      </c>
      <c r="E4332" s="324">
        <f t="shared" si="67"/>
        <v>74621.16</v>
      </c>
    </row>
    <row r="4333" spans="1:5" x14ac:dyDescent="0.25">
      <c r="A4333" s="323" t="s">
        <v>5619</v>
      </c>
      <c r="B4333" s="323" t="s">
        <v>805</v>
      </c>
      <c r="C4333" s="323">
        <v>41772</v>
      </c>
      <c r="D4333" s="323">
        <v>320</v>
      </c>
      <c r="E4333" s="324">
        <f t="shared" si="67"/>
        <v>78035.200000000012</v>
      </c>
    </row>
    <row r="4334" spans="1:5" x14ac:dyDescent="0.25">
      <c r="A4334" s="323" t="s">
        <v>5702</v>
      </c>
      <c r="B4334" s="323" t="s">
        <v>805</v>
      </c>
      <c r="C4334" s="323">
        <v>41772</v>
      </c>
      <c r="D4334" s="323">
        <v>89</v>
      </c>
      <c r="E4334" s="324">
        <f t="shared" si="67"/>
        <v>21703.54</v>
      </c>
    </row>
    <row r="4335" spans="1:5" x14ac:dyDescent="0.25">
      <c r="A4335" s="323" t="s">
        <v>5713</v>
      </c>
      <c r="B4335" s="323" t="s">
        <v>805</v>
      </c>
      <c r="C4335" s="323">
        <v>41772</v>
      </c>
      <c r="D4335" s="323">
        <v>609</v>
      </c>
      <c r="E4335" s="324">
        <f t="shared" si="67"/>
        <v>148510.74000000002</v>
      </c>
    </row>
    <row r="4336" spans="1:5" x14ac:dyDescent="0.25">
      <c r="A4336" s="323" t="s">
        <v>5722</v>
      </c>
      <c r="B4336" s="323" t="s">
        <v>805</v>
      </c>
      <c r="C4336" s="323">
        <v>41772</v>
      </c>
      <c r="D4336" s="323">
        <v>112</v>
      </c>
      <c r="E4336" s="324">
        <f t="shared" si="67"/>
        <v>27312.32</v>
      </c>
    </row>
    <row r="4337" spans="1:5" x14ac:dyDescent="0.25">
      <c r="A4337" s="323" t="s">
        <v>5740</v>
      </c>
      <c r="B4337" s="323" t="s">
        <v>805</v>
      </c>
      <c r="C4337" s="323">
        <v>41772</v>
      </c>
      <c r="D4337" s="323">
        <v>78</v>
      </c>
      <c r="E4337" s="324">
        <f t="shared" si="67"/>
        <v>19021.080000000002</v>
      </c>
    </row>
    <row r="4338" spans="1:5" x14ac:dyDescent="0.25">
      <c r="A4338" s="323" t="s">
        <v>5740</v>
      </c>
      <c r="B4338" s="323" t="s">
        <v>805</v>
      </c>
      <c r="C4338" s="323">
        <v>41772</v>
      </c>
      <c r="D4338" s="323">
        <v>266</v>
      </c>
      <c r="E4338" s="324">
        <f t="shared" si="67"/>
        <v>64866.76</v>
      </c>
    </row>
    <row r="4339" spans="1:5" x14ac:dyDescent="0.25">
      <c r="A4339" s="323" t="s">
        <v>6959</v>
      </c>
      <c r="B4339" s="323" t="s">
        <v>805</v>
      </c>
      <c r="C4339" s="323">
        <v>41772</v>
      </c>
      <c r="D4339" s="323">
        <v>369</v>
      </c>
      <c r="E4339" s="324">
        <f t="shared" si="67"/>
        <v>89984.340000000011</v>
      </c>
    </row>
    <row r="4340" spans="1:5" x14ac:dyDescent="0.25">
      <c r="A4340" s="323" t="s">
        <v>6299</v>
      </c>
      <c r="B4340" s="323" t="s">
        <v>805</v>
      </c>
      <c r="C4340" s="323">
        <v>41774</v>
      </c>
      <c r="D4340" s="323">
        <v>398</v>
      </c>
      <c r="E4340" s="324">
        <f t="shared" si="67"/>
        <v>97056.28</v>
      </c>
    </row>
    <row r="4341" spans="1:5" x14ac:dyDescent="0.25">
      <c r="A4341" s="323" t="s">
        <v>6359</v>
      </c>
      <c r="B4341" s="323" t="s">
        <v>805</v>
      </c>
      <c r="C4341" s="323">
        <v>41774</v>
      </c>
      <c r="D4341" s="323">
        <v>139</v>
      </c>
      <c r="E4341" s="324">
        <f t="shared" si="67"/>
        <v>33896.54</v>
      </c>
    </row>
    <row r="4342" spans="1:5" x14ac:dyDescent="0.25">
      <c r="A4342" s="323" t="s">
        <v>6362</v>
      </c>
      <c r="B4342" s="323" t="s">
        <v>805</v>
      </c>
      <c r="C4342" s="323">
        <v>41774</v>
      </c>
      <c r="D4342" s="323">
        <v>256</v>
      </c>
      <c r="E4342" s="324">
        <f t="shared" si="67"/>
        <v>62428.160000000003</v>
      </c>
    </row>
    <row r="4343" spans="1:5" x14ac:dyDescent="0.25">
      <c r="A4343" s="323" t="s">
        <v>6390</v>
      </c>
      <c r="B4343" s="323" t="s">
        <v>805</v>
      </c>
      <c r="C4343" s="323">
        <v>41774</v>
      </c>
      <c r="D4343" s="323">
        <v>294</v>
      </c>
      <c r="E4343" s="324">
        <f t="shared" si="67"/>
        <v>71694.840000000011</v>
      </c>
    </row>
    <row r="4344" spans="1:5" x14ac:dyDescent="0.25">
      <c r="A4344" s="323" t="s">
        <v>6652</v>
      </c>
      <c r="B4344" s="323" t="s">
        <v>805</v>
      </c>
      <c r="C4344" s="323">
        <v>41774</v>
      </c>
      <c r="D4344" s="323">
        <v>79</v>
      </c>
      <c r="E4344" s="324">
        <f t="shared" si="67"/>
        <v>19264.940000000002</v>
      </c>
    </row>
    <row r="4345" spans="1:5" x14ac:dyDescent="0.25">
      <c r="A4345" s="323" t="s">
        <v>6663</v>
      </c>
      <c r="B4345" s="323" t="s">
        <v>805</v>
      </c>
      <c r="C4345" s="323">
        <v>41774</v>
      </c>
      <c r="D4345" s="323">
        <v>384</v>
      </c>
      <c r="E4345" s="324">
        <f t="shared" si="67"/>
        <v>93642.240000000005</v>
      </c>
    </row>
    <row r="4346" spans="1:5" x14ac:dyDescent="0.25">
      <c r="A4346" s="323" t="s">
        <v>6664</v>
      </c>
      <c r="B4346" s="323" t="s">
        <v>805</v>
      </c>
      <c r="C4346" s="323">
        <v>41774</v>
      </c>
      <c r="D4346" s="323">
        <v>589</v>
      </c>
      <c r="E4346" s="324">
        <f t="shared" si="67"/>
        <v>143633.54</v>
      </c>
    </row>
    <row r="4347" spans="1:5" x14ac:dyDescent="0.25">
      <c r="A4347" s="323" t="s">
        <v>6687</v>
      </c>
      <c r="B4347" s="323" t="s">
        <v>816</v>
      </c>
      <c r="C4347" s="323">
        <v>41774</v>
      </c>
      <c r="D4347" s="323">
        <v>91</v>
      </c>
      <c r="E4347" s="324">
        <f t="shared" si="67"/>
        <v>33286.89</v>
      </c>
    </row>
    <row r="4348" spans="1:5" x14ac:dyDescent="0.25">
      <c r="A4348" s="323" t="s">
        <v>6687</v>
      </c>
      <c r="B4348" s="323" t="s">
        <v>816</v>
      </c>
      <c r="C4348" s="323">
        <v>41774</v>
      </c>
      <c r="D4348" s="323">
        <v>35</v>
      </c>
      <c r="E4348" s="324">
        <f t="shared" si="67"/>
        <v>12802.650000000001</v>
      </c>
    </row>
    <row r="4349" spans="1:5" x14ac:dyDescent="0.25">
      <c r="A4349" s="323" t="s">
        <v>6706</v>
      </c>
      <c r="B4349" s="323" t="s">
        <v>805</v>
      </c>
      <c r="C4349" s="323">
        <v>41774</v>
      </c>
      <c r="D4349" s="323">
        <v>473</v>
      </c>
      <c r="E4349" s="324">
        <f t="shared" si="67"/>
        <v>115345.78000000001</v>
      </c>
    </row>
    <row r="4350" spans="1:5" x14ac:dyDescent="0.25">
      <c r="A4350" s="323" t="s">
        <v>6712</v>
      </c>
      <c r="B4350" s="323" t="s">
        <v>805</v>
      </c>
      <c r="C4350" s="323">
        <v>41774</v>
      </c>
      <c r="D4350" s="323">
        <v>359</v>
      </c>
      <c r="E4350" s="324">
        <f t="shared" si="67"/>
        <v>87545.74</v>
      </c>
    </row>
    <row r="4351" spans="1:5" x14ac:dyDescent="0.25">
      <c r="A4351" s="323" t="s">
        <v>6713</v>
      </c>
      <c r="B4351" s="323" t="s">
        <v>805</v>
      </c>
      <c r="C4351" s="323">
        <v>41774</v>
      </c>
      <c r="D4351" s="323">
        <v>419</v>
      </c>
      <c r="E4351" s="324">
        <f t="shared" si="67"/>
        <v>102177.34000000001</v>
      </c>
    </row>
    <row r="4352" spans="1:5" x14ac:dyDescent="0.25">
      <c r="A4352" s="323" t="s">
        <v>6842</v>
      </c>
      <c r="B4352" s="323" t="s">
        <v>805</v>
      </c>
      <c r="C4352" s="323">
        <v>41774</v>
      </c>
      <c r="D4352" s="323">
        <v>301</v>
      </c>
      <c r="E4352" s="324">
        <f t="shared" si="67"/>
        <v>73401.86</v>
      </c>
    </row>
    <row r="4353" spans="1:5" x14ac:dyDescent="0.25">
      <c r="A4353" s="323" t="s">
        <v>7243</v>
      </c>
      <c r="B4353" s="323" t="s">
        <v>805</v>
      </c>
      <c r="C4353" s="323">
        <v>41774</v>
      </c>
      <c r="D4353" s="323">
        <v>38</v>
      </c>
      <c r="E4353" s="324">
        <f t="shared" si="67"/>
        <v>9266.68</v>
      </c>
    </row>
    <row r="4354" spans="1:5" x14ac:dyDescent="0.25">
      <c r="A4354" s="323" t="s">
        <v>7317</v>
      </c>
      <c r="B4354" s="323" t="s">
        <v>805</v>
      </c>
      <c r="C4354" s="323">
        <v>41774</v>
      </c>
      <c r="D4354" s="323">
        <v>171</v>
      </c>
      <c r="E4354" s="324">
        <f t="shared" ref="E4354:E4417" si="68">D4354*IF(B4354=$G$9,WerkdrukbedragPerLeerlingBo,IF(B4354=$G$10,WerkdrukbedragPerLeerlingSbo,IF(B4354=$G$11,WerkdrukbedragPerLeerlingSo,IF(B4354=$G$12,WerkdrukbedragPerLeerlingVso,0))))</f>
        <v>41700.060000000005</v>
      </c>
    </row>
    <row r="4355" spans="1:5" x14ac:dyDescent="0.25">
      <c r="A4355" s="323" t="s">
        <v>7337</v>
      </c>
      <c r="B4355" s="323" t="s">
        <v>805</v>
      </c>
      <c r="C4355" s="323">
        <v>41774</v>
      </c>
      <c r="D4355" s="323">
        <v>588</v>
      </c>
      <c r="E4355" s="324">
        <f t="shared" si="68"/>
        <v>143389.68000000002</v>
      </c>
    </row>
    <row r="4356" spans="1:5" x14ac:dyDescent="0.25">
      <c r="A4356" s="323" t="s">
        <v>7362</v>
      </c>
      <c r="B4356" s="323" t="s">
        <v>805</v>
      </c>
      <c r="C4356" s="323">
        <v>41774</v>
      </c>
      <c r="D4356" s="323">
        <v>740</v>
      </c>
      <c r="E4356" s="324">
        <f t="shared" si="68"/>
        <v>180456.40000000002</v>
      </c>
    </row>
    <row r="4357" spans="1:5" x14ac:dyDescent="0.25">
      <c r="A4357" s="323" t="s">
        <v>7420</v>
      </c>
      <c r="B4357" s="323" t="s">
        <v>805</v>
      </c>
      <c r="C4357" s="323">
        <v>41774</v>
      </c>
      <c r="D4357" s="323">
        <v>224</v>
      </c>
      <c r="E4357" s="324">
        <f t="shared" si="68"/>
        <v>54624.639999999999</v>
      </c>
    </row>
    <row r="4358" spans="1:5" x14ac:dyDescent="0.25">
      <c r="A4358" s="323" t="s">
        <v>7432</v>
      </c>
      <c r="B4358" s="323" t="s">
        <v>805</v>
      </c>
      <c r="C4358" s="323">
        <v>41774</v>
      </c>
      <c r="D4358" s="323">
        <v>254</v>
      </c>
      <c r="E4358" s="324">
        <f t="shared" si="68"/>
        <v>61940.44</v>
      </c>
    </row>
    <row r="4359" spans="1:5" x14ac:dyDescent="0.25">
      <c r="A4359" s="323" t="s">
        <v>826</v>
      </c>
      <c r="B4359" s="323" t="s">
        <v>805</v>
      </c>
      <c r="C4359" s="323">
        <v>41775</v>
      </c>
      <c r="D4359" s="323">
        <v>125</v>
      </c>
      <c r="E4359" s="324">
        <f t="shared" si="68"/>
        <v>30482.5</v>
      </c>
    </row>
    <row r="4360" spans="1:5" x14ac:dyDescent="0.25">
      <c r="A4360" s="323" t="s">
        <v>1058</v>
      </c>
      <c r="B4360" s="323" t="s">
        <v>805</v>
      </c>
      <c r="C4360" s="323">
        <v>41775</v>
      </c>
      <c r="D4360" s="323">
        <v>397</v>
      </c>
      <c r="E4360" s="324">
        <f t="shared" si="68"/>
        <v>96812.42</v>
      </c>
    </row>
    <row r="4361" spans="1:5" x14ac:dyDescent="0.25">
      <c r="A4361" s="323" t="s">
        <v>2122</v>
      </c>
      <c r="B4361" s="323" t="s">
        <v>805</v>
      </c>
      <c r="C4361" s="323">
        <v>41775</v>
      </c>
      <c r="D4361" s="323">
        <v>659</v>
      </c>
      <c r="E4361" s="324">
        <f t="shared" si="68"/>
        <v>160703.74000000002</v>
      </c>
    </row>
    <row r="4362" spans="1:5" x14ac:dyDescent="0.25">
      <c r="A4362" s="323" t="s">
        <v>3031</v>
      </c>
      <c r="B4362" s="323" t="s">
        <v>805</v>
      </c>
      <c r="C4362" s="323">
        <v>41775</v>
      </c>
      <c r="D4362" s="323">
        <v>202</v>
      </c>
      <c r="E4362" s="324">
        <f t="shared" si="68"/>
        <v>49259.72</v>
      </c>
    </row>
    <row r="4363" spans="1:5" x14ac:dyDescent="0.25">
      <c r="A4363" s="323" t="s">
        <v>3404</v>
      </c>
      <c r="B4363" s="323" t="s">
        <v>805</v>
      </c>
      <c r="C4363" s="323">
        <v>41775</v>
      </c>
      <c r="D4363" s="323">
        <v>160</v>
      </c>
      <c r="E4363" s="324">
        <f t="shared" si="68"/>
        <v>39017.600000000006</v>
      </c>
    </row>
    <row r="4364" spans="1:5" x14ac:dyDescent="0.25">
      <c r="A4364" s="323" t="s">
        <v>3906</v>
      </c>
      <c r="B4364" s="323" t="s">
        <v>805</v>
      </c>
      <c r="C4364" s="323">
        <v>41775</v>
      </c>
      <c r="D4364" s="323">
        <v>138</v>
      </c>
      <c r="E4364" s="324">
        <f t="shared" si="68"/>
        <v>33652.68</v>
      </c>
    </row>
    <row r="4365" spans="1:5" x14ac:dyDescent="0.25">
      <c r="A4365" s="323" t="s">
        <v>4207</v>
      </c>
      <c r="B4365" s="323" t="s">
        <v>805</v>
      </c>
      <c r="C4365" s="323">
        <v>41775</v>
      </c>
      <c r="D4365" s="323">
        <v>290</v>
      </c>
      <c r="E4365" s="324">
        <f t="shared" si="68"/>
        <v>70719.400000000009</v>
      </c>
    </row>
    <row r="4366" spans="1:5" x14ac:dyDescent="0.25">
      <c r="A4366" s="323" t="s">
        <v>4218</v>
      </c>
      <c r="B4366" s="323" t="s">
        <v>805</v>
      </c>
      <c r="C4366" s="323">
        <v>41775</v>
      </c>
      <c r="D4366" s="323">
        <v>174</v>
      </c>
      <c r="E4366" s="324">
        <f t="shared" si="68"/>
        <v>42431.64</v>
      </c>
    </row>
    <row r="4367" spans="1:5" x14ac:dyDescent="0.25">
      <c r="A4367" s="323" t="s">
        <v>4331</v>
      </c>
      <c r="B4367" s="323" t="s">
        <v>805</v>
      </c>
      <c r="C4367" s="323">
        <v>41775</v>
      </c>
      <c r="D4367" s="323">
        <v>174</v>
      </c>
      <c r="E4367" s="324">
        <f t="shared" si="68"/>
        <v>42431.64</v>
      </c>
    </row>
    <row r="4368" spans="1:5" x14ac:dyDescent="0.25">
      <c r="A4368" s="323" t="s">
        <v>4550</v>
      </c>
      <c r="B4368" s="323" t="s">
        <v>805</v>
      </c>
      <c r="C4368" s="323">
        <v>41775</v>
      </c>
      <c r="D4368" s="323">
        <v>185</v>
      </c>
      <c r="E4368" s="324">
        <f t="shared" si="68"/>
        <v>45114.100000000006</v>
      </c>
    </row>
    <row r="4369" spans="1:5" x14ac:dyDescent="0.25">
      <c r="A4369" s="323" t="s">
        <v>4637</v>
      </c>
      <c r="B4369" s="323" t="s">
        <v>805</v>
      </c>
      <c r="C4369" s="323">
        <v>41775</v>
      </c>
      <c r="D4369" s="323">
        <v>255</v>
      </c>
      <c r="E4369" s="324">
        <f t="shared" si="68"/>
        <v>62184.3</v>
      </c>
    </row>
    <row r="4370" spans="1:5" x14ac:dyDescent="0.25">
      <c r="A4370" s="323" t="s">
        <v>4776</v>
      </c>
      <c r="B4370" s="323" t="s">
        <v>805</v>
      </c>
      <c r="C4370" s="323">
        <v>41775</v>
      </c>
      <c r="D4370" s="323">
        <v>163</v>
      </c>
      <c r="E4370" s="324">
        <f t="shared" si="68"/>
        <v>39749.18</v>
      </c>
    </row>
    <row r="4371" spans="1:5" x14ac:dyDescent="0.25">
      <c r="A4371" s="323" t="s">
        <v>4835</v>
      </c>
      <c r="B4371" s="323" t="s">
        <v>805</v>
      </c>
      <c r="C4371" s="323">
        <v>41775</v>
      </c>
      <c r="D4371" s="323">
        <v>423</v>
      </c>
      <c r="E4371" s="324">
        <f t="shared" si="68"/>
        <v>103152.78</v>
      </c>
    </row>
    <row r="4372" spans="1:5" x14ac:dyDescent="0.25">
      <c r="A4372" s="323" t="s">
        <v>5004</v>
      </c>
      <c r="B4372" s="323" t="s">
        <v>805</v>
      </c>
      <c r="C4372" s="323">
        <v>41775</v>
      </c>
      <c r="D4372" s="323">
        <v>156</v>
      </c>
      <c r="E4372" s="324">
        <f t="shared" si="68"/>
        <v>38042.160000000003</v>
      </c>
    </row>
    <row r="4373" spans="1:5" x14ac:dyDescent="0.25">
      <c r="A4373" s="323" t="s">
        <v>5042</v>
      </c>
      <c r="B4373" s="323" t="s">
        <v>805</v>
      </c>
      <c r="C4373" s="323">
        <v>41775</v>
      </c>
      <c r="D4373" s="323">
        <v>538</v>
      </c>
      <c r="E4373" s="324">
        <f t="shared" si="68"/>
        <v>131196.68</v>
      </c>
    </row>
    <row r="4374" spans="1:5" x14ac:dyDescent="0.25">
      <c r="A4374" s="323" t="s">
        <v>5068</v>
      </c>
      <c r="B4374" s="323" t="s">
        <v>805</v>
      </c>
      <c r="C4374" s="323">
        <v>41775</v>
      </c>
      <c r="D4374" s="323">
        <v>573</v>
      </c>
      <c r="E4374" s="324">
        <f t="shared" si="68"/>
        <v>139731.78</v>
      </c>
    </row>
    <row r="4375" spans="1:5" x14ac:dyDescent="0.25">
      <c r="A4375" s="323" t="s">
        <v>5604</v>
      </c>
      <c r="B4375" s="323" t="s">
        <v>805</v>
      </c>
      <c r="C4375" s="323">
        <v>41775</v>
      </c>
      <c r="D4375" s="323">
        <v>177</v>
      </c>
      <c r="E4375" s="324">
        <f t="shared" si="68"/>
        <v>43163.22</v>
      </c>
    </row>
    <row r="4376" spans="1:5" x14ac:dyDescent="0.25">
      <c r="A4376" s="323" t="s">
        <v>5792</v>
      </c>
      <c r="B4376" s="323" t="s">
        <v>805</v>
      </c>
      <c r="C4376" s="323">
        <v>41775</v>
      </c>
      <c r="D4376" s="323">
        <v>253</v>
      </c>
      <c r="E4376" s="324">
        <f t="shared" si="68"/>
        <v>61696.58</v>
      </c>
    </row>
    <row r="4377" spans="1:5" x14ac:dyDescent="0.25">
      <c r="A4377" s="323" t="s">
        <v>5806</v>
      </c>
      <c r="B4377" s="323" t="s">
        <v>805</v>
      </c>
      <c r="C4377" s="323">
        <v>41775</v>
      </c>
      <c r="D4377" s="323">
        <v>508</v>
      </c>
      <c r="E4377" s="324">
        <f t="shared" si="68"/>
        <v>123880.88</v>
      </c>
    </row>
    <row r="4378" spans="1:5" x14ac:dyDescent="0.25">
      <c r="A4378" s="323" t="s">
        <v>5816</v>
      </c>
      <c r="B4378" s="323" t="s">
        <v>805</v>
      </c>
      <c r="C4378" s="323">
        <v>41775</v>
      </c>
      <c r="D4378" s="323">
        <v>291</v>
      </c>
      <c r="E4378" s="324">
        <f t="shared" si="68"/>
        <v>70963.260000000009</v>
      </c>
    </row>
    <row r="4379" spans="1:5" x14ac:dyDescent="0.25">
      <c r="A4379" s="323" t="s">
        <v>5826</v>
      </c>
      <c r="B4379" s="323" t="s">
        <v>805</v>
      </c>
      <c r="C4379" s="323">
        <v>41775</v>
      </c>
      <c r="D4379" s="323">
        <v>229</v>
      </c>
      <c r="E4379" s="324">
        <f t="shared" si="68"/>
        <v>55843.94</v>
      </c>
    </row>
    <row r="4380" spans="1:5" x14ac:dyDescent="0.25">
      <c r="A4380" s="323" t="s">
        <v>5826</v>
      </c>
      <c r="B4380" s="323" t="s">
        <v>805</v>
      </c>
      <c r="C4380" s="323">
        <v>41775</v>
      </c>
      <c r="D4380" s="323">
        <v>109</v>
      </c>
      <c r="E4380" s="324">
        <f t="shared" si="68"/>
        <v>26580.74</v>
      </c>
    </row>
    <row r="4381" spans="1:5" x14ac:dyDescent="0.25">
      <c r="A4381" s="323" t="s">
        <v>5851</v>
      </c>
      <c r="B4381" s="323" t="s">
        <v>805</v>
      </c>
      <c r="C4381" s="323">
        <v>41775</v>
      </c>
      <c r="D4381" s="323">
        <v>403</v>
      </c>
      <c r="E4381" s="324">
        <f t="shared" si="68"/>
        <v>98275.58</v>
      </c>
    </row>
    <row r="4382" spans="1:5" x14ac:dyDescent="0.25">
      <c r="A4382" s="323" t="s">
        <v>5872</v>
      </c>
      <c r="B4382" s="323" t="s">
        <v>805</v>
      </c>
      <c r="C4382" s="323">
        <v>41775</v>
      </c>
      <c r="D4382" s="323">
        <v>174</v>
      </c>
      <c r="E4382" s="324">
        <f t="shared" si="68"/>
        <v>42431.64</v>
      </c>
    </row>
    <row r="4383" spans="1:5" x14ac:dyDescent="0.25">
      <c r="A4383" s="323" t="s">
        <v>5882</v>
      </c>
      <c r="B4383" s="323" t="s">
        <v>805</v>
      </c>
      <c r="C4383" s="323">
        <v>41775</v>
      </c>
      <c r="D4383" s="323">
        <v>222</v>
      </c>
      <c r="E4383" s="324">
        <f t="shared" si="68"/>
        <v>54136.920000000006</v>
      </c>
    </row>
    <row r="4384" spans="1:5" x14ac:dyDescent="0.25">
      <c r="A4384" s="323" t="s">
        <v>5889</v>
      </c>
      <c r="B4384" s="323" t="s">
        <v>805</v>
      </c>
      <c r="C4384" s="323">
        <v>41775</v>
      </c>
      <c r="D4384" s="323">
        <v>390</v>
      </c>
      <c r="E4384" s="324">
        <f t="shared" si="68"/>
        <v>95105.400000000009</v>
      </c>
    </row>
    <row r="4385" spans="1:5" x14ac:dyDescent="0.25">
      <c r="A4385" s="323" t="s">
        <v>5897</v>
      </c>
      <c r="B4385" s="323" t="s">
        <v>805</v>
      </c>
      <c r="C4385" s="323">
        <v>41775</v>
      </c>
      <c r="D4385" s="323">
        <v>242</v>
      </c>
      <c r="E4385" s="324">
        <f t="shared" si="68"/>
        <v>59014.12</v>
      </c>
    </row>
    <row r="4386" spans="1:5" x14ac:dyDescent="0.25">
      <c r="A4386" s="323" t="s">
        <v>5903</v>
      </c>
      <c r="B4386" s="323" t="s">
        <v>805</v>
      </c>
      <c r="C4386" s="323">
        <v>41775</v>
      </c>
      <c r="D4386" s="323">
        <v>220</v>
      </c>
      <c r="E4386" s="324">
        <f t="shared" si="68"/>
        <v>53649.200000000004</v>
      </c>
    </row>
    <row r="4387" spans="1:5" x14ac:dyDescent="0.25">
      <c r="A4387" s="323" t="s">
        <v>5914</v>
      </c>
      <c r="B4387" s="323" t="s">
        <v>805</v>
      </c>
      <c r="C4387" s="323">
        <v>41775</v>
      </c>
      <c r="D4387" s="323">
        <v>105</v>
      </c>
      <c r="E4387" s="324">
        <f t="shared" si="68"/>
        <v>25605.300000000003</v>
      </c>
    </row>
    <row r="4388" spans="1:5" x14ac:dyDescent="0.25">
      <c r="A4388" s="323" t="s">
        <v>6042</v>
      </c>
      <c r="B4388" s="323" t="s">
        <v>809</v>
      </c>
      <c r="C4388" s="323">
        <v>41775</v>
      </c>
      <c r="D4388" s="323">
        <v>57</v>
      </c>
      <c r="E4388" s="324">
        <f t="shared" si="68"/>
        <v>27800.04</v>
      </c>
    </row>
    <row r="4389" spans="1:5" x14ac:dyDescent="0.25">
      <c r="A4389" s="323" t="s">
        <v>6042</v>
      </c>
      <c r="B4389" s="323" t="s">
        <v>803</v>
      </c>
      <c r="C4389" s="323">
        <v>41775</v>
      </c>
      <c r="D4389" s="323">
        <v>43</v>
      </c>
      <c r="E4389" s="324">
        <f t="shared" si="68"/>
        <v>20971.960000000003</v>
      </c>
    </row>
    <row r="4390" spans="1:5" x14ac:dyDescent="0.25">
      <c r="A4390" s="323" t="s">
        <v>6046</v>
      </c>
      <c r="B4390" s="323" t="s">
        <v>805</v>
      </c>
      <c r="C4390" s="323">
        <v>41775</v>
      </c>
      <c r="D4390" s="323">
        <v>500</v>
      </c>
      <c r="E4390" s="324">
        <f t="shared" si="68"/>
        <v>121930</v>
      </c>
    </row>
    <row r="4391" spans="1:5" x14ac:dyDescent="0.25">
      <c r="A4391" s="323" t="s">
        <v>6049</v>
      </c>
      <c r="B4391" s="323" t="s">
        <v>805</v>
      </c>
      <c r="C4391" s="323">
        <v>41775</v>
      </c>
      <c r="D4391" s="323">
        <v>208</v>
      </c>
      <c r="E4391" s="324">
        <f t="shared" si="68"/>
        <v>50722.880000000005</v>
      </c>
    </row>
    <row r="4392" spans="1:5" x14ac:dyDescent="0.25">
      <c r="A4392" s="323" t="s">
        <v>6064</v>
      </c>
      <c r="B4392" s="323" t="s">
        <v>805</v>
      </c>
      <c r="C4392" s="323">
        <v>41775</v>
      </c>
      <c r="D4392" s="323">
        <v>345</v>
      </c>
      <c r="E4392" s="324">
        <f t="shared" si="68"/>
        <v>84131.700000000012</v>
      </c>
    </row>
    <row r="4393" spans="1:5" x14ac:dyDescent="0.25">
      <c r="A4393" s="323" t="s">
        <v>6102</v>
      </c>
      <c r="B4393" s="323" t="s">
        <v>805</v>
      </c>
      <c r="C4393" s="323">
        <v>41775</v>
      </c>
      <c r="D4393" s="323">
        <v>428</v>
      </c>
      <c r="E4393" s="324">
        <f t="shared" si="68"/>
        <v>104372.08</v>
      </c>
    </row>
    <row r="4394" spans="1:5" x14ac:dyDescent="0.25">
      <c r="A4394" s="323" t="s">
        <v>6173</v>
      </c>
      <c r="B4394" s="323" t="s">
        <v>805</v>
      </c>
      <c r="C4394" s="323">
        <v>41775</v>
      </c>
      <c r="D4394" s="323">
        <v>164</v>
      </c>
      <c r="E4394" s="324">
        <f t="shared" si="68"/>
        <v>39993.040000000001</v>
      </c>
    </row>
    <row r="4395" spans="1:5" x14ac:dyDescent="0.25">
      <c r="A4395" s="323" t="s">
        <v>6173</v>
      </c>
      <c r="B4395" s="323" t="s">
        <v>805</v>
      </c>
      <c r="C4395" s="323">
        <v>41775</v>
      </c>
      <c r="D4395" s="323">
        <v>220</v>
      </c>
      <c r="E4395" s="324">
        <f t="shared" si="68"/>
        <v>53649.200000000004</v>
      </c>
    </row>
    <row r="4396" spans="1:5" x14ac:dyDescent="0.25">
      <c r="A4396" s="323" t="s">
        <v>6216</v>
      </c>
      <c r="B4396" s="323" t="s">
        <v>805</v>
      </c>
      <c r="C4396" s="323">
        <v>41775</v>
      </c>
      <c r="D4396" s="323">
        <v>251</v>
      </c>
      <c r="E4396" s="324">
        <f t="shared" si="68"/>
        <v>61208.86</v>
      </c>
    </row>
    <row r="4397" spans="1:5" x14ac:dyDescent="0.25">
      <c r="A4397" s="323" t="s">
        <v>6232</v>
      </c>
      <c r="B4397" s="323" t="s">
        <v>805</v>
      </c>
      <c r="C4397" s="323">
        <v>41775</v>
      </c>
      <c r="D4397" s="323">
        <v>313</v>
      </c>
      <c r="E4397" s="324">
        <f t="shared" si="68"/>
        <v>76328.180000000008</v>
      </c>
    </row>
    <row r="4398" spans="1:5" x14ac:dyDescent="0.25">
      <c r="A4398" s="323" t="s">
        <v>6249</v>
      </c>
      <c r="B4398" s="323" t="s">
        <v>805</v>
      </c>
      <c r="C4398" s="323">
        <v>41775</v>
      </c>
      <c r="D4398" s="323">
        <v>214</v>
      </c>
      <c r="E4398" s="324">
        <f t="shared" si="68"/>
        <v>52186.04</v>
      </c>
    </row>
    <row r="4399" spans="1:5" x14ac:dyDescent="0.25">
      <c r="A4399" s="323" t="s">
        <v>6249</v>
      </c>
      <c r="B4399" s="323" t="s">
        <v>805</v>
      </c>
      <c r="C4399" s="323">
        <v>41775</v>
      </c>
      <c r="D4399" s="323">
        <v>164</v>
      </c>
      <c r="E4399" s="324">
        <f t="shared" si="68"/>
        <v>39993.040000000001</v>
      </c>
    </row>
    <row r="4400" spans="1:5" x14ac:dyDescent="0.25">
      <c r="A4400" s="323" t="s">
        <v>6275</v>
      </c>
      <c r="B4400" s="323" t="s">
        <v>805</v>
      </c>
      <c r="C4400" s="323">
        <v>41775</v>
      </c>
      <c r="D4400" s="323">
        <v>795</v>
      </c>
      <c r="E4400" s="324">
        <f t="shared" si="68"/>
        <v>193868.7</v>
      </c>
    </row>
    <row r="4401" spans="1:5" x14ac:dyDescent="0.25">
      <c r="A4401" s="323" t="s">
        <v>6282</v>
      </c>
      <c r="B4401" s="323" t="s">
        <v>805</v>
      </c>
      <c r="C4401" s="323">
        <v>41775</v>
      </c>
      <c r="D4401" s="323">
        <v>156</v>
      </c>
      <c r="E4401" s="324">
        <f t="shared" si="68"/>
        <v>38042.160000000003</v>
      </c>
    </row>
    <row r="4402" spans="1:5" x14ac:dyDescent="0.25">
      <c r="A4402" s="323" t="s">
        <v>6297</v>
      </c>
      <c r="B4402" s="323" t="s">
        <v>805</v>
      </c>
      <c r="C4402" s="323">
        <v>41775</v>
      </c>
      <c r="D4402" s="323">
        <v>168</v>
      </c>
      <c r="E4402" s="324">
        <f t="shared" si="68"/>
        <v>40968.480000000003</v>
      </c>
    </row>
    <row r="4403" spans="1:5" x14ac:dyDescent="0.25">
      <c r="A4403" s="323" t="s">
        <v>6306</v>
      </c>
      <c r="B4403" s="323" t="s">
        <v>805</v>
      </c>
      <c r="C4403" s="323">
        <v>41775</v>
      </c>
      <c r="D4403" s="323">
        <v>160</v>
      </c>
      <c r="E4403" s="324">
        <f t="shared" si="68"/>
        <v>39017.600000000006</v>
      </c>
    </row>
    <row r="4404" spans="1:5" x14ac:dyDescent="0.25">
      <c r="A4404" s="323" t="s">
        <v>6313</v>
      </c>
      <c r="B4404" s="323" t="s">
        <v>805</v>
      </c>
      <c r="C4404" s="323">
        <v>41775</v>
      </c>
      <c r="D4404" s="323">
        <v>168</v>
      </c>
      <c r="E4404" s="324">
        <f t="shared" si="68"/>
        <v>40968.480000000003</v>
      </c>
    </row>
    <row r="4405" spans="1:5" x14ac:dyDescent="0.25">
      <c r="A4405" s="323" t="s">
        <v>6319</v>
      </c>
      <c r="B4405" s="323" t="s">
        <v>805</v>
      </c>
      <c r="C4405" s="323">
        <v>41775</v>
      </c>
      <c r="D4405" s="323">
        <v>211</v>
      </c>
      <c r="E4405" s="324">
        <f t="shared" si="68"/>
        <v>51454.460000000006</v>
      </c>
    </row>
    <row r="4406" spans="1:5" x14ac:dyDescent="0.25">
      <c r="A4406" s="323" t="s">
        <v>6329</v>
      </c>
      <c r="B4406" s="323" t="s">
        <v>805</v>
      </c>
      <c r="C4406" s="323">
        <v>41775</v>
      </c>
      <c r="D4406" s="323">
        <v>540</v>
      </c>
      <c r="E4406" s="324">
        <f t="shared" si="68"/>
        <v>131684.4</v>
      </c>
    </row>
    <row r="4407" spans="1:5" x14ac:dyDescent="0.25">
      <c r="A4407" s="323" t="s">
        <v>6351</v>
      </c>
      <c r="B4407" s="323" t="s">
        <v>805</v>
      </c>
      <c r="C4407" s="323">
        <v>41775</v>
      </c>
      <c r="D4407" s="323">
        <v>166</v>
      </c>
      <c r="E4407" s="324">
        <f t="shared" si="68"/>
        <v>40480.76</v>
      </c>
    </row>
    <row r="4408" spans="1:5" x14ac:dyDescent="0.25">
      <c r="A4408" s="323" t="s">
        <v>6357</v>
      </c>
      <c r="B4408" s="323" t="s">
        <v>805</v>
      </c>
      <c r="C4408" s="323">
        <v>41775</v>
      </c>
      <c r="D4408" s="323">
        <v>268</v>
      </c>
      <c r="E4408" s="324">
        <f t="shared" si="68"/>
        <v>65354.48</v>
      </c>
    </row>
    <row r="4409" spans="1:5" x14ac:dyDescent="0.25">
      <c r="A4409" s="323" t="s">
        <v>6371</v>
      </c>
      <c r="B4409" s="323" t="s">
        <v>805</v>
      </c>
      <c r="C4409" s="323">
        <v>41775</v>
      </c>
      <c r="D4409" s="323">
        <v>295</v>
      </c>
      <c r="E4409" s="324">
        <f t="shared" si="68"/>
        <v>71938.7</v>
      </c>
    </row>
    <row r="4410" spans="1:5" x14ac:dyDescent="0.25">
      <c r="A4410" s="323" t="s">
        <v>6380</v>
      </c>
      <c r="B4410" s="323" t="s">
        <v>805</v>
      </c>
      <c r="C4410" s="323">
        <v>41775</v>
      </c>
      <c r="D4410" s="323">
        <v>198</v>
      </c>
      <c r="E4410" s="324">
        <f t="shared" si="68"/>
        <v>48284.280000000006</v>
      </c>
    </row>
    <row r="4411" spans="1:5" x14ac:dyDescent="0.25">
      <c r="A4411" s="323" t="s">
        <v>6380</v>
      </c>
      <c r="B4411" s="323" t="s">
        <v>805</v>
      </c>
      <c r="C4411" s="323">
        <v>41775</v>
      </c>
      <c r="D4411" s="323">
        <v>103</v>
      </c>
      <c r="E4411" s="324">
        <f t="shared" si="68"/>
        <v>25117.58</v>
      </c>
    </row>
    <row r="4412" spans="1:5" x14ac:dyDescent="0.25">
      <c r="A4412" s="323" t="s">
        <v>6386</v>
      </c>
      <c r="B4412" s="323" t="s">
        <v>805</v>
      </c>
      <c r="C4412" s="323">
        <v>41775</v>
      </c>
      <c r="D4412" s="323">
        <v>143</v>
      </c>
      <c r="E4412" s="324">
        <f t="shared" si="68"/>
        <v>34871.980000000003</v>
      </c>
    </row>
    <row r="4413" spans="1:5" x14ac:dyDescent="0.25">
      <c r="A4413" s="323" t="s">
        <v>6389</v>
      </c>
      <c r="B4413" s="323" t="s">
        <v>805</v>
      </c>
      <c r="C4413" s="323">
        <v>41775</v>
      </c>
      <c r="D4413" s="323">
        <v>133</v>
      </c>
      <c r="E4413" s="324">
        <f t="shared" si="68"/>
        <v>32433.38</v>
      </c>
    </row>
    <row r="4414" spans="1:5" x14ac:dyDescent="0.25">
      <c r="A4414" s="323" t="s">
        <v>6393</v>
      </c>
      <c r="B4414" s="323" t="s">
        <v>805</v>
      </c>
      <c r="C4414" s="323">
        <v>41775</v>
      </c>
      <c r="D4414" s="323">
        <v>155</v>
      </c>
      <c r="E4414" s="324">
        <f t="shared" si="68"/>
        <v>37798.300000000003</v>
      </c>
    </row>
    <row r="4415" spans="1:5" x14ac:dyDescent="0.25">
      <c r="A4415" s="323" t="s">
        <v>6399</v>
      </c>
      <c r="B4415" s="323" t="s">
        <v>805</v>
      </c>
      <c r="C4415" s="323">
        <v>41775</v>
      </c>
      <c r="D4415" s="323">
        <v>320</v>
      </c>
      <c r="E4415" s="324">
        <f t="shared" si="68"/>
        <v>78035.200000000012</v>
      </c>
    </row>
    <row r="4416" spans="1:5" x14ac:dyDescent="0.25">
      <c r="A4416" s="323" t="s">
        <v>6399</v>
      </c>
      <c r="B4416" s="323" t="s">
        <v>805</v>
      </c>
      <c r="C4416" s="323">
        <v>41775</v>
      </c>
      <c r="D4416" s="323">
        <v>204</v>
      </c>
      <c r="E4416" s="324">
        <f t="shared" si="68"/>
        <v>49747.44</v>
      </c>
    </row>
    <row r="4417" spans="1:5" x14ac:dyDescent="0.25">
      <c r="A4417" s="323" t="s">
        <v>6401</v>
      </c>
      <c r="B4417" s="323" t="s">
        <v>805</v>
      </c>
      <c r="C4417" s="323">
        <v>41775</v>
      </c>
      <c r="D4417" s="323">
        <v>213</v>
      </c>
      <c r="E4417" s="324">
        <f t="shared" si="68"/>
        <v>51942.18</v>
      </c>
    </row>
    <row r="4418" spans="1:5" x14ac:dyDescent="0.25">
      <c r="A4418" s="323" t="s">
        <v>6402</v>
      </c>
      <c r="B4418" s="323" t="s">
        <v>805</v>
      </c>
      <c r="C4418" s="323">
        <v>41775</v>
      </c>
      <c r="D4418" s="323">
        <v>133</v>
      </c>
      <c r="E4418" s="324">
        <f t="shared" ref="E4418:E4481" si="69">D4418*IF(B4418=$G$9,WerkdrukbedragPerLeerlingBo,IF(B4418=$G$10,WerkdrukbedragPerLeerlingSbo,IF(B4418=$G$11,WerkdrukbedragPerLeerlingSo,IF(B4418=$G$12,WerkdrukbedragPerLeerlingVso,0))))</f>
        <v>32433.38</v>
      </c>
    </row>
    <row r="4419" spans="1:5" x14ac:dyDescent="0.25">
      <c r="A4419" s="323" t="s">
        <v>6594</v>
      </c>
      <c r="B4419" s="323" t="s">
        <v>805</v>
      </c>
      <c r="C4419" s="323">
        <v>41775</v>
      </c>
      <c r="D4419" s="323">
        <v>156</v>
      </c>
      <c r="E4419" s="324">
        <f t="shared" si="69"/>
        <v>38042.160000000003</v>
      </c>
    </row>
    <row r="4420" spans="1:5" x14ac:dyDescent="0.25">
      <c r="A4420" s="323" t="s">
        <v>6606</v>
      </c>
      <c r="B4420" s="323" t="s">
        <v>805</v>
      </c>
      <c r="C4420" s="323">
        <v>41775</v>
      </c>
      <c r="D4420" s="323">
        <v>131</v>
      </c>
      <c r="E4420" s="324">
        <f t="shared" si="69"/>
        <v>31945.660000000003</v>
      </c>
    </row>
    <row r="4421" spans="1:5" x14ac:dyDescent="0.25">
      <c r="A4421" s="323" t="s">
        <v>6629</v>
      </c>
      <c r="B4421" s="323" t="s">
        <v>805</v>
      </c>
      <c r="C4421" s="323">
        <v>41775</v>
      </c>
      <c r="D4421" s="323">
        <v>380</v>
      </c>
      <c r="E4421" s="324">
        <f t="shared" si="69"/>
        <v>92666.8</v>
      </c>
    </row>
    <row r="4422" spans="1:5" x14ac:dyDescent="0.25">
      <c r="A4422" s="323" t="s">
        <v>6630</v>
      </c>
      <c r="B4422" s="323" t="s">
        <v>816</v>
      </c>
      <c r="C4422" s="323">
        <v>41775</v>
      </c>
      <c r="D4422" s="323">
        <v>46</v>
      </c>
      <c r="E4422" s="324">
        <f t="shared" si="69"/>
        <v>16826.34</v>
      </c>
    </row>
    <row r="4423" spans="1:5" x14ac:dyDescent="0.25">
      <c r="A4423" s="323" t="s">
        <v>6641</v>
      </c>
      <c r="B4423" s="323" t="s">
        <v>816</v>
      </c>
      <c r="C4423" s="323">
        <v>41775</v>
      </c>
      <c r="D4423" s="323">
        <v>101</v>
      </c>
      <c r="E4423" s="324">
        <f t="shared" si="69"/>
        <v>36944.79</v>
      </c>
    </row>
    <row r="4424" spans="1:5" x14ac:dyDescent="0.25">
      <c r="A4424" s="323" t="s">
        <v>6642</v>
      </c>
      <c r="B4424" s="323" t="s">
        <v>809</v>
      </c>
      <c r="C4424" s="323">
        <v>41775</v>
      </c>
      <c r="D4424" s="323">
        <v>141</v>
      </c>
      <c r="E4424" s="324">
        <f t="shared" si="69"/>
        <v>68768.52</v>
      </c>
    </row>
    <row r="4425" spans="1:5" x14ac:dyDescent="0.25">
      <c r="A4425" s="323" t="s">
        <v>6642</v>
      </c>
      <c r="B4425" s="323" t="s">
        <v>809</v>
      </c>
      <c r="C4425" s="323">
        <v>41775</v>
      </c>
      <c r="D4425" s="323">
        <v>7</v>
      </c>
      <c r="E4425" s="324">
        <f t="shared" si="69"/>
        <v>3414.04</v>
      </c>
    </row>
    <row r="4426" spans="1:5" x14ac:dyDescent="0.25">
      <c r="A4426" s="323" t="s">
        <v>6642</v>
      </c>
      <c r="B4426" s="323" t="s">
        <v>803</v>
      </c>
      <c r="C4426" s="323">
        <v>41775</v>
      </c>
      <c r="D4426" s="323">
        <v>145</v>
      </c>
      <c r="E4426" s="324">
        <f t="shared" si="69"/>
        <v>70719.400000000009</v>
      </c>
    </row>
    <row r="4427" spans="1:5" x14ac:dyDescent="0.25">
      <c r="A4427" s="323" t="s">
        <v>6643</v>
      </c>
      <c r="B4427" s="323" t="s">
        <v>809</v>
      </c>
      <c r="C4427" s="323">
        <v>41775</v>
      </c>
      <c r="D4427" s="323">
        <v>77</v>
      </c>
      <c r="E4427" s="324">
        <f t="shared" si="69"/>
        <v>37554.44</v>
      </c>
    </row>
    <row r="4428" spans="1:5" x14ac:dyDescent="0.25">
      <c r="A4428" s="323" t="s">
        <v>6643</v>
      </c>
      <c r="B4428" s="323" t="s">
        <v>803</v>
      </c>
      <c r="C4428" s="323">
        <v>41775</v>
      </c>
      <c r="D4428" s="323">
        <v>122</v>
      </c>
      <c r="E4428" s="324">
        <f t="shared" si="69"/>
        <v>59501.840000000004</v>
      </c>
    </row>
    <row r="4429" spans="1:5" x14ac:dyDescent="0.25">
      <c r="A4429" s="323" t="s">
        <v>6644</v>
      </c>
      <c r="B4429" s="323" t="s">
        <v>809</v>
      </c>
      <c r="C4429" s="323">
        <v>41775</v>
      </c>
      <c r="D4429" s="323">
        <v>125</v>
      </c>
      <c r="E4429" s="324">
        <f t="shared" si="69"/>
        <v>60965</v>
      </c>
    </row>
    <row r="4430" spans="1:5" x14ac:dyDescent="0.25">
      <c r="A4430" s="323" t="s">
        <v>6645</v>
      </c>
      <c r="B4430" s="323" t="s">
        <v>809</v>
      </c>
      <c r="C4430" s="323">
        <v>41775</v>
      </c>
      <c r="D4430" s="323">
        <v>105</v>
      </c>
      <c r="E4430" s="324">
        <f t="shared" si="69"/>
        <v>51210.600000000006</v>
      </c>
    </row>
    <row r="4431" spans="1:5" x14ac:dyDescent="0.25">
      <c r="A4431" s="323" t="s">
        <v>6645</v>
      </c>
      <c r="B4431" s="323" t="s">
        <v>803</v>
      </c>
      <c r="C4431" s="323">
        <v>41775</v>
      </c>
      <c r="D4431" s="323">
        <v>120</v>
      </c>
      <c r="E4431" s="324">
        <f t="shared" si="69"/>
        <v>58526.400000000001</v>
      </c>
    </row>
    <row r="4432" spans="1:5" x14ac:dyDescent="0.25">
      <c r="A4432" s="323" t="s">
        <v>6646</v>
      </c>
      <c r="B4432" s="323" t="s">
        <v>816</v>
      </c>
      <c r="C4432" s="323">
        <v>41775</v>
      </c>
      <c r="D4432" s="323">
        <v>88</v>
      </c>
      <c r="E4432" s="324">
        <f t="shared" si="69"/>
        <v>32189.52</v>
      </c>
    </row>
    <row r="4433" spans="1:5" x14ac:dyDescent="0.25">
      <c r="A4433" s="323" t="s">
        <v>6647</v>
      </c>
      <c r="B4433" s="323" t="s">
        <v>809</v>
      </c>
      <c r="C4433" s="323">
        <v>41775</v>
      </c>
      <c r="D4433" s="323">
        <v>170</v>
      </c>
      <c r="E4433" s="324">
        <f t="shared" si="69"/>
        <v>82912.400000000009</v>
      </c>
    </row>
    <row r="4434" spans="1:5" x14ac:dyDescent="0.25">
      <c r="A4434" s="323" t="s">
        <v>6647</v>
      </c>
      <c r="B4434" s="323" t="s">
        <v>803</v>
      </c>
      <c r="C4434" s="323">
        <v>41775</v>
      </c>
      <c r="D4434" s="323">
        <v>152</v>
      </c>
      <c r="E4434" s="324">
        <f t="shared" si="69"/>
        <v>74133.440000000002</v>
      </c>
    </row>
    <row r="4435" spans="1:5" x14ac:dyDescent="0.25">
      <c r="A4435" s="323" t="s">
        <v>6683</v>
      </c>
      <c r="B4435" s="323" t="s">
        <v>809</v>
      </c>
      <c r="C4435" s="323">
        <v>41775</v>
      </c>
      <c r="D4435" s="323">
        <v>411</v>
      </c>
      <c r="E4435" s="324">
        <f t="shared" si="69"/>
        <v>200452.92</v>
      </c>
    </row>
    <row r="4436" spans="1:5" x14ac:dyDescent="0.25">
      <c r="A4436" s="323" t="s">
        <v>6683</v>
      </c>
      <c r="B4436" s="323" t="s">
        <v>803</v>
      </c>
      <c r="C4436" s="323">
        <v>41775</v>
      </c>
      <c r="D4436" s="323">
        <v>369</v>
      </c>
      <c r="E4436" s="324">
        <f t="shared" si="69"/>
        <v>179968.68000000002</v>
      </c>
    </row>
    <row r="4437" spans="1:5" x14ac:dyDescent="0.25">
      <c r="A4437" s="323" t="s">
        <v>6683</v>
      </c>
      <c r="B4437" s="323" t="s">
        <v>809</v>
      </c>
      <c r="C4437" s="323">
        <v>41775</v>
      </c>
      <c r="D4437" s="323">
        <v>35</v>
      </c>
      <c r="E4437" s="324">
        <f t="shared" si="69"/>
        <v>17070.2</v>
      </c>
    </row>
    <row r="4438" spans="1:5" x14ac:dyDescent="0.25">
      <c r="A4438" s="323" t="s">
        <v>6683</v>
      </c>
      <c r="B4438" s="323" t="s">
        <v>803</v>
      </c>
      <c r="C4438" s="323">
        <v>41775</v>
      </c>
      <c r="D4438" s="323">
        <v>3</v>
      </c>
      <c r="E4438" s="324">
        <f t="shared" si="69"/>
        <v>1463.16</v>
      </c>
    </row>
    <row r="4439" spans="1:5" x14ac:dyDescent="0.25">
      <c r="A4439" s="323" t="s">
        <v>6741</v>
      </c>
      <c r="B4439" s="323" t="s">
        <v>816</v>
      </c>
      <c r="C4439" s="323">
        <v>41775</v>
      </c>
      <c r="D4439" s="323">
        <v>74</v>
      </c>
      <c r="E4439" s="324">
        <f t="shared" si="69"/>
        <v>27068.460000000003</v>
      </c>
    </row>
    <row r="4440" spans="1:5" x14ac:dyDescent="0.25">
      <c r="A4440" s="323" t="s">
        <v>7090</v>
      </c>
      <c r="B4440" s="323" t="s">
        <v>805</v>
      </c>
      <c r="C4440" s="323">
        <v>41775</v>
      </c>
      <c r="D4440" s="323">
        <v>600</v>
      </c>
      <c r="E4440" s="324">
        <f t="shared" si="69"/>
        <v>146316</v>
      </c>
    </row>
    <row r="4441" spans="1:5" x14ac:dyDescent="0.25">
      <c r="A4441" s="323" t="s">
        <v>7091</v>
      </c>
      <c r="B4441" s="323" t="s">
        <v>805</v>
      </c>
      <c r="C4441" s="323">
        <v>41775</v>
      </c>
      <c r="D4441" s="323">
        <v>259</v>
      </c>
      <c r="E4441" s="324">
        <f t="shared" si="69"/>
        <v>63159.740000000005</v>
      </c>
    </row>
    <row r="4442" spans="1:5" x14ac:dyDescent="0.25">
      <c r="A4442" s="323" t="s">
        <v>7510</v>
      </c>
      <c r="B4442" s="323" t="s">
        <v>805</v>
      </c>
      <c r="C4442" s="323">
        <v>41775</v>
      </c>
      <c r="D4442" s="323">
        <v>424</v>
      </c>
      <c r="E4442" s="324">
        <f t="shared" si="69"/>
        <v>103396.64</v>
      </c>
    </row>
    <row r="4443" spans="1:5" x14ac:dyDescent="0.25">
      <c r="A4443" s="323" t="s">
        <v>5124</v>
      </c>
      <c r="B4443" s="323" t="s">
        <v>805</v>
      </c>
      <c r="C4443" s="323">
        <v>41777</v>
      </c>
      <c r="D4443" s="323">
        <v>87</v>
      </c>
      <c r="E4443" s="324">
        <f t="shared" si="69"/>
        <v>21215.82</v>
      </c>
    </row>
    <row r="4444" spans="1:5" x14ac:dyDescent="0.25">
      <c r="A4444" s="323" t="s">
        <v>5189</v>
      </c>
      <c r="B4444" s="323" t="s">
        <v>805</v>
      </c>
      <c r="C4444" s="323">
        <v>41777</v>
      </c>
      <c r="D4444" s="323">
        <v>224</v>
      </c>
      <c r="E4444" s="324">
        <f t="shared" si="69"/>
        <v>54624.639999999999</v>
      </c>
    </row>
    <row r="4445" spans="1:5" x14ac:dyDescent="0.25">
      <c r="A4445" s="323" t="s">
        <v>5367</v>
      </c>
      <c r="B4445" s="323" t="s">
        <v>805</v>
      </c>
      <c r="C4445" s="323">
        <v>41777</v>
      </c>
      <c r="D4445" s="323">
        <v>49</v>
      </c>
      <c r="E4445" s="324">
        <f t="shared" si="69"/>
        <v>11949.140000000001</v>
      </c>
    </row>
    <row r="4446" spans="1:5" x14ac:dyDescent="0.25">
      <c r="A4446" s="323" t="s">
        <v>5389</v>
      </c>
      <c r="B4446" s="323" t="s">
        <v>805</v>
      </c>
      <c r="C4446" s="323">
        <v>41777</v>
      </c>
      <c r="D4446" s="323">
        <v>52</v>
      </c>
      <c r="E4446" s="324">
        <f t="shared" si="69"/>
        <v>12680.720000000001</v>
      </c>
    </row>
    <row r="4447" spans="1:5" x14ac:dyDescent="0.25">
      <c r="A4447" s="323" t="s">
        <v>5414</v>
      </c>
      <c r="B4447" s="323" t="s">
        <v>805</v>
      </c>
      <c r="C4447" s="323">
        <v>41777</v>
      </c>
      <c r="D4447" s="323">
        <v>55</v>
      </c>
      <c r="E4447" s="324">
        <f t="shared" si="69"/>
        <v>13412.300000000001</v>
      </c>
    </row>
    <row r="4448" spans="1:5" x14ac:dyDescent="0.25">
      <c r="A4448" s="323" t="s">
        <v>5471</v>
      </c>
      <c r="B4448" s="323" t="s">
        <v>805</v>
      </c>
      <c r="C4448" s="323">
        <v>41777</v>
      </c>
      <c r="D4448" s="323">
        <v>49</v>
      </c>
      <c r="E4448" s="324">
        <f t="shared" si="69"/>
        <v>11949.140000000001</v>
      </c>
    </row>
    <row r="4449" spans="1:5" x14ac:dyDescent="0.25">
      <c r="A4449" s="323" t="s">
        <v>5496</v>
      </c>
      <c r="B4449" s="323" t="s">
        <v>805</v>
      </c>
      <c r="C4449" s="323">
        <v>41777</v>
      </c>
      <c r="D4449" s="323">
        <v>86</v>
      </c>
      <c r="E4449" s="324">
        <f t="shared" si="69"/>
        <v>20971.960000000003</v>
      </c>
    </row>
    <row r="4450" spans="1:5" x14ac:dyDescent="0.25">
      <c r="A4450" s="323" t="s">
        <v>5530</v>
      </c>
      <c r="B4450" s="323" t="s">
        <v>805</v>
      </c>
      <c r="C4450" s="323">
        <v>41777</v>
      </c>
      <c r="D4450" s="323">
        <v>91</v>
      </c>
      <c r="E4450" s="324">
        <f t="shared" si="69"/>
        <v>22191.260000000002</v>
      </c>
    </row>
    <row r="4451" spans="1:5" x14ac:dyDescent="0.25">
      <c r="A4451" s="323" t="s">
        <v>2086</v>
      </c>
      <c r="B4451" s="323" t="s">
        <v>805</v>
      </c>
      <c r="C4451" s="323">
        <v>41778</v>
      </c>
      <c r="D4451" s="323">
        <v>61</v>
      </c>
      <c r="E4451" s="324">
        <f t="shared" si="69"/>
        <v>14875.460000000001</v>
      </c>
    </row>
    <row r="4452" spans="1:5" x14ac:dyDescent="0.25">
      <c r="A4452" s="323" t="s">
        <v>2108</v>
      </c>
      <c r="B4452" s="323" t="s">
        <v>805</v>
      </c>
      <c r="C4452" s="323">
        <v>41778</v>
      </c>
      <c r="D4452" s="323">
        <v>175</v>
      </c>
      <c r="E4452" s="324">
        <f t="shared" si="69"/>
        <v>42675.5</v>
      </c>
    </row>
    <row r="4453" spans="1:5" x14ac:dyDescent="0.25">
      <c r="A4453" s="323" t="s">
        <v>3803</v>
      </c>
      <c r="B4453" s="323" t="s">
        <v>805</v>
      </c>
      <c r="C4453" s="323">
        <v>41778</v>
      </c>
      <c r="D4453" s="323">
        <v>99</v>
      </c>
      <c r="E4453" s="324">
        <f t="shared" si="69"/>
        <v>24142.140000000003</v>
      </c>
    </row>
    <row r="4454" spans="1:5" x14ac:dyDescent="0.25">
      <c r="A4454" s="323" t="s">
        <v>4146</v>
      </c>
      <c r="B4454" s="323" t="s">
        <v>805</v>
      </c>
      <c r="C4454" s="323">
        <v>41778</v>
      </c>
      <c r="D4454" s="323">
        <v>54</v>
      </c>
      <c r="E4454" s="324">
        <f t="shared" si="69"/>
        <v>13168.44</v>
      </c>
    </row>
    <row r="4455" spans="1:5" x14ac:dyDescent="0.25">
      <c r="A4455" s="323" t="s">
        <v>4281</v>
      </c>
      <c r="B4455" s="323" t="s">
        <v>805</v>
      </c>
      <c r="C4455" s="323">
        <v>41778</v>
      </c>
      <c r="D4455" s="323">
        <v>88</v>
      </c>
      <c r="E4455" s="324">
        <f t="shared" si="69"/>
        <v>21459.68</v>
      </c>
    </row>
    <row r="4456" spans="1:5" x14ac:dyDescent="0.25">
      <c r="A4456" s="323" t="s">
        <v>4392</v>
      </c>
      <c r="B4456" s="323" t="s">
        <v>805</v>
      </c>
      <c r="C4456" s="323">
        <v>41778</v>
      </c>
      <c r="D4456" s="323">
        <v>71</v>
      </c>
      <c r="E4456" s="324">
        <f t="shared" si="69"/>
        <v>17314.060000000001</v>
      </c>
    </row>
    <row r="4457" spans="1:5" x14ac:dyDescent="0.25">
      <c r="A4457" s="323" t="s">
        <v>4502</v>
      </c>
      <c r="B4457" s="323" t="s">
        <v>805</v>
      </c>
      <c r="C4457" s="323">
        <v>41778</v>
      </c>
      <c r="D4457" s="323">
        <v>46</v>
      </c>
      <c r="E4457" s="324">
        <f t="shared" si="69"/>
        <v>11217.560000000001</v>
      </c>
    </row>
    <row r="4458" spans="1:5" x14ac:dyDescent="0.25">
      <c r="A4458" s="323" t="s">
        <v>7028</v>
      </c>
      <c r="B4458" s="323" t="s">
        <v>805</v>
      </c>
      <c r="C4458" s="323">
        <v>41778</v>
      </c>
      <c r="D4458" s="323">
        <v>267</v>
      </c>
      <c r="E4458" s="324">
        <f t="shared" si="69"/>
        <v>65110.62</v>
      </c>
    </row>
    <row r="4459" spans="1:5" x14ac:dyDescent="0.25">
      <c r="A4459" s="323" t="s">
        <v>7290</v>
      </c>
      <c r="B4459" s="323" t="s">
        <v>805</v>
      </c>
      <c r="C4459" s="323">
        <v>41778</v>
      </c>
      <c r="D4459" s="323">
        <v>231</v>
      </c>
      <c r="E4459" s="324">
        <f t="shared" si="69"/>
        <v>56331.66</v>
      </c>
    </row>
    <row r="4460" spans="1:5" x14ac:dyDescent="0.25">
      <c r="A4460" s="323" t="s">
        <v>3982</v>
      </c>
      <c r="B4460" s="323" t="s">
        <v>805</v>
      </c>
      <c r="C4460" s="323">
        <v>41779</v>
      </c>
      <c r="D4460" s="323">
        <v>145</v>
      </c>
      <c r="E4460" s="324">
        <f t="shared" si="69"/>
        <v>35359.700000000004</v>
      </c>
    </row>
    <row r="4461" spans="1:5" x14ac:dyDescent="0.25">
      <c r="A4461" s="323" t="s">
        <v>4276</v>
      </c>
      <c r="B4461" s="323" t="s">
        <v>805</v>
      </c>
      <c r="C4461" s="323">
        <v>41779</v>
      </c>
      <c r="D4461" s="323">
        <v>114</v>
      </c>
      <c r="E4461" s="324">
        <f t="shared" si="69"/>
        <v>27800.04</v>
      </c>
    </row>
    <row r="4462" spans="1:5" x14ac:dyDescent="0.25">
      <c r="A4462" s="323" t="s">
        <v>4494</v>
      </c>
      <c r="B4462" s="323" t="s">
        <v>805</v>
      </c>
      <c r="C4462" s="323">
        <v>41779</v>
      </c>
      <c r="D4462" s="323">
        <v>122</v>
      </c>
      <c r="E4462" s="324">
        <f t="shared" si="69"/>
        <v>29750.920000000002</v>
      </c>
    </row>
    <row r="4463" spans="1:5" x14ac:dyDescent="0.25">
      <c r="A4463" s="323" t="s">
        <v>4680</v>
      </c>
      <c r="B4463" s="323" t="s">
        <v>805</v>
      </c>
      <c r="C4463" s="323">
        <v>41779</v>
      </c>
      <c r="D4463" s="323">
        <v>75</v>
      </c>
      <c r="E4463" s="324">
        <f t="shared" si="69"/>
        <v>18289.5</v>
      </c>
    </row>
    <row r="4464" spans="1:5" x14ac:dyDescent="0.25">
      <c r="A4464" s="323" t="s">
        <v>4809</v>
      </c>
      <c r="B4464" s="323" t="s">
        <v>805</v>
      </c>
      <c r="C4464" s="323">
        <v>41779</v>
      </c>
      <c r="D4464" s="323">
        <v>262</v>
      </c>
      <c r="E4464" s="324">
        <f t="shared" si="69"/>
        <v>63891.320000000007</v>
      </c>
    </row>
    <row r="4465" spans="1:5" x14ac:dyDescent="0.25">
      <c r="A4465" s="323" t="s">
        <v>7419</v>
      </c>
      <c r="B4465" s="323" t="s">
        <v>805</v>
      </c>
      <c r="C4465" s="323">
        <v>41779</v>
      </c>
      <c r="D4465" s="323">
        <v>314</v>
      </c>
      <c r="E4465" s="324">
        <f t="shared" si="69"/>
        <v>76572.040000000008</v>
      </c>
    </row>
    <row r="4466" spans="1:5" x14ac:dyDescent="0.25">
      <c r="A4466" s="323" t="s">
        <v>3032</v>
      </c>
      <c r="B4466" s="323" t="s">
        <v>805</v>
      </c>
      <c r="C4466" s="323">
        <v>41780</v>
      </c>
      <c r="D4466" s="323">
        <v>105</v>
      </c>
      <c r="E4466" s="324">
        <f t="shared" si="69"/>
        <v>25605.300000000003</v>
      </c>
    </row>
    <row r="4467" spans="1:5" x14ac:dyDescent="0.25">
      <c r="A4467" s="323" t="s">
        <v>3193</v>
      </c>
      <c r="B4467" s="323" t="s">
        <v>805</v>
      </c>
      <c r="C4467" s="323">
        <v>41780</v>
      </c>
      <c r="D4467" s="323">
        <v>193</v>
      </c>
      <c r="E4467" s="324">
        <f t="shared" si="69"/>
        <v>47064.98</v>
      </c>
    </row>
    <row r="4468" spans="1:5" x14ac:dyDescent="0.25">
      <c r="A4468" s="323" t="s">
        <v>3682</v>
      </c>
      <c r="B4468" s="323" t="s">
        <v>805</v>
      </c>
      <c r="C4468" s="323">
        <v>41780</v>
      </c>
      <c r="D4468" s="323">
        <v>109</v>
      </c>
      <c r="E4468" s="324">
        <f t="shared" si="69"/>
        <v>26580.74</v>
      </c>
    </row>
    <row r="4469" spans="1:5" x14ac:dyDescent="0.25">
      <c r="A4469" s="323" t="s">
        <v>4706</v>
      </c>
      <c r="B4469" s="323" t="s">
        <v>805</v>
      </c>
      <c r="C4469" s="323">
        <v>41780</v>
      </c>
      <c r="D4469" s="323">
        <v>261</v>
      </c>
      <c r="E4469" s="324">
        <f t="shared" si="69"/>
        <v>63647.460000000006</v>
      </c>
    </row>
    <row r="4470" spans="1:5" x14ac:dyDescent="0.25">
      <c r="A4470" s="323" t="s">
        <v>4836</v>
      </c>
      <c r="B4470" s="323" t="s">
        <v>805</v>
      </c>
      <c r="C4470" s="323">
        <v>41780</v>
      </c>
      <c r="D4470" s="323">
        <v>334</v>
      </c>
      <c r="E4470" s="324">
        <f t="shared" si="69"/>
        <v>81449.240000000005</v>
      </c>
    </row>
    <row r="4471" spans="1:5" x14ac:dyDescent="0.25">
      <c r="A4471" s="323" t="s">
        <v>4883</v>
      </c>
      <c r="B4471" s="323" t="s">
        <v>805</v>
      </c>
      <c r="C4471" s="323">
        <v>41780</v>
      </c>
      <c r="D4471" s="323">
        <v>159</v>
      </c>
      <c r="E4471" s="324">
        <f t="shared" si="69"/>
        <v>38773.740000000005</v>
      </c>
    </row>
    <row r="4472" spans="1:5" x14ac:dyDescent="0.25">
      <c r="A4472" s="323" t="s">
        <v>4951</v>
      </c>
      <c r="B4472" s="323" t="s">
        <v>805</v>
      </c>
      <c r="C4472" s="323">
        <v>41780</v>
      </c>
      <c r="D4472" s="323">
        <v>201</v>
      </c>
      <c r="E4472" s="324">
        <f t="shared" si="69"/>
        <v>49015.86</v>
      </c>
    </row>
    <row r="4473" spans="1:5" x14ac:dyDescent="0.25">
      <c r="A4473" s="323" t="s">
        <v>5005</v>
      </c>
      <c r="B4473" s="323" t="s">
        <v>805</v>
      </c>
      <c r="C4473" s="323">
        <v>41780</v>
      </c>
      <c r="D4473" s="323">
        <v>305</v>
      </c>
      <c r="E4473" s="324">
        <f t="shared" si="69"/>
        <v>74377.3</v>
      </c>
    </row>
    <row r="4474" spans="1:5" x14ac:dyDescent="0.25">
      <c r="A4474" s="323" t="s">
        <v>5043</v>
      </c>
      <c r="B4474" s="323" t="s">
        <v>805</v>
      </c>
      <c r="C4474" s="323">
        <v>41780</v>
      </c>
      <c r="D4474" s="323">
        <v>103</v>
      </c>
      <c r="E4474" s="324">
        <f t="shared" si="69"/>
        <v>25117.58</v>
      </c>
    </row>
    <row r="4475" spans="1:5" x14ac:dyDescent="0.25">
      <c r="A4475" s="323" t="s">
        <v>5059</v>
      </c>
      <c r="B4475" s="323" t="s">
        <v>805</v>
      </c>
      <c r="C4475" s="323">
        <v>41780</v>
      </c>
      <c r="D4475" s="323">
        <v>124</v>
      </c>
      <c r="E4475" s="324">
        <f t="shared" si="69"/>
        <v>30238.640000000003</v>
      </c>
    </row>
    <row r="4476" spans="1:5" x14ac:dyDescent="0.25">
      <c r="A4476" s="323" t="s">
        <v>5186</v>
      </c>
      <c r="B4476" s="323" t="s">
        <v>805</v>
      </c>
      <c r="C4476" s="323">
        <v>41780</v>
      </c>
      <c r="D4476" s="323">
        <v>50</v>
      </c>
      <c r="E4476" s="324">
        <f t="shared" si="69"/>
        <v>12193</v>
      </c>
    </row>
    <row r="4477" spans="1:5" x14ac:dyDescent="0.25">
      <c r="A4477" s="323" t="s">
        <v>5245</v>
      </c>
      <c r="B4477" s="323" t="s">
        <v>805</v>
      </c>
      <c r="C4477" s="323">
        <v>41780</v>
      </c>
      <c r="D4477" s="323">
        <v>64</v>
      </c>
      <c r="E4477" s="324">
        <f t="shared" si="69"/>
        <v>15607.04</v>
      </c>
    </row>
    <row r="4478" spans="1:5" x14ac:dyDescent="0.25">
      <c r="A4478" s="323" t="s">
        <v>5265</v>
      </c>
      <c r="B4478" s="323" t="s">
        <v>805</v>
      </c>
      <c r="C4478" s="323">
        <v>41780</v>
      </c>
      <c r="D4478" s="323">
        <v>51</v>
      </c>
      <c r="E4478" s="324">
        <f t="shared" si="69"/>
        <v>12436.86</v>
      </c>
    </row>
    <row r="4479" spans="1:5" x14ac:dyDescent="0.25">
      <c r="A4479" s="323" t="s">
        <v>5302</v>
      </c>
      <c r="B4479" s="323" t="s">
        <v>805</v>
      </c>
      <c r="C4479" s="323">
        <v>41780</v>
      </c>
      <c r="D4479" s="323">
        <v>79</v>
      </c>
      <c r="E4479" s="324">
        <f t="shared" si="69"/>
        <v>19264.940000000002</v>
      </c>
    </row>
    <row r="4480" spans="1:5" x14ac:dyDescent="0.25">
      <c r="A4480" s="323" t="s">
        <v>6524</v>
      </c>
      <c r="B4480" s="323" t="s">
        <v>816</v>
      </c>
      <c r="C4480" s="323">
        <v>41780</v>
      </c>
      <c r="D4480" s="323">
        <v>132</v>
      </c>
      <c r="E4480" s="324">
        <f t="shared" si="69"/>
        <v>48284.280000000006</v>
      </c>
    </row>
    <row r="4481" spans="1:5" x14ac:dyDescent="0.25">
      <c r="A4481" s="323" t="s">
        <v>7183</v>
      </c>
      <c r="B4481" s="323" t="s">
        <v>809</v>
      </c>
      <c r="C4481" s="323">
        <v>41780</v>
      </c>
      <c r="D4481" s="323">
        <v>61</v>
      </c>
      <c r="E4481" s="324">
        <f t="shared" si="69"/>
        <v>29750.920000000002</v>
      </c>
    </row>
    <row r="4482" spans="1:5" x14ac:dyDescent="0.25">
      <c r="A4482" s="323" t="s">
        <v>7183</v>
      </c>
      <c r="B4482" s="323" t="s">
        <v>803</v>
      </c>
      <c r="C4482" s="323">
        <v>41780</v>
      </c>
      <c r="D4482" s="323">
        <v>65</v>
      </c>
      <c r="E4482" s="324">
        <f t="shared" ref="E4482:E4545" si="70">D4482*IF(B4482=$G$9,WerkdrukbedragPerLeerlingBo,IF(B4482=$G$10,WerkdrukbedragPerLeerlingSbo,IF(B4482=$G$11,WerkdrukbedragPerLeerlingSo,IF(B4482=$G$12,WerkdrukbedragPerLeerlingVso,0))))</f>
        <v>31701.800000000003</v>
      </c>
    </row>
    <row r="4483" spans="1:5" x14ac:dyDescent="0.25">
      <c r="A4483" s="323" t="s">
        <v>6256</v>
      </c>
      <c r="B4483" s="323" t="s">
        <v>805</v>
      </c>
      <c r="C4483" s="323">
        <v>41781</v>
      </c>
      <c r="D4483" s="323">
        <v>570</v>
      </c>
      <c r="E4483" s="324">
        <f t="shared" si="70"/>
        <v>139000.20000000001</v>
      </c>
    </row>
    <row r="4484" spans="1:5" x14ac:dyDescent="0.25">
      <c r="A4484" s="323" t="s">
        <v>6294</v>
      </c>
      <c r="B4484" s="323" t="s">
        <v>805</v>
      </c>
      <c r="C4484" s="323">
        <v>41781</v>
      </c>
      <c r="D4484" s="323">
        <v>362</v>
      </c>
      <c r="E4484" s="324">
        <f t="shared" si="70"/>
        <v>88277.32</v>
      </c>
    </row>
    <row r="4485" spans="1:5" x14ac:dyDescent="0.25">
      <c r="A4485" s="323" t="s">
        <v>6294</v>
      </c>
      <c r="B4485" s="323" t="s">
        <v>805</v>
      </c>
      <c r="C4485" s="323">
        <v>41781</v>
      </c>
      <c r="D4485" s="323">
        <v>399</v>
      </c>
      <c r="E4485" s="324">
        <f t="shared" si="70"/>
        <v>97300.14</v>
      </c>
    </row>
    <row r="4486" spans="1:5" x14ac:dyDescent="0.25">
      <c r="A4486" s="323" t="s">
        <v>6326</v>
      </c>
      <c r="B4486" s="323" t="s">
        <v>805</v>
      </c>
      <c r="C4486" s="323">
        <v>41781</v>
      </c>
      <c r="D4486" s="323">
        <v>438</v>
      </c>
      <c r="E4486" s="324">
        <f t="shared" si="70"/>
        <v>106810.68000000001</v>
      </c>
    </row>
    <row r="4487" spans="1:5" x14ac:dyDescent="0.25">
      <c r="A4487" s="323" t="s">
        <v>6375</v>
      </c>
      <c r="B4487" s="323" t="s">
        <v>805</v>
      </c>
      <c r="C4487" s="323">
        <v>41781</v>
      </c>
      <c r="D4487" s="323">
        <v>428</v>
      </c>
      <c r="E4487" s="324">
        <f t="shared" si="70"/>
        <v>104372.08</v>
      </c>
    </row>
    <row r="4488" spans="1:5" x14ac:dyDescent="0.25">
      <c r="A4488" s="323" t="s">
        <v>6378</v>
      </c>
      <c r="B4488" s="323" t="s">
        <v>805</v>
      </c>
      <c r="C4488" s="323">
        <v>41781</v>
      </c>
      <c r="D4488" s="323">
        <v>375</v>
      </c>
      <c r="E4488" s="324">
        <f t="shared" si="70"/>
        <v>91447.5</v>
      </c>
    </row>
    <row r="4489" spans="1:5" x14ac:dyDescent="0.25">
      <c r="A4489" s="323" t="s">
        <v>6382</v>
      </c>
      <c r="B4489" s="323" t="s">
        <v>805</v>
      </c>
      <c r="C4489" s="323">
        <v>41781</v>
      </c>
      <c r="D4489" s="323">
        <v>412</v>
      </c>
      <c r="E4489" s="324">
        <f t="shared" si="70"/>
        <v>100470.32</v>
      </c>
    </row>
    <row r="4490" spans="1:5" x14ac:dyDescent="0.25">
      <c r="A4490" s="323" t="s">
        <v>6385</v>
      </c>
      <c r="B4490" s="323" t="s">
        <v>805</v>
      </c>
      <c r="C4490" s="323">
        <v>41781</v>
      </c>
      <c r="D4490" s="323">
        <v>107</v>
      </c>
      <c r="E4490" s="324">
        <f t="shared" si="70"/>
        <v>26093.02</v>
      </c>
    </row>
    <row r="4491" spans="1:5" x14ac:dyDescent="0.25">
      <c r="A4491" s="323" t="s">
        <v>6660</v>
      </c>
      <c r="B4491" s="323" t="s">
        <v>805</v>
      </c>
      <c r="C4491" s="323">
        <v>41781</v>
      </c>
      <c r="D4491" s="323">
        <v>203</v>
      </c>
      <c r="E4491" s="324">
        <f t="shared" si="70"/>
        <v>49503.58</v>
      </c>
    </row>
    <row r="4492" spans="1:5" x14ac:dyDescent="0.25">
      <c r="A4492" s="323" t="s">
        <v>6661</v>
      </c>
      <c r="B4492" s="323" t="s">
        <v>805</v>
      </c>
      <c r="C4492" s="323">
        <v>41781</v>
      </c>
      <c r="D4492" s="323">
        <v>271</v>
      </c>
      <c r="E4492" s="324">
        <f t="shared" si="70"/>
        <v>66086.06</v>
      </c>
    </row>
    <row r="4493" spans="1:5" x14ac:dyDescent="0.25">
      <c r="A4493" s="323" t="s">
        <v>6665</v>
      </c>
      <c r="B4493" s="323" t="s">
        <v>805</v>
      </c>
      <c r="C4493" s="323">
        <v>41781</v>
      </c>
      <c r="D4493" s="323">
        <v>347</v>
      </c>
      <c r="E4493" s="324">
        <f t="shared" si="70"/>
        <v>84619.42</v>
      </c>
    </row>
    <row r="4494" spans="1:5" x14ac:dyDescent="0.25">
      <c r="A4494" s="323" t="s">
        <v>6665</v>
      </c>
      <c r="B4494" s="323" t="s">
        <v>805</v>
      </c>
      <c r="C4494" s="323">
        <v>41781</v>
      </c>
      <c r="D4494" s="323">
        <v>258</v>
      </c>
      <c r="E4494" s="324">
        <f t="shared" si="70"/>
        <v>62915.880000000005</v>
      </c>
    </row>
    <row r="4495" spans="1:5" x14ac:dyDescent="0.25">
      <c r="A4495" s="323" t="s">
        <v>6672</v>
      </c>
      <c r="B4495" s="323" t="s">
        <v>805</v>
      </c>
      <c r="C4495" s="323">
        <v>41781</v>
      </c>
      <c r="D4495" s="323">
        <v>410</v>
      </c>
      <c r="E4495" s="324">
        <f t="shared" si="70"/>
        <v>99982.6</v>
      </c>
    </row>
    <row r="4496" spans="1:5" x14ac:dyDescent="0.25">
      <c r="A4496" s="323" t="s">
        <v>6679</v>
      </c>
      <c r="B4496" s="323" t="s">
        <v>805</v>
      </c>
      <c r="C4496" s="323">
        <v>41781</v>
      </c>
      <c r="D4496" s="323">
        <v>399</v>
      </c>
      <c r="E4496" s="324">
        <f t="shared" si="70"/>
        <v>97300.14</v>
      </c>
    </row>
    <row r="4497" spans="1:5" x14ac:dyDescent="0.25">
      <c r="A4497" s="323" t="s">
        <v>6680</v>
      </c>
      <c r="B4497" s="323" t="s">
        <v>805</v>
      </c>
      <c r="C4497" s="323">
        <v>41781</v>
      </c>
      <c r="D4497" s="323">
        <v>319</v>
      </c>
      <c r="E4497" s="324">
        <f t="shared" si="70"/>
        <v>77791.340000000011</v>
      </c>
    </row>
    <row r="4498" spans="1:5" x14ac:dyDescent="0.25">
      <c r="A4498" s="323" t="s">
        <v>6691</v>
      </c>
      <c r="B4498" s="323" t="s">
        <v>805</v>
      </c>
      <c r="C4498" s="323">
        <v>41781</v>
      </c>
      <c r="D4498" s="323">
        <v>334</v>
      </c>
      <c r="E4498" s="324">
        <f t="shared" si="70"/>
        <v>81449.240000000005</v>
      </c>
    </row>
    <row r="4499" spans="1:5" x14ac:dyDescent="0.25">
      <c r="A4499" s="323" t="s">
        <v>6698</v>
      </c>
      <c r="B4499" s="323" t="s">
        <v>805</v>
      </c>
      <c r="C4499" s="323">
        <v>41781</v>
      </c>
      <c r="D4499" s="323">
        <v>317</v>
      </c>
      <c r="E4499" s="324">
        <f t="shared" si="70"/>
        <v>77303.62000000001</v>
      </c>
    </row>
    <row r="4500" spans="1:5" x14ac:dyDescent="0.25">
      <c r="A4500" s="323" t="s">
        <v>6702</v>
      </c>
      <c r="B4500" s="323" t="s">
        <v>805</v>
      </c>
      <c r="C4500" s="323">
        <v>41781</v>
      </c>
      <c r="D4500" s="323">
        <v>473</v>
      </c>
      <c r="E4500" s="324">
        <f t="shared" si="70"/>
        <v>115345.78000000001</v>
      </c>
    </row>
    <row r="4501" spans="1:5" x14ac:dyDescent="0.25">
      <c r="A4501" s="323" t="s">
        <v>7053</v>
      </c>
      <c r="B4501" s="323" t="s">
        <v>805</v>
      </c>
      <c r="C4501" s="323">
        <v>41781</v>
      </c>
      <c r="D4501" s="323">
        <v>503</v>
      </c>
      <c r="E4501" s="324">
        <f t="shared" si="70"/>
        <v>122661.58</v>
      </c>
    </row>
    <row r="4502" spans="1:5" x14ac:dyDescent="0.25">
      <c r="A4502" s="323" t="s">
        <v>7426</v>
      </c>
      <c r="B4502" s="323" t="s">
        <v>805</v>
      </c>
      <c r="C4502" s="323">
        <v>41781</v>
      </c>
      <c r="D4502" s="323">
        <v>278</v>
      </c>
      <c r="E4502" s="324">
        <f t="shared" si="70"/>
        <v>67793.08</v>
      </c>
    </row>
    <row r="4503" spans="1:5" x14ac:dyDescent="0.25">
      <c r="A4503" s="323" t="s">
        <v>7472</v>
      </c>
      <c r="B4503" s="323" t="s">
        <v>805</v>
      </c>
      <c r="C4503" s="323">
        <v>41781</v>
      </c>
      <c r="D4503" s="323">
        <v>294</v>
      </c>
      <c r="E4503" s="324">
        <f t="shared" si="70"/>
        <v>71694.840000000011</v>
      </c>
    </row>
    <row r="4504" spans="1:5" x14ac:dyDescent="0.25">
      <c r="A4504" s="323" t="s">
        <v>7480</v>
      </c>
      <c r="B4504" s="323" t="s">
        <v>805</v>
      </c>
      <c r="C4504" s="323">
        <v>41781</v>
      </c>
      <c r="D4504" s="323">
        <v>129</v>
      </c>
      <c r="E4504" s="324">
        <f t="shared" si="70"/>
        <v>31457.940000000002</v>
      </c>
    </row>
    <row r="4505" spans="1:5" x14ac:dyDescent="0.25">
      <c r="A4505" s="323" t="s">
        <v>1011</v>
      </c>
      <c r="B4505" s="323" t="s">
        <v>816</v>
      </c>
      <c r="C4505" s="323">
        <v>41782</v>
      </c>
      <c r="D4505" s="323">
        <v>109</v>
      </c>
      <c r="E4505" s="324">
        <f t="shared" si="70"/>
        <v>39871.11</v>
      </c>
    </row>
    <row r="4506" spans="1:5" x14ac:dyDescent="0.25">
      <c r="A4506" s="323" t="s">
        <v>1224</v>
      </c>
      <c r="B4506" s="323" t="s">
        <v>805</v>
      </c>
      <c r="C4506" s="323">
        <v>41782</v>
      </c>
      <c r="D4506" s="323">
        <v>133</v>
      </c>
      <c r="E4506" s="324">
        <f t="shared" si="70"/>
        <v>32433.38</v>
      </c>
    </row>
    <row r="4507" spans="1:5" x14ac:dyDescent="0.25">
      <c r="A4507" s="323" t="s">
        <v>1330</v>
      </c>
      <c r="B4507" s="323" t="s">
        <v>805</v>
      </c>
      <c r="C4507" s="323">
        <v>41782</v>
      </c>
      <c r="D4507" s="323">
        <v>167</v>
      </c>
      <c r="E4507" s="324">
        <f t="shared" si="70"/>
        <v>40724.620000000003</v>
      </c>
    </row>
    <row r="4508" spans="1:5" x14ac:dyDescent="0.25">
      <c r="A4508" s="323" t="s">
        <v>1708</v>
      </c>
      <c r="B4508" s="323" t="s">
        <v>805</v>
      </c>
      <c r="C4508" s="323">
        <v>41782</v>
      </c>
      <c r="D4508" s="323">
        <v>152</v>
      </c>
      <c r="E4508" s="324">
        <f t="shared" si="70"/>
        <v>37066.720000000001</v>
      </c>
    </row>
    <row r="4509" spans="1:5" x14ac:dyDescent="0.25">
      <c r="A4509" s="323" t="s">
        <v>1823</v>
      </c>
      <c r="B4509" s="323" t="s">
        <v>805</v>
      </c>
      <c r="C4509" s="323">
        <v>41782</v>
      </c>
      <c r="D4509" s="323">
        <v>43</v>
      </c>
      <c r="E4509" s="324">
        <f t="shared" si="70"/>
        <v>10485.980000000001</v>
      </c>
    </row>
    <row r="4510" spans="1:5" x14ac:dyDescent="0.25">
      <c r="A4510" s="323" t="s">
        <v>1841</v>
      </c>
      <c r="B4510" s="323" t="s">
        <v>805</v>
      </c>
      <c r="C4510" s="323">
        <v>41782</v>
      </c>
      <c r="D4510" s="323">
        <v>57</v>
      </c>
      <c r="E4510" s="324">
        <f t="shared" si="70"/>
        <v>13900.02</v>
      </c>
    </row>
    <row r="4511" spans="1:5" x14ac:dyDescent="0.25">
      <c r="A4511" s="323" t="s">
        <v>2253</v>
      </c>
      <c r="B4511" s="323" t="s">
        <v>805</v>
      </c>
      <c r="C4511" s="323">
        <v>41782</v>
      </c>
      <c r="D4511" s="323">
        <v>243</v>
      </c>
      <c r="E4511" s="324">
        <f t="shared" si="70"/>
        <v>59257.98</v>
      </c>
    </row>
    <row r="4512" spans="1:5" x14ac:dyDescent="0.25">
      <c r="A4512" s="323" t="s">
        <v>2293</v>
      </c>
      <c r="B4512" s="323" t="s">
        <v>805</v>
      </c>
      <c r="C4512" s="323">
        <v>41782</v>
      </c>
      <c r="D4512" s="323">
        <v>143</v>
      </c>
      <c r="E4512" s="324">
        <f t="shared" si="70"/>
        <v>34871.980000000003</v>
      </c>
    </row>
    <row r="4513" spans="1:5" x14ac:dyDescent="0.25">
      <c r="A4513" s="323" t="s">
        <v>2642</v>
      </c>
      <c r="B4513" s="323" t="s">
        <v>805</v>
      </c>
      <c r="C4513" s="323">
        <v>41782</v>
      </c>
      <c r="D4513" s="323">
        <v>290</v>
      </c>
      <c r="E4513" s="324">
        <f t="shared" si="70"/>
        <v>70719.400000000009</v>
      </c>
    </row>
    <row r="4514" spans="1:5" x14ac:dyDescent="0.25">
      <c r="A4514" s="323" t="s">
        <v>2752</v>
      </c>
      <c r="B4514" s="323" t="s">
        <v>805</v>
      </c>
      <c r="C4514" s="323">
        <v>41782</v>
      </c>
      <c r="D4514" s="323">
        <v>126</v>
      </c>
      <c r="E4514" s="324">
        <f t="shared" si="70"/>
        <v>30726.36</v>
      </c>
    </row>
    <row r="4515" spans="1:5" x14ac:dyDescent="0.25">
      <c r="A4515" s="323" t="s">
        <v>2772</v>
      </c>
      <c r="B4515" s="323" t="s">
        <v>805</v>
      </c>
      <c r="C4515" s="323">
        <v>41782</v>
      </c>
      <c r="D4515" s="323">
        <v>250</v>
      </c>
      <c r="E4515" s="324">
        <f t="shared" si="70"/>
        <v>60965</v>
      </c>
    </row>
    <row r="4516" spans="1:5" x14ac:dyDescent="0.25">
      <c r="A4516" s="323" t="s">
        <v>3106</v>
      </c>
      <c r="B4516" s="323" t="s">
        <v>805</v>
      </c>
      <c r="C4516" s="323">
        <v>41782</v>
      </c>
      <c r="D4516" s="323">
        <v>135</v>
      </c>
      <c r="E4516" s="324">
        <f t="shared" si="70"/>
        <v>32921.1</v>
      </c>
    </row>
    <row r="4517" spans="1:5" x14ac:dyDescent="0.25">
      <c r="A4517" s="323" t="s">
        <v>3166</v>
      </c>
      <c r="B4517" s="323" t="s">
        <v>805</v>
      </c>
      <c r="C4517" s="323">
        <v>41782</v>
      </c>
      <c r="D4517" s="323">
        <v>42</v>
      </c>
      <c r="E4517" s="324">
        <f t="shared" si="70"/>
        <v>10242.120000000001</v>
      </c>
    </row>
    <row r="4518" spans="1:5" x14ac:dyDescent="0.25">
      <c r="A4518" s="323" t="s">
        <v>3347</v>
      </c>
      <c r="B4518" s="323" t="s">
        <v>805</v>
      </c>
      <c r="C4518" s="323">
        <v>41782</v>
      </c>
      <c r="D4518" s="323">
        <v>95</v>
      </c>
      <c r="E4518" s="324">
        <f t="shared" si="70"/>
        <v>23166.7</v>
      </c>
    </row>
    <row r="4519" spans="1:5" x14ac:dyDescent="0.25">
      <c r="A4519" s="323" t="s">
        <v>3465</v>
      </c>
      <c r="B4519" s="323" t="s">
        <v>805</v>
      </c>
      <c r="C4519" s="323">
        <v>41782</v>
      </c>
      <c r="D4519" s="323">
        <v>331</v>
      </c>
      <c r="E4519" s="324">
        <f t="shared" si="70"/>
        <v>80717.66</v>
      </c>
    </row>
    <row r="4520" spans="1:5" x14ac:dyDescent="0.25">
      <c r="A4520" s="323" t="s">
        <v>3629</v>
      </c>
      <c r="B4520" s="323" t="s">
        <v>805</v>
      </c>
      <c r="C4520" s="323">
        <v>41782</v>
      </c>
      <c r="D4520" s="323">
        <v>202</v>
      </c>
      <c r="E4520" s="324">
        <f t="shared" si="70"/>
        <v>49259.72</v>
      </c>
    </row>
    <row r="4521" spans="1:5" x14ac:dyDescent="0.25">
      <c r="A4521" s="323" t="s">
        <v>5018</v>
      </c>
      <c r="B4521" s="323" t="s">
        <v>805</v>
      </c>
      <c r="C4521" s="323">
        <v>41782</v>
      </c>
      <c r="D4521" s="323">
        <v>65</v>
      </c>
      <c r="E4521" s="324">
        <f t="shared" si="70"/>
        <v>15850.900000000001</v>
      </c>
    </row>
    <row r="4522" spans="1:5" x14ac:dyDescent="0.25">
      <c r="A4522" s="323" t="s">
        <v>5219</v>
      </c>
      <c r="B4522" s="323" t="s">
        <v>805</v>
      </c>
      <c r="C4522" s="323">
        <v>41782</v>
      </c>
      <c r="D4522" s="323">
        <v>128</v>
      </c>
      <c r="E4522" s="324">
        <f t="shared" si="70"/>
        <v>31214.080000000002</v>
      </c>
    </row>
    <row r="4523" spans="1:5" x14ac:dyDescent="0.25">
      <c r="A4523" s="323" t="s">
        <v>1033</v>
      </c>
      <c r="B4523" s="323" t="s">
        <v>805</v>
      </c>
      <c r="C4523" s="323">
        <v>41785</v>
      </c>
      <c r="D4523" s="323">
        <v>64</v>
      </c>
      <c r="E4523" s="324">
        <f t="shared" si="70"/>
        <v>15607.04</v>
      </c>
    </row>
    <row r="4524" spans="1:5" x14ac:dyDescent="0.25">
      <c r="A4524" s="323" t="s">
        <v>2994</v>
      </c>
      <c r="B4524" s="323" t="s">
        <v>805</v>
      </c>
      <c r="C4524" s="323">
        <v>41785</v>
      </c>
      <c r="D4524" s="323">
        <v>191</v>
      </c>
      <c r="E4524" s="324">
        <f t="shared" si="70"/>
        <v>46577.26</v>
      </c>
    </row>
    <row r="4525" spans="1:5" x14ac:dyDescent="0.25">
      <c r="A4525" s="323" t="s">
        <v>3002</v>
      </c>
      <c r="B4525" s="323" t="s">
        <v>805</v>
      </c>
      <c r="C4525" s="323">
        <v>41785</v>
      </c>
      <c r="D4525" s="323">
        <v>29</v>
      </c>
      <c r="E4525" s="324">
        <f t="shared" si="70"/>
        <v>7071.9400000000005</v>
      </c>
    </row>
    <row r="4526" spans="1:5" x14ac:dyDescent="0.25">
      <c r="A4526" s="323" t="s">
        <v>3390</v>
      </c>
      <c r="B4526" s="323" t="s">
        <v>805</v>
      </c>
      <c r="C4526" s="323">
        <v>41785</v>
      </c>
      <c r="D4526" s="323">
        <v>85</v>
      </c>
      <c r="E4526" s="324">
        <f t="shared" si="70"/>
        <v>20728.100000000002</v>
      </c>
    </row>
    <row r="4527" spans="1:5" x14ac:dyDescent="0.25">
      <c r="A4527" s="323" t="s">
        <v>3667</v>
      </c>
      <c r="B4527" s="323" t="s">
        <v>805</v>
      </c>
      <c r="C4527" s="323">
        <v>41785</v>
      </c>
      <c r="D4527" s="323">
        <v>32</v>
      </c>
      <c r="E4527" s="324">
        <f t="shared" si="70"/>
        <v>7803.52</v>
      </c>
    </row>
    <row r="4528" spans="1:5" x14ac:dyDescent="0.25">
      <c r="A4528" s="323" t="s">
        <v>3685</v>
      </c>
      <c r="B4528" s="323" t="s">
        <v>805</v>
      </c>
      <c r="C4528" s="323">
        <v>41785</v>
      </c>
      <c r="D4528" s="323">
        <v>133</v>
      </c>
      <c r="E4528" s="324">
        <f t="shared" si="70"/>
        <v>32433.38</v>
      </c>
    </row>
    <row r="4529" spans="1:5" x14ac:dyDescent="0.25">
      <c r="A4529" s="323" t="s">
        <v>3897</v>
      </c>
      <c r="B4529" s="323" t="s">
        <v>805</v>
      </c>
      <c r="C4529" s="323">
        <v>41785</v>
      </c>
      <c r="D4529" s="323">
        <v>45</v>
      </c>
      <c r="E4529" s="324">
        <f t="shared" si="70"/>
        <v>10973.7</v>
      </c>
    </row>
    <row r="4530" spans="1:5" x14ac:dyDescent="0.25">
      <c r="A4530" s="323" t="s">
        <v>3908</v>
      </c>
      <c r="B4530" s="323" t="s">
        <v>805</v>
      </c>
      <c r="C4530" s="323">
        <v>41785</v>
      </c>
      <c r="D4530" s="323">
        <v>221</v>
      </c>
      <c r="E4530" s="324">
        <f t="shared" si="70"/>
        <v>53893.060000000005</v>
      </c>
    </row>
    <row r="4531" spans="1:5" x14ac:dyDescent="0.25">
      <c r="A4531" s="323" t="s">
        <v>4069</v>
      </c>
      <c r="B4531" s="323" t="s">
        <v>805</v>
      </c>
      <c r="C4531" s="323">
        <v>41785</v>
      </c>
      <c r="D4531" s="323">
        <v>226</v>
      </c>
      <c r="E4531" s="324">
        <f t="shared" si="70"/>
        <v>55112.36</v>
      </c>
    </row>
    <row r="4532" spans="1:5" x14ac:dyDescent="0.25">
      <c r="A4532" s="323" t="s">
        <v>1006</v>
      </c>
      <c r="B4532" s="323" t="s">
        <v>816</v>
      </c>
      <c r="C4532" s="323">
        <v>41787</v>
      </c>
      <c r="D4532" s="323">
        <v>82</v>
      </c>
      <c r="E4532" s="324">
        <f t="shared" si="70"/>
        <v>29994.780000000002</v>
      </c>
    </row>
    <row r="4533" spans="1:5" x14ac:dyDescent="0.25">
      <c r="A4533" s="323" t="s">
        <v>1576</v>
      </c>
      <c r="B4533" s="323" t="s">
        <v>805</v>
      </c>
      <c r="C4533" s="323">
        <v>41787</v>
      </c>
      <c r="D4533" s="323">
        <v>193</v>
      </c>
      <c r="E4533" s="324">
        <f t="shared" si="70"/>
        <v>47064.98</v>
      </c>
    </row>
    <row r="4534" spans="1:5" x14ac:dyDescent="0.25">
      <c r="A4534" s="323" t="s">
        <v>1659</v>
      </c>
      <c r="B4534" s="323" t="s">
        <v>805</v>
      </c>
      <c r="C4534" s="323">
        <v>41787</v>
      </c>
      <c r="D4534" s="323">
        <v>181</v>
      </c>
      <c r="E4534" s="324">
        <f t="shared" si="70"/>
        <v>44138.66</v>
      </c>
    </row>
    <row r="4535" spans="1:5" x14ac:dyDescent="0.25">
      <c r="A4535" s="323" t="s">
        <v>1670</v>
      </c>
      <c r="B4535" s="323" t="s">
        <v>805</v>
      </c>
      <c r="C4535" s="323">
        <v>41787</v>
      </c>
      <c r="D4535" s="323">
        <v>96</v>
      </c>
      <c r="E4535" s="324">
        <f t="shared" si="70"/>
        <v>23410.560000000001</v>
      </c>
    </row>
    <row r="4536" spans="1:5" x14ac:dyDescent="0.25">
      <c r="A4536" s="323" t="s">
        <v>1875</v>
      </c>
      <c r="B4536" s="323" t="s">
        <v>805</v>
      </c>
      <c r="C4536" s="323">
        <v>41787</v>
      </c>
      <c r="D4536" s="323">
        <v>47</v>
      </c>
      <c r="E4536" s="324">
        <f t="shared" si="70"/>
        <v>11461.42</v>
      </c>
    </row>
    <row r="4537" spans="1:5" x14ac:dyDescent="0.25">
      <c r="A4537" s="323" t="s">
        <v>1956</v>
      </c>
      <c r="B4537" s="323" t="s">
        <v>805</v>
      </c>
      <c r="C4537" s="323">
        <v>41787</v>
      </c>
      <c r="D4537" s="323">
        <v>65</v>
      </c>
      <c r="E4537" s="324">
        <f t="shared" si="70"/>
        <v>15850.900000000001</v>
      </c>
    </row>
    <row r="4538" spans="1:5" x14ac:dyDescent="0.25">
      <c r="A4538" s="323" t="s">
        <v>2020</v>
      </c>
      <c r="B4538" s="323" t="s">
        <v>805</v>
      </c>
      <c r="C4538" s="323">
        <v>41787</v>
      </c>
      <c r="D4538" s="323">
        <v>51</v>
      </c>
      <c r="E4538" s="324">
        <f t="shared" si="70"/>
        <v>12436.86</v>
      </c>
    </row>
    <row r="4539" spans="1:5" x14ac:dyDescent="0.25">
      <c r="A4539" s="323" t="s">
        <v>2438</v>
      </c>
      <c r="B4539" s="323" t="s">
        <v>805</v>
      </c>
      <c r="C4539" s="323">
        <v>41787</v>
      </c>
      <c r="D4539" s="323">
        <v>81</v>
      </c>
      <c r="E4539" s="324">
        <f t="shared" si="70"/>
        <v>19752.66</v>
      </c>
    </row>
    <row r="4540" spans="1:5" x14ac:dyDescent="0.25">
      <c r="A4540" s="323" t="s">
        <v>2523</v>
      </c>
      <c r="B4540" s="323" t="s">
        <v>805</v>
      </c>
      <c r="C4540" s="323">
        <v>41787</v>
      </c>
      <c r="D4540" s="323">
        <v>56</v>
      </c>
      <c r="E4540" s="324">
        <f t="shared" si="70"/>
        <v>13656.16</v>
      </c>
    </row>
    <row r="4541" spans="1:5" x14ac:dyDescent="0.25">
      <c r="A4541" s="323" t="s">
        <v>2761</v>
      </c>
      <c r="B4541" s="323" t="s">
        <v>805</v>
      </c>
      <c r="C4541" s="323">
        <v>41787</v>
      </c>
      <c r="D4541" s="323">
        <v>92</v>
      </c>
      <c r="E4541" s="324">
        <f t="shared" si="70"/>
        <v>22435.120000000003</v>
      </c>
    </row>
    <row r="4542" spans="1:5" x14ac:dyDescent="0.25">
      <c r="A4542" s="323" t="s">
        <v>2962</v>
      </c>
      <c r="B4542" s="323" t="s">
        <v>805</v>
      </c>
      <c r="C4542" s="323">
        <v>41787</v>
      </c>
      <c r="D4542" s="323">
        <v>63</v>
      </c>
      <c r="E4542" s="324">
        <f t="shared" si="70"/>
        <v>15363.18</v>
      </c>
    </row>
    <row r="4543" spans="1:5" x14ac:dyDescent="0.25">
      <c r="A4543" s="323" t="s">
        <v>2963</v>
      </c>
      <c r="B4543" s="323" t="s">
        <v>805</v>
      </c>
      <c r="C4543" s="323">
        <v>41787</v>
      </c>
      <c r="D4543" s="323">
        <v>59</v>
      </c>
      <c r="E4543" s="324">
        <f t="shared" si="70"/>
        <v>14387.740000000002</v>
      </c>
    </row>
    <row r="4544" spans="1:5" x14ac:dyDescent="0.25">
      <c r="A4544" s="323" t="s">
        <v>2989</v>
      </c>
      <c r="B4544" s="323" t="s">
        <v>805</v>
      </c>
      <c r="C4544" s="323">
        <v>41787</v>
      </c>
      <c r="D4544" s="323">
        <v>174</v>
      </c>
      <c r="E4544" s="324">
        <f t="shared" si="70"/>
        <v>42431.64</v>
      </c>
    </row>
    <row r="4545" spans="1:5" x14ac:dyDescent="0.25">
      <c r="A4545" s="323" t="s">
        <v>3178</v>
      </c>
      <c r="B4545" s="323" t="s">
        <v>805</v>
      </c>
      <c r="C4545" s="323">
        <v>41787</v>
      </c>
      <c r="D4545" s="323">
        <v>353</v>
      </c>
      <c r="E4545" s="324">
        <f t="shared" si="70"/>
        <v>86082.58</v>
      </c>
    </row>
    <row r="4546" spans="1:5" x14ac:dyDescent="0.25">
      <c r="A4546" s="323" t="s">
        <v>3243</v>
      </c>
      <c r="B4546" s="323" t="s">
        <v>805</v>
      </c>
      <c r="C4546" s="323">
        <v>41787</v>
      </c>
      <c r="D4546" s="323">
        <v>240</v>
      </c>
      <c r="E4546" s="324">
        <f t="shared" ref="E4546:E4609" si="71">D4546*IF(B4546=$G$9,WerkdrukbedragPerLeerlingBo,IF(B4546=$G$10,WerkdrukbedragPerLeerlingSbo,IF(B4546=$G$11,WerkdrukbedragPerLeerlingSo,IF(B4546=$G$12,WerkdrukbedragPerLeerlingVso,0))))</f>
        <v>58526.400000000001</v>
      </c>
    </row>
    <row r="4547" spans="1:5" x14ac:dyDescent="0.25">
      <c r="A4547" s="323" t="s">
        <v>3243</v>
      </c>
      <c r="B4547" s="323" t="s">
        <v>805</v>
      </c>
      <c r="C4547" s="323">
        <v>41787</v>
      </c>
      <c r="D4547" s="323">
        <v>65</v>
      </c>
      <c r="E4547" s="324">
        <f t="shared" si="71"/>
        <v>15850.900000000001</v>
      </c>
    </row>
    <row r="4548" spans="1:5" x14ac:dyDescent="0.25">
      <c r="A4548" s="323" t="s">
        <v>3366</v>
      </c>
      <c r="B4548" s="323" t="s">
        <v>805</v>
      </c>
      <c r="C4548" s="323">
        <v>41787</v>
      </c>
      <c r="D4548" s="323">
        <v>395</v>
      </c>
      <c r="E4548" s="324">
        <f t="shared" si="71"/>
        <v>96324.700000000012</v>
      </c>
    </row>
    <row r="4549" spans="1:5" x14ac:dyDescent="0.25">
      <c r="A4549" s="323" t="s">
        <v>3644</v>
      </c>
      <c r="B4549" s="323" t="s">
        <v>805</v>
      </c>
      <c r="C4549" s="323">
        <v>41787</v>
      </c>
      <c r="D4549" s="323">
        <v>114</v>
      </c>
      <c r="E4549" s="324">
        <f t="shared" si="71"/>
        <v>27800.04</v>
      </c>
    </row>
    <row r="4550" spans="1:5" x14ac:dyDescent="0.25">
      <c r="A4550" s="323" t="s">
        <v>3781</v>
      </c>
      <c r="B4550" s="323" t="s">
        <v>805</v>
      </c>
      <c r="C4550" s="323">
        <v>41787</v>
      </c>
      <c r="D4550" s="323">
        <v>189</v>
      </c>
      <c r="E4550" s="324">
        <f t="shared" si="71"/>
        <v>46089.54</v>
      </c>
    </row>
    <row r="4551" spans="1:5" x14ac:dyDescent="0.25">
      <c r="A4551" s="323" t="s">
        <v>3781</v>
      </c>
      <c r="B4551" s="323" t="s">
        <v>805</v>
      </c>
      <c r="C4551" s="323">
        <v>41787</v>
      </c>
      <c r="D4551" s="323">
        <v>186</v>
      </c>
      <c r="E4551" s="324">
        <f t="shared" si="71"/>
        <v>45357.96</v>
      </c>
    </row>
    <row r="4552" spans="1:5" x14ac:dyDescent="0.25">
      <c r="A4552" s="323" t="s">
        <v>3826</v>
      </c>
      <c r="B4552" s="323" t="s">
        <v>805</v>
      </c>
      <c r="C4552" s="323">
        <v>41787</v>
      </c>
      <c r="D4552" s="323">
        <v>145</v>
      </c>
      <c r="E4552" s="324">
        <f t="shared" si="71"/>
        <v>35359.700000000004</v>
      </c>
    </row>
    <row r="4553" spans="1:5" x14ac:dyDescent="0.25">
      <c r="A4553" s="323" t="s">
        <v>3052</v>
      </c>
      <c r="B4553" s="323" t="s">
        <v>805</v>
      </c>
      <c r="C4553" s="323">
        <v>41792</v>
      </c>
      <c r="D4553" s="323">
        <v>270</v>
      </c>
      <c r="E4553" s="324">
        <f t="shared" si="71"/>
        <v>65842.2</v>
      </c>
    </row>
    <row r="4554" spans="1:5" x14ac:dyDescent="0.25">
      <c r="A4554" s="323" t="s">
        <v>3425</v>
      </c>
      <c r="B4554" s="323" t="s">
        <v>805</v>
      </c>
      <c r="C4554" s="323">
        <v>41792</v>
      </c>
      <c r="D4554" s="323">
        <v>198</v>
      </c>
      <c r="E4554" s="324">
        <f t="shared" si="71"/>
        <v>48284.280000000006</v>
      </c>
    </row>
    <row r="4555" spans="1:5" x14ac:dyDescent="0.25">
      <c r="A4555" s="323" t="s">
        <v>5301</v>
      </c>
      <c r="B4555" s="323" t="s">
        <v>805</v>
      </c>
      <c r="C4555" s="323">
        <v>41792</v>
      </c>
      <c r="D4555" s="323">
        <v>549</v>
      </c>
      <c r="E4555" s="324">
        <f t="shared" si="71"/>
        <v>133879.14000000001</v>
      </c>
    </row>
    <row r="4556" spans="1:5" x14ac:dyDescent="0.25">
      <c r="A4556" s="323" t="s">
        <v>5338</v>
      </c>
      <c r="B4556" s="323" t="s">
        <v>805</v>
      </c>
      <c r="C4556" s="323">
        <v>41792</v>
      </c>
      <c r="D4556" s="323">
        <v>189</v>
      </c>
      <c r="E4556" s="324">
        <f t="shared" si="71"/>
        <v>46089.54</v>
      </c>
    </row>
    <row r="4557" spans="1:5" x14ac:dyDescent="0.25">
      <c r="A4557" s="323" t="s">
        <v>5362</v>
      </c>
      <c r="B4557" s="323" t="s">
        <v>805</v>
      </c>
      <c r="C4557" s="323">
        <v>41792</v>
      </c>
      <c r="D4557" s="323">
        <v>523</v>
      </c>
      <c r="E4557" s="324">
        <f t="shared" si="71"/>
        <v>127538.78000000001</v>
      </c>
    </row>
    <row r="4558" spans="1:5" x14ac:dyDescent="0.25">
      <c r="A4558" s="323" t="s">
        <v>5438</v>
      </c>
      <c r="B4558" s="323" t="s">
        <v>805</v>
      </c>
      <c r="C4558" s="323">
        <v>41792</v>
      </c>
      <c r="D4558" s="323">
        <v>150</v>
      </c>
      <c r="E4558" s="324">
        <f t="shared" si="71"/>
        <v>36579</v>
      </c>
    </row>
    <row r="4559" spans="1:5" x14ac:dyDescent="0.25">
      <c r="A4559" s="323" t="s">
        <v>5494</v>
      </c>
      <c r="B4559" s="323" t="s">
        <v>805</v>
      </c>
      <c r="C4559" s="323">
        <v>41792</v>
      </c>
      <c r="D4559" s="323">
        <v>84</v>
      </c>
      <c r="E4559" s="324">
        <f t="shared" si="71"/>
        <v>20484.240000000002</v>
      </c>
    </row>
    <row r="4560" spans="1:5" x14ac:dyDescent="0.25">
      <c r="A4560" s="323" t="s">
        <v>7139</v>
      </c>
      <c r="B4560" s="323" t="s">
        <v>805</v>
      </c>
      <c r="C4560" s="323">
        <v>41792</v>
      </c>
      <c r="D4560" s="323">
        <v>338</v>
      </c>
      <c r="E4560" s="324">
        <f t="shared" si="71"/>
        <v>82424.680000000008</v>
      </c>
    </row>
    <row r="4561" spans="1:5" x14ac:dyDescent="0.25">
      <c r="A4561" s="323" t="s">
        <v>1153</v>
      </c>
      <c r="B4561" s="323" t="s">
        <v>805</v>
      </c>
      <c r="C4561" s="323">
        <v>41794</v>
      </c>
      <c r="D4561" s="323">
        <v>212</v>
      </c>
      <c r="E4561" s="324">
        <f t="shared" si="71"/>
        <v>51698.32</v>
      </c>
    </row>
    <row r="4562" spans="1:5" x14ac:dyDescent="0.25">
      <c r="A4562" s="323" t="s">
        <v>1619</v>
      </c>
      <c r="B4562" s="323" t="s">
        <v>805</v>
      </c>
      <c r="C4562" s="323">
        <v>41794</v>
      </c>
      <c r="D4562" s="323">
        <v>239</v>
      </c>
      <c r="E4562" s="324">
        <f t="shared" si="71"/>
        <v>58282.54</v>
      </c>
    </row>
    <row r="4563" spans="1:5" x14ac:dyDescent="0.25">
      <c r="A4563" s="323" t="s">
        <v>2607</v>
      </c>
      <c r="B4563" s="323" t="s">
        <v>805</v>
      </c>
      <c r="C4563" s="323">
        <v>41794</v>
      </c>
      <c r="D4563" s="323">
        <v>596</v>
      </c>
      <c r="E4563" s="324">
        <f t="shared" si="71"/>
        <v>145340.56</v>
      </c>
    </row>
    <row r="4564" spans="1:5" x14ac:dyDescent="0.25">
      <c r="A4564" s="323" t="s">
        <v>2737</v>
      </c>
      <c r="B4564" s="323" t="s">
        <v>805</v>
      </c>
      <c r="C4564" s="323">
        <v>41794</v>
      </c>
      <c r="D4564" s="323">
        <v>207</v>
      </c>
      <c r="E4564" s="324">
        <f t="shared" si="71"/>
        <v>50479.020000000004</v>
      </c>
    </row>
    <row r="4565" spans="1:5" x14ac:dyDescent="0.25">
      <c r="A4565" s="323" t="s">
        <v>2836</v>
      </c>
      <c r="B4565" s="323" t="s">
        <v>805</v>
      </c>
      <c r="C4565" s="323">
        <v>41794</v>
      </c>
      <c r="D4565" s="323">
        <v>189</v>
      </c>
      <c r="E4565" s="324">
        <f t="shared" si="71"/>
        <v>46089.54</v>
      </c>
    </row>
    <row r="4566" spans="1:5" x14ac:dyDescent="0.25">
      <c r="A4566" s="323" t="s">
        <v>4732</v>
      </c>
      <c r="B4566" s="323" t="s">
        <v>805</v>
      </c>
      <c r="C4566" s="323">
        <v>41794</v>
      </c>
      <c r="D4566" s="323">
        <v>215</v>
      </c>
      <c r="E4566" s="324">
        <f t="shared" si="71"/>
        <v>52429.9</v>
      </c>
    </row>
    <row r="4567" spans="1:5" x14ac:dyDescent="0.25">
      <c r="A4567" s="323" t="s">
        <v>4854</v>
      </c>
      <c r="B4567" s="323" t="s">
        <v>805</v>
      </c>
      <c r="C4567" s="323">
        <v>41794</v>
      </c>
      <c r="D4567" s="323">
        <v>224</v>
      </c>
      <c r="E4567" s="324">
        <f t="shared" si="71"/>
        <v>54624.639999999999</v>
      </c>
    </row>
    <row r="4568" spans="1:5" x14ac:dyDescent="0.25">
      <c r="A4568" s="323" t="s">
        <v>4895</v>
      </c>
      <c r="B4568" s="323" t="s">
        <v>805</v>
      </c>
      <c r="C4568" s="323">
        <v>41794</v>
      </c>
      <c r="D4568" s="323">
        <v>212</v>
      </c>
      <c r="E4568" s="324">
        <f t="shared" si="71"/>
        <v>51698.32</v>
      </c>
    </row>
    <row r="4569" spans="1:5" x14ac:dyDescent="0.25">
      <c r="A4569" s="323" t="s">
        <v>7434</v>
      </c>
      <c r="B4569" s="323" t="s">
        <v>805</v>
      </c>
      <c r="C4569" s="323">
        <v>41794</v>
      </c>
      <c r="D4569" s="323">
        <v>493</v>
      </c>
      <c r="E4569" s="324">
        <f t="shared" si="71"/>
        <v>120222.98000000001</v>
      </c>
    </row>
    <row r="4570" spans="1:5" x14ac:dyDescent="0.25">
      <c r="A4570" s="323" t="s">
        <v>806</v>
      </c>
      <c r="B4570" s="323" t="s">
        <v>805</v>
      </c>
      <c r="C4570" s="323">
        <v>41797</v>
      </c>
      <c r="D4570" s="323">
        <v>142</v>
      </c>
      <c r="E4570" s="324">
        <f t="shared" si="71"/>
        <v>34628.120000000003</v>
      </c>
    </row>
    <row r="4571" spans="1:5" x14ac:dyDescent="0.25">
      <c r="A4571" s="323" t="s">
        <v>1227</v>
      </c>
      <c r="B4571" s="323" t="s">
        <v>805</v>
      </c>
      <c r="C4571" s="323">
        <v>41797</v>
      </c>
      <c r="D4571" s="323">
        <v>241</v>
      </c>
      <c r="E4571" s="324">
        <f t="shared" si="71"/>
        <v>58770.26</v>
      </c>
    </row>
    <row r="4572" spans="1:5" x14ac:dyDescent="0.25">
      <c r="A4572" s="323" t="s">
        <v>1241</v>
      </c>
      <c r="B4572" s="323" t="s">
        <v>805</v>
      </c>
      <c r="C4572" s="323">
        <v>41797</v>
      </c>
      <c r="D4572" s="323">
        <v>217</v>
      </c>
      <c r="E4572" s="324">
        <f t="shared" si="71"/>
        <v>52917.62</v>
      </c>
    </row>
    <row r="4573" spans="1:5" x14ac:dyDescent="0.25">
      <c r="A4573" s="323" t="s">
        <v>2267</v>
      </c>
      <c r="B4573" s="323" t="s">
        <v>805</v>
      </c>
      <c r="C4573" s="323">
        <v>41797</v>
      </c>
      <c r="D4573" s="323">
        <v>97</v>
      </c>
      <c r="E4573" s="324">
        <f t="shared" si="71"/>
        <v>23654.420000000002</v>
      </c>
    </row>
    <row r="4574" spans="1:5" x14ac:dyDescent="0.25">
      <c r="A4574" s="323" t="s">
        <v>2283</v>
      </c>
      <c r="B4574" s="323" t="s">
        <v>805</v>
      </c>
      <c r="C4574" s="323">
        <v>41797</v>
      </c>
      <c r="D4574" s="323">
        <v>81</v>
      </c>
      <c r="E4574" s="324">
        <f t="shared" si="71"/>
        <v>19752.66</v>
      </c>
    </row>
    <row r="4575" spans="1:5" x14ac:dyDescent="0.25">
      <c r="A4575" s="323" t="s">
        <v>3102</v>
      </c>
      <c r="B4575" s="323" t="s">
        <v>805</v>
      </c>
      <c r="C4575" s="323">
        <v>41797</v>
      </c>
      <c r="D4575" s="323">
        <v>120</v>
      </c>
      <c r="E4575" s="324">
        <f t="shared" si="71"/>
        <v>29263.200000000001</v>
      </c>
    </row>
    <row r="4576" spans="1:5" x14ac:dyDescent="0.25">
      <c r="A4576" s="323" t="s">
        <v>5831</v>
      </c>
      <c r="B4576" s="323" t="s">
        <v>805</v>
      </c>
      <c r="C4576" s="323">
        <v>41797</v>
      </c>
      <c r="D4576" s="323">
        <v>74</v>
      </c>
      <c r="E4576" s="324">
        <f t="shared" si="71"/>
        <v>18045.64</v>
      </c>
    </row>
    <row r="4577" spans="1:5" x14ac:dyDescent="0.25">
      <c r="A4577" s="323" t="s">
        <v>5841</v>
      </c>
      <c r="B4577" s="323" t="s">
        <v>805</v>
      </c>
      <c r="C4577" s="323">
        <v>41797</v>
      </c>
      <c r="D4577" s="323">
        <v>234</v>
      </c>
      <c r="E4577" s="324">
        <f t="shared" si="71"/>
        <v>57063.240000000005</v>
      </c>
    </row>
    <row r="4578" spans="1:5" x14ac:dyDescent="0.25">
      <c r="A4578" s="323" t="s">
        <v>5991</v>
      </c>
      <c r="B4578" s="323" t="s">
        <v>805</v>
      </c>
      <c r="C4578" s="323">
        <v>41797</v>
      </c>
      <c r="D4578" s="323">
        <v>176</v>
      </c>
      <c r="E4578" s="324">
        <f t="shared" si="71"/>
        <v>42919.360000000001</v>
      </c>
    </row>
    <row r="4579" spans="1:5" x14ac:dyDescent="0.25">
      <c r="A4579" s="323" t="s">
        <v>6000</v>
      </c>
      <c r="B4579" s="323" t="s">
        <v>805</v>
      </c>
      <c r="C4579" s="323">
        <v>41797</v>
      </c>
      <c r="D4579" s="323">
        <v>223</v>
      </c>
      <c r="E4579" s="324">
        <f t="shared" si="71"/>
        <v>54380.780000000006</v>
      </c>
    </row>
    <row r="4580" spans="1:5" x14ac:dyDescent="0.25">
      <c r="A4580" s="323" t="s">
        <v>7123</v>
      </c>
      <c r="B4580" s="323" t="s">
        <v>805</v>
      </c>
      <c r="C4580" s="323">
        <v>41797</v>
      </c>
      <c r="D4580" s="323">
        <v>71</v>
      </c>
      <c r="E4580" s="324">
        <f t="shared" si="71"/>
        <v>17314.060000000001</v>
      </c>
    </row>
    <row r="4581" spans="1:5" x14ac:dyDescent="0.25">
      <c r="A4581" s="323" t="s">
        <v>7383</v>
      </c>
      <c r="B4581" s="323" t="s">
        <v>805</v>
      </c>
      <c r="C4581" s="323">
        <v>41800</v>
      </c>
      <c r="D4581" s="323">
        <v>203</v>
      </c>
      <c r="E4581" s="324">
        <f t="shared" si="71"/>
        <v>49503.58</v>
      </c>
    </row>
    <row r="4582" spans="1:5" x14ac:dyDescent="0.25">
      <c r="A4582" s="323" t="s">
        <v>7407</v>
      </c>
      <c r="B4582" s="323" t="s">
        <v>805</v>
      </c>
      <c r="C4582" s="323">
        <v>41800</v>
      </c>
      <c r="D4582" s="323">
        <v>275</v>
      </c>
      <c r="E4582" s="324">
        <f t="shared" si="71"/>
        <v>67061.5</v>
      </c>
    </row>
    <row r="4583" spans="1:5" x14ac:dyDescent="0.25">
      <c r="A4583" s="323" t="s">
        <v>6899</v>
      </c>
      <c r="B4583" s="323" t="s">
        <v>805</v>
      </c>
      <c r="C4583" s="323">
        <v>41803</v>
      </c>
      <c r="D4583" s="323">
        <v>138</v>
      </c>
      <c r="E4583" s="324">
        <f t="shared" si="71"/>
        <v>33652.68</v>
      </c>
    </row>
    <row r="4584" spans="1:5" x14ac:dyDescent="0.25">
      <c r="A4584" s="323" t="s">
        <v>7058</v>
      </c>
      <c r="B4584" s="323" t="s">
        <v>805</v>
      </c>
      <c r="C4584" s="323">
        <v>41803</v>
      </c>
      <c r="D4584" s="323">
        <v>48</v>
      </c>
      <c r="E4584" s="324">
        <f t="shared" si="71"/>
        <v>11705.28</v>
      </c>
    </row>
    <row r="4585" spans="1:5" x14ac:dyDescent="0.25">
      <c r="A4585" s="323" t="s">
        <v>871</v>
      </c>
      <c r="B4585" s="323" t="s">
        <v>809</v>
      </c>
      <c r="C4585" s="323">
        <v>41805</v>
      </c>
      <c r="D4585" s="323">
        <v>94</v>
      </c>
      <c r="E4585" s="324">
        <f t="shared" si="71"/>
        <v>45845.68</v>
      </c>
    </row>
    <row r="4586" spans="1:5" x14ac:dyDescent="0.25">
      <c r="A4586" s="323" t="s">
        <v>871</v>
      </c>
      <c r="B4586" s="323" t="s">
        <v>803</v>
      </c>
      <c r="C4586" s="323">
        <v>41805</v>
      </c>
      <c r="D4586" s="323">
        <v>141</v>
      </c>
      <c r="E4586" s="324">
        <f t="shared" si="71"/>
        <v>68768.52</v>
      </c>
    </row>
    <row r="4587" spans="1:5" x14ac:dyDescent="0.25">
      <c r="A4587" s="323" t="s">
        <v>1016</v>
      </c>
      <c r="B4587" s="323" t="s">
        <v>809</v>
      </c>
      <c r="C4587" s="323">
        <v>41805</v>
      </c>
      <c r="D4587" s="323">
        <v>111</v>
      </c>
      <c r="E4587" s="324">
        <f t="shared" si="71"/>
        <v>54136.920000000006</v>
      </c>
    </row>
    <row r="4588" spans="1:5" x14ac:dyDescent="0.25">
      <c r="A4588" s="323" t="s">
        <v>1016</v>
      </c>
      <c r="B4588" s="323" t="s">
        <v>803</v>
      </c>
      <c r="C4588" s="323">
        <v>41805</v>
      </c>
      <c r="D4588" s="323">
        <v>30</v>
      </c>
      <c r="E4588" s="324">
        <f t="shared" si="71"/>
        <v>14631.6</v>
      </c>
    </row>
    <row r="4589" spans="1:5" x14ac:dyDescent="0.25">
      <c r="A4589" s="323" t="s">
        <v>1099</v>
      </c>
      <c r="B4589" s="323" t="s">
        <v>809</v>
      </c>
      <c r="C4589" s="323">
        <v>41805</v>
      </c>
      <c r="D4589" s="323">
        <v>83</v>
      </c>
      <c r="E4589" s="324">
        <f t="shared" si="71"/>
        <v>40480.76</v>
      </c>
    </row>
    <row r="4590" spans="1:5" x14ac:dyDescent="0.25">
      <c r="A4590" s="323" t="s">
        <v>1099</v>
      </c>
      <c r="B4590" s="323" t="s">
        <v>803</v>
      </c>
      <c r="C4590" s="323">
        <v>41805</v>
      </c>
      <c r="D4590" s="323">
        <v>43</v>
      </c>
      <c r="E4590" s="324">
        <f t="shared" si="71"/>
        <v>20971.960000000003</v>
      </c>
    </row>
    <row r="4591" spans="1:5" x14ac:dyDescent="0.25">
      <c r="A4591" s="323" t="s">
        <v>5106</v>
      </c>
      <c r="B4591" s="323" t="s">
        <v>809</v>
      </c>
      <c r="C4591" s="323">
        <v>41805</v>
      </c>
      <c r="D4591" s="323">
        <v>86</v>
      </c>
      <c r="E4591" s="324">
        <f t="shared" si="71"/>
        <v>41943.920000000006</v>
      </c>
    </row>
    <row r="4592" spans="1:5" x14ac:dyDescent="0.25">
      <c r="A4592" s="323" t="s">
        <v>5106</v>
      </c>
      <c r="B4592" s="323" t="s">
        <v>803</v>
      </c>
      <c r="C4592" s="323">
        <v>41805</v>
      </c>
      <c r="D4592" s="323">
        <v>110</v>
      </c>
      <c r="E4592" s="324">
        <f t="shared" si="71"/>
        <v>53649.200000000004</v>
      </c>
    </row>
    <row r="4593" spans="1:5" x14ac:dyDescent="0.25">
      <c r="A4593" s="323" t="s">
        <v>5317</v>
      </c>
      <c r="B4593" s="323" t="s">
        <v>809</v>
      </c>
      <c r="C4593" s="323">
        <v>41805</v>
      </c>
      <c r="D4593" s="323">
        <v>77</v>
      </c>
      <c r="E4593" s="324">
        <f t="shared" si="71"/>
        <v>37554.44</v>
      </c>
    </row>
    <row r="4594" spans="1:5" x14ac:dyDescent="0.25">
      <c r="A4594" s="323" t="s">
        <v>5317</v>
      </c>
      <c r="B4594" s="323" t="s">
        <v>803</v>
      </c>
      <c r="C4594" s="323">
        <v>41805</v>
      </c>
      <c r="D4594" s="323">
        <v>78</v>
      </c>
      <c r="E4594" s="324">
        <f t="shared" si="71"/>
        <v>38042.160000000003</v>
      </c>
    </row>
    <row r="4595" spans="1:5" x14ac:dyDescent="0.25">
      <c r="A4595" s="323" t="s">
        <v>6537</v>
      </c>
      <c r="B4595" s="323" t="s">
        <v>809</v>
      </c>
      <c r="C4595" s="323">
        <v>41805</v>
      </c>
      <c r="D4595" s="323">
        <v>167</v>
      </c>
      <c r="E4595" s="324">
        <f t="shared" si="71"/>
        <v>81449.240000000005</v>
      </c>
    </row>
    <row r="4596" spans="1:5" x14ac:dyDescent="0.25">
      <c r="A4596" s="323" t="s">
        <v>6537</v>
      </c>
      <c r="B4596" s="323" t="s">
        <v>803</v>
      </c>
      <c r="C4596" s="323">
        <v>41805</v>
      </c>
      <c r="D4596" s="323">
        <v>36</v>
      </c>
      <c r="E4596" s="324">
        <f t="shared" si="71"/>
        <v>17557.920000000002</v>
      </c>
    </row>
    <row r="4597" spans="1:5" x14ac:dyDescent="0.25">
      <c r="A4597" s="323" t="s">
        <v>6537</v>
      </c>
      <c r="B4597" s="323" t="s">
        <v>803</v>
      </c>
      <c r="C4597" s="323">
        <v>41805</v>
      </c>
      <c r="D4597" s="323">
        <v>60</v>
      </c>
      <c r="E4597" s="324">
        <f t="shared" si="71"/>
        <v>29263.200000000001</v>
      </c>
    </row>
    <row r="4598" spans="1:5" x14ac:dyDescent="0.25">
      <c r="A4598" s="323" t="s">
        <v>2632</v>
      </c>
      <c r="B4598" s="323" t="s">
        <v>805</v>
      </c>
      <c r="C4598" s="323">
        <v>41812</v>
      </c>
      <c r="D4598" s="323">
        <v>108</v>
      </c>
      <c r="E4598" s="324">
        <f t="shared" si="71"/>
        <v>26336.880000000001</v>
      </c>
    </row>
    <row r="4599" spans="1:5" x14ac:dyDescent="0.25">
      <c r="A4599" s="323" t="s">
        <v>3200</v>
      </c>
      <c r="B4599" s="323" t="s">
        <v>805</v>
      </c>
      <c r="C4599" s="323">
        <v>41812</v>
      </c>
      <c r="D4599" s="323">
        <v>102</v>
      </c>
      <c r="E4599" s="324">
        <f t="shared" si="71"/>
        <v>24873.72</v>
      </c>
    </row>
    <row r="4600" spans="1:5" x14ac:dyDescent="0.25">
      <c r="A4600" s="323" t="s">
        <v>3537</v>
      </c>
      <c r="B4600" s="323" t="s">
        <v>805</v>
      </c>
      <c r="C4600" s="323">
        <v>41812</v>
      </c>
      <c r="D4600" s="323">
        <v>57</v>
      </c>
      <c r="E4600" s="324">
        <f t="shared" si="71"/>
        <v>13900.02</v>
      </c>
    </row>
    <row r="4601" spans="1:5" x14ac:dyDescent="0.25">
      <c r="A4601" s="323" t="s">
        <v>3709</v>
      </c>
      <c r="B4601" s="323" t="s">
        <v>805</v>
      </c>
      <c r="C4601" s="323">
        <v>41812</v>
      </c>
      <c r="D4601" s="323">
        <v>232</v>
      </c>
      <c r="E4601" s="324">
        <f t="shared" si="71"/>
        <v>56575.520000000004</v>
      </c>
    </row>
    <row r="4602" spans="1:5" x14ac:dyDescent="0.25">
      <c r="A4602" s="323" t="s">
        <v>4344</v>
      </c>
      <c r="B4602" s="323" t="s">
        <v>805</v>
      </c>
      <c r="C4602" s="323">
        <v>41812</v>
      </c>
      <c r="D4602" s="323">
        <v>63</v>
      </c>
      <c r="E4602" s="324">
        <f t="shared" si="71"/>
        <v>15363.18</v>
      </c>
    </row>
    <row r="4603" spans="1:5" x14ac:dyDescent="0.25">
      <c r="A4603" s="323" t="s">
        <v>4457</v>
      </c>
      <c r="B4603" s="323" t="s">
        <v>805</v>
      </c>
      <c r="C4603" s="323">
        <v>41812</v>
      </c>
      <c r="D4603" s="323">
        <v>56</v>
      </c>
      <c r="E4603" s="324">
        <f t="shared" si="71"/>
        <v>13656.16</v>
      </c>
    </row>
    <row r="4604" spans="1:5" x14ac:dyDescent="0.25">
      <c r="A4604" s="323" t="s">
        <v>6244</v>
      </c>
      <c r="B4604" s="323" t="s">
        <v>805</v>
      </c>
      <c r="C4604" s="323">
        <v>41812</v>
      </c>
      <c r="D4604" s="323">
        <v>149</v>
      </c>
      <c r="E4604" s="324">
        <f t="shared" si="71"/>
        <v>36335.14</v>
      </c>
    </row>
    <row r="4605" spans="1:5" x14ac:dyDescent="0.25">
      <c r="A4605" s="323" t="s">
        <v>6272</v>
      </c>
      <c r="B4605" s="323" t="s">
        <v>805</v>
      </c>
      <c r="C4605" s="323">
        <v>41812</v>
      </c>
      <c r="D4605" s="323">
        <v>355</v>
      </c>
      <c r="E4605" s="324">
        <f t="shared" si="71"/>
        <v>86570.3</v>
      </c>
    </row>
    <row r="4606" spans="1:5" x14ac:dyDescent="0.25">
      <c r="A4606" s="323" t="s">
        <v>6280</v>
      </c>
      <c r="B4606" s="323" t="s">
        <v>805</v>
      </c>
      <c r="C4606" s="323">
        <v>41812</v>
      </c>
      <c r="D4606" s="323">
        <v>82</v>
      </c>
      <c r="E4606" s="324">
        <f t="shared" si="71"/>
        <v>19996.52</v>
      </c>
    </row>
    <row r="4607" spans="1:5" x14ac:dyDescent="0.25">
      <c r="A4607" s="323" t="s">
        <v>6295</v>
      </c>
      <c r="B4607" s="323" t="s">
        <v>805</v>
      </c>
      <c r="C4607" s="323">
        <v>41812</v>
      </c>
      <c r="D4607" s="323">
        <v>81</v>
      </c>
      <c r="E4607" s="324">
        <f t="shared" si="71"/>
        <v>19752.66</v>
      </c>
    </row>
    <row r="4608" spans="1:5" x14ac:dyDescent="0.25">
      <c r="A4608" s="323" t="s">
        <v>6301</v>
      </c>
      <c r="B4608" s="323" t="s">
        <v>805</v>
      </c>
      <c r="C4608" s="323">
        <v>41812</v>
      </c>
      <c r="D4608" s="323">
        <v>95</v>
      </c>
      <c r="E4608" s="324">
        <f t="shared" si="71"/>
        <v>23166.7</v>
      </c>
    </row>
    <row r="4609" spans="1:5" x14ac:dyDescent="0.25">
      <c r="A4609" s="323" t="s">
        <v>2146</v>
      </c>
      <c r="B4609" s="323" t="s">
        <v>805</v>
      </c>
      <c r="C4609" s="323">
        <v>41813</v>
      </c>
      <c r="D4609" s="323">
        <v>213</v>
      </c>
      <c r="E4609" s="324">
        <f t="shared" si="71"/>
        <v>51942.18</v>
      </c>
    </row>
    <row r="4610" spans="1:5" x14ac:dyDescent="0.25">
      <c r="A4610" s="323" t="s">
        <v>3989</v>
      </c>
      <c r="B4610" s="323" t="s">
        <v>805</v>
      </c>
      <c r="C4610" s="323">
        <v>41813</v>
      </c>
      <c r="D4610" s="323">
        <v>289</v>
      </c>
      <c r="E4610" s="324">
        <f t="shared" ref="E4610:E4673" si="72">D4610*IF(B4610=$G$9,WerkdrukbedragPerLeerlingBo,IF(B4610=$G$10,WerkdrukbedragPerLeerlingSbo,IF(B4610=$G$11,WerkdrukbedragPerLeerlingSo,IF(B4610=$G$12,WerkdrukbedragPerLeerlingVso,0))))</f>
        <v>70475.540000000008</v>
      </c>
    </row>
    <row r="4611" spans="1:5" x14ac:dyDescent="0.25">
      <c r="A4611" s="323" t="s">
        <v>4145</v>
      </c>
      <c r="B4611" s="323" t="s">
        <v>805</v>
      </c>
      <c r="C4611" s="323">
        <v>41813</v>
      </c>
      <c r="D4611" s="323">
        <v>166</v>
      </c>
      <c r="E4611" s="324">
        <f t="shared" si="72"/>
        <v>40480.76</v>
      </c>
    </row>
    <row r="4612" spans="1:5" x14ac:dyDescent="0.25">
      <c r="A4612" s="323" t="s">
        <v>4280</v>
      </c>
      <c r="B4612" s="323" t="s">
        <v>805</v>
      </c>
      <c r="C4612" s="323">
        <v>41813</v>
      </c>
      <c r="D4612" s="323">
        <v>216</v>
      </c>
      <c r="E4612" s="324">
        <f t="shared" si="72"/>
        <v>52673.760000000002</v>
      </c>
    </row>
    <row r="4613" spans="1:5" x14ac:dyDescent="0.25">
      <c r="A4613" s="323" t="s">
        <v>4391</v>
      </c>
      <c r="B4613" s="323" t="s">
        <v>805</v>
      </c>
      <c r="C4613" s="323">
        <v>41813</v>
      </c>
      <c r="D4613" s="323">
        <v>97</v>
      </c>
      <c r="E4613" s="324">
        <f t="shared" si="72"/>
        <v>23654.420000000002</v>
      </c>
    </row>
    <row r="4614" spans="1:5" x14ac:dyDescent="0.25">
      <c r="A4614" s="323" t="s">
        <v>4501</v>
      </c>
      <c r="B4614" s="323" t="s">
        <v>805</v>
      </c>
      <c r="C4614" s="323">
        <v>41813</v>
      </c>
      <c r="D4614" s="323">
        <v>131</v>
      </c>
      <c r="E4614" s="324">
        <f t="shared" si="72"/>
        <v>31945.660000000003</v>
      </c>
    </row>
    <row r="4615" spans="1:5" x14ac:dyDescent="0.25">
      <c r="A4615" s="323" t="s">
        <v>6759</v>
      </c>
      <c r="B4615" s="323" t="s">
        <v>805</v>
      </c>
      <c r="C4615" s="323">
        <v>41813</v>
      </c>
      <c r="D4615" s="323">
        <v>95</v>
      </c>
      <c r="E4615" s="324">
        <f t="shared" si="72"/>
        <v>23166.7</v>
      </c>
    </row>
    <row r="4616" spans="1:5" x14ac:dyDescent="0.25">
      <c r="A4616" s="323" t="s">
        <v>6815</v>
      </c>
      <c r="B4616" s="323" t="s">
        <v>805</v>
      </c>
      <c r="C4616" s="323">
        <v>41813</v>
      </c>
      <c r="D4616" s="323">
        <v>142</v>
      </c>
      <c r="E4616" s="324">
        <f t="shared" si="72"/>
        <v>34628.120000000003</v>
      </c>
    </row>
    <row r="4617" spans="1:5" x14ac:dyDescent="0.25">
      <c r="A4617" s="323" t="s">
        <v>6872</v>
      </c>
      <c r="B4617" s="323" t="s">
        <v>805</v>
      </c>
      <c r="C4617" s="323">
        <v>41813</v>
      </c>
      <c r="D4617" s="323">
        <v>197</v>
      </c>
      <c r="E4617" s="324">
        <f t="shared" si="72"/>
        <v>48040.420000000006</v>
      </c>
    </row>
    <row r="4618" spans="1:5" x14ac:dyDescent="0.25">
      <c r="A4618" s="323" t="s">
        <v>6971</v>
      </c>
      <c r="B4618" s="323" t="s">
        <v>805</v>
      </c>
      <c r="C4618" s="323">
        <v>41813</v>
      </c>
      <c r="D4618" s="323">
        <v>88</v>
      </c>
      <c r="E4618" s="324">
        <f t="shared" si="72"/>
        <v>21459.68</v>
      </c>
    </row>
    <row r="4619" spans="1:5" x14ac:dyDescent="0.25">
      <c r="A4619" s="323" t="s">
        <v>7373</v>
      </c>
      <c r="B4619" s="323" t="s">
        <v>805</v>
      </c>
      <c r="C4619" s="323">
        <v>41813</v>
      </c>
      <c r="D4619" s="323">
        <v>251</v>
      </c>
      <c r="E4619" s="324">
        <f t="shared" si="72"/>
        <v>61208.86</v>
      </c>
    </row>
    <row r="4620" spans="1:5" x14ac:dyDescent="0.25">
      <c r="A4620" s="323" t="s">
        <v>5299</v>
      </c>
      <c r="B4620" s="323" t="s">
        <v>805</v>
      </c>
      <c r="C4620" s="323">
        <v>41814</v>
      </c>
      <c r="D4620" s="323">
        <v>190</v>
      </c>
      <c r="E4620" s="324">
        <f t="shared" si="72"/>
        <v>46333.4</v>
      </c>
    </row>
    <row r="4621" spans="1:5" x14ac:dyDescent="0.25">
      <c r="A4621" s="323" t="s">
        <v>5468</v>
      </c>
      <c r="B4621" s="323" t="s">
        <v>805</v>
      </c>
      <c r="C4621" s="323">
        <v>41814</v>
      </c>
      <c r="D4621" s="323">
        <v>275</v>
      </c>
      <c r="E4621" s="324">
        <f t="shared" si="72"/>
        <v>67061.5</v>
      </c>
    </row>
    <row r="4622" spans="1:5" x14ac:dyDescent="0.25">
      <c r="A4622" s="323" t="s">
        <v>5493</v>
      </c>
      <c r="B4622" s="323" t="s">
        <v>805</v>
      </c>
      <c r="C4622" s="323">
        <v>41814</v>
      </c>
      <c r="D4622" s="323">
        <v>116</v>
      </c>
      <c r="E4622" s="324">
        <f t="shared" si="72"/>
        <v>28287.760000000002</v>
      </c>
    </row>
    <row r="4623" spans="1:5" x14ac:dyDescent="0.25">
      <c r="A4623" s="323" t="s">
        <v>5514</v>
      </c>
      <c r="B4623" s="323" t="s">
        <v>805</v>
      </c>
      <c r="C4623" s="323">
        <v>41814</v>
      </c>
      <c r="D4623" s="323">
        <v>173</v>
      </c>
      <c r="E4623" s="324">
        <f t="shared" si="72"/>
        <v>42187.78</v>
      </c>
    </row>
    <row r="4624" spans="1:5" x14ac:dyDescent="0.25">
      <c r="A4624" s="323" t="s">
        <v>5594</v>
      </c>
      <c r="B4624" s="323" t="s">
        <v>805</v>
      </c>
      <c r="C4624" s="323">
        <v>41814</v>
      </c>
      <c r="D4624" s="323">
        <v>392</v>
      </c>
      <c r="E4624" s="324">
        <f t="shared" si="72"/>
        <v>95593.12000000001</v>
      </c>
    </row>
    <row r="4625" spans="1:5" x14ac:dyDescent="0.25">
      <c r="A4625" s="323" t="s">
        <v>6974</v>
      </c>
      <c r="B4625" s="323" t="s">
        <v>805</v>
      </c>
      <c r="C4625" s="323">
        <v>41814</v>
      </c>
      <c r="D4625" s="323">
        <v>131</v>
      </c>
      <c r="E4625" s="324">
        <f t="shared" si="72"/>
        <v>31945.660000000003</v>
      </c>
    </row>
    <row r="4626" spans="1:5" x14ac:dyDescent="0.25">
      <c r="A4626" s="323" t="s">
        <v>1070</v>
      </c>
      <c r="B4626" s="323" t="s">
        <v>805</v>
      </c>
      <c r="C4626" s="323">
        <v>41816</v>
      </c>
      <c r="D4626" s="323">
        <v>197</v>
      </c>
      <c r="E4626" s="324">
        <f t="shared" si="72"/>
        <v>48040.420000000006</v>
      </c>
    </row>
    <row r="4627" spans="1:5" x14ac:dyDescent="0.25">
      <c r="A4627" s="323" t="s">
        <v>3383</v>
      </c>
      <c r="B4627" s="323" t="s">
        <v>805</v>
      </c>
      <c r="C4627" s="323">
        <v>41816</v>
      </c>
      <c r="D4627" s="323">
        <v>95</v>
      </c>
      <c r="E4627" s="324">
        <f t="shared" si="72"/>
        <v>23166.7</v>
      </c>
    </row>
    <row r="4628" spans="1:5" x14ac:dyDescent="0.25">
      <c r="A4628" s="323" t="s">
        <v>3895</v>
      </c>
      <c r="B4628" s="323" t="s">
        <v>805</v>
      </c>
      <c r="C4628" s="323">
        <v>41816</v>
      </c>
      <c r="D4628" s="323">
        <v>86</v>
      </c>
      <c r="E4628" s="324">
        <f t="shared" si="72"/>
        <v>20971.960000000003</v>
      </c>
    </row>
    <row r="4629" spans="1:5" x14ac:dyDescent="0.25">
      <c r="A4629" s="323" t="s">
        <v>4208</v>
      </c>
      <c r="B4629" s="323" t="s">
        <v>805</v>
      </c>
      <c r="C4629" s="323">
        <v>41816</v>
      </c>
      <c r="D4629" s="323">
        <v>29</v>
      </c>
      <c r="E4629" s="324">
        <f t="shared" si="72"/>
        <v>7071.9400000000005</v>
      </c>
    </row>
    <row r="4630" spans="1:5" x14ac:dyDescent="0.25">
      <c r="A4630" s="323" t="s">
        <v>4442</v>
      </c>
      <c r="B4630" s="323" t="s">
        <v>805</v>
      </c>
      <c r="C4630" s="323">
        <v>41816</v>
      </c>
      <c r="D4630" s="323">
        <v>58</v>
      </c>
      <c r="E4630" s="324">
        <f t="shared" si="72"/>
        <v>14143.880000000001</v>
      </c>
    </row>
    <row r="4631" spans="1:5" x14ac:dyDescent="0.25">
      <c r="A4631" s="323" t="s">
        <v>4596</v>
      </c>
      <c r="B4631" s="323" t="s">
        <v>805</v>
      </c>
      <c r="C4631" s="323">
        <v>41816</v>
      </c>
      <c r="D4631" s="323">
        <v>34</v>
      </c>
      <c r="E4631" s="324">
        <f t="shared" si="72"/>
        <v>8291.24</v>
      </c>
    </row>
    <row r="4632" spans="1:5" x14ac:dyDescent="0.25">
      <c r="A4632" s="323" t="s">
        <v>4704</v>
      </c>
      <c r="B4632" s="323" t="s">
        <v>805</v>
      </c>
      <c r="C4632" s="323">
        <v>41816</v>
      </c>
      <c r="D4632" s="323">
        <v>120</v>
      </c>
      <c r="E4632" s="324">
        <f t="shared" si="72"/>
        <v>29263.200000000001</v>
      </c>
    </row>
    <row r="4633" spans="1:5" x14ac:dyDescent="0.25">
      <c r="A4633" s="323" t="s">
        <v>4773</v>
      </c>
      <c r="B4633" s="323" t="s">
        <v>805</v>
      </c>
      <c r="C4633" s="323">
        <v>41816</v>
      </c>
      <c r="D4633" s="323">
        <v>65</v>
      </c>
      <c r="E4633" s="324">
        <f t="shared" si="72"/>
        <v>15850.900000000001</v>
      </c>
    </row>
    <row r="4634" spans="1:5" x14ac:dyDescent="0.25">
      <c r="A4634" s="323" t="s">
        <v>4810</v>
      </c>
      <c r="B4634" s="323" t="s">
        <v>805</v>
      </c>
      <c r="C4634" s="323">
        <v>41816</v>
      </c>
      <c r="D4634" s="323">
        <v>277</v>
      </c>
      <c r="E4634" s="324">
        <f t="shared" si="72"/>
        <v>67549.22</v>
      </c>
    </row>
    <row r="4635" spans="1:5" x14ac:dyDescent="0.25">
      <c r="A4635" s="323" t="s">
        <v>4832</v>
      </c>
      <c r="B4635" s="323" t="s">
        <v>805</v>
      </c>
      <c r="C4635" s="323">
        <v>41816</v>
      </c>
      <c r="D4635" s="323">
        <v>43</v>
      </c>
      <c r="E4635" s="324">
        <f t="shared" si="72"/>
        <v>10485.980000000001</v>
      </c>
    </row>
    <row r="4636" spans="1:5" x14ac:dyDescent="0.25">
      <c r="A4636" s="323" t="s">
        <v>4896</v>
      </c>
      <c r="B4636" s="323" t="s">
        <v>805</v>
      </c>
      <c r="C4636" s="323">
        <v>41816</v>
      </c>
      <c r="D4636" s="323">
        <v>41</v>
      </c>
      <c r="E4636" s="324">
        <f t="shared" si="72"/>
        <v>9998.26</v>
      </c>
    </row>
    <row r="4637" spans="1:5" x14ac:dyDescent="0.25">
      <c r="A4637" s="323" t="s">
        <v>4948</v>
      </c>
      <c r="B4637" s="323" t="s">
        <v>805</v>
      </c>
      <c r="C4637" s="323">
        <v>41816</v>
      </c>
      <c r="D4637" s="323">
        <v>150</v>
      </c>
      <c r="E4637" s="324">
        <f t="shared" si="72"/>
        <v>36579</v>
      </c>
    </row>
    <row r="4638" spans="1:5" x14ac:dyDescent="0.25">
      <c r="A4638" s="323" t="s">
        <v>4985</v>
      </c>
      <c r="B4638" s="323" t="s">
        <v>805</v>
      </c>
      <c r="C4638" s="323">
        <v>41816</v>
      </c>
      <c r="D4638" s="323">
        <v>26</v>
      </c>
      <c r="E4638" s="324">
        <f t="shared" si="72"/>
        <v>6340.3600000000006</v>
      </c>
    </row>
    <row r="4639" spans="1:5" x14ac:dyDescent="0.25">
      <c r="A4639" s="323" t="s">
        <v>5024</v>
      </c>
      <c r="B4639" s="323" t="s">
        <v>805</v>
      </c>
      <c r="C4639" s="323">
        <v>41816</v>
      </c>
      <c r="D4639" s="323">
        <v>89</v>
      </c>
      <c r="E4639" s="324">
        <f t="shared" si="72"/>
        <v>21703.54</v>
      </c>
    </row>
    <row r="4640" spans="1:5" x14ac:dyDescent="0.25">
      <c r="A4640" s="323" t="s">
        <v>5058</v>
      </c>
      <c r="B4640" s="323" t="s">
        <v>805</v>
      </c>
      <c r="C4640" s="323">
        <v>41816</v>
      </c>
      <c r="D4640" s="323">
        <v>85</v>
      </c>
      <c r="E4640" s="324">
        <f t="shared" si="72"/>
        <v>20728.100000000002</v>
      </c>
    </row>
    <row r="4641" spans="1:5" x14ac:dyDescent="0.25">
      <c r="A4641" s="323" t="s">
        <v>6070</v>
      </c>
      <c r="B4641" s="323" t="s">
        <v>805</v>
      </c>
      <c r="C4641" s="323">
        <v>41816</v>
      </c>
      <c r="D4641" s="323">
        <v>104</v>
      </c>
      <c r="E4641" s="324">
        <f t="shared" si="72"/>
        <v>25361.440000000002</v>
      </c>
    </row>
    <row r="4642" spans="1:5" x14ac:dyDescent="0.25">
      <c r="A4642" s="323" t="s">
        <v>6165</v>
      </c>
      <c r="B4642" s="323" t="s">
        <v>805</v>
      </c>
      <c r="C4642" s="323">
        <v>41816</v>
      </c>
      <c r="D4642" s="323">
        <v>136</v>
      </c>
      <c r="E4642" s="324">
        <f t="shared" si="72"/>
        <v>33164.959999999999</v>
      </c>
    </row>
    <row r="4643" spans="1:5" x14ac:dyDescent="0.25">
      <c r="A4643" s="323" t="s">
        <v>7064</v>
      </c>
      <c r="B4643" s="323" t="s">
        <v>805</v>
      </c>
      <c r="C4643" s="323">
        <v>41820</v>
      </c>
      <c r="D4643" s="323">
        <v>174</v>
      </c>
      <c r="E4643" s="324">
        <f t="shared" si="72"/>
        <v>42431.64</v>
      </c>
    </row>
    <row r="4644" spans="1:5" x14ac:dyDescent="0.25">
      <c r="A4644" s="323" t="s">
        <v>7444</v>
      </c>
      <c r="B4644" s="323" t="s">
        <v>805</v>
      </c>
      <c r="C4644" s="323">
        <v>41820</v>
      </c>
      <c r="D4644" s="323">
        <v>116</v>
      </c>
      <c r="E4644" s="324">
        <f t="shared" si="72"/>
        <v>28287.760000000002</v>
      </c>
    </row>
    <row r="4645" spans="1:5" x14ac:dyDescent="0.25">
      <c r="A4645" s="323" t="s">
        <v>7467</v>
      </c>
      <c r="B4645" s="323" t="s">
        <v>805</v>
      </c>
      <c r="C4645" s="323">
        <v>41820</v>
      </c>
      <c r="D4645" s="323">
        <v>355</v>
      </c>
      <c r="E4645" s="324">
        <f t="shared" si="72"/>
        <v>86570.3</v>
      </c>
    </row>
    <row r="4646" spans="1:5" x14ac:dyDescent="0.25">
      <c r="A4646" s="323" t="s">
        <v>7496</v>
      </c>
      <c r="B4646" s="323" t="s">
        <v>805</v>
      </c>
      <c r="C4646" s="323">
        <v>41820</v>
      </c>
      <c r="D4646" s="323">
        <v>197</v>
      </c>
      <c r="E4646" s="324">
        <f t="shared" si="72"/>
        <v>48040.420000000006</v>
      </c>
    </row>
    <row r="4647" spans="1:5" x14ac:dyDescent="0.25">
      <c r="A4647" s="323" t="s">
        <v>946</v>
      </c>
      <c r="B4647" s="323" t="s">
        <v>809</v>
      </c>
      <c r="C4647" s="323">
        <v>41821</v>
      </c>
      <c r="D4647" s="323">
        <v>93</v>
      </c>
      <c r="E4647" s="324">
        <f t="shared" si="72"/>
        <v>45357.96</v>
      </c>
    </row>
    <row r="4648" spans="1:5" x14ac:dyDescent="0.25">
      <c r="A4648" s="323" t="s">
        <v>946</v>
      </c>
      <c r="B4648" s="323" t="s">
        <v>803</v>
      </c>
      <c r="C4648" s="323">
        <v>41821</v>
      </c>
      <c r="D4648" s="323">
        <v>185</v>
      </c>
      <c r="E4648" s="324">
        <f t="shared" si="72"/>
        <v>90228.200000000012</v>
      </c>
    </row>
    <row r="4649" spans="1:5" x14ac:dyDescent="0.25">
      <c r="A4649" s="323" t="s">
        <v>981</v>
      </c>
      <c r="B4649" s="323" t="s">
        <v>809</v>
      </c>
      <c r="C4649" s="323">
        <v>41821</v>
      </c>
      <c r="D4649" s="323">
        <v>5</v>
      </c>
      <c r="E4649" s="324">
        <f t="shared" si="72"/>
        <v>2438.6000000000004</v>
      </c>
    </row>
    <row r="4650" spans="1:5" x14ac:dyDescent="0.25">
      <c r="A4650" s="323" t="s">
        <v>981</v>
      </c>
      <c r="B4650" s="323" t="s">
        <v>803</v>
      </c>
      <c r="C4650" s="323">
        <v>41821</v>
      </c>
      <c r="D4650" s="323">
        <v>5</v>
      </c>
      <c r="E4650" s="324">
        <f t="shared" si="72"/>
        <v>2438.6000000000004</v>
      </c>
    </row>
    <row r="4651" spans="1:5" x14ac:dyDescent="0.25">
      <c r="A4651" s="323" t="s">
        <v>981</v>
      </c>
      <c r="B4651" s="323" t="s">
        <v>803</v>
      </c>
      <c r="C4651" s="323">
        <v>41821</v>
      </c>
      <c r="D4651" s="323">
        <v>24</v>
      </c>
      <c r="E4651" s="324">
        <f t="shared" si="72"/>
        <v>11705.28</v>
      </c>
    </row>
    <row r="4652" spans="1:5" x14ac:dyDescent="0.25">
      <c r="A4652" s="323" t="s">
        <v>981</v>
      </c>
      <c r="B4652" s="323" t="s">
        <v>803</v>
      </c>
      <c r="C4652" s="323">
        <v>41821</v>
      </c>
      <c r="D4652" s="323">
        <v>57</v>
      </c>
      <c r="E4652" s="324">
        <f t="shared" si="72"/>
        <v>27800.04</v>
      </c>
    </row>
    <row r="4653" spans="1:5" x14ac:dyDescent="0.25">
      <c r="A4653" s="323" t="s">
        <v>981</v>
      </c>
      <c r="B4653" s="323" t="s">
        <v>803</v>
      </c>
      <c r="C4653" s="323">
        <v>41821</v>
      </c>
      <c r="D4653" s="323">
        <v>33</v>
      </c>
      <c r="E4653" s="324">
        <f t="shared" si="72"/>
        <v>16094.76</v>
      </c>
    </row>
    <row r="4654" spans="1:5" x14ac:dyDescent="0.25">
      <c r="A4654" s="323" t="s">
        <v>1393</v>
      </c>
      <c r="B4654" s="323" t="s">
        <v>805</v>
      </c>
      <c r="C4654" s="323">
        <v>41825</v>
      </c>
      <c r="D4654" s="323">
        <v>238</v>
      </c>
      <c r="E4654" s="324">
        <f t="shared" si="72"/>
        <v>58038.68</v>
      </c>
    </row>
    <row r="4655" spans="1:5" x14ac:dyDescent="0.25">
      <c r="A4655" s="323" t="s">
        <v>1479</v>
      </c>
      <c r="B4655" s="323" t="s">
        <v>805</v>
      </c>
      <c r="C4655" s="323">
        <v>41827</v>
      </c>
      <c r="D4655" s="323">
        <v>323</v>
      </c>
      <c r="E4655" s="324">
        <f t="shared" si="72"/>
        <v>78766.78</v>
      </c>
    </row>
    <row r="4656" spans="1:5" x14ac:dyDescent="0.25">
      <c r="A4656" s="323" t="s">
        <v>1578</v>
      </c>
      <c r="B4656" s="323" t="s">
        <v>805</v>
      </c>
      <c r="C4656" s="323">
        <v>41827</v>
      </c>
      <c r="D4656" s="323">
        <v>287</v>
      </c>
      <c r="E4656" s="324">
        <f t="shared" si="72"/>
        <v>69987.820000000007</v>
      </c>
    </row>
    <row r="4657" spans="1:5" x14ac:dyDescent="0.25">
      <c r="A4657" s="323" t="s">
        <v>1961</v>
      </c>
      <c r="B4657" s="323" t="s">
        <v>805</v>
      </c>
      <c r="C4657" s="323">
        <v>41827</v>
      </c>
      <c r="D4657" s="323">
        <v>102</v>
      </c>
      <c r="E4657" s="324">
        <f t="shared" si="72"/>
        <v>24873.72</v>
      </c>
    </row>
    <row r="4658" spans="1:5" x14ac:dyDescent="0.25">
      <c r="A4658" s="323" t="s">
        <v>1979</v>
      </c>
      <c r="B4658" s="323" t="s">
        <v>805</v>
      </c>
      <c r="C4658" s="323">
        <v>41827</v>
      </c>
      <c r="D4658" s="323">
        <v>230</v>
      </c>
      <c r="E4658" s="324">
        <f t="shared" si="72"/>
        <v>56087.8</v>
      </c>
    </row>
    <row r="4659" spans="1:5" x14ac:dyDescent="0.25">
      <c r="A4659" s="323" t="s">
        <v>2074</v>
      </c>
      <c r="B4659" s="323" t="s">
        <v>805</v>
      </c>
      <c r="C4659" s="323">
        <v>41827</v>
      </c>
      <c r="D4659" s="323">
        <v>109</v>
      </c>
      <c r="E4659" s="324">
        <f t="shared" si="72"/>
        <v>26580.74</v>
      </c>
    </row>
    <row r="4660" spans="1:5" x14ac:dyDescent="0.25">
      <c r="A4660" s="323" t="s">
        <v>3201</v>
      </c>
      <c r="B4660" s="323" t="s">
        <v>805</v>
      </c>
      <c r="C4660" s="323">
        <v>41829</v>
      </c>
      <c r="D4660" s="323">
        <v>417</v>
      </c>
      <c r="E4660" s="324">
        <f t="shared" si="72"/>
        <v>101689.62000000001</v>
      </c>
    </row>
    <row r="4661" spans="1:5" x14ac:dyDescent="0.25">
      <c r="A4661" s="323" t="s">
        <v>1269</v>
      </c>
      <c r="B4661" s="323" t="s">
        <v>805</v>
      </c>
      <c r="C4661" s="323">
        <v>41840</v>
      </c>
      <c r="D4661" s="323">
        <v>710</v>
      </c>
      <c r="E4661" s="324">
        <f t="shared" si="72"/>
        <v>173140.6</v>
      </c>
    </row>
    <row r="4662" spans="1:5" x14ac:dyDescent="0.25">
      <c r="A4662" s="323" t="s">
        <v>1047</v>
      </c>
      <c r="B4662" s="323" t="s">
        <v>805</v>
      </c>
      <c r="C4662" s="323">
        <v>41841</v>
      </c>
      <c r="D4662" s="323">
        <v>65</v>
      </c>
      <c r="E4662" s="324">
        <f t="shared" si="72"/>
        <v>15850.900000000001</v>
      </c>
    </row>
    <row r="4663" spans="1:5" x14ac:dyDescent="0.25">
      <c r="A4663" s="323" t="s">
        <v>6259</v>
      </c>
      <c r="B4663" s="323" t="s">
        <v>805</v>
      </c>
      <c r="C4663" s="323">
        <v>41841</v>
      </c>
      <c r="D4663" s="323">
        <v>109</v>
      </c>
      <c r="E4663" s="324">
        <f t="shared" si="72"/>
        <v>26580.74</v>
      </c>
    </row>
    <row r="4664" spans="1:5" x14ac:dyDescent="0.25">
      <c r="A4664" s="323" t="s">
        <v>6271</v>
      </c>
      <c r="B4664" s="323" t="s">
        <v>805</v>
      </c>
      <c r="C4664" s="323">
        <v>41841</v>
      </c>
      <c r="D4664" s="323">
        <v>64</v>
      </c>
      <c r="E4664" s="324">
        <f t="shared" si="72"/>
        <v>15607.04</v>
      </c>
    </row>
    <row r="4665" spans="1:5" x14ac:dyDescent="0.25">
      <c r="A4665" s="323" t="s">
        <v>6300</v>
      </c>
      <c r="B4665" s="323" t="s">
        <v>805</v>
      </c>
      <c r="C4665" s="323">
        <v>41841</v>
      </c>
      <c r="D4665" s="323">
        <v>83</v>
      </c>
      <c r="E4665" s="324">
        <f t="shared" si="72"/>
        <v>20240.38</v>
      </c>
    </row>
    <row r="4666" spans="1:5" x14ac:dyDescent="0.25">
      <c r="A4666" s="323" t="s">
        <v>6305</v>
      </c>
      <c r="B4666" s="323" t="s">
        <v>805</v>
      </c>
      <c r="C4666" s="323">
        <v>41841</v>
      </c>
      <c r="D4666" s="323">
        <v>86</v>
      </c>
      <c r="E4666" s="324">
        <f t="shared" si="72"/>
        <v>20971.960000000003</v>
      </c>
    </row>
    <row r="4667" spans="1:5" x14ac:dyDescent="0.25">
      <c r="A4667" s="323" t="s">
        <v>1434</v>
      </c>
      <c r="B4667" s="323" t="s">
        <v>805</v>
      </c>
      <c r="C4667" s="323">
        <v>41842</v>
      </c>
      <c r="D4667" s="323">
        <v>80</v>
      </c>
      <c r="E4667" s="324">
        <f t="shared" si="72"/>
        <v>19508.800000000003</v>
      </c>
    </row>
    <row r="4668" spans="1:5" x14ac:dyDescent="0.25">
      <c r="A4668" s="323" t="s">
        <v>6220</v>
      </c>
      <c r="B4668" s="323" t="s">
        <v>805</v>
      </c>
      <c r="C4668" s="323">
        <v>41842</v>
      </c>
      <c r="D4668" s="323">
        <v>192</v>
      </c>
      <c r="E4668" s="324">
        <f t="shared" si="72"/>
        <v>46821.120000000003</v>
      </c>
    </row>
    <row r="4669" spans="1:5" x14ac:dyDescent="0.25">
      <c r="A4669" s="323" t="s">
        <v>6238</v>
      </c>
      <c r="B4669" s="323" t="s">
        <v>805</v>
      </c>
      <c r="C4669" s="323">
        <v>41842</v>
      </c>
      <c r="D4669" s="323">
        <v>46</v>
      </c>
      <c r="E4669" s="324">
        <f t="shared" si="72"/>
        <v>11217.560000000001</v>
      </c>
    </row>
    <row r="4670" spans="1:5" x14ac:dyDescent="0.25">
      <c r="A4670" s="323" t="s">
        <v>6252</v>
      </c>
      <c r="B4670" s="323" t="s">
        <v>805</v>
      </c>
      <c r="C4670" s="323">
        <v>41842</v>
      </c>
      <c r="D4670" s="323">
        <v>46</v>
      </c>
      <c r="E4670" s="324">
        <f t="shared" si="72"/>
        <v>11217.560000000001</v>
      </c>
    </row>
    <row r="4671" spans="1:5" x14ac:dyDescent="0.25">
      <c r="A4671" s="323" t="s">
        <v>6267</v>
      </c>
      <c r="B4671" s="323" t="s">
        <v>805</v>
      </c>
      <c r="C4671" s="323">
        <v>41842</v>
      </c>
      <c r="D4671" s="323">
        <v>168</v>
      </c>
      <c r="E4671" s="324">
        <f t="shared" si="72"/>
        <v>40968.480000000003</v>
      </c>
    </row>
    <row r="4672" spans="1:5" x14ac:dyDescent="0.25">
      <c r="A4672" s="323" t="s">
        <v>6278</v>
      </c>
      <c r="B4672" s="323" t="s">
        <v>805</v>
      </c>
      <c r="C4672" s="323">
        <v>41842</v>
      </c>
      <c r="D4672" s="323">
        <v>64</v>
      </c>
      <c r="E4672" s="324">
        <f t="shared" si="72"/>
        <v>15607.04</v>
      </c>
    </row>
    <row r="4673" spans="1:5" x14ac:dyDescent="0.25">
      <c r="A4673" s="323" t="s">
        <v>6286</v>
      </c>
      <c r="B4673" s="323" t="s">
        <v>805</v>
      </c>
      <c r="C4673" s="323">
        <v>41842</v>
      </c>
      <c r="D4673" s="323">
        <v>155</v>
      </c>
      <c r="E4673" s="324">
        <f t="shared" si="72"/>
        <v>37798.300000000003</v>
      </c>
    </row>
    <row r="4674" spans="1:5" x14ac:dyDescent="0.25">
      <c r="A4674" s="323" t="s">
        <v>6291</v>
      </c>
      <c r="B4674" s="323" t="s">
        <v>805</v>
      </c>
      <c r="C4674" s="323">
        <v>41842</v>
      </c>
      <c r="D4674" s="323">
        <v>58</v>
      </c>
      <c r="E4674" s="324">
        <f t="shared" ref="E4674:E4737" si="73">D4674*IF(B4674=$G$9,WerkdrukbedragPerLeerlingBo,IF(B4674=$G$10,WerkdrukbedragPerLeerlingSbo,IF(B4674=$G$11,WerkdrukbedragPerLeerlingSo,IF(B4674=$G$12,WerkdrukbedragPerLeerlingVso,0))))</f>
        <v>14143.880000000001</v>
      </c>
    </row>
    <row r="4675" spans="1:5" x14ac:dyDescent="0.25">
      <c r="A4675" s="323" t="s">
        <v>6125</v>
      </c>
      <c r="B4675" s="323" t="s">
        <v>805</v>
      </c>
      <c r="C4675" s="323">
        <v>41843</v>
      </c>
      <c r="D4675" s="323">
        <v>374</v>
      </c>
      <c r="E4675" s="324">
        <f t="shared" si="73"/>
        <v>91203.64</v>
      </c>
    </row>
    <row r="4676" spans="1:5" x14ac:dyDescent="0.25">
      <c r="A4676" s="323" t="s">
        <v>2136</v>
      </c>
      <c r="B4676" s="323" t="s">
        <v>805</v>
      </c>
      <c r="C4676" s="323">
        <v>41844</v>
      </c>
      <c r="D4676" s="323">
        <v>174</v>
      </c>
      <c r="E4676" s="324">
        <f t="shared" si="73"/>
        <v>42431.64</v>
      </c>
    </row>
    <row r="4677" spans="1:5" x14ac:dyDescent="0.25">
      <c r="A4677" s="323" t="s">
        <v>1333</v>
      </c>
      <c r="B4677" s="323" t="s">
        <v>805</v>
      </c>
      <c r="C4677" s="323">
        <v>41845</v>
      </c>
      <c r="D4677" s="323">
        <v>75</v>
      </c>
      <c r="E4677" s="324">
        <f t="shared" si="73"/>
        <v>18289.5</v>
      </c>
    </row>
    <row r="4678" spans="1:5" x14ac:dyDescent="0.25">
      <c r="A4678" s="323" t="s">
        <v>1459</v>
      </c>
      <c r="B4678" s="323" t="s">
        <v>805</v>
      </c>
      <c r="C4678" s="323">
        <v>41845</v>
      </c>
      <c r="D4678" s="323">
        <v>152</v>
      </c>
      <c r="E4678" s="324">
        <f t="shared" si="73"/>
        <v>37066.720000000001</v>
      </c>
    </row>
    <row r="4679" spans="1:5" x14ac:dyDescent="0.25">
      <c r="A4679" s="323" t="s">
        <v>1889</v>
      </c>
      <c r="B4679" s="323" t="s">
        <v>805</v>
      </c>
      <c r="C4679" s="323">
        <v>41845</v>
      </c>
      <c r="D4679" s="323">
        <v>41</v>
      </c>
      <c r="E4679" s="324">
        <f t="shared" si="73"/>
        <v>9998.26</v>
      </c>
    </row>
    <row r="4680" spans="1:5" x14ac:dyDescent="0.25">
      <c r="A4680" s="323" t="s">
        <v>1935</v>
      </c>
      <c r="B4680" s="323" t="s">
        <v>805</v>
      </c>
      <c r="C4680" s="323">
        <v>41845</v>
      </c>
      <c r="D4680" s="323">
        <v>65</v>
      </c>
      <c r="E4680" s="324">
        <f t="shared" si="73"/>
        <v>15850.900000000001</v>
      </c>
    </row>
    <row r="4681" spans="1:5" x14ac:dyDescent="0.25">
      <c r="A4681" s="323" t="s">
        <v>1958</v>
      </c>
      <c r="B4681" s="323" t="s">
        <v>805</v>
      </c>
      <c r="C4681" s="323">
        <v>41845</v>
      </c>
      <c r="D4681" s="323">
        <v>121</v>
      </c>
      <c r="E4681" s="324">
        <f t="shared" si="73"/>
        <v>29507.06</v>
      </c>
    </row>
    <row r="4682" spans="1:5" x14ac:dyDescent="0.25">
      <c r="A4682" s="323" t="s">
        <v>1967</v>
      </c>
      <c r="B4682" s="323" t="s">
        <v>805</v>
      </c>
      <c r="C4682" s="323">
        <v>41845</v>
      </c>
      <c r="D4682" s="323">
        <v>164</v>
      </c>
      <c r="E4682" s="324">
        <f t="shared" si="73"/>
        <v>39993.040000000001</v>
      </c>
    </row>
    <row r="4683" spans="1:5" x14ac:dyDescent="0.25">
      <c r="A4683" s="323" t="s">
        <v>1982</v>
      </c>
      <c r="B4683" s="323" t="s">
        <v>805</v>
      </c>
      <c r="C4683" s="323">
        <v>41845</v>
      </c>
      <c r="D4683" s="323">
        <v>97</v>
      </c>
      <c r="E4683" s="324">
        <f t="shared" si="73"/>
        <v>23654.420000000002</v>
      </c>
    </row>
    <row r="4684" spans="1:5" x14ac:dyDescent="0.25">
      <c r="A4684" s="323" t="s">
        <v>1997</v>
      </c>
      <c r="B4684" s="323" t="s">
        <v>805</v>
      </c>
      <c r="C4684" s="323">
        <v>41845</v>
      </c>
      <c r="D4684" s="323">
        <v>85</v>
      </c>
      <c r="E4684" s="324">
        <f t="shared" si="73"/>
        <v>20728.100000000002</v>
      </c>
    </row>
    <row r="4685" spans="1:5" x14ac:dyDescent="0.25">
      <c r="A4685" s="323" t="s">
        <v>2027</v>
      </c>
      <c r="B4685" s="323" t="s">
        <v>805</v>
      </c>
      <c r="C4685" s="323">
        <v>41845</v>
      </c>
      <c r="D4685" s="323">
        <v>206</v>
      </c>
      <c r="E4685" s="324">
        <f t="shared" si="73"/>
        <v>50235.16</v>
      </c>
    </row>
    <row r="4686" spans="1:5" x14ac:dyDescent="0.25">
      <c r="A4686" s="323" t="s">
        <v>2037</v>
      </c>
      <c r="B4686" s="323" t="s">
        <v>805</v>
      </c>
      <c r="C4686" s="323">
        <v>41845</v>
      </c>
      <c r="D4686" s="323">
        <v>134</v>
      </c>
      <c r="E4686" s="324">
        <f t="shared" si="73"/>
        <v>32677.24</v>
      </c>
    </row>
    <row r="4687" spans="1:5" x14ac:dyDescent="0.25">
      <c r="A4687" s="323" t="s">
        <v>2067</v>
      </c>
      <c r="B4687" s="323" t="s">
        <v>805</v>
      </c>
      <c r="C4687" s="323">
        <v>41845</v>
      </c>
      <c r="D4687" s="323">
        <v>121</v>
      </c>
      <c r="E4687" s="324">
        <f t="shared" si="73"/>
        <v>29507.06</v>
      </c>
    </row>
    <row r="4688" spans="1:5" x14ac:dyDescent="0.25">
      <c r="A4688" s="323" t="s">
        <v>2069</v>
      </c>
      <c r="B4688" s="323" t="s">
        <v>805</v>
      </c>
      <c r="C4688" s="323">
        <v>41845</v>
      </c>
      <c r="D4688" s="323">
        <v>78</v>
      </c>
      <c r="E4688" s="324">
        <f t="shared" si="73"/>
        <v>19021.080000000002</v>
      </c>
    </row>
    <row r="4689" spans="1:5" x14ac:dyDescent="0.25">
      <c r="A4689" s="323" t="s">
        <v>2307</v>
      </c>
      <c r="B4689" s="323" t="s">
        <v>805</v>
      </c>
      <c r="C4689" s="323">
        <v>41845</v>
      </c>
      <c r="D4689" s="323">
        <v>161</v>
      </c>
      <c r="E4689" s="324">
        <f t="shared" si="73"/>
        <v>39261.46</v>
      </c>
    </row>
    <row r="4690" spans="1:5" x14ac:dyDescent="0.25">
      <c r="A4690" s="323" t="s">
        <v>2894</v>
      </c>
      <c r="B4690" s="323" t="s">
        <v>805</v>
      </c>
      <c r="C4690" s="323">
        <v>41845</v>
      </c>
      <c r="D4690" s="323">
        <v>65</v>
      </c>
      <c r="E4690" s="324">
        <f t="shared" si="73"/>
        <v>15850.900000000001</v>
      </c>
    </row>
    <row r="4691" spans="1:5" x14ac:dyDescent="0.25">
      <c r="A4691" s="323" t="s">
        <v>3134</v>
      </c>
      <c r="B4691" s="323" t="s">
        <v>805</v>
      </c>
      <c r="C4691" s="323">
        <v>41845</v>
      </c>
      <c r="D4691" s="323">
        <v>124</v>
      </c>
      <c r="E4691" s="324">
        <f t="shared" si="73"/>
        <v>30238.640000000003</v>
      </c>
    </row>
    <row r="4692" spans="1:5" x14ac:dyDescent="0.25">
      <c r="A4692" s="323" t="s">
        <v>3352</v>
      </c>
      <c r="B4692" s="323" t="s">
        <v>805</v>
      </c>
      <c r="C4692" s="323">
        <v>41845</v>
      </c>
      <c r="D4692" s="323">
        <v>144</v>
      </c>
      <c r="E4692" s="324">
        <f t="shared" si="73"/>
        <v>35115.840000000004</v>
      </c>
    </row>
    <row r="4693" spans="1:5" x14ac:dyDescent="0.25">
      <c r="A4693" s="323" t="s">
        <v>3359</v>
      </c>
      <c r="B4693" s="323" t="s">
        <v>805</v>
      </c>
      <c r="C4693" s="323">
        <v>41845</v>
      </c>
      <c r="D4693" s="323">
        <v>162</v>
      </c>
      <c r="E4693" s="324">
        <f t="shared" si="73"/>
        <v>39505.32</v>
      </c>
    </row>
    <row r="4694" spans="1:5" x14ac:dyDescent="0.25">
      <c r="A4694" s="323" t="s">
        <v>5235</v>
      </c>
      <c r="B4694" s="323" t="s">
        <v>805</v>
      </c>
      <c r="C4694" s="323">
        <v>41845</v>
      </c>
      <c r="D4694" s="323">
        <v>106</v>
      </c>
      <c r="E4694" s="324">
        <f t="shared" si="73"/>
        <v>25849.16</v>
      </c>
    </row>
    <row r="4695" spans="1:5" x14ac:dyDescent="0.25">
      <c r="A4695" s="323" t="s">
        <v>5254</v>
      </c>
      <c r="B4695" s="323" t="s">
        <v>805</v>
      </c>
      <c r="C4695" s="323">
        <v>41845</v>
      </c>
      <c r="D4695" s="323">
        <v>117</v>
      </c>
      <c r="E4695" s="324">
        <f t="shared" si="73"/>
        <v>28531.620000000003</v>
      </c>
    </row>
    <row r="4696" spans="1:5" x14ac:dyDescent="0.25">
      <c r="A4696" s="323" t="s">
        <v>5331</v>
      </c>
      <c r="B4696" s="323" t="s">
        <v>805</v>
      </c>
      <c r="C4696" s="323">
        <v>41845</v>
      </c>
      <c r="D4696" s="323">
        <v>215</v>
      </c>
      <c r="E4696" s="324">
        <f t="shared" si="73"/>
        <v>52429.9</v>
      </c>
    </row>
    <row r="4697" spans="1:5" x14ac:dyDescent="0.25">
      <c r="A4697" s="323" t="s">
        <v>5122</v>
      </c>
      <c r="B4697" s="323" t="s">
        <v>805</v>
      </c>
      <c r="C4697" s="323">
        <v>41850</v>
      </c>
      <c r="D4697" s="323">
        <v>141</v>
      </c>
      <c r="E4697" s="324">
        <f t="shared" si="73"/>
        <v>34384.26</v>
      </c>
    </row>
    <row r="4698" spans="1:5" x14ac:dyDescent="0.25">
      <c r="A4698" s="323" t="s">
        <v>5188</v>
      </c>
      <c r="B4698" s="323" t="s">
        <v>805</v>
      </c>
      <c r="C4698" s="323">
        <v>41850</v>
      </c>
      <c r="D4698" s="323">
        <v>67</v>
      </c>
      <c r="E4698" s="324">
        <f t="shared" si="73"/>
        <v>16338.62</v>
      </c>
    </row>
    <row r="4699" spans="1:5" x14ac:dyDescent="0.25">
      <c r="A4699" s="323" t="s">
        <v>5278</v>
      </c>
      <c r="B4699" s="323" t="s">
        <v>805</v>
      </c>
      <c r="C4699" s="323">
        <v>41850</v>
      </c>
      <c r="D4699" s="323">
        <v>197</v>
      </c>
      <c r="E4699" s="324">
        <f t="shared" si="73"/>
        <v>48040.420000000006</v>
      </c>
    </row>
    <row r="4700" spans="1:5" x14ac:dyDescent="0.25">
      <c r="A4700" s="323" t="s">
        <v>5304</v>
      </c>
      <c r="B4700" s="323" t="s">
        <v>805</v>
      </c>
      <c r="C4700" s="323">
        <v>41850</v>
      </c>
      <c r="D4700" s="323">
        <v>78</v>
      </c>
      <c r="E4700" s="324">
        <f t="shared" si="73"/>
        <v>19021.080000000002</v>
      </c>
    </row>
    <row r="4701" spans="1:5" x14ac:dyDescent="0.25">
      <c r="A4701" s="323" t="s">
        <v>5315</v>
      </c>
      <c r="B4701" s="323" t="s">
        <v>805</v>
      </c>
      <c r="C4701" s="323">
        <v>41850</v>
      </c>
      <c r="D4701" s="323">
        <v>143</v>
      </c>
      <c r="E4701" s="324">
        <f t="shared" si="73"/>
        <v>34871.980000000003</v>
      </c>
    </row>
    <row r="4702" spans="1:5" x14ac:dyDescent="0.25">
      <c r="A4702" s="323" t="s">
        <v>5413</v>
      </c>
      <c r="B4702" s="323" t="s">
        <v>805</v>
      </c>
      <c r="C4702" s="323">
        <v>41850</v>
      </c>
      <c r="D4702" s="323">
        <v>269</v>
      </c>
      <c r="E4702" s="324">
        <f t="shared" si="73"/>
        <v>65598.34</v>
      </c>
    </row>
    <row r="4703" spans="1:5" x14ac:dyDescent="0.25">
      <c r="A4703" s="323" t="s">
        <v>5448</v>
      </c>
      <c r="B4703" s="323" t="s">
        <v>805</v>
      </c>
      <c r="C4703" s="323">
        <v>41850</v>
      </c>
      <c r="D4703" s="323">
        <v>81</v>
      </c>
      <c r="E4703" s="324">
        <f t="shared" si="73"/>
        <v>19752.66</v>
      </c>
    </row>
    <row r="4704" spans="1:5" x14ac:dyDescent="0.25">
      <c r="A4704" s="323" t="s">
        <v>5469</v>
      </c>
      <c r="B4704" s="323" t="s">
        <v>805</v>
      </c>
      <c r="C4704" s="323">
        <v>41850</v>
      </c>
      <c r="D4704" s="323">
        <v>118</v>
      </c>
      <c r="E4704" s="324">
        <f t="shared" si="73"/>
        <v>28775.480000000003</v>
      </c>
    </row>
    <row r="4705" spans="1:5" x14ac:dyDescent="0.25">
      <c r="A4705" s="323" t="s">
        <v>5540</v>
      </c>
      <c r="B4705" s="323" t="s">
        <v>805</v>
      </c>
      <c r="C4705" s="323">
        <v>41850</v>
      </c>
      <c r="D4705" s="323">
        <v>162</v>
      </c>
      <c r="E4705" s="324">
        <f t="shared" si="73"/>
        <v>39505.32</v>
      </c>
    </row>
    <row r="4706" spans="1:5" x14ac:dyDescent="0.25">
      <c r="A4706" s="323" t="s">
        <v>5557</v>
      </c>
      <c r="B4706" s="323" t="s">
        <v>805</v>
      </c>
      <c r="C4706" s="323">
        <v>41850</v>
      </c>
      <c r="D4706" s="323">
        <v>99</v>
      </c>
      <c r="E4706" s="324">
        <f t="shared" si="73"/>
        <v>24142.140000000003</v>
      </c>
    </row>
    <row r="4707" spans="1:5" x14ac:dyDescent="0.25">
      <c r="A4707" s="323" t="s">
        <v>5582</v>
      </c>
      <c r="B4707" s="323" t="s">
        <v>805</v>
      </c>
      <c r="C4707" s="323">
        <v>41850</v>
      </c>
      <c r="D4707" s="323">
        <v>143</v>
      </c>
      <c r="E4707" s="324">
        <f t="shared" si="73"/>
        <v>34871.980000000003</v>
      </c>
    </row>
    <row r="4708" spans="1:5" x14ac:dyDescent="0.25">
      <c r="A4708" s="323" t="s">
        <v>5601</v>
      </c>
      <c r="B4708" s="323" t="s">
        <v>805</v>
      </c>
      <c r="C4708" s="323">
        <v>41850</v>
      </c>
      <c r="D4708" s="323">
        <v>55</v>
      </c>
      <c r="E4708" s="324">
        <f t="shared" si="73"/>
        <v>13412.300000000001</v>
      </c>
    </row>
    <row r="4709" spans="1:5" x14ac:dyDescent="0.25">
      <c r="A4709" s="323" t="s">
        <v>5610</v>
      </c>
      <c r="B4709" s="323" t="s">
        <v>805</v>
      </c>
      <c r="C4709" s="323">
        <v>41850</v>
      </c>
      <c r="D4709" s="323">
        <v>250</v>
      </c>
      <c r="E4709" s="324">
        <f t="shared" si="73"/>
        <v>60965</v>
      </c>
    </row>
    <row r="4710" spans="1:5" x14ac:dyDescent="0.25">
      <c r="A4710" s="323" t="s">
        <v>5624</v>
      </c>
      <c r="B4710" s="323" t="s">
        <v>805</v>
      </c>
      <c r="C4710" s="323">
        <v>41850</v>
      </c>
      <c r="D4710" s="323">
        <v>182</v>
      </c>
      <c r="E4710" s="324">
        <f t="shared" si="73"/>
        <v>44382.520000000004</v>
      </c>
    </row>
    <row r="4711" spans="1:5" x14ac:dyDescent="0.25">
      <c r="A4711" s="323" t="s">
        <v>5634</v>
      </c>
      <c r="B4711" s="323" t="s">
        <v>805</v>
      </c>
      <c r="C4711" s="323">
        <v>41850</v>
      </c>
      <c r="D4711" s="323">
        <v>176</v>
      </c>
      <c r="E4711" s="324">
        <f t="shared" si="73"/>
        <v>42919.360000000001</v>
      </c>
    </row>
    <row r="4712" spans="1:5" x14ac:dyDescent="0.25">
      <c r="A4712" s="323" t="s">
        <v>5649</v>
      </c>
      <c r="B4712" s="323" t="s">
        <v>805</v>
      </c>
      <c r="C4712" s="323">
        <v>41850</v>
      </c>
      <c r="D4712" s="323">
        <v>285</v>
      </c>
      <c r="E4712" s="324">
        <f t="shared" si="73"/>
        <v>69500.100000000006</v>
      </c>
    </row>
    <row r="4713" spans="1:5" x14ac:dyDescent="0.25">
      <c r="A4713" s="323" t="s">
        <v>5669</v>
      </c>
      <c r="B4713" s="323" t="s">
        <v>805</v>
      </c>
      <c r="C4713" s="323">
        <v>41850</v>
      </c>
      <c r="D4713" s="323">
        <v>213</v>
      </c>
      <c r="E4713" s="324">
        <f t="shared" si="73"/>
        <v>51942.18</v>
      </c>
    </row>
    <row r="4714" spans="1:5" x14ac:dyDescent="0.25">
      <c r="A4714" s="323" t="s">
        <v>5727</v>
      </c>
      <c r="B4714" s="323" t="s">
        <v>805</v>
      </c>
      <c r="C4714" s="323">
        <v>41850</v>
      </c>
      <c r="D4714" s="323">
        <v>341</v>
      </c>
      <c r="E4714" s="324">
        <f t="shared" si="73"/>
        <v>83156.260000000009</v>
      </c>
    </row>
    <row r="4715" spans="1:5" x14ac:dyDescent="0.25">
      <c r="A4715" s="323" t="s">
        <v>6522</v>
      </c>
      <c r="B4715" s="323" t="s">
        <v>816</v>
      </c>
      <c r="C4715" s="323">
        <v>41850</v>
      </c>
      <c r="D4715" s="323">
        <v>110</v>
      </c>
      <c r="E4715" s="324">
        <f t="shared" si="73"/>
        <v>40236.9</v>
      </c>
    </row>
    <row r="4716" spans="1:5" x14ac:dyDescent="0.25">
      <c r="A4716" s="323" t="s">
        <v>7287</v>
      </c>
      <c r="B4716" s="323" t="s">
        <v>805</v>
      </c>
      <c r="C4716" s="323">
        <v>41850</v>
      </c>
      <c r="D4716" s="323">
        <v>310</v>
      </c>
      <c r="E4716" s="324">
        <f t="shared" si="73"/>
        <v>75596.600000000006</v>
      </c>
    </row>
    <row r="4717" spans="1:5" x14ac:dyDescent="0.25">
      <c r="A4717" s="323" t="s">
        <v>7475</v>
      </c>
      <c r="B4717" s="323" t="s">
        <v>805</v>
      </c>
      <c r="C4717" s="323">
        <v>41850</v>
      </c>
      <c r="D4717" s="323">
        <v>315</v>
      </c>
      <c r="E4717" s="324">
        <f t="shared" si="73"/>
        <v>76815.900000000009</v>
      </c>
    </row>
    <row r="4718" spans="1:5" x14ac:dyDescent="0.25">
      <c r="A4718" s="323" t="s">
        <v>3392</v>
      </c>
      <c r="B4718" s="323" t="s">
        <v>805</v>
      </c>
      <c r="C4718" s="323">
        <v>41851</v>
      </c>
      <c r="D4718" s="323">
        <v>82</v>
      </c>
      <c r="E4718" s="324">
        <f t="shared" si="73"/>
        <v>19996.52</v>
      </c>
    </row>
    <row r="4719" spans="1:5" x14ac:dyDescent="0.25">
      <c r="A4719" s="323" t="s">
        <v>3392</v>
      </c>
      <c r="B4719" s="323" t="s">
        <v>805</v>
      </c>
      <c r="C4719" s="323">
        <v>41851</v>
      </c>
      <c r="D4719" s="323">
        <v>24</v>
      </c>
      <c r="E4719" s="324">
        <f t="shared" si="73"/>
        <v>5852.64</v>
      </c>
    </row>
    <row r="4720" spans="1:5" x14ac:dyDescent="0.25">
      <c r="A4720" s="323" t="s">
        <v>3662</v>
      </c>
      <c r="B4720" s="323" t="s">
        <v>805</v>
      </c>
      <c r="C4720" s="323">
        <v>41851</v>
      </c>
      <c r="D4720" s="323">
        <v>127</v>
      </c>
      <c r="E4720" s="324">
        <f t="shared" si="73"/>
        <v>30970.22</v>
      </c>
    </row>
    <row r="4721" spans="1:5" x14ac:dyDescent="0.25">
      <c r="A4721" s="323" t="s">
        <v>3672</v>
      </c>
      <c r="B4721" s="323" t="s">
        <v>805</v>
      </c>
      <c r="C4721" s="323">
        <v>41851</v>
      </c>
      <c r="D4721" s="323">
        <v>208</v>
      </c>
      <c r="E4721" s="324">
        <f t="shared" si="73"/>
        <v>50722.880000000005</v>
      </c>
    </row>
    <row r="4722" spans="1:5" x14ac:dyDescent="0.25">
      <c r="A4722" s="323" t="s">
        <v>3894</v>
      </c>
      <c r="B4722" s="323" t="s">
        <v>805</v>
      </c>
      <c r="C4722" s="323">
        <v>41851</v>
      </c>
      <c r="D4722" s="323">
        <v>130</v>
      </c>
      <c r="E4722" s="324">
        <f t="shared" si="73"/>
        <v>31701.800000000003</v>
      </c>
    </row>
    <row r="4723" spans="1:5" x14ac:dyDescent="0.25">
      <c r="A4723" s="323" t="s">
        <v>3898</v>
      </c>
      <c r="B4723" s="323" t="s">
        <v>805</v>
      </c>
      <c r="C4723" s="323">
        <v>41851</v>
      </c>
      <c r="D4723" s="323">
        <v>95</v>
      </c>
      <c r="E4723" s="324">
        <f t="shared" si="73"/>
        <v>23166.7</v>
      </c>
    </row>
    <row r="4724" spans="1:5" x14ac:dyDescent="0.25">
      <c r="A4724" s="323" t="s">
        <v>4067</v>
      </c>
      <c r="B4724" s="323" t="s">
        <v>805</v>
      </c>
      <c r="C4724" s="323">
        <v>41851</v>
      </c>
      <c r="D4724" s="323">
        <v>43</v>
      </c>
      <c r="E4724" s="324">
        <f t="shared" si="73"/>
        <v>10485.980000000001</v>
      </c>
    </row>
    <row r="4725" spans="1:5" x14ac:dyDescent="0.25">
      <c r="A4725" s="323" t="s">
        <v>4320</v>
      </c>
      <c r="B4725" s="323" t="s">
        <v>805</v>
      </c>
      <c r="C4725" s="323">
        <v>41851</v>
      </c>
      <c r="D4725" s="323">
        <v>175</v>
      </c>
      <c r="E4725" s="324">
        <f t="shared" si="73"/>
        <v>42675.5</v>
      </c>
    </row>
    <row r="4726" spans="1:5" x14ac:dyDescent="0.25">
      <c r="A4726" s="323" t="s">
        <v>4323</v>
      </c>
      <c r="B4726" s="323" t="s">
        <v>805</v>
      </c>
      <c r="C4726" s="323">
        <v>41851</v>
      </c>
      <c r="D4726" s="323">
        <v>55</v>
      </c>
      <c r="E4726" s="324">
        <f t="shared" si="73"/>
        <v>13412.300000000001</v>
      </c>
    </row>
    <row r="4727" spans="1:5" x14ac:dyDescent="0.25">
      <c r="A4727" s="323" t="s">
        <v>4434</v>
      </c>
      <c r="B4727" s="323" t="s">
        <v>805</v>
      </c>
      <c r="C4727" s="323">
        <v>41851</v>
      </c>
      <c r="D4727" s="323">
        <v>106</v>
      </c>
      <c r="E4727" s="324">
        <f t="shared" si="73"/>
        <v>25849.16</v>
      </c>
    </row>
    <row r="4728" spans="1:5" x14ac:dyDescent="0.25">
      <c r="A4728" s="323" t="s">
        <v>4628</v>
      </c>
      <c r="B4728" s="323" t="s">
        <v>805</v>
      </c>
      <c r="C4728" s="323">
        <v>41851</v>
      </c>
      <c r="D4728" s="323">
        <v>328</v>
      </c>
      <c r="E4728" s="324">
        <f t="shared" si="73"/>
        <v>79986.080000000002</v>
      </c>
    </row>
    <row r="4729" spans="1:5" x14ac:dyDescent="0.25">
      <c r="A4729" s="323" t="s">
        <v>6199</v>
      </c>
      <c r="B4729" s="323" t="s">
        <v>805</v>
      </c>
      <c r="C4729" s="323">
        <v>41851</v>
      </c>
      <c r="D4729" s="323">
        <v>330</v>
      </c>
      <c r="E4729" s="324">
        <f t="shared" si="73"/>
        <v>80473.8</v>
      </c>
    </row>
    <row r="4730" spans="1:5" x14ac:dyDescent="0.25">
      <c r="A4730" s="323" t="s">
        <v>6217</v>
      </c>
      <c r="B4730" s="323" t="s">
        <v>805</v>
      </c>
      <c r="C4730" s="323">
        <v>41851</v>
      </c>
      <c r="D4730" s="323">
        <v>508</v>
      </c>
      <c r="E4730" s="324">
        <f t="shared" si="73"/>
        <v>123880.88</v>
      </c>
    </row>
    <row r="4731" spans="1:5" x14ac:dyDescent="0.25">
      <c r="A4731" s="323" t="s">
        <v>6234</v>
      </c>
      <c r="B4731" s="323" t="s">
        <v>805</v>
      </c>
      <c r="C4731" s="323">
        <v>41851</v>
      </c>
      <c r="D4731" s="323">
        <v>303</v>
      </c>
      <c r="E4731" s="324">
        <f t="shared" si="73"/>
        <v>73889.58</v>
      </c>
    </row>
    <row r="4732" spans="1:5" x14ac:dyDescent="0.25">
      <c r="A4732" s="323" t="s">
        <v>5616</v>
      </c>
      <c r="B4732" s="323" t="s">
        <v>809</v>
      </c>
      <c r="C4732" s="323">
        <v>41852</v>
      </c>
      <c r="D4732" s="323">
        <v>96</v>
      </c>
      <c r="E4732" s="324">
        <f t="shared" si="73"/>
        <v>46821.120000000003</v>
      </c>
    </row>
    <row r="4733" spans="1:5" x14ac:dyDescent="0.25">
      <c r="A4733" s="323" t="s">
        <v>5616</v>
      </c>
      <c r="B4733" s="323" t="s">
        <v>809</v>
      </c>
      <c r="C4733" s="323">
        <v>41852</v>
      </c>
      <c r="D4733" s="323">
        <v>54</v>
      </c>
      <c r="E4733" s="324">
        <f t="shared" si="73"/>
        <v>26336.880000000001</v>
      </c>
    </row>
    <row r="4734" spans="1:5" x14ac:dyDescent="0.25">
      <c r="A4734" s="323" t="s">
        <v>5616</v>
      </c>
      <c r="B4734" s="323" t="s">
        <v>803</v>
      </c>
      <c r="C4734" s="323">
        <v>41852</v>
      </c>
      <c r="D4734" s="323">
        <v>77</v>
      </c>
      <c r="E4734" s="324">
        <f t="shared" si="73"/>
        <v>37554.44</v>
      </c>
    </row>
    <row r="4735" spans="1:5" x14ac:dyDescent="0.25">
      <c r="A4735" s="323" t="s">
        <v>5627</v>
      </c>
      <c r="B4735" s="323" t="s">
        <v>816</v>
      </c>
      <c r="C4735" s="323">
        <v>41852</v>
      </c>
      <c r="D4735" s="323">
        <v>17</v>
      </c>
      <c r="E4735" s="324">
        <f t="shared" si="73"/>
        <v>6218.43</v>
      </c>
    </row>
    <row r="4736" spans="1:5" x14ac:dyDescent="0.25">
      <c r="A4736" s="323" t="s">
        <v>5985</v>
      </c>
      <c r="B4736" s="323" t="s">
        <v>816</v>
      </c>
      <c r="C4736" s="323">
        <v>41852</v>
      </c>
      <c r="D4736" s="323">
        <v>157</v>
      </c>
      <c r="E4736" s="324">
        <f t="shared" si="73"/>
        <v>57429.030000000006</v>
      </c>
    </row>
    <row r="4737" spans="1:5" x14ac:dyDescent="0.25">
      <c r="A4737" s="323" t="s">
        <v>6179</v>
      </c>
      <c r="B4737" s="323" t="s">
        <v>805</v>
      </c>
      <c r="C4737" s="323">
        <v>41852</v>
      </c>
      <c r="D4737" s="323">
        <v>204</v>
      </c>
      <c r="E4737" s="324">
        <f t="shared" si="73"/>
        <v>49747.44</v>
      </c>
    </row>
    <row r="4738" spans="1:5" x14ac:dyDescent="0.25">
      <c r="A4738" s="323" t="s">
        <v>6235</v>
      </c>
      <c r="B4738" s="323" t="s">
        <v>805</v>
      </c>
      <c r="C4738" s="323">
        <v>41852</v>
      </c>
      <c r="D4738" s="323">
        <v>185</v>
      </c>
      <c r="E4738" s="324">
        <f t="shared" ref="E4738:E4801" si="74">D4738*IF(B4738=$G$9,WerkdrukbedragPerLeerlingBo,IF(B4738=$G$10,WerkdrukbedragPerLeerlingSbo,IF(B4738=$G$11,WerkdrukbedragPerLeerlingSo,IF(B4738=$G$12,WerkdrukbedragPerLeerlingVso,0))))</f>
        <v>45114.100000000006</v>
      </c>
    </row>
    <row r="4739" spans="1:5" x14ac:dyDescent="0.25">
      <c r="A4739" s="323" t="s">
        <v>6251</v>
      </c>
      <c r="B4739" s="323" t="s">
        <v>805</v>
      </c>
      <c r="C4739" s="323">
        <v>41852</v>
      </c>
      <c r="D4739" s="323">
        <v>230</v>
      </c>
      <c r="E4739" s="324">
        <f t="shared" si="74"/>
        <v>56087.8</v>
      </c>
    </row>
    <row r="4740" spans="1:5" x14ac:dyDescent="0.25">
      <c r="A4740" s="323" t="s">
        <v>6263</v>
      </c>
      <c r="B4740" s="323" t="s">
        <v>805</v>
      </c>
      <c r="C4740" s="323">
        <v>41852</v>
      </c>
      <c r="D4740" s="323">
        <v>110</v>
      </c>
      <c r="E4740" s="324">
        <f t="shared" si="74"/>
        <v>26824.600000000002</v>
      </c>
    </row>
    <row r="4741" spans="1:5" x14ac:dyDescent="0.25">
      <c r="A4741" s="323" t="s">
        <v>6285</v>
      </c>
      <c r="B4741" s="323" t="s">
        <v>805</v>
      </c>
      <c r="C4741" s="323">
        <v>41852</v>
      </c>
      <c r="D4741" s="323">
        <v>97</v>
      </c>
      <c r="E4741" s="324">
        <f t="shared" si="74"/>
        <v>23654.420000000002</v>
      </c>
    </row>
    <row r="4742" spans="1:5" x14ac:dyDescent="0.25">
      <c r="A4742" s="323" t="s">
        <v>6289</v>
      </c>
      <c r="B4742" s="323" t="s">
        <v>805</v>
      </c>
      <c r="C4742" s="323">
        <v>41852</v>
      </c>
      <c r="D4742" s="323">
        <v>508</v>
      </c>
      <c r="E4742" s="324">
        <f t="shared" si="74"/>
        <v>123880.88</v>
      </c>
    </row>
    <row r="4743" spans="1:5" x14ac:dyDescent="0.25">
      <c r="A4743" s="323" t="s">
        <v>6309</v>
      </c>
      <c r="B4743" s="323" t="s">
        <v>805</v>
      </c>
      <c r="C4743" s="323">
        <v>41852</v>
      </c>
      <c r="D4743" s="323">
        <v>198</v>
      </c>
      <c r="E4743" s="324">
        <f t="shared" si="74"/>
        <v>48284.280000000006</v>
      </c>
    </row>
    <row r="4744" spans="1:5" x14ac:dyDescent="0.25">
      <c r="A4744" s="323" t="s">
        <v>6325</v>
      </c>
      <c r="B4744" s="323" t="s">
        <v>805</v>
      </c>
      <c r="C4744" s="323">
        <v>41852</v>
      </c>
      <c r="D4744" s="323">
        <v>40</v>
      </c>
      <c r="E4744" s="324">
        <f t="shared" si="74"/>
        <v>9754.4000000000015</v>
      </c>
    </row>
    <row r="4745" spans="1:5" x14ac:dyDescent="0.25">
      <c r="A4745" s="323" t="s">
        <v>6330</v>
      </c>
      <c r="B4745" s="323" t="s">
        <v>805</v>
      </c>
      <c r="C4745" s="323">
        <v>41852</v>
      </c>
      <c r="D4745" s="323">
        <v>314</v>
      </c>
      <c r="E4745" s="324">
        <f t="shared" si="74"/>
        <v>76572.040000000008</v>
      </c>
    </row>
    <row r="4746" spans="1:5" x14ac:dyDescent="0.25">
      <c r="A4746" s="323" t="s">
        <v>6345</v>
      </c>
      <c r="B4746" s="323" t="s">
        <v>805</v>
      </c>
      <c r="C4746" s="323">
        <v>41852</v>
      </c>
      <c r="D4746" s="323">
        <v>276</v>
      </c>
      <c r="E4746" s="324">
        <f t="shared" si="74"/>
        <v>67305.36</v>
      </c>
    </row>
    <row r="4747" spans="1:5" x14ac:dyDescent="0.25">
      <c r="A4747" s="323" t="s">
        <v>6352</v>
      </c>
      <c r="B4747" s="323" t="s">
        <v>805</v>
      </c>
      <c r="C4747" s="323">
        <v>41852</v>
      </c>
      <c r="D4747" s="323">
        <v>458</v>
      </c>
      <c r="E4747" s="324">
        <f t="shared" si="74"/>
        <v>111687.88</v>
      </c>
    </row>
    <row r="4748" spans="1:5" x14ac:dyDescent="0.25">
      <c r="A4748" s="323" t="s">
        <v>6358</v>
      </c>
      <c r="B4748" s="323" t="s">
        <v>805</v>
      </c>
      <c r="C4748" s="323">
        <v>41852</v>
      </c>
      <c r="D4748" s="323">
        <v>143</v>
      </c>
      <c r="E4748" s="324">
        <f t="shared" si="74"/>
        <v>34871.980000000003</v>
      </c>
    </row>
    <row r="4749" spans="1:5" x14ac:dyDescent="0.25">
      <c r="A4749" s="323" t="s">
        <v>6358</v>
      </c>
      <c r="B4749" s="323" t="s">
        <v>805</v>
      </c>
      <c r="C4749" s="323">
        <v>41852</v>
      </c>
      <c r="D4749" s="323">
        <v>215</v>
      </c>
      <c r="E4749" s="324">
        <f t="shared" si="74"/>
        <v>52429.9</v>
      </c>
    </row>
    <row r="4750" spans="1:5" x14ac:dyDescent="0.25">
      <c r="A4750" s="323" t="s">
        <v>6361</v>
      </c>
      <c r="B4750" s="323" t="s">
        <v>805</v>
      </c>
      <c r="C4750" s="323">
        <v>41852</v>
      </c>
      <c r="D4750" s="323">
        <v>221</v>
      </c>
      <c r="E4750" s="324">
        <f t="shared" si="74"/>
        <v>53893.060000000005</v>
      </c>
    </row>
    <row r="4751" spans="1:5" x14ac:dyDescent="0.25">
      <c r="A4751" s="323" t="s">
        <v>6366</v>
      </c>
      <c r="B4751" s="323" t="s">
        <v>805</v>
      </c>
      <c r="C4751" s="323">
        <v>41852</v>
      </c>
      <c r="D4751" s="323">
        <v>119</v>
      </c>
      <c r="E4751" s="324">
        <f t="shared" si="74"/>
        <v>29019.34</v>
      </c>
    </row>
    <row r="4752" spans="1:5" x14ac:dyDescent="0.25">
      <c r="A4752" s="323" t="s">
        <v>6372</v>
      </c>
      <c r="B4752" s="323" t="s">
        <v>805</v>
      </c>
      <c r="C4752" s="323">
        <v>41852</v>
      </c>
      <c r="D4752" s="323">
        <v>335</v>
      </c>
      <c r="E4752" s="324">
        <f t="shared" si="74"/>
        <v>81693.100000000006</v>
      </c>
    </row>
    <row r="4753" spans="1:5" x14ac:dyDescent="0.25">
      <c r="A4753" s="323" t="s">
        <v>6381</v>
      </c>
      <c r="B4753" s="323" t="s">
        <v>805</v>
      </c>
      <c r="C4753" s="323">
        <v>41852</v>
      </c>
      <c r="D4753" s="323">
        <v>299</v>
      </c>
      <c r="E4753" s="324">
        <f t="shared" si="74"/>
        <v>72914.14</v>
      </c>
    </row>
    <row r="4754" spans="1:5" x14ac:dyDescent="0.25">
      <c r="A4754" s="323" t="s">
        <v>6384</v>
      </c>
      <c r="B4754" s="323" t="s">
        <v>805</v>
      </c>
      <c r="C4754" s="323">
        <v>41852</v>
      </c>
      <c r="D4754" s="323">
        <v>595</v>
      </c>
      <c r="E4754" s="324">
        <f t="shared" si="74"/>
        <v>145096.70000000001</v>
      </c>
    </row>
    <row r="4755" spans="1:5" x14ac:dyDescent="0.25">
      <c r="A4755" s="323" t="s">
        <v>6387</v>
      </c>
      <c r="B4755" s="323" t="s">
        <v>805</v>
      </c>
      <c r="C4755" s="323">
        <v>41852</v>
      </c>
      <c r="D4755" s="323">
        <v>442</v>
      </c>
      <c r="E4755" s="324">
        <f t="shared" si="74"/>
        <v>107786.12000000001</v>
      </c>
    </row>
    <row r="4756" spans="1:5" x14ac:dyDescent="0.25">
      <c r="A4756" s="323" t="s">
        <v>6397</v>
      </c>
      <c r="B4756" s="323" t="s">
        <v>805</v>
      </c>
      <c r="C4756" s="323">
        <v>41852</v>
      </c>
      <c r="D4756" s="323">
        <v>278</v>
      </c>
      <c r="E4756" s="324">
        <f t="shared" si="74"/>
        <v>67793.08</v>
      </c>
    </row>
    <row r="4757" spans="1:5" x14ac:dyDescent="0.25">
      <c r="A4757" s="323" t="s">
        <v>7169</v>
      </c>
      <c r="B4757" s="323" t="s">
        <v>805</v>
      </c>
      <c r="C4757" s="323">
        <v>41852</v>
      </c>
      <c r="D4757" s="323">
        <v>139</v>
      </c>
      <c r="E4757" s="324">
        <f t="shared" si="74"/>
        <v>33896.54</v>
      </c>
    </row>
    <row r="4758" spans="1:5" x14ac:dyDescent="0.25">
      <c r="A4758" s="323" t="s">
        <v>7327</v>
      </c>
      <c r="B4758" s="323" t="s">
        <v>805</v>
      </c>
      <c r="C4758" s="323">
        <v>41852</v>
      </c>
      <c r="D4758" s="323">
        <v>232</v>
      </c>
      <c r="E4758" s="324">
        <f t="shared" si="74"/>
        <v>56575.520000000004</v>
      </c>
    </row>
    <row r="4759" spans="1:5" x14ac:dyDescent="0.25">
      <c r="A4759" s="323" t="s">
        <v>7404</v>
      </c>
      <c r="B4759" s="323" t="s">
        <v>805</v>
      </c>
      <c r="C4759" s="323">
        <v>41852</v>
      </c>
      <c r="D4759" s="323">
        <v>408</v>
      </c>
      <c r="E4759" s="324">
        <f t="shared" si="74"/>
        <v>99494.88</v>
      </c>
    </row>
    <row r="4760" spans="1:5" x14ac:dyDescent="0.25">
      <c r="A4760" s="323" t="s">
        <v>5399</v>
      </c>
      <c r="B4760" s="323" t="s">
        <v>805</v>
      </c>
      <c r="C4760" s="323">
        <v>41853</v>
      </c>
      <c r="D4760" s="323">
        <v>603</v>
      </c>
      <c r="E4760" s="324">
        <f t="shared" si="74"/>
        <v>147047.58000000002</v>
      </c>
    </row>
    <row r="4761" spans="1:5" x14ac:dyDescent="0.25">
      <c r="A4761" s="323" t="s">
        <v>5424</v>
      </c>
      <c r="B4761" s="323" t="s">
        <v>805</v>
      </c>
      <c r="C4761" s="323">
        <v>41853</v>
      </c>
      <c r="D4761" s="323">
        <v>722</v>
      </c>
      <c r="E4761" s="324">
        <f t="shared" si="74"/>
        <v>176066.92</v>
      </c>
    </row>
    <row r="4762" spans="1:5" x14ac:dyDescent="0.25">
      <c r="A4762" s="323" t="s">
        <v>5451</v>
      </c>
      <c r="B4762" s="323" t="s">
        <v>805</v>
      </c>
      <c r="C4762" s="323">
        <v>41853</v>
      </c>
      <c r="D4762" s="323">
        <v>323</v>
      </c>
      <c r="E4762" s="324">
        <f t="shared" si="74"/>
        <v>78766.78</v>
      </c>
    </row>
    <row r="4763" spans="1:5" x14ac:dyDescent="0.25">
      <c r="A4763" s="323" t="s">
        <v>5506</v>
      </c>
      <c r="B4763" s="323" t="s">
        <v>805</v>
      </c>
      <c r="C4763" s="323">
        <v>41853</v>
      </c>
      <c r="D4763" s="323">
        <v>765</v>
      </c>
      <c r="E4763" s="324">
        <f t="shared" si="74"/>
        <v>186552.90000000002</v>
      </c>
    </row>
    <row r="4764" spans="1:5" x14ac:dyDescent="0.25">
      <c r="A4764" s="323" t="s">
        <v>5525</v>
      </c>
      <c r="B4764" s="323" t="s">
        <v>805</v>
      </c>
      <c r="C4764" s="323">
        <v>41853</v>
      </c>
      <c r="D4764" s="323">
        <v>203</v>
      </c>
      <c r="E4764" s="324">
        <f t="shared" si="74"/>
        <v>49503.58</v>
      </c>
    </row>
    <row r="4765" spans="1:5" x14ac:dyDescent="0.25">
      <c r="A4765" s="323" t="s">
        <v>5542</v>
      </c>
      <c r="B4765" s="323" t="s">
        <v>805</v>
      </c>
      <c r="C4765" s="323">
        <v>41853</v>
      </c>
      <c r="D4765" s="323">
        <v>432</v>
      </c>
      <c r="E4765" s="324">
        <f t="shared" si="74"/>
        <v>105347.52</v>
      </c>
    </row>
    <row r="4766" spans="1:5" x14ac:dyDescent="0.25">
      <c r="A4766" s="323" t="s">
        <v>5569</v>
      </c>
      <c r="B4766" s="323" t="s">
        <v>805</v>
      </c>
      <c r="C4766" s="323">
        <v>41853</v>
      </c>
      <c r="D4766" s="323">
        <v>279</v>
      </c>
      <c r="E4766" s="324">
        <f t="shared" si="74"/>
        <v>68036.94</v>
      </c>
    </row>
    <row r="4767" spans="1:5" x14ac:dyDescent="0.25">
      <c r="A4767" s="323" t="s">
        <v>5587</v>
      </c>
      <c r="B4767" s="323" t="s">
        <v>805</v>
      </c>
      <c r="C4767" s="323">
        <v>41853</v>
      </c>
      <c r="D4767" s="323">
        <v>476</v>
      </c>
      <c r="E4767" s="324">
        <f t="shared" si="74"/>
        <v>116077.36</v>
      </c>
    </row>
    <row r="4768" spans="1:5" x14ac:dyDescent="0.25">
      <c r="A4768" s="323" t="s">
        <v>5603</v>
      </c>
      <c r="B4768" s="323" t="s">
        <v>805</v>
      </c>
      <c r="C4768" s="323">
        <v>41853</v>
      </c>
      <c r="D4768" s="323">
        <v>430</v>
      </c>
      <c r="E4768" s="324">
        <f t="shared" si="74"/>
        <v>104859.8</v>
      </c>
    </row>
    <row r="4769" spans="1:5" x14ac:dyDescent="0.25">
      <c r="A4769" s="323" t="s">
        <v>5614</v>
      </c>
      <c r="B4769" s="323" t="s">
        <v>805</v>
      </c>
      <c r="C4769" s="323">
        <v>41853</v>
      </c>
      <c r="D4769" s="323">
        <v>234</v>
      </c>
      <c r="E4769" s="324">
        <f t="shared" si="74"/>
        <v>57063.240000000005</v>
      </c>
    </row>
    <row r="4770" spans="1:5" x14ac:dyDescent="0.25">
      <c r="A4770" s="323" t="s">
        <v>5626</v>
      </c>
      <c r="B4770" s="323" t="s">
        <v>805</v>
      </c>
      <c r="C4770" s="323">
        <v>41853</v>
      </c>
      <c r="D4770" s="323">
        <v>144</v>
      </c>
      <c r="E4770" s="324">
        <f t="shared" si="74"/>
        <v>35115.840000000004</v>
      </c>
    </row>
    <row r="4771" spans="1:5" x14ac:dyDescent="0.25">
      <c r="A4771" s="323" t="s">
        <v>5645</v>
      </c>
      <c r="B4771" s="323" t="s">
        <v>805</v>
      </c>
      <c r="C4771" s="323">
        <v>41853</v>
      </c>
      <c r="D4771" s="323">
        <v>412</v>
      </c>
      <c r="E4771" s="324">
        <f t="shared" si="74"/>
        <v>100470.32</v>
      </c>
    </row>
    <row r="4772" spans="1:5" x14ac:dyDescent="0.25">
      <c r="A4772" s="323" t="s">
        <v>5645</v>
      </c>
      <c r="B4772" s="323" t="s">
        <v>805</v>
      </c>
      <c r="C4772" s="323">
        <v>41853</v>
      </c>
      <c r="D4772" s="323">
        <v>170</v>
      </c>
      <c r="E4772" s="324">
        <f t="shared" si="74"/>
        <v>41456.200000000004</v>
      </c>
    </row>
    <row r="4773" spans="1:5" x14ac:dyDescent="0.25">
      <c r="A4773" s="323" t="s">
        <v>5700</v>
      </c>
      <c r="B4773" s="323" t="s">
        <v>805</v>
      </c>
      <c r="C4773" s="323">
        <v>41853</v>
      </c>
      <c r="D4773" s="323">
        <v>466</v>
      </c>
      <c r="E4773" s="324">
        <f t="shared" si="74"/>
        <v>113638.76000000001</v>
      </c>
    </row>
    <row r="4774" spans="1:5" x14ac:dyDescent="0.25">
      <c r="A4774" s="323" t="s">
        <v>5700</v>
      </c>
      <c r="B4774" s="323" t="s">
        <v>805</v>
      </c>
      <c r="C4774" s="323">
        <v>41853</v>
      </c>
      <c r="D4774" s="323">
        <v>154</v>
      </c>
      <c r="E4774" s="324">
        <f t="shared" si="74"/>
        <v>37554.44</v>
      </c>
    </row>
    <row r="4775" spans="1:5" x14ac:dyDescent="0.25">
      <c r="A4775" s="323" t="s">
        <v>5720</v>
      </c>
      <c r="B4775" s="323" t="s">
        <v>805</v>
      </c>
      <c r="C4775" s="323">
        <v>41853</v>
      </c>
      <c r="D4775" s="323">
        <v>147</v>
      </c>
      <c r="E4775" s="324">
        <f t="shared" si="74"/>
        <v>35847.420000000006</v>
      </c>
    </row>
    <row r="4776" spans="1:5" x14ac:dyDescent="0.25">
      <c r="A4776" s="323" t="s">
        <v>5730</v>
      </c>
      <c r="B4776" s="323" t="s">
        <v>805</v>
      </c>
      <c r="C4776" s="323">
        <v>41853</v>
      </c>
      <c r="D4776" s="323">
        <v>374</v>
      </c>
      <c r="E4776" s="324">
        <f t="shared" si="74"/>
        <v>91203.64</v>
      </c>
    </row>
    <row r="4777" spans="1:5" x14ac:dyDescent="0.25">
      <c r="A4777" s="323" t="s">
        <v>6101</v>
      </c>
      <c r="B4777" s="323" t="s">
        <v>816</v>
      </c>
      <c r="C4777" s="323">
        <v>41853</v>
      </c>
      <c r="D4777" s="323">
        <v>82</v>
      </c>
      <c r="E4777" s="324">
        <f t="shared" si="74"/>
        <v>29994.780000000002</v>
      </c>
    </row>
    <row r="4778" spans="1:5" x14ac:dyDescent="0.25">
      <c r="A4778" s="323" t="s">
        <v>6126</v>
      </c>
      <c r="B4778" s="323" t="s">
        <v>809</v>
      </c>
      <c r="C4778" s="323">
        <v>41853</v>
      </c>
      <c r="D4778" s="323">
        <v>37</v>
      </c>
      <c r="E4778" s="324">
        <f t="shared" si="74"/>
        <v>18045.64</v>
      </c>
    </row>
    <row r="4779" spans="1:5" x14ac:dyDescent="0.25">
      <c r="A4779" s="323" t="s">
        <v>6126</v>
      </c>
      <c r="B4779" s="323" t="s">
        <v>803</v>
      </c>
      <c r="C4779" s="323">
        <v>41853</v>
      </c>
      <c r="D4779" s="323">
        <v>85</v>
      </c>
      <c r="E4779" s="324">
        <f t="shared" si="74"/>
        <v>41456.200000000004</v>
      </c>
    </row>
    <row r="4780" spans="1:5" x14ac:dyDescent="0.25">
      <c r="A4780" s="323" t="s">
        <v>6126</v>
      </c>
      <c r="B4780" s="323" t="s">
        <v>809</v>
      </c>
      <c r="C4780" s="323">
        <v>41853</v>
      </c>
      <c r="D4780" s="323">
        <v>55</v>
      </c>
      <c r="E4780" s="324">
        <f t="shared" si="74"/>
        <v>26824.600000000002</v>
      </c>
    </row>
    <row r="4781" spans="1:5" x14ac:dyDescent="0.25">
      <c r="A4781" s="323" t="s">
        <v>6172</v>
      </c>
      <c r="B4781" s="323" t="s">
        <v>809</v>
      </c>
      <c r="C4781" s="323">
        <v>41853</v>
      </c>
      <c r="D4781" s="323">
        <v>100</v>
      </c>
      <c r="E4781" s="324">
        <f t="shared" si="74"/>
        <v>48772</v>
      </c>
    </row>
    <row r="4782" spans="1:5" x14ac:dyDescent="0.25">
      <c r="A4782" s="323" t="s">
        <v>6172</v>
      </c>
      <c r="B4782" s="323" t="s">
        <v>803</v>
      </c>
      <c r="C4782" s="323">
        <v>41853</v>
      </c>
      <c r="D4782" s="323">
        <v>19</v>
      </c>
      <c r="E4782" s="324">
        <f t="shared" si="74"/>
        <v>9266.68</v>
      </c>
    </row>
    <row r="4783" spans="1:5" x14ac:dyDescent="0.25">
      <c r="A4783" s="323" t="s">
        <v>6247</v>
      </c>
      <c r="B4783" s="323" t="s">
        <v>816</v>
      </c>
      <c r="C4783" s="323">
        <v>41853</v>
      </c>
      <c r="D4783" s="323">
        <v>41</v>
      </c>
      <c r="E4783" s="324">
        <f t="shared" si="74"/>
        <v>14997.390000000001</v>
      </c>
    </row>
    <row r="4784" spans="1:5" x14ac:dyDescent="0.25">
      <c r="A4784" s="323" t="s">
        <v>6262</v>
      </c>
      <c r="B4784" s="323" t="s">
        <v>816</v>
      </c>
      <c r="C4784" s="323">
        <v>41853</v>
      </c>
      <c r="D4784" s="323">
        <v>154</v>
      </c>
      <c r="E4784" s="324">
        <f t="shared" si="74"/>
        <v>56331.66</v>
      </c>
    </row>
    <row r="4785" spans="1:5" x14ac:dyDescent="0.25">
      <c r="A4785" s="323" t="s">
        <v>1428</v>
      </c>
      <c r="B4785" s="323" t="s">
        <v>805</v>
      </c>
      <c r="C4785" s="323">
        <v>41856</v>
      </c>
      <c r="D4785" s="323">
        <v>78</v>
      </c>
      <c r="E4785" s="324">
        <f t="shared" si="74"/>
        <v>19021.080000000002</v>
      </c>
    </row>
    <row r="4786" spans="1:5" x14ac:dyDescent="0.25">
      <c r="A4786" s="323" t="s">
        <v>1440</v>
      </c>
      <c r="B4786" s="323" t="s">
        <v>805</v>
      </c>
      <c r="C4786" s="323">
        <v>41856</v>
      </c>
      <c r="D4786" s="323">
        <v>134</v>
      </c>
      <c r="E4786" s="324">
        <f t="shared" si="74"/>
        <v>32677.24</v>
      </c>
    </row>
    <row r="4787" spans="1:5" x14ac:dyDescent="0.25">
      <c r="A4787" s="323" t="s">
        <v>1938</v>
      </c>
      <c r="B4787" s="323" t="s">
        <v>805</v>
      </c>
      <c r="C4787" s="323">
        <v>41856</v>
      </c>
      <c r="D4787" s="323">
        <v>83</v>
      </c>
      <c r="E4787" s="324">
        <f t="shared" si="74"/>
        <v>20240.38</v>
      </c>
    </row>
    <row r="4788" spans="1:5" x14ac:dyDescent="0.25">
      <c r="A4788" s="323" t="s">
        <v>2972</v>
      </c>
      <c r="B4788" s="323" t="s">
        <v>805</v>
      </c>
      <c r="C4788" s="323">
        <v>41856</v>
      </c>
      <c r="D4788" s="323">
        <v>55</v>
      </c>
      <c r="E4788" s="324">
        <f t="shared" si="74"/>
        <v>13412.300000000001</v>
      </c>
    </row>
    <row r="4789" spans="1:5" x14ac:dyDescent="0.25">
      <c r="A4789" s="323" t="s">
        <v>3021</v>
      </c>
      <c r="B4789" s="323" t="s">
        <v>805</v>
      </c>
      <c r="C4789" s="323">
        <v>41856</v>
      </c>
      <c r="D4789" s="323">
        <v>75</v>
      </c>
      <c r="E4789" s="324">
        <f t="shared" si="74"/>
        <v>18289.5</v>
      </c>
    </row>
    <row r="4790" spans="1:5" x14ac:dyDescent="0.25">
      <c r="A4790" s="323" t="s">
        <v>3027</v>
      </c>
      <c r="B4790" s="323" t="s">
        <v>805</v>
      </c>
      <c r="C4790" s="323">
        <v>41856</v>
      </c>
      <c r="D4790" s="323">
        <v>125</v>
      </c>
      <c r="E4790" s="324">
        <f t="shared" si="74"/>
        <v>30482.5</v>
      </c>
    </row>
    <row r="4791" spans="1:5" x14ac:dyDescent="0.25">
      <c r="A4791" s="323" t="s">
        <v>3391</v>
      </c>
      <c r="B4791" s="323" t="s">
        <v>805</v>
      </c>
      <c r="C4791" s="323">
        <v>41856</v>
      </c>
      <c r="D4791" s="323">
        <v>26</v>
      </c>
      <c r="E4791" s="324">
        <f t="shared" si="74"/>
        <v>6340.3600000000006</v>
      </c>
    </row>
    <row r="4792" spans="1:5" x14ac:dyDescent="0.25">
      <c r="A4792" s="323" t="s">
        <v>3671</v>
      </c>
      <c r="B4792" s="323" t="s">
        <v>805</v>
      </c>
      <c r="C4792" s="323">
        <v>41856</v>
      </c>
      <c r="D4792" s="323">
        <v>80</v>
      </c>
      <c r="E4792" s="324">
        <f t="shared" si="74"/>
        <v>19508.800000000003</v>
      </c>
    </row>
    <row r="4793" spans="1:5" x14ac:dyDescent="0.25">
      <c r="A4793" s="323" t="s">
        <v>4068</v>
      </c>
      <c r="B4793" s="323" t="s">
        <v>805</v>
      </c>
      <c r="C4793" s="323">
        <v>41856</v>
      </c>
      <c r="D4793" s="323">
        <v>114</v>
      </c>
      <c r="E4793" s="324">
        <f t="shared" si="74"/>
        <v>27800.04</v>
      </c>
    </row>
    <row r="4794" spans="1:5" x14ac:dyDescent="0.25">
      <c r="A4794" s="323" t="s">
        <v>4079</v>
      </c>
      <c r="B4794" s="323" t="s">
        <v>805</v>
      </c>
      <c r="C4794" s="323">
        <v>41856</v>
      </c>
      <c r="D4794" s="323">
        <v>171</v>
      </c>
      <c r="E4794" s="324">
        <f t="shared" si="74"/>
        <v>41700.060000000005</v>
      </c>
    </row>
    <row r="4795" spans="1:5" x14ac:dyDescent="0.25">
      <c r="A4795" s="323" t="s">
        <v>4209</v>
      </c>
      <c r="B4795" s="323" t="s">
        <v>805</v>
      </c>
      <c r="C4795" s="323">
        <v>41856</v>
      </c>
      <c r="D4795" s="323">
        <v>70</v>
      </c>
      <c r="E4795" s="324">
        <f t="shared" si="74"/>
        <v>17070.2</v>
      </c>
    </row>
    <row r="4796" spans="1:5" x14ac:dyDescent="0.25">
      <c r="A4796" s="323" t="s">
        <v>4216</v>
      </c>
      <c r="B4796" s="323" t="s">
        <v>805</v>
      </c>
      <c r="C4796" s="323">
        <v>41856</v>
      </c>
      <c r="D4796" s="323">
        <v>134</v>
      </c>
      <c r="E4796" s="324">
        <f t="shared" si="74"/>
        <v>32677.24</v>
      </c>
    </row>
    <row r="4797" spans="1:5" x14ac:dyDescent="0.25">
      <c r="A4797" s="323" t="s">
        <v>4330</v>
      </c>
      <c r="B4797" s="323" t="s">
        <v>805</v>
      </c>
      <c r="C4797" s="323">
        <v>41856</v>
      </c>
      <c r="D4797" s="323">
        <v>43</v>
      </c>
      <c r="E4797" s="324">
        <f t="shared" si="74"/>
        <v>10485.980000000001</v>
      </c>
    </row>
    <row r="4798" spans="1:5" x14ac:dyDescent="0.25">
      <c r="A4798" s="323" t="s">
        <v>4444</v>
      </c>
      <c r="B4798" s="323" t="s">
        <v>805</v>
      </c>
      <c r="C4798" s="323">
        <v>41856</v>
      </c>
      <c r="D4798" s="323">
        <v>29</v>
      </c>
      <c r="E4798" s="324">
        <f t="shared" si="74"/>
        <v>7071.9400000000005</v>
      </c>
    </row>
    <row r="4799" spans="1:5" x14ac:dyDescent="0.25">
      <c r="A4799" s="323" t="s">
        <v>4551</v>
      </c>
      <c r="B4799" s="323" t="s">
        <v>805</v>
      </c>
      <c r="C4799" s="323">
        <v>41856</v>
      </c>
      <c r="D4799" s="323">
        <v>38</v>
      </c>
      <c r="E4799" s="324">
        <f t="shared" si="74"/>
        <v>9266.68</v>
      </c>
    </row>
    <row r="4800" spans="1:5" x14ac:dyDescent="0.25">
      <c r="A4800" s="323" t="s">
        <v>4638</v>
      </c>
      <c r="B4800" s="323" t="s">
        <v>805</v>
      </c>
      <c r="C4800" s="323">
        <v>41856</v>
      </c>
      <c r="D4800" s="323">
        <v>39</v>
      </c>
      <c r="E4800" s="324">
        <f t="shared" si="74"/>
        <v>9510.5400000000009</v>
      </c>
    </row>
    <row r="4801" spans="1:5" x14ac:dyDescent="0.25">
      <c r="A4801" s="323" t="s">
        <v>4707</v>
      </c>
      <c r="B4801" s="323" t="s">
        <v>805</v>
      </c>
      <c r="C4801" s="323">
        <v>41856</v>
      </c>
      <c r="D4801" s="323">
        <v>28</v>
      </c>
      <c r="E4801" s="324">
        <f t="shared" si="74"/>
        <v>6828.08</v>
      </c>
    </row>
    <row r="4802" spans="1:5" x14ac:dyDescent="0.25">
      <c r="A4802" s="323" t="s">
        <v>4777</v>
      </c>
      <c r="B4802" s="323" t="s">
        <v>805</v>
      </c>
      <c r="C4802" s="323">
        <v>41856</v>
      </c>
      <c r="D4802" s="323">
        <v>33</v>
      </c>
      <c r="E4802" s="324">
        <f t="shared" ref="E4802:E4865" si="75">D4802*IF(B4802=$G$9,WerkdrukbedragPerLeerlingBo,IF(B4802=$G$10,WerkdrukbedragPerLeerlingSbo,IF(B4802=$G$11,WerkdrukbedragPerLeerlingSo,IF(B4802=$G$12,WerkdrukbedragPerLeerlingVso,0))))</f>
        <v>8047.38</v>
      </c>
    </row>
    <row r="4803" spans="1:5" x14ac:dyDescent="0.25">
      <c r="A4803" s="323" t="s">
        <v>4837</v>
      </c>
      <c r="B4803" s="323" t="s">
        <v>805</v>
      </c>
      <c r="C4803" s="323">
        <v>41856</v>
      </c>
      <c r="D4803" s="323">
        <v>135</v>
      </c>
      <c r="E4803" s="324">
        <f t="shared" si="75"/>
        <v>32921.1</v>
      </c>
    </row>
    <row r="4804" spans="1:5" x14ac:dyDescent="0.25">
      <c r="A4804" s="323" t="s">
        <v>4884</v>
      </c>
      <c r="B4804" s="323" t="s">
        <v>805</v>
      </c>
      <c r="C4804" s="323">
        <v>41856</v>
      </c>
      <c r="D4804" s="323">
        <v>32</v>
      </c>
      <c r="E4804" s="324">
        <f t="shared" si="75"/>
        <v>7803.52</v>
      </c>
    </row>
    <row r="4805" spans="1:5" x14ac:dyDescent="0.25">
      <c r="A4805" s="323" t="s">
        <v>4928</v>
      </c>
      <c r="B4805" s="323" t="s">
        <v>805</v>
      </c>
      <c r="C4805" s="323">
        <v>41856</v>
      </c>
      <c r="D4805" s="323">
        <v>22</v>
      </c>
      <c r="E4805" s="324">
        <f t="shared" si="75"/>
        <v>5364.92</v>
      </c>
    </row>
    <row r="4806" spans="1:5" x14ac:dyDescent="0.25">
      <c r="A4806" s="323" t="s">
        <v>4969</v>
      </c>
      <c r="B4806" s="323" t="s">
        <v>805</v>
      </c>
      <c r="C4806" s="323">
        <v>41856</v>
      </c>
      <c r="D4806" s="323">
        <v>88</v>
      </c>
      <c r="E4806" s="324">
        <f t="shared" si="75"/>
        <v>21459.68</v>
      </c>
    </row>
    <row r="4807" spans="1:5" x14ac:dyDescent="0.25">
      <c r="A4807" s="323" t="s">
        <v>5006</v>
      </c>
      <c r="B4807" s="323" t="s">
        <v>805</v>
      </c>
      <c r="C4807" s="323">
        <v>41856</v>
      </c>
      <c r="D4807" s="323">
        <v>76</v>
      </c>
      <c r="E4807" s="324">
        <f t="shared" si="75"/>
        <v>18533.36</v>
      </c>
    </row>
    <row r="4808" spans="1:5" x14ac:dyDescent="0.25">
      <c r="A4808" s="323" t="s">
        <v>5044</v>
      </c>
      <c r="B4808" s="323" t="s">
        <v>805</v>
      </c>
      <c r="C4808" s="323">
        <v>41856</v>
      </c>
      <c r="D4808" s="323">
        <v>59</v>
      </c>
      <c r="E4808" s="324">
        <f t="shared" si="75"/>
        <v>14387.740000000002</v>
      </c>
    </row>
    <row r="4809" spans="1:5" x14ac:dyDescent="0.25">
      <c r="A4809" s="323" t="s">
        <v>6920</v>
      </c>
      <c r="B4809" s="323" t="s">
        <v>805</v>
      </c>
      <c r="C4809" s="323">
        <v>41857</v>
      </c>
      <c r="D4809" s="323">
        <v>392</v>
      </c>
      <c r="E4809" s="324">
        <f t="shared" si="75"/>
        <v>95593.12000000001</v>
      </c>
    </row>
    <row r="4810" spans="1:5" x14ac:dyDescent="0.25">
      <c r="A4810" s="323" t="s">
        <v>6923</v>
      </c>
      <c r="B4810" s="323" t="s">
        <v>805</v>
      </c>
      <c r="C4810" s="323">
        <v>41857</v>
      </c>
      <c r="D4810" s="323">
        <v>368</v>
      </c>
      <c r="E4810" s="324">
        <f t="shared" si="75"/>
        <v>89740.48000000001</v>
      </c>
    </row>
    <row r="4811" spans="1:5" x14ac:dyDescent="0.25">
      <c r="A4811" s="323" t="s">
        <v>7280</v>
      </c>
      <c r="B4811" s="323" t="s">
        <v>805</v>
      </c>
      <c r="C4811" s="323">
        <v>41857</v>
      </c>
      <c r="D4811" s="323">
        <v>417</v>
      </c>
      <c r="E4811" s="324">
        <f t="shared" si="75"/>
        <v>101689.62000000001</v>
      </c>
    </row>
    <row r="4812" spans="1:5" x14ac:dyDescent="0.25">
      <c r="A4812" s="323" t="s">
        <v>7281</v>
      </c>
      <c r="B4812" s="323" t="s">
        <v>805</v>
      </c>
      <c r="C4812" s="323">
        <v>41857</v>
      </c>
      <c r="D4812" s="323">
        <v>233</v>
      </c>
      <c r="E4812" s="324">
        <f t="shared" si="75"/>
        <v>56819.380000000005</v>
      </c>
    </row>
    <row r="4813" spans="1:5" x14ac:dyDescent="0.25">
      <c r="A4813" s="323" t="s">
        <v>7345</v>
      </c>
      <c r="B4813" s="323" t="s">
        <v>805</v>
      </c>
      <c r="C4813" s="323">
        <v>41857</v>
      </c>
      <c r="D4813" s="323">
        <v>400</v>
      </c>
      <c r="E4813" s="324">
        <f t="shared" si="75"/>
        <v>97544</v>
      </c>
    </row>
    <row r="4814" spans="1:5" x14ac:dyDescent="0.25">
      <c r="A4814" s="323" t="s">
        <v>7358</v>
      </c>
      <c r="B4814" s="323" t="s">
        <v>805</v>
      </c>
      <c r="C4814" s="323">
        <v>41857</v>
      </c>
      <c r="D4814" s="323">
        <v>381</v>
      </c>
      <c r="E4814" s="324">
        <f t="shared" si="75"/>
        <v>92910.66</v>
      </c>
    </row>
    <row r="4815" spans="1:5" x14ac:dyDescent="0.25">
      <c r="A4815" s="323" t="s">
        <v>4828</v>
      </c>
      <c r="B4815" s="323" t="s">
        <v>805</v>
      </c>
      <c r="C4815" s="323">
        <v>41858</v>
      </c>
      <c r="D4815" s="323">
        <v>305</v>
      </c>
      <c r="E4815" s="324">
        <f t="shared" si="75"/>
        <v>74377.3</v>
      </c>
    </row>
    <row r="4816" spans="1:5" x14ac:dyDescent="0.25">
      <c r="A4816" s="323" t="s">
        <v>4913</v>
      </c>
      <c r="B4816" s="323" t="s">
        <v>805</v>
      </c>
      <c r="C4816" s="323">
        <v>41858</v>
      </c>
      <c r="D4816" s="323">
        <v>258</v>
      </c>
      <c r="E4816" s="324">
        <f t="shared" si="75"/>
        <v>62915.880000000005</v>
      </c>
    </row>
    <row r="4817" spans="1:5" x14ac:dyDescent="0.25">
      <c r="A4817" s="323" t="s">
        <v>4997</v>
      </c>
      <c r="B4817" s="323" t="s">
        <v>805</v>
      </c>
      <c r="C4817" s="323">
        <v>41858</v>
      </c>
      <c r="D4817" s="323">
        <v>260</v>
      </c>
      <c r="E4817" s="324">
        <f t="shared" si="75"/>
        <v>63403.600000000006</v>
      </c>
    </row>
    <row r="4818" spans="1:5" x14ac:dyDescent="0.25">
      <c r="A4818" s="323" t="s">
        <v>5087</v>
      </c>
      <c r="B4818" s="323" t="s">
        <v>805</v>
      </c>
      <c r="C4818" s="323">
        <v>41858</v>
      </c>
      <c r="D4818" s="323">
        <v>194</v>
      </c>
      <c r="E4818" s="324">
        <f t="shared" si="75"/>
        <v>47308.840000000004</v>
      </c>
    </row>
    <row r="4819" spans="1:5" x14ac:dyDescent="0.25">
      <c r="A4819" s="323" t="s">
        <v>5147</v>
      </c>
      <c r="B4819" s="323" t="s">
        <v>805</v>
      </c>
      <c r="C4819" s="323">
        <v>41858</v>
      </c>
      <c r="D4819" s="323">
        <v>187</v>
      </c>
      <c r="E4819" s="324">
        <f t="shared" si="75"/>
        <v>45601.82</v>
      </c>
    </row>
    <row r="4820" spans="1:5" x14ac:dyDescent="0.25">
      <c r="A4820" s="323" t="s">
        <v>5396</v>
      </c>
      <c r="B4820" s="323" t="s">
        <v>805</v>
      </c>
      <c r="C4820" s="323">
        <v>41858</v>
      </c>
      <c r="D4820" s="323">
        <v>176</v>
      </c>
      <c r="E4820" s="324">
        <f t="shared" si="75"/>
        <v>42919.360000000001</v>
      </c>
    </row>
    <row r="4821" spans="1:5" x14ac:dyDescent="0.25">
      <c r="A4821" s="323" t="s">
        <v>5420</v>
      </c>
      <c r="B4821" s="323" t="s">
        <v>805</v>
      </c>
      <c r="C4821" s="323">
        <v>41858</v>
      </c>
      <c r="D4821" s="323">
        <v>220</v>
      </c>
      <c r="E4821" s="324">
        <f t="shared" si="75"/>
        <v>53649.200000000004</v>
      </c>
    </row>
    <row r="4822" spans="1:5" x14ac:dyDescent="0.25">
      <c r="A4822" s="323" t="s">
        <v>2103</v>
      </c>
      <c r="B4822" s="323" t="s">
        <v>805</v>
      </c>
      <c r="C4822" s="323">
        <v>41860</v>
      </c>
      <c r="D4822" s="323">
        <v>112</v>
      </c>
      <c r="E4822" s="324">
        <f t="shared" si="75"/>
        <v>27312.32</v>
      </c>
    </row>
    <row r="4823" spans="1:5" x14ac:dyDescent="0.25">
      <c r="A4823" s="323" t="s">
        <v>2344</v>
      </c>
      <c r="B4823" s="323" t="s">
        <v>805</v>
      </c>
      <c r="C4823" s="323">
        <v>41860</v>
      </c>
      <c r="D4823" s="323">
        <v>160</v>
      </c>
      <c r="E4823" s="324">
        <f t="shared" si="75"/>
        <v>39017.600000000006</v>
      </c>
    </row>
    <row r="4824" spans="1:5" x14ac:dyDescent="0.25">
      <c r="A4824" s="323" t="s">
        <v>2624</v>
      </c>
      <c r="B4824" s="323" t="s">
        <v>805</v>
      </c>
      <c r="C4824" s="323">
        <v>41860</v>
      </c>
      <c r="D4824" s="323">
        <v>153</v>
      </c>
      <c r="E4824" s="324">
        <f t="shared" si="75"/>
        <v>37310.58</v>
      </c>
    </row>
    <row r="4825" spans="1:5" x14ac:dyDescent="0.25">
      <c r="A4825" s="323" t="s">
        <v>2634</v>
      </c>
      <c r="B4825" s="323" t="s">
        <v>805</v>
      </c>
      <c r="C4825" s="323">
        <v>41860</v>
      </c>
      <c r="D4825" s="323">
        <v>170</v>
      </c>
      <c r="E4825" s="324">
        <f t="shared" si="75"/>
        <v>41456.200000000004</v>
      </c>
    </row>
    <row r="4826" spans="1:5" x14ac:dyDescent="0.25">
      <c r="A4826" s="323" t="s">
        <v>2997</v>
      </c>
      <c r="B4826" s="323" t="s">
        <v>805</v>
      </c>
      <c r="C4826" s="323">
        <v>41860</v>
      </c>
      <c r="D4826" s="323">
        <v>403</v>
      </c>
      <c r="E4826" s="324">
        <f t="shared" si="75"/>
        <v>98275.58</v>
      </c>
    </row>
    <row r="4827" spans="1:5" x14ac:dyDescent="0.25">
      <c r="A4827" s="323" t="s">
        <v>3056</v>
      </c>
      <c r="B4827" s="323" t="s">
        <v>805</v>
      </c>
      <c r="C4827" s="323">
        <v>41860</v>
      </c>
      <c r="D4827" s="323">
        <v>121</v>
      </c>
      <c r="E4827" s="324">
        <f t="shared" si="75"/>
        <v>29507.06</v>
      </c>
    </row>
    <row r="4828" spans="1:5" x14ac:dyDescent="0.25">
      <c r="A4828" s="323" t="s">
        <v>3497</v>
      </c>
      <c r="B4828" s="323" t="s">
        <v>805</v>
      </c>
      <c r="C4828" s="323">
        <v>41860</v>
      </c>
      <c r="D4828" s="323">
        <v>178</v>
      </c>
      <c r="E4828" s="324">
        <f t="shared" si="75"/>
        <v>43407.08</v>
      </c>
    </row>
    <row r="4829" spans="1:5" x14ac:dyDescent="0.25">
      <c r="A4829" s="323" t="s">
        <v>6637</v>
      </c>
      <c r="B4829" s="323" t="s">
        <v>805</v>
      </c>
      <c r="C4829" s="323">
        <v>41860</v>
      </c>
      <c r="D4829" s="323">
        <v>264</v>
      </c>
      <c r="E4829" s="324">
        <f t="shared" si="75"/>
        <v>64379.040000000001</v>
      </c>
    </row>
    <row r="4830" spans="1:5" x14ac:dyDescent="0.25">
      <c r="A4830" s="323" t="s">
        <v>6730</v>
      </c>
      <c r="B4830" s="323" t="s">
        <v>805</v>
      </c>
      <c r="C4830" s="323">
        <v>41860</v>
      </c>
      <c r="D4830" s="323">
        <v>144</v>
      </c>
      <c r="E4830" s="324">
        <f t="shared" si="75"/>
        <v>35115.840000000004</v>
      </c>
    </row>
    <row r="4831" spans="1:5" x14ac:dyDescent="0.25">
      <c r="A4831" s="323" t="s">
        <v>6752</v>
      </c>
      <c r="B4831" s="323" t="s">
        <v>805</v>
      </c>
      <c r="C4831" s="323">
        <v>41860</v>
      </c>
      <c r="D4831" s="323">
        <v>257</v>
      </c>
      <c r="E4831" s="324">
        <f t="shared" si="75"/>
        <v>62672.020000000004</v>
      </c>
    </row>
    <row r="4832" spans="1:5" x14ac:dyDescent="0.25">
      <c r="A4832" s="323" t="s">
        <v>6875</v>
      </c>
      <c r="B4832" s="323" t="s">
        <v>805</v>
      </c>
      <c r="C4832" s="323">
        <v>41860</v>
      </c>
      <c r="D4832" s="323">
        <v>439</v>
      </c>
      <c r="E4832" s="324">
        <f t="shared" si="75"/>
        <v>107054.54000000001</v>
      </c>
    </row>
    <row r="4833" spans="1:5" x14ac:dyDescent="0.25">
      <c r="A4833" s="323" t="s">
        <v>6983</v>
      </c>
      <c r="B4833" s="323" t="s">
        <v>805</v>
      </c>
      <c r="C4833" s="323">
        <v>41860</v>
      </c>
      <c r="D4833" s="323">
        <v>273</v>
      </c>
      <c r="E4833" s="324">
        <f t="shared" si="75"/>
        <v>66573.78</v>
      </c>
    </row>
    <row r="4834" spans="1:5" x14ac:dyDescent="0.25">
      <c r="A4834" s="323" t="s">
        <v>7016</v>
      </c>
      <c r="B4834" s="323" t="s">
        <v>805</v>
      </c>
      <c r="C4834" s="323">
        <v>41860</v>
      </c>
      <c r="D4834" s="323">
        <v>139</v>
      </c>
      <c r="E4834" s="324">
        <f t="shared" si="75"/>
        <v>33896.54</v>
      </c>
    </row>
    <row r="4835" spans="1:5" x14ac:dyDescent="0.25">
      <c r="A4835" s="323" t="s">
        <v>7024</v>
      </c>
      <c r="B4835" s="323" t="s">
        <v>805</v>
      </c>
      <c r="C4835" s="323">
        <v>41860</v>
      </c>
      <c r="D4835" s="323">
        <v>228</v>
      </c>
      <c r="E4835" s="324">
        <f t="shared" si="75"/>
        <v>55600.08</v>
      </c>
    </row>
    <row r="4836" spans="1:5" x14ac:dyDescent="0.25">
      <c r="A4836" s="323" t="s">
        <v>7055</v>
      </c>
      <c r="B4836" s="323" t="s">
        <v>805</v>
      </c>
      <c r="C4836" s="323">
        <v>41860</v>
      </c>
      <c r="D4836" s="323">
        <v>117</v>
      </c>
      <c r="E4836" s="324">
        <f t="shared" si="75"/>
        <v>28531.620000000003</v>
      </c>
    </row>
    <row r="4837" spans="1:5" x14ac:dyDescent="0.25">
      <c r="A4837" s="323" t="s">
        <v>5198</v>
      </c>
      <c r="B4837" s="323" t="s">
        <v>805</v>
      </c>
      <c r="C4837" s="323">
        <v>41861</v>
      </c>
      <c r="D4837" s="323">
        <v>39</v>
      </c>
      <c r="E4837" s="324">
        <f t="shared" si="75"/>
        <v>9510.5400000000009</v>
      </c>
    </row>
    <row r="4838" spans="1:5" x14ac:dyDescent="0.25">
      <c r="A4838" s="323" t="s">
        <v>3533</v>
      </c>
      <c r="B4838" s="323" t="s">
        <v>805</v>
      </c>
      <c r="C4838" s="323">
        <v>41862</v>
      </c>
      <c r="D4838" s="323">
        <v>36</v>
      </c>
      <c r="E4838" s="324">
        <f t="shared" si="75"/>
        <v>8778.9600000000009</v>
      </c>
    </row>
    <row r="4839" spans="1:5" x14ac:dyDescent="0.25">
      <c r="A4839" s="323" t="s">
        <v>3793</v>
      </c>
      <c r="B4839" s="323" t="s">
        <v>805</v>
      </c>
      <c r="C4839" s="323">
        <v>41862</v>
      </c>
      <c r="D4839" s="323">
        <v>300</v>
      </c>
      <c r="E4839" s="324">
        <f t="shared" si="75"/>
        <v>73158</v>
      </c>
    </row>
    <row r="4840" spans="1:5" x14ac:dyDescent="0.25">
      <c r="A4840" s="323" t="s">
        <v>3797</v>
      </c>
      <c r="B4840" s="323" t="s">
        <v>805</v>
      </c>
      <c r="C4840" s="323">
        <v>41862</v>
      </c>
      <c r="D4840" s="323">
        <v>183</v>
      </c>
      <c r="E4840" s="324">
        <f t="shared" si="75"/>
        <v>44626.380000000005</v>
      </c>
    </row>
    <row r="4841" spans="1:5" x14ac:dyDescent="0.25">
      <c r="A4841" s="323" t="s">
        <v>3980</v>
      </c>
      <c r="B4841" s="323" t="s">
        <v>805</v>
      </c>
      <c r="C4841" s="323">
        <v>41862</v>
      </c>
      <c r="D4841" s="323">
        <v>179</v>
      </c>
      <c r="E4841" s="324">
        <f t="shared" si="75"/>
        <v>43650.94</v>
      </c>
    </row>
    <row r="4842" spans="1:5" x14ac:dyDescent="0.25">
      <c r="A4842" s="323" t="s">
        <v>3985</v>
      </c>
      <c r="B4842" s="323" t="s">
        <v>805</v>
      </c>
      <c r="C4842" s="323">
        <v>41862</v>
      </c>
      <c r="D4842" s="323">
        <v>272</v>
      </c>
      <c r="E4842" s="324">
        <f t="shared" si="75"/>
        <v>66329.919999999998</v>
      </c>
    </row>
    <row r="4843" spans="1:5" x14ac:dyDescent="0.25">
      <c r="A4843" s="323" t="s">
        <v>5051</v>
      </c>
      <c r="B4843" s="323" t="s">
        <v>805</v>
      </c>
      <c r="C4843" s="323">
        <v>41862</v>
      </c>
      <c r="D4843" s="323">
        <v>145</v>
      </c>
      <c r="E4843" s="324">
        <f t="shared" si="75"/>
        <v>35359.700000000004</v>
      </c>
    </row>
    <row r="4844" spans="1:5" x14ac:dyDescent="0.25">
      <c r="A4844" s="323" t="s">
        <v>5157</v>
      </c>
      <c r="B4844" s="323" t="s">
        <v>805</v>
      </c>
      <c r="C4844" s="323">
        <v>41862</v>
      </c>
      <c r="D4844" s="323">
        <v>202</v>
      </c>
      <c r="E4844" s="324">
        <f t="shared" si="75"/>
        <v>49259.72</v>
      </c>
    </row>
    <row r="4845" spans="1:5" x14ac:dyDescent="0.25">
      <c r="A4845" s="323" t="s">
        <v>5250</v>
      </c>
      <c r="B4845" s="323" t="s">
        <v>805</v>
      </c>
      <c r="C4845" s="323">
        <v>41862</v>
      </c>
      <c r="D4845" s="323">
        <v>82</v>
      </c>
      <c r="E4845" s="324">
        <f t="shared" si="75"/>
        <v>19996.52</v>
      </c>
    </row>
    <row r="4846" spans="1:5" x14ac:dyDescent="0.25">
      <c r="A4846" s="323" t="s">
        <v>5291</v>
      </c>
      <c r="B4846" s="323" t="s">
        <v>805</v>
      </c>
      <c r="C4846" s="323">
        <v>41862</v>
      </c>
      <c r="D4846" s="323">
        <v>253</v>
      </c>
      <c r="E4846" s="324">
        <f t="shared" si="75"/>
        <v>61696.58</v>
      </c>
    </row>
    <row r="4847" spans="1:5" x14ac:dyDescent="0.25">
      <c r="A4847" s="323" t="s">
        <v>5329</v>
      </c>
      <c r="B4847" s="323" t="s">
        <v>805</v>
      </c>
      <c r="C4847" s="323">
        <v>41862</v>
      </c>
      <c r="D4847" s="323">
        <v>182</v>
      </c>
      <c r="E4847" s="324">
        <f t="shared" si="75"/>
        <v>44382.520000000004</v>
      </c>
    </row>
    <row r="4848" spans="1:5" x14ac:dyDescent="0.25">
      <c r="A4848" s="323" t="s">
        <v>5405</v>
      </c>
      <c r="B4848" s="323" t="s">
        <v>805</v>
      </c>
      <c r="C4848" s="323">
        <v>41862</v>
      </c>
      <c r="D4848" s="323">
        <v>408</v>
      </c>
      <c r="E4848" s="324">
        <f t="shared" si="75"/>
        <v>99494.88</v>
      </c>
    </row>
    <row r="4849" spans="1:5" x14ac:dyDescent="0.25">
      <c r="A4849" s="323" t="s">
        <v>5484</v>
      </c>
      <c r="B4849" s="323" t="s">
        <v>805</v>
      </c>
      <c r="C4849" s="323">
        <v>41862</v>
      </c>
      <c r="D4849" s="323">
        <v>250</v>
      </c>
      <c r="E4849" s="324">
        <f t="shared" si="75"/>
        <v>60965</v>
      </c>
    </row>
    <row r="4850" spans="1:5" x14ac:dyDescent="0.25">
      <c r="A4850" s="323" t="s">
        <v>5543</v>
      </c>
      <c r="B4850" s="323" t="s">
        <v>805</v>
      </c>
      <c r="C4850" s="323">
        <v>41862</v>
      </c>
      <c r="D4850" s="323">
        <v>190</v>
      </c>
      <c r="E4850" s="324">
        <f t="shared" si="75"/>
        <v>46333.4</v>
      </c>
    </row>
    <row r="4851" spans="1:5" x14ac:dyDescent="0.25">
      <c r="A4851" s="323" t="s">
        <v>7249</v>
      </c>
      <c r="B4851" s="323" t="s">
        <v>805</v>
      </c>
      <c r="C4851" s="323">
        <v>41862</v>
      </c>
      <c r="D4851" s="323">
        <v>466</v>
      </c>
      <c r="E4851" s="324">
        <f t="shared" si="75"/>
        <v>113638.76000000001</v>
      </c>
    </row>
    <row r="4852" spans="1:5" x14ac:dyDescent="0.25">
      <c r="A4852" s="323" t="s">
        <v>7391</v>
      </c>
      <c r="B4852" s="323" t="s">
        <v>805</v>
      </c>
      <c r="C4852" s="323">
        <v>41862</v>
      </c>
      <c r="D4852" s="323">
        <v>332</v>
      </c>
      <c r="E4852" s="324">
        <f t="shared" si="75"/>
        <v>80961.52</v>
      </c>
    </row>
    <row r="4853" spans="1:5" x14ac:dyDescent="0.25">
      <c r="A4853" s="323" t="s">
        <v>7063</v>
      </c>
      <c r="B4853" s="323" t="s">
        <v>805</v>
      </c>
      <c r="C4853" s="323">
        <v>41863</v>
      </c>
      <c r="D4853" s="323">
        <v>262</v>
      </c>
      <c r="E4853" s="324">
        <f t="shared" si="75"/>
        <v>63891.320000000007</v>
      </c>
    </row>
    <row r="4854" spans="1:5" x14ac:dyDescent="0.25">
      <c r="A4854" s="323" t="s">
        <v>7098</v>
      </c>
      <c r="B4854" s="323" t="s">
        <v>805</v>
      </c>
      <c r="C4854" s="323">
        <v>41863</v>
      </c>
      <c r="D4854" s="323">
        <v>266</v>
      </c>
      <c r="E4854" s="324">
        <f t="shared" si="75"/>
        <v>64866.76</v>
      </c>
    </row>
    <row r="4855" spans="1:5" x14ac:dyDescent="0.25">
      <c r="A4855" s="323" t="s">
        <v>7107</v>
      </c>
      <c r="B4855" s="323" t="s">
        <v>805</v>
      </c>
      <c r="C4855" s="323">
        <v>41863</v>
      </c>
      <c r="D4855" s="323">
        <v>283</v>
      </c>
      <c r="E4855" s="324">
        <f t="shared" si="75"/>
        <v>69012.38</v>
      </c>
    </row>
    <row r="4856" spans="1:5" x14ac:dyDescent="0.25">
      <c r="A4856" s="323" t="s">
        <v>7507</v>
      </c>
      <c r="B4856" s="323" t="s">
        <v>805</v>
      </c>
      <c r="C4856" s="323">
        <v>41863</v>
      </c>
      <c r="D4856" s="323">
        <v>32</v>
      </c>
      <c r="E4856" s="324">
        <f t="shared" si="75"/>
        <v>7803.52</v>
      </c>
    </row>
    <row r="4857" spans="1:5" x14ac:dyDescent="0.25">
      <c r="A4857" s="323" t="s">
        <v>3417</v>
      </c>
      <c r="B4857" s="323" t="s">
        <v>805</v>
      </c>
      <c r="C4857" s="323">
        <v>41866</v>
      </c>
      <c r="D4857" s="323">
        <v>339</v>
      </c>
      <c r="E4857" s="324">
        <f t="shared" si="75"/>
        <v>82668.540000000008</v>
      </c>
    </row>
    <row r="4858" spans="1:5" x14ac:dyDescent="0.25">
      <c r="A4858" s="323" t="s">
        <v>6746</v>
      </c>
      <c r="B4858" s="323" t="s">
        <v>805</v>
      </c>
      <c r="C4858" s="323">
        <v>41866</v>
      </c>
      <c r="D4858" s="323">
        <v>175</v>
      </c>
      <c r="E4858" s="324">
        <f t="shared" si="75"/>
        <v>42675.5</v>
      </c>
    </row>
    <row r="4859" spans="1:5" x14ac:dyDescent="0.25">
      <c r="A4859" s="323" t="s">
        <v>7156</v>
      </c>
      <c r="B4859" s="323" t="s">
        <v>805</v>
      </c>
      <c r="C4859" s="323">
        <v>41866</v>
      </c>
      <c r="D4859" s="323">
        <v>256</v>
      </c>
      <c r="E4859" s="324">
        <f t="shared" si="75"/>
        <v>62428.160000000003</v>
      </c>
    </row>
    <row r="4860" spans="1:5" x14ac:dyDescent="0.25">
      <c r="A4860" s="323" t="s">
        <v>7232</v>
      </c>
      <c r="B4860" s="323" t="s">
        <v>805</v>
      </c>
      <c r="C4860" s="323">
        <v>41866</v>
      </c>
      <c r="D4860" s="323">
        <v>510</v>
      </c>
      <c r="E4860" s="324">
        <f t="shared" si="75"/>
        <v>124368.6</v>
      </c>
    </row>
    <row r="4861" spans="1:5" x14ac:dyDescent="0.25">
      <c r="A4861" s="323" t="s">
        <v>3692</v>
      </c>
      <c r="B4861" s="323" t="s">
        <v>805</v>
      </c>
      <c r="C4861" s="323">
        <v>41868</v>
      </c>
      <c r="D4861" s="323">
        <v>243</v>
      </c>
      <c r="E4861" s="324">
        <f t="shared" si="75"/>
        <v>59257.98</v>
      </c>
    </row>
    <row r="4862" spans="1:5" x14ac:dyDescent="0.25">
      <c r="A4862" s="323" t="s">
        <v>3915</v>
      </c>
      <c r="B4862" s="323" t="s">
        <v>805</v>
      </c>
      <c r="C4862" s="323">
        <v>41868</v>
      </c>
      <c r="D4862" s="323">
        <v>43</v>
      </c>
      <c r="E4862" s="324">
        <f t="shared" si="75"/>
        <v>10485.980000000001</v>
      </c>
    </row>
    <row r="4863" spans="1:5" x14ac:dyDescent="0.25">
      <c r="A4863" s="323" t="s">
        <v>4085</v>
      </c>
      <c r="B4863" s="323" t="s">
        <v>805</v>
      </c>
      <c r="C4863" s="323">
        <v>41868</v>
      </c>
      <c r="D4863" s="323">
        <v>77</v>
      </c>
      <c r="E4863" s="324">
        <f t="shared" si="75"/>
        <v>18777.22</v>
      </c>
    </row>
    <row r="4864" spans="1:5" x14ac:dyDescent="0.25">
      <c r="A4864" s="323" t="s">
        <v>4225</v>
      </c>
      <c r="B4864" s="323" t="s">
        <v>805</v>
      </c>
      <c r="C4864" s="323">
        <v>41868</v>
      </c>
      <c r="D4864" s="323">
        <v>89</v>
      </c>
      <c r="E4864" s="324">
        <f t="shared" si="75"/>
        <v>21703.54</v>
      </c>
    </row>
    <row r="4865" spans="1:5" x14ac:dyDescent="0.25">
      <c r="A4865" s="323" t="s">
        <v>6183</v>
      </c>
      <c r="B4865" s="323" t="s">
        <v>805</v>
      </c>
      <c r="C4865" s="323">
        <v>41868</v>
      </c>
      <c r="D4865" s="323">
        <v>102</v>
      </c>
      <c r="E4865" s="324">
        <f t="shared" si="75"/>
        <v>24873.72</v>
      </c>
    </row>
    <row r="4866" spans="1:5" x14ac:dyDescent="0.25">
      <c r="A4866" s="323" t="s">
        <v>6205</v>
      </c>
      <c r="B4866" s="323" t="s">
        <v>805</v>
      </c>
      <c r="C4866" s="323">
        <v>41868</v>
      </c>
      <c r="D4866" s="323">
        <v>242</v>
      </c>
      <c r="E4866" s="324">
        <f t="shared" ref="E4866:E4929" si="76">D4866*IF(B4866=$G$9,WerkdrukbedragPerLeerlingBo,IF(B4866=$G$10,WerkdrukbedragPerLeerlingSbo,IF(B4866=$G$11,WerkdrukbedragPerLeerlingSo,IF(B4866=$G$12,WerkdrukbedragPerLeerlingVso,0))))</f>
        <v>59014.12</v>
      </c>
    </row>
    <row r="4867" spans="1:5" x14ac:dyDescent="0.25">
      <c r="A4867" s="323" t="s">
        <v>6222</v>
      </c>
      <c r="B4867" s="323" t="s">
        <v>805</v>
      </c>
      <c r="C4867" s="323">
        <v>41868</v>
      </c>
      <c r="D4867" s="323">
        <v>71</v>
      </c>
      <c r="E4867" s="324">
        <f t="shared" si="76"/>
        <v>17314.060000000001</v>
      </c>
    </row>
    <row r="4868" spans="1:5" x14ac:dyDescent="0.25">
      <c r="A4868" s="323" t="s">
        <v>6409</v>
      </c>
      <c r="B4868" s="323" t="s">
        <v>805</v>
      </c>
      <c r="C4868" s="323">
        <v>41868</v>
      </c>
      <c r="D4868" s="323">
        <v>128</v>
      </c>
      <c r="E4868" s="324">
        <f t="shared" si="76"/>
        <v>31214.080000000002</v>
      </c>
    </row>
    <row r="4869" spans="1:5" x14ac:dyDescent="0.25">
      <c r="A4869" s="323" t="s">
        <v>6419</v>
      </c>
      <c r="B4869" s="323" t="s">
        <v>805</v>
      </c>
      <c r="C4869" s="323">
        <v>41868</v>
      </c>
      <c r="D4869" s="323">
        <v>44</v>
      </c>
      <c r="E4869" s="324">
        <f t="shared" si="76"/>
        <v>10729.84</v>
      </c>
    </row>
    <row r="4870" spans="1:5" x14ac:dyDescent="0.25">
      <c r="A4870" s="323" t="s">
        <v>2118</v>
      </c>
      <c r="B4870" s="323" t="s">
        <v>805</v>
      </c>
      <c r="C4870" s="323">
        <v>41869</v>
      </c>
      <c r="D4870" s="323">
        <v>360</v>
      </c>
      <c r="E4870" s="324">
        <f t="shared" si="76"/>
        <v>87789.6</v>
      </c>
    </row>
    <row r="4871" spans="1:5" x14ac:dyDescent="0.25">
      <c r="A4871" s="323" t="s">
        <v>4203</v>
      </c>
      <c r="B4871" s="323" t="s">
        <v>805</v>
      </c>
      <c r="C4871" s="323">
        <v>41869</v>
      </c>
      <c r="D4871" s="323">
        <v>219</v>
      </c>
      <c r="E4871" s="324">
        <f t="shared" si="76"/>
        <v>53405.340000000004</v>
      </c>
    </row>
    <row r="4872" spans="1:5" x14ac:dyDescent="0.25">
      <c r="A4872" s="323" t="s">
        <v>4431</v>
      </c>
      <c r="B4872" s="323" t="s">
        <v>805</v>
      </c>
      <c r="C4872" s="323">
        <v>41869</v>
      </c>
      <c r="D4872" s="323">
        <v>259</v>
      </c>
      <c r="E4872" s="324">
        <f t="shared" si="76"/>
        <v>63159.740000000005</v>
      </c>
    </row>
    <row r="4873" spans="1:5" x14ac:dyDescent="0.25">
      <c r="A4873" s="323" t="s">
        <v>6095</v>
      </c>
      <c r="B4873" s="323" t="s">
        <v>805</v>
      </c>
      <c r="C4873" s="323">
        <v>41869</v>
      </c>
      <c r="D4873" s="323">
        <v>152</v>
      </c>
      <c r="E4873" s="324">
        <f t="shared" si="76"/>
        <v>37066.720000000001</v>
      </c>
    </row>
    <row r="4874" spans="1:5" x14ac:dyDescent="0.25">
      <c r="A4874" s="323" t="s">
        <v>6782</v>
      </c>
      <c r="B4874" s="323" t="s">
        <v>805</v>
      </c>
      <c r="C4874" s="323">
        <v>41869</v>
      </c>
      <c r="D4874" s="323">
        <v>128</v>
      </c>
      <c r="E4874" s="324">
        <f t="shared" si="76"/>
        <v>31214.080000000002</v>
      </c>
    </row>
    <row r="4875" spans="1:5" x14ac:dyDescent="0.25">
      <c r="A4875" s="323" t="s">
        <v>6947</v>
      </c>
      <c r="B4875" s="323" t="s">
        <v>805</v>
      </c>
      <c r="C4875" s="323">
        <v>41869</v>
      </c>
      <c r="D4875" s="323">
        <v>645</v>
      </c>
      <c r="E4875" s="324">
        <f t="shared" si="76"/>
        <v>157289.70000000001</v>
      </c>
    </row>
    <row r="4876" spans="1:5" x14ac:dyDescent="0.25">
      <c r="A4876" s="323" t="s">
        <v>7036</v>
      </c>
      <c r="B4876" s="323" t="s">
        <v>805</v>
      </c>
      <c r="C4876" s="323">
        <v>41869</v>
      </c>
      <c r="D4876" s="323">
        <v>308</v>
      </c>
      <c r="E4876" s="324">
        <f t="shared" si="76"/>
        <v>75108.88</v>
      </c>
    </row>
    <row r="4877" spans="1:5" x14ac:dyDescent="0.25">
      <c r="A4877" s="323" t="s">
        <v>1446</v>
      </c>
      <c r="B4877" s="323" t="s">
        <v>805</v>
      </c>
      <c r="C4877" s="323">
        <v>41871</v>
      </c>
      <c r="D4877" s="323">
        <v>157</v>
      </c>
      <c r="E4877" s="324">
        <f t="shared" si="76"/>
        <v>38286.020000000004</v>
      </c>
    </row>
    <row r="4878" spans="1:5" x14ac:dyDescent="0.25">
      <c r="A4878" s="323" t="s">
        <v>4383</v>
      </c>
      <c r="B4878" s="323" t="s">
        <v>805</v>
      </c>
      <c r="C4878" s="323">
        <v>41871</v>
      </c>
      <c r="D4878" s="323">
        <v>305</v>
      </c>
      <c r="E4878" s="324">
        <f t="shared" si="76"/>
        <v>74377.3</v>
      </c>
    </row>
    <row r="4879" spans="1:5" x14ac:dyDescent="0.25">
      <c r="A4879" s="323" t="s">
        <v>4493</v>
      </c>
      <c r="B4879" s="323" t="s">
        <v>805</v>
      </c>
      <c r="C4879" s="323">
        <v>41871</v>
      </c>
      <c r="D4879" s="323">
        <v>193</v>
      </c>
      <c r="E4879" s="324">
        <f t="shared" si="76"/>
        <v>47064.98</v>
      </c>
    </row>
    <row r="4880" spans="1:5" x14ac:dyDescent="0.25">
      <c r="A4880" s="323" t="s">
        <v>4595</v>
      </c>
      <c r="B4880" s="323" t="s">
        <v>805</v>
      </c>
      <c r="C4880" s="323">
        <v>41871</v>
      </c>
      <c r="D4880" s="323">
        <v>107</v>
      </c>
      <c r="E4880" s="324">
        <f t="shared" si="76"/>
        <v>26093.02</v>
      </c>
    </row>
    <row r="4881" spans="1:5" x14ac:dyDescent="0.25">
      <c r="A4881" s="323" t="s">
        <v>4678</v>
      </c>
      <c r="B4881" s="323" t="s">
        <v>805</v>
      </c>
      <c r="C4881" s="323">
        <v>41871</v>
      </c>
      <c r="D4881" s="323">
        <v>219</v>
      </c>
      <c r="E4881" s="324">
        <f t="shared" si="76"/>
        <v>53405.340000000004</v>
      </c>
    </row>
    <row r="4882" spans="1:5" x14ac:dyDescent="0.25">
      <c r="A4882" s="323" t="s">
        <v>962</v>
      </c>
      <c r="B4882" s="323" t="s">
        <v>816</v>
      </c>
      <c r="C4882" s="323">
        <v>41876</v>
      </c>
      <c r="D4882" s="323">
        <v>176</v>
      </c>
      <c r="E4882" s="324">
        <f t="shared" si="76"/>
        <v>64379.040000000001</v>
      </c>
    </row>
    <row r="4883" spans="1:5" x14ac:dyDescent="0.25">
      <c r="A4883" s="323" t="s">
        <v>3684</v>
      </c>
      <c r="B4883" s="323" t="s">
        <v>805</v>
      </c>
      <c r="C4883" s="323">
        <v>41876</v>
      </c>
      <c r="D4883" s="323">
        <v>206</v>
      </c>
      <c r="E4883" s="324">
        <f t="shared" si="76"/>
        <v>50235.16</v>
      </c>
    </row>
    <row r="4884" spans="1:5" x14ac:dyDescent="0.25">
      <c r="A4884" s="323" t="s">
        <v>4220</v>
      </c>
      <c r="B4884" s="323" t="s">
        <v>805</v>
      </c>
      <c r="C4884" s="323">
        <v>41876</v>
      </c>
      <c r="D4884" s="323">
        <v>148</v>
      </c>
      <c r="E4884" s="324">
        <f t="shared" si="76"/>
        <v>36091.279999999999</v>
      </c>
    </row>
    <row r="4885" spans="1:5" x14ac:dyDescent="0.25">
      <c r="A4885" s="323" t="s">
        <v>4332</v>
      </c>
      <c r="B4885" s="323" t="s">
        <v>805</v>
      </c>
      <c r="C4885" s="323">
        <v>41876</v>
      </c>
      <c r="D4885" s="323">
        <v>291</v>
      </c>
      <c r="E4885" s="324">
        <f t="shared" si="76"/>
        <v>70963.260000000009</v>
      </c>
    </row>
    <row r="4886" spans="1:5" x14ac:dyDescent="0.25">
      <c r="A4886" s="323" t="s">
        <v>4631</v>
      </c>
      <c r="B4886" s="323" t="s">
        <v>805</v>
      </c>
      <c r="C4886" s="323">
        <v>41876</v>
      </c>
      <c r="D4886" s="323">
        <v>205</v>
      </c>
      <c r="E4886" s="324">
        <f t="shared" si="76"/>
        <v>49991.3</v>
      </c>
    </row>
    <row r="4887" spans="1:5" x14ac:dyDescent="0.25">
      <c r="A4887" s="323" t="s">
        <v>4878</v>
      </c>
      <c r="B4887" s="323" t="s">
        <v>805</v>
      </c>
      <c r="C4887" s="323">
        <v>41876</v>
      </c>
      <c r="D4887" s="323">
        <v>304</v>
      </c>
      <c r="E4887" s="324">
        <f t="shared" si="76"/>
        <v>74133.440000000002</v>
      </c>
    </row>
    <row r="4888" spans="1:5" x14ac:dyDescent="0.25">
      <c r="A4888" s="323" t="s">
        <v>4920</v>
      </c>
      <c r="B4888" s="323" t="s">
        <v>805</v>
      </c>
      <c r="C4888" s="323">
        <v>41876</v>
      </c>
      <c r="D4888" s="323">
        <v>225</v>
      </c>
      <c r="E4888" s="324">
        <f t="shared" si="76"/>
        <v>54868.5</v>
      </c>
    </row>
    <row r="4889" spans="1:5" x14ac:dyDescent="0.25">
      <c r="A4889" s="323" t="s">
        <v>7285</v>
      </c>
      <c r="B4889" s="323" t="s">
        <v>805</v>
      </c>
      <c r="C4889" s="323">
        <v>41876</v>
      </c>
      <c r="D4889" s="323">
        <v>232</v>
      </c>
      <c r="E4889" s="324">
        <f t="shared" si="76"/>
        <v>56575.520000000004</v>
      </c>
    </row>
    <row r="4890" spans="1:5" x14ac:dyDescent="0.25">
      <c r="A4890" s="323" t="s">
        <v>3651</v>
      </c>
      <c r="B4890" s="323" t="s">
        <v>805</v>
      </c>
      <c r="C4890" s="323">
        <v>41878</v>
      </c>
      <c r="D4890" s="323">
        <v>78</v>
      </c>
      <c r="E4890" s="324">
        <f t="shared" si="76"/>
        <v>19021.080000000002</v>
      </c>
    </row>
    <row r="4891" spans="1:5" x14ac:dyDescent="0.25">
      <c r="A4891" s="323" t="s">
        <v>4445</v>
      </c>
      <c r="B4891" s="323" t="s">
        <v>805</v>
      </c>
      <c r="C4891" s="323">
        <v>41878</v>
      </c>
      <c r="D4891" s="323">
        <v>35</v>
      </c>
      <c r="E4891" s="324">
        <f t="shared" si="76"/>
        <v>8535.1</v>
      </c>
    </row>
    <row r="4892" spans="1:5" x14ac:dyDescent="0.25">
      <c r="A4892" s="323" t="s">
        <v>4553</v>
      </c>
      <c r="B4892" s="323" t="s">
        <v>805</v>
      </c>
      <c r="C4892" s="323">
        <v>41878</v>
      </c>
      <c r="D4892" s="323">
        <v>89</v>
      </c>
      <c r="E4892" s="324">
        <f t="shared" si="76"/>
        <v>21703.54</v>
      </c>
    </row>
    <row r="4893" spans="1:5" x14ac:dyDescent="0.25">
      <c r="A4893" s="323" t="s">
        <v>4639</v>
      </c>
      <c r="B4893" s="323" t="s">
        <v>805</v>
      </c>
      <c r="C4893" s="323">
        <v>41878</v>
      </c>
      <c r="D4893" s="323">
        <v>149</v>
      </c>
      <c r="E4893" s="324">
        <f t="shared" si="76"/>
        <v>36335.14</v>
      </c>
    </row>
    <row r="4894" spans="1:5" x14ac:dyDescent="0.25">
      <c r="A4894" s="323" t="s">
        <v>6099</v>
      </c>
      <c r="B4894" s="323" t="s">
        <v>805</v>
      </c>
      <c r="C4894" s="323">
        <v>41878</v>
      </c>
      <c r="D4894" s="323">
        <v>111</v>
      </c>
      <c r="E4894" s="324">
        <f t="shared" si="76"/>
        <v>27068.460000000003</v>
      </c>
    </row>
    <row r="4895" spans="1:5" x14ac:dyDescent="0.25">
      <c r="A4895" s="323" t="s">
        <v>6116</v>
      </c>
      <c r="B4895" s="323" t="s">
        <v>805</v>
      </c>
      <c r="C4895" s="323">
        <v>41878</v>
      </c>
      <c r="D4895" s="323">
        <v>116</v>
      </c>
      <c r="E4895" s="324">
        <f t="shared" si="76"/>
        <v>28287.760000000002</v>
      </c>
    </row>
    <row r="4896" spans="1:5" x14ac:dyDescent="0.25">
      <c r="A4896" s="323" t="s">
        <v>6116</v>
      </c>
      <c r="B4896" s="323" t="s">
        <v>805</v>
      </c>
      <c r="C4896" s="323">
        <v>41878</v>
      </c>
      <c r="D4896" s="323">
        <v>120</v>
      </c>
      <c r="E4896" s="324">
        <f t="shared" si="76"/>
        <v>29263.200000000001</v>
      </c>
    </row>
    <row r="4897" spans="1:5" x14ac:dyDescent="0.25">
      <c r="A4897" s="323" t="s">
        <v>6124</v>
      </c>
      <c r="B4897" s="323" t="s">
        <v>805</v>
      </c>
      <c r="C4897" s="323">
        <v>41878</v>
      </c>
      <c r="D4897" s="323">
        <v>81</v>
      </c>
      <c r="E4897" s="324">
        <f t="shared" si="76"/>
        <v>19752.66</v>
      </c>
    </row>
    <row r="4898" spans="1:5" x14ac:dyDescent="0.25">
      <c r="A4898" s="323" t="s">
        <v>925</v>
      </c>
      <c r="B4898" s="323" t="s">
        <v>816</v>
      </c>
      <c r="C4898" s="323">
        <v>41879</v>
      </c>
      <c r="D4898" s="323">
        <v>109</v>
      </c>
      <c r="E4898" s="324">
        <f t="shared" si="76"/>
        <v>39871.11</v>
      </c>
    </row>
    <row r="4899" spans="1:5" x14ac:dyDescent="0.25">
      <c r="A4899" s="323" t="s">
        <v>1383</v>
      </c>
      <c r="B4899" s="323" t="s">
        <v>809</v>
      </c>
      <c r="C4899" s="323">
        <v>41879</v>
      </c>
      <c r="D4899" s="323">
        <v>181</v>
      </c>
      <c r="E4899" s="324">
        <f t="shared" si="76"/>
        <v>88277.32</v>
      </c>
    </row>
    <row r="4900" spans="1:5" x14ac:dyDescent="0.25">
      <c r="A4900" s="323" t="s">
        <v>1383</v>
      </c>
      <c r="B4900" s="323" t="s">
        <v>809</v>
      </c>
      <c r="C4900" s="323">
        <v>41879</v>
      </c>
      <c r="D4900" s="323">
        <v>116</v>
      </c>
      <c r="E4900" s="324">
        <f t="shared" si="76"/>
        <v>56575.520000000004</v>
      </c>
    </row>
    <row r="4901" spans="1:5" x14ac:dyDescent="0.25">
      <c r="A4901" s="323" t="s">
        <v>3506</v>
      </c>
      <c r="B4901" s="323" t="s">
        <v>816</v>
      </c>
      <c r="C4901" s="323">
        <v>41879</v>
      </c>
      <c r="D4901" s="323">
        <v>76</v>
      </c>
      <c r="E4901" s="324">
        <f t="shared" si="76"/>
        <v>27800.04</v>
      </c>
    </row>
    <row r="4902" spans="1:5" x14ac:dyDescent="0.25">
      <c r="A4902" s="323" t="s">
        <v>6498</v>
      </c>
      <c r="B4902" s="323" t="s">
        <v>816</v>
      </c>
      <c r="C4902" s="323">
        <v>41879</v>
      </c>
      <c r="D4902" s="323">
        <v>256</v>
      </c>
      <c r="E4902" s="324">
        <f t="shared" si="76"/>
        <v>93642.240000000005</v>
      </c>
    </row>
    <row r="4903" spans="1:5" x14ac:dyDescent="0.25">
      <c r="A4903" s="323" t="s">
        <v>6918</v>
      </c>
      <c r="B4903" s="323" t="s">
        <v>816</v>
      </c>
      <c r="C4903" s="323">
        <v>41879</v>
      </c>
      <c r="D4903" s="323">
        <v>107</v>
      </c>
      <c r="E4903" s="324">
        <f t="shared" si="76"/>
        <v>39139.53</v>
      </c>
    </row>
    <row r="4904" spans="1:5" x14ac:dyDescent="0.25">
      <c r="A4904" s="323" t="s">
        <v>7397</v>
      </c>
      <c r="B4904" s="323" t="s">
        <v>809</v>
      </c>
      <c r="C4904" s="323">
        <v>41880</v>
      </c>
      <c r="D4904" s="323">
        <v>222</v>
      </c>
      <c r="E4904" s="324">
        <f t="shared" si="76"/>
        <v>108273.84000000001</v>
      </c>
    </row>
    <row r="4905" spans="1:5" x14ac:dyDescent="0.25">
      <c r="A4905" s="323" t="s">
        <v>7397</v>
      </c>
      <c r="B4905" s="323" t="s">
        <v>803</v>
      </c>
      <c r="C4905" s="323">
        <v>41880</v>
      </c>
      <c r="D4905" s="323">
        <v>172</v>
      </c>
      <c r="E4905" s="324">
        <f t="shared" si="76"/>
        <v>83887.840000000011</v>
      </c>
    </row>
    <row r="4906" spans="1:5" x14ac:dyDescent="0.25">
      <c r="A4906" s="323" t="s">
        <v>1477</v>
      </c>
      <c r="B4906" s="323" t="s">
        <v>805</v>
      </c>
      <c r="C4906" s="323">
        <v>41884</v>
      </c>
      <c r="D4906" s="323">
        <v>450</v>
      </c>
      <c r="E4906" s="324">
        <f t="shared" si="76"/>
        <v>109737</v>
      </c>
    </row>
    <row r="4907" spans="1:5" x14ac:dyDescent="0.25">
      <c r="A4907" s="323" t="s">
        <v>7428</v>
      </c>
      <c r="B4907" s="323" t="s">
        <v>805</v>
      </c>
      <c r="C4907" s="323">
        <v>41884</v>
      </c>
      <c r="D4907" s="323">
        <v>371</v>
      </c>
      <c r="E4907" s="324">
        <f t="shared" si="76"/>
        <v>90472.060000000012</v>
      </c>
    </row>
    <row r="4908" spans="1:5" x14ac:dyDescent="0.25">
      <c r="A4908" s="323" t="s">
        <v>3237</v>
      </c>
      <c r="B4908" s="323" t="s">
        <v>805</v>
      </c>
      <c r="C4908" s="323">
        <v>41886</v>
      </c>
      <c r="D4908" s="323">
        <v>134</v>
      </c>
      <c r="E4908" s="324">
        <f t="shared" si="76"/>
        <v>32677.24</v>
      </c>
    </row>
    <row r="4909" spans="1:5" x14ac:dyDescent="0.25">
      <c r="A4909" s="323" t="s">
        <v>3560</v>
      </c>
      <c r="B4909" s="323" t="s">
        <v>805</v>
      </c>
      <c r="C4909" s="323">
        <v>41886</v>
      </c>
      <c r="D4909" s="323">
        <v>159</v>
      </c>
      <c r="E4909" s="324">
        <f t="shared" si="76"/>
        <v>38773.740000000005</v>
      </c>
    </row>
    <row r="4910" spans="1:5" x14ac:dyDescent="0.25">
      <c r="A4910" s="323" t="s">
        <v>3892</v>
      </c>
      <c r="B4910" s="323" t="s">
        <v>805</v>
      </c>
      <c r="C4910" s="323">
        <v>41886</v>
      </c>
      <c r="D4910" s="323">
        <v>444</v>
      </c>
      <c r="E4910" s="324">
        <f t="shared" si="76"/>
        <v>108273.84000000001</v>
      </c>
    </row>
    <row r="4911" spans="1:5" x14ac:dyDescent="0.25">
      <c r="A4911" s="323" t="s">
        <v>4008</v>
      </c>
      <c r="B4911" s="323" t="s">
        <v>805</v>
      </c>
      <c r="C4911" s="323">
        <v>41886</v>
      </c>
      <c r="D4911" s="323">
        <v>128</v>
      </c>
      <c r="E4911" s="324">
        <f t="shared" si="76"/>
        <v>31214.080000000002</v>
      </c>
    </row>
    <row r="4912" spans="1:5" x14ac:dyDescent="0.25">
      <c r="A4912" s="323" t="s">
        <v>4065</v>
      </c>
      <c r="B4912" s="323" t="s">
        <v>805</v>
      </c>
      <c r="C4912" s="323">
        <v>41886</v>
      </c>
      <c r="D4912" s="323">
        <v>195</v>
      </c>
      <c r="E4912" s="324">
        <f t="shared" si="76"/>
        <v>47552.700000000004</v>
      </c>
    </row>
    <row r="4913" spans="1:5" x14ac:dyDescent="0.25">
      <c r="A4913" s="323" t="s">
        <v>4065</v>
      </c>
      <c r="B4913" s="323" t="s">
        <v>805</v>
      </c>
      <c r="C4913" s="323">
        <v>41886</v>
      </c>
      <c r="D4913" s="323">
        <v>106</v>
      </c>
      <c r="E4913" s="324">
        <f t="shared" si="76"/>
        <v>25849.16</v>
      </c>
    </row>
    <row r="4914" spans="1:5" x14ac:dyDescent="0.25">
      <c r="A4914" s="323" t="s">
        <v>4157</v>
      </c>
      <c r="B4914" s="323" t="s">
        <v>805</v>
      </c>
      <c r="C4914" s="323">
        <v>41886</v>
      </c>
      <c r="D4914" s="323">
        <v>182</v>
      </c>
      <c r="E4914" s="324">
        <f t="shared" si="76"/>
        <v>44382.520000000004</v>
      </c>
    </row>
    <row r="4915" spans="1:5" x14ac:dyDescent="0.25">
      <c r="A4915" s="323" t="s">
        <v>4206</v>
      </c>
      <c r="B4915" s="323" t="s">
        <v>805</v>
      </c>
      <c r="C4915" s="323">
        <v>41886</v>
      </c>
      <c r="D4915" s="323">
        <v>199</v>
      </c>
      <c r="E4915" s="324">
        <f t="shared" si="76"/>
        <v>48528.14</v>
      </c>
    </row>
    <row r="4916" spans="1:5" x14ac:dyDescent="0.25">
      <c r="A4916" s="323" t="s">
        <v>4435</v>
      </c>
      <c r="B4916" s="323" t="s">
        <v>805</v>
      </c>
      <c r="C4916" s="323">
        <v>41886</v>
      </c>
      <c r="D4916" s="323">
        <v>105</v>
      </c>
      <c r="E4916" s="324">
        <f t="shared" si="76"/>
        <v>25605.300000000003</v>
      </c>
    </row>
    <row r="4917" spans="1:5" x14ac:dyDescent="0.25">
      <c r="A4917" s="323" t="s">
        <v>6108</v>
      </c>
      <c r="B4917" s="323" t="s">
        <v>805</v>
      </c>
      <c r="C4917" s="323">
        <v>41886</v>
      </c>
      <c r="D4917" s="323">
        <v>252</v>
      </c>
      <c r="E4917" s="324">
        <f t="shared" si="76"/>
        <v>61452.72</v>
      </c>
    </row>
    <row r="4918" spans="1:5" x14ac:dyDescent="0.25">
      <c r="A4918" s="323" t="s">
        <v>6136</v>
      </c>
      <c r="B4918" s="323" t="s">
        <v>805</v>
      </c>
      <c r="C4918" s="323">
        <v>41886</v>
      </c>
      <c r="D4918" s="323">
        <v>146</v>
      </c>
      <c r="E4918" s="324">
        <f t="shared" si="76"/>
        <v>35603.560000000005</v>
      </c>
    </row>
    <row r="4919" spans="1:5" x14ac:dyDescent="0.25">
      <c r="A4919" s="323" t="s">
        <v>7214</v>
      </c>
      <c r="B4919" s="323" t="s">
        <v>805</v>
      </c>
      <c r="C4919" s="323">
        <v>41891</v>
      </c>
      <c r="D4919" s="323">
        <v>365</v>
      </c>
      <c r="E4919" s="324">
        <f t="shared" si="76"/>
        <v>89008.900000000009</v>
      </c>
    </row>
    <row r="4920" spans="1:5" x14ac:dyDescent="0.25">
      <c r="A4920" s="323" t="s">
        <v>3409</v>
      </c>
      <c r="B4920" s="323" t="s">
        <v>805</v>
      </c>
      <c r="C4920" s="323">
        <v>41895</v>
      </c>
      <c r="D4920" s="323">
        <v>34</v>
      </c>
      <c r="E4920" s="324">
        <f t="shared" si="76"/>
        <v>8291.24</v>
      </c>
    </row>
    <row r="4921" spans="1:5" x14ac:dyDescent="0.25">
      <c r="A4921" s="323" t="s">
        <v>3888</v>
      </c>
      <c r="B4921" s="323" t="s">
        <v>805</v>
      </c>
      <c r="C4921" s="323">
        <v>41895</v>
      </c>
      <c r="D4921" s="323">
        <v>36</v>
      </c>
      <c r="E4921" s="324">
        <f t="shared" si="76"/>
        <v>8778.9600000000009</v>
      </c>
    </row>
    <row r="4922" spans="1:5" x14ac:dyDescent="0.25">
      <c r="A4922" s="323" t="s">
        <v>3910</v>
      </c>
      <c r="B4922" s="323" t="s">
        <v>805</v>
      </c>
      <c r="C4922" s="323">
        <v>41895</v>
      </c>
      <c r="D4922" s="323">
        <v>207</v>
      </c>
      <c r="E4922" s="324">
        <f t="shared" si="76"/>
        <v>50479.020000000004</v>
      </c>
    </row>
    <row r="4923" spans="1:5" x14ac:dyDescent="0.25">
      <c r="A4923" s="323" t="s">
        <v>4058</v>
      </c>
      <c r="B4923" s="323" t="s">
        <v>805</v>
      </c>
      <c r="C4923" s="323">
        <v>41895</v>
      </c>
      <c r="D4923" s="323">
        <v>49</v>
      </c>
      <c r="E4923" s="324">
        <f t="shared" si="76"/>
        <v>11949.140000000001</v>
      </c>
    </row>
    <row r="4924" spans="1:5" x14ac:dyDescent="0.25">
      <c r="A4924" s="323" t="s">
        <v>4318</v>
      </c>
      <c r="B4924" s="323" t="s">
        <v>805</v>
      </c>
      <c r="C4924" s="323">
        <v>41895</v>
      </c>
      <c r="D4924" s="323">
        <v>88</v>
      </c>
      <c r="E4924" s="324">
        <f t="shared" si="76"/>
        <v>21459.68</v>
      </c>
    </row>
    <row r="4925" spans="1:5" x14ac:dyDescent="0.25">
      <c r="A4925" s="323" t="s">
        <v>4532</v>
      </c>
      <c r="B4925" s="323" t="s">
        <v>805</v>
      </c>
      <c r="C4925" s="323">
        <v>41895</v>
      </c>
      <c r="D4925" s="323">
        <v>302</v>
      </c>
      <c r="E4925" s="324">
        <f t="shared" si="76"/>
        <v>73645.72</v>
      </c>
    </row>
    <row r="4926" spans="1:5" x14ac:dyDescent="0.25">
      <c r="A4926" s="323" t="s">
        <v>6123</v>
      </c>
      <c r="B4926" s="323" t="s">
        <v>805</v>
      </c>
      <c r="C4926" s="323">
        <v>41895</v>
      </c>
      <c r="D4926" s="323">
        <v>53</v>
      </c>
      <c r="E4926" s="324">
        <f t="shared" si="76"/>
        <v>12924.58</v>
      </c>
    </row>
    <row r="4927" spans="1:5" x14ac:dyDescent="0.25">
      <c r="A4927" s="323" t="s">
        <v>6146</v>
      </c>
      <c r="B4927" s="323" t="s">
        <v>805</v>
      </c>
      <c r="C4927" s="323">
        <v>41895</v>
      </c>
      <c r="D4927" s="323">
        <v>171</v>
      </c>
      <c r="E4927" s="324">
        <f t="shared" si="76"/>
        <v>41700.060000000005</v>
      </c>
    </row>
    <row r="4928" spans="1:5" x14ac:dyDescent="0.25">
      <c r="A4928" s="323" t="s">
        <v>6154</v>
      </c>
      <c r="B4928" s="323" t="s">
        <v>805</v>
      </c>
      <c r="C4928" s="323">
        <v>41895</v>
      </c>
      <c r="D4928" s="323">
        <v>92</v>
      </c>
      <c r="E4928" s="324">
        <f t="shared" si="76"/>
        <v>22435.120000000003</v>
      </c>
    </row>
    <row r="4929" spans="1:5" x14ac:dyDescent="0.25">
      <c r="A4929" s="323" t="s">
        <v>6200</v>
      </c>
      <c r="B4929" s="323" t="s">
        <v>805</v>
      </c>
      <c r="C4929" s="323">
        <v>41895</v>
      </c>
      <c r="D4929" s="323">
        <v>227</v>
      </c>
      <c r="E4929" s="324">
        <f t="shared" si="76"/>
        <v>55356.22</v>
      </c>
    </row>
    <row r="4930" spans="1:5" x14ac:dyDescent="0.25">
      <c r="A4930" s="323" t="s">
        <v>3350</v>
      </c>
      <c r="B4930" s="323" t="s">
        <v>805</v>
      </c>
      <c r="C4930" s="323">
        <v>41898</v>
      </c>
      <c r="D4930" s="323">
        <v>108</v>
      </c>
      <c r="E4930" s="324">
        <f t="shared" ref="E4930:E4993" si="77">D4930*IF(B4930=$G$9,WerkdrukbedragPerLeerlingBo,IF(B4930=$G$10,WerkdrukbedragPerLeerlingSbo,IF(B4930=$G$11,WerkdrukbedragPerLeerlingSo,IF(B4930=$G$12,WerkdrukbedragPerLeerlingVso,0))))</f>
        <v>26336.880000000001</v>
      </c>
    </row>
    <row r="4931" spans="1:5" x14ac:dyDescent="0.25">
      <c r="A4931" s="323" t="s">
        <v>3634</v>
      </c>
      <c r="B4931" s="323" t="s">
        <v>805</v>
      </c>
      <c r="C4931" s="323">
        <v>41898</v>
      </c>
      <c r="D4931" s="323">
        <v>395</v>
      </c>
      <c r="E4931" s="324">
        <f t="shared" si="77"/>
        <v>96324.700000000012</v>
      </c>
    </row>
    <row r="4932" spans="1:5" x14ac:dyDescent="0.25">
      <c r="A4932" s="323" t="s">
        <v>4047</v>
      </c>
      <c r="B4932" s="323" t="s">
        <v>805</v>
      </c>
      <c r="C4932" s="323">
        <v>41898</v>
      </c>
      <c r="D4932" s="323">
        <v>176</v>
      </c>
      <c r="E4932" s="324">
        <f t="shared" si="77"/>
        <v>42919.360000000001</v>
      </c>
    </row>
    <row r="4933" spans="1:5" x14ac:dyDescent="0.25">
      <c r="A4933" s="323" t="s">
        <v>3014</v>
      </c>
      <c r="B4933" s="323" t="s">
        <v>805</v>
      </c>
      <c r="C4933" s="323">
        <v>41899</v>
      </c>
      <c r="D4933" s="323">
        <v>103</v>
      </c>
      <c r="E4933" s="324">
        <f t="shared" si="77"/>
        <v>25117.58</v>
      </c>
    </row>
    <row r="4934" spans="1:5" x14ac:dyDescent="0.25">
      <c r="A4934" s="323" t="s">
        <v>3386</v>
      </c>
      <c r="B4934" s="323" t="s">
        <v>805</v>
      </c>
      <c r="C4934" s="323">
        <v>41899</v>
      </c>
      <c r="D4934" s="323">
        <v>101</v>
      </c>
      <c r="E4934" s="324">
        <f t="shared" si="77"/>
        <v>24629.86</v>
      </c>
    </row>
    <row r="4935" spans="1:5" x14ac:dyDescent="0.25">
      <c r="A4935" s="323" t="s">
        <v>3414</v>
      </c>
      <c r="B4935" s="323" t="s">
        <v>805</v>
      </c>
      <c r="C4935" s="323">
        <v>41899</v>
      </c>
      <c r="D4935" s="323">
        <v>31</v>
      </c>
      <c r="E4935" s="324">
        <f t="shared" si="77"/>
        <v>7559.6600000000008</v>
      </c>
    </row>
    <row r="4936" spans="1:5" x14ac:dyDescent="0.25">
      <c r="A4936" s="323" t="s">
        <v>3653</v>
      </c>
      <c r="B4936" s="323" t="s">
        <v>805</v>
      </c>
      <c r="C4936" s="323">
        <v>41899</v>
      </c>
      <c r="D4936" s="323">
        <v>246</v>
      </c>
      <c r="E4936" s="324">
        <f t="shared" si="77"/>
        <v>59989.560000000005</v>
      </c>
    </row>
    <row r="4937" spans="1:5" x14ac:dyDescent="0.25">
      <c r="A4937" s="323" t="s">
        <v>3696</v>
      </c>
      <c r="B4937" s="323" t="s">
        <v>805</v>
      </c>
      <c r="C4937" s="323">
        <v>41899</v>
      </c>
      <c r="D4937" s="323">
        <v>80</v>
      </c>
      <c r="E4937" s="324">
        <f t="shared" si="77"/>
        <v>19508.800000000003</v>
      </c>
    </row>
    <row r="4938" spans="1:5" x14ac:dyDescent="0.25">
      <c r="A4938" s="323" t="s">
        <v>3889</v>
      </c>
      <c r="B4938" s="323" t="s">
        <v>805</v>
      </c>
      <c r="C4938" s="323">
        <v>41899</v>
      </c>
      <c r="D4938" s="323">
        <v>119</v>
      </c>
      <c r="E4938" s="324">
        <f t="shared" si="77"/>
        <v>29019.34</v>
      </c>
    </row>
    <row r="4939" spans="1:5" x14ac:dyDescent="0.25">
      <c r="A4939" s="323" t="s">
        <v>3917</v>
      </c>
      <c r="B4939" s="323" t="s">
        <v>805</v>
      </c>
      <c r="C4939" s="323">
        <v>41899</v>
      </c>
      <c r="D4939" s="323">
        <v>289</v>
      </c>
      <c r="E4939" s="324">
        <f t="shared" si="77"/>
        <v>70475.540000000008</v>
      </c>
    </row>
    <row r="4940" spans="1:5" x14ac:dyDescent="0.25">
      <c r="A4940" s="323" t="s">
        <v>3979</v>
      </c>
      <c r="B4940" s="323" t="s">
        <v>805</v>
      </c>
      <c r="C4940" s="323">
        <v>41899</v>
      </c>
      <c r="D4940" s="323">
        <v>32</v>
      </c>
      <c r="E4940" s="324">
        <f t="shared" si="77"/>
        <v>7803.52</v>
      </c>
    </row>
    <row r="4941" spans="1:5" x14ac:dyDescent="0.25">
      <c r="A4941" s="323" t="s">
        <v>4060</v>
      </c>
      <c r="B4941" s="323" t="s">
        <v>805</v>
      </c>
      <c r="C4941" s="323">
        <v>41899</v>
      </c>
      <c r="D4941" s="323">
        <v>91</v>
      </c>
      <c r="E4941" s="324">
        <f t="shared" si="77"/>
        <v>22191.260000000002</v>
      </c>
    </row>
    <row r="4942" spans="1:5" x14ac:dyDescent="0.25">
      <c r="A4942" s="323" t="s">
        <v>4274</v>
      </c>
      <c r="B4942" s="323" t="s">
        <v>805</v>
      </c>
      <c r="C4942" s="323">
        <v>41899</v>
      </c>
      <c r="D4942" s="323">
        <v>302</v>
      </c>
      <c r="E4942" s="324">
        <f t="shared" si="77"/>
        <v>73645.72</v>
      </c>
    </row>
    <row r="4943" spans="1:5" x14ac:dyDescent="0.25">
      <c r="A4943" s="323" t="s">
        <v>4382</v>
      </c>
      <c r="B4943" s="323" t="s">
        <v>805</v>
      </c>
      <c r="C4943" s="323">
        <v>41899</v>
      </c>
      <c r="D4943" s="323">
        <v>85</v>
      </c>
      <c r="E4943" s="324">
        <f t="shared" si="77"/>
        <v>20728.100000000002</v>
      </c>
    </row>
    <row r="4944" spans="1:5" x14ac:dyDescent="0.25">
      <c r="A4944" s="323" t="s">
        <v>4492</v>
      </c>
      <c r="B4944" s="323" t="s">
        <v>805</v>
      </c>
      <c r="C4944" s="323">
        <v>41899</v>
      </c>
      <c r="D4944" s="323">
        <v>98</v>
      </c>
      <c r="E4944" s="324">
        <f t="shared" si="77"/>
        <v>23898.280000000002</v>
      </c>
    </row>
    <row r="4945" spans="1:5" x14ac:dyDescent="0.25">
      <c r="A4945" s="323" t="s">
        <v>1672</v>
      </c>
      <c r="B4945" s="323" t="s">
        <v>805</v>
      </c>
      <c r="C4945" s="323">
        <v>41978</v>
      </c>
      <c r="D4945" s="323">
        <v>234</v>
      </c>
      <c r="E4945" s="324">
        <f t="shared" si="77"/>
        <v>57063.240000000005</v>
      </c>
    </row>
    <row r="4946" spans="1:5" x14ac:dyDescent="0.25">
      <c r="A4946" s="323" t="s">
        <v>2163</v>
      </c>
      <c r="B4946" s="323" t="s">
        <v>805</v>
      </c>
      <c r="C4946" s="323">
        <v>41978</v>
      </c>
      <c r="D4946" s="323">
        <v>379</v>
      </c>
      <c r="E4946" s="324">
        <f t="shared" si="77"/>
        <v>92422.94</v>
      </c>
    </row>
    <row r="4947" spans="1:5" x14ac:dyDescent="0.25">
      <c r="A4947" s="323" t="s">
        <v>5199</v>
      </c>
      <c r="B4947" s="323" t="s">
        <v>805</v>
      </c>
      <c r="C4947" s="323">
        <v>41978</v>
      </c>
      <c r="D4947" s="323">
        <v>230</v>
      </c>
      <c r="E4947" s="324">
        <f t="shared" si="77"/>
        <v>56087.8</v>
      </c>
    </row>
    <row r="4948" spans="1:5" x14ac:dyDescent="0.25">
      <c r="A4948" s="323" t="s">
        <v>5271</v>
      </c>
      <c r="B4948" s="323" t="s">
        <v>805</v>
      </c>
      <c r="C4948" s="323">
        <v>41978</v>
      </c>
      <c r="D4948" s="323">
        <v>233</v>
      </c>
      <c r="E4948" s="324">
        <f t="shared" si="77"/>
        <v>56819.380000000005</v>
      </c>
    </row>
    <row r="4949" spans="1:5" x14ac:dyDescent="0.25">
      <c r="A4949" s="323" t="s">
        <v>5308</v>
      </c>
      <c r="B4949" s="323" t="s">
        <v>805</v>
      </c>
      <c r="C4949" s="323">
        <v>41978</v>
      </c>
      <c r="D4949" s="323">
        <v>298</v>
      </c>
      <c r="E4949" s="324">
        <f t="shared" si="77"/>
        <v>72670.28</v>
      </c>
    </row>
    <row r="4950" spans="1:5" x14ac:dyDescent="0.25">
      <c r="A4950" s="323" t="s">
        <v>6341</v>
      </c>
      <c r="B4950" s="323" t="s">
        <v>805</v>
      </c>
      <c r="C4950" s="323">
        <v>41978</v>
      </c>
      <c r="D4950" s="323">
        <v>228</v>
      </c>
      <c r="E4950" s="324">
        <f t="shared" si="77"/>
        <v>55600.08</v>
      </c>
    </row>
    <row r="4951" spans="1:5" x14ac:dyDescent="0.25">
      <c r="A4951" s="323" t="s">
        <v>6349</v>
      </c>
      <c r="B4951" s="323" t="s">
        <v>805</v>
      </c>
      <c r="C4951" s="323">
        <v>41978</v>
      </c>
      <c r="D4951" s="323">
        <v>145</v>
      </c>
      <c r="E4951" s="324">
        <f t="shared" si="77"/>
        <v>35359.700000000004</v>
      </c>
    </row>
    <row r="4952" spans="1:5" x14ac:dyDescent="0.25">
      <c r="A4952" s="323" t="s">
        <v>6493</v>
      </c>
      <c r="B4952" s="323" t="s">
        <v>805</v>
      </c>
      <c r="C4952" s="323">
        <v>42122</v>
      </c>
      <c r="D4952" s="323">
        <v>313</v>
      </c>
      <c r="E4952" s="324">
        <f t="shared" si="77"/>
        <v>76328.180000000008</v>
      </c>
    </row>
    <row r="4953" spans="1:5" x14ac:dyDescent="0.25">
      <c r="A4953" s="323" t="s">
        <v>6514</v>
      </c>
      <c r="B4953" s="323" t="s">
        <v>805</v>
      </c>
      <c r="C4953" s="323">
        <v>42122</v>
      </c>
      <c r="D4953" s="323">
        <v>265</v>
      </c>
      <c r="E4953" s="324">
        <f t="shared" si="77"/>
        <v>64622.9</v>
      </c>
    </row>
    <row r="4954" spans="1:5" x14ac:dyDescent="0.25">
      <c r="A4954" s="323" t="s">
        <v>6529</v>
      </c>
      <c r="B4954" s="323" t="s">
        <v>805</v>
      </c>
      <c r="C4954" s="323">
        <v>42122</v>
      </c>
      <c r="D4954" s="323">
        <v>249</v>
      </c>
      <c r="E4954" s="324">
        <f t="shared" si="77"/>
        <v>60721.140000000007</v>
      </c>
    </row>
    <row r="4955" spans="1:5" x14ac:dyDescent="0.25">
      <c r="A4955" s="323" t="s">
        <v>6547</v>
      </c>
      <c r="B4955" s="323" t="s">
        <v>805</v>
      </c>
      <c r="C4955" s="323">
        <v>42122</v>
      </c>
      <c r="D4955" s="323">
        <v>227</v>
      </c>
      <c r="E4955" s="324">
        <f t="shared" si="77"/>
        <v>55356.22</v>
      </c>
    </row>
    <row r="4956" spans="1:5" x14ac:dyDescent="0.25">
      <c r="A4956" s="323" t="s">
        <v>6552</v>
      </c>
      <c r="B4956" s="323" t="s">
        <v>805</v>
      </c>
      <c r="C4956" s="323">
        <v>42122</v>
      </c>
      <c r="D4956" s="323">
        <v>203</v>
      </c>
      <c r="E4956" s="324">
        <f t="shared" si="77"/>
        <v>49503.58</v>
      </c>
    </row>
    <row r="4957" spans="1:5" x14ac:dyDescent="0.25">
      <c r="A4957" s="323" t="s">
        <v>1699</v>
      </c>
      <c r="B4957" s="323" t="s">
        <v>805</v>
      </c>
      <c r="C4957" s="323">
        <v>42148</v>
      </c>
      <c r="D4957" s="323">
        <v>159</v>
      </c>
      <c r="E4957" s="324">
        <f t="shared" si="77"/>
        <v>38773.740000000005</v>
      </c>
    </row>
    <row r="4958" spans="1:5" x14ac:dyDescent="0.25">
      <c r="A4958" s="323" t="s">
        <v>2256</v>
      </c>
      <c r="B4958" s="323" t="s">
        <v>805</v>
      </c>
      <c r="C4958" s="323">
        <v>42148</v>
      </c>
      <c r="D4958" s="323">
        <v>336</v>
      </c>
      <c r="E4958" s="324">
        <f t="shared" si="77"/>
        <v>81936.960000000006</v>
      </c>
    </row>
    <row r="4959" spans="1:5" x14ac:dyDescent="0.25">
      <c r="A4959" s="323" t="s">
        <v>2509</v>
      </c>
      <c r="B4959" s="323" t="s">
        <v>805</v>
      </c>
      <c r="C4959" s="323">
        <v>42148</v>
      </c>
      <c r="D4959" s="323">
        <v>88</v>
      </c>
      <c r="E4959" s="324">
        <f t="shared" si="77"/>
        <v>21459.68</v>
      </c>
    </row>
    <row r="4960" spans="1:5" x14ac:dyDescent="0.25">
      <c r="A4960" s="323" t="s">
        <v>2735</v>
      </c>
      <c r="B4960" s="323" t="s">
        <v>805</v>
      </c>
      <c r="C4960" s="323">
        <v>42148</v>
      </c>
      <c r="D4960" s="323">
        <v>254</v>
      </c>
      <c r="E4960" s="324">
        <f t="shared" si="77"/>
        <v>61940.44</v>
      </c>
    </row>
    <row r="4961" spans="1:5" x14ac:dyDescent="0.25">
      <c r="A4961" s="323" t="s">
        <v>3466</v>
      </c>
      <c r="B4961" s="323" t="s">
        <v>805</v>
      </c>
      <c r="C4961" s="323">
        <v>42148</v>
      </c>
      <c r="D4961" s="323">
        <v>359</v>
      </c>
      <c r="E4961" s="324">
        <f t="shared" si="77"/>
        <v>87545.74</v>
      </c>
    </row>
    <row r="4962" spans="1:5" x14ac:dyDescent="0.25">
      <c r="A4962" s="323" t="s">
        <v>3489</v>
      </c>
      <c r="B4962" s="323" t="s">
        <v>805</v>
      </c>
      <c r="C4962" s="323">
        <v>42148</v>
      </c>
      <c r="D4962" s="323">
        <v>275</v>
      </c>
      <c r="E4962" s="324">
        <f t="shared" si="77"/>
        <v>67061.5</v>
      </c>
    </row>
    <row r="4963" spans="1:5" x14ac:dyDescent="0.25">
      <c r="A4963" s="323" t="s">
        <v>4116</v>
      </c>
      <c r="B4963" s="323" t="s">
        <v>805</v>
      </c>
      <c r="C4963" s="323">
        <v>42148</v>
      </c>
      <c r="D4963" s="323">
        <v>323</v>
      </c>
      <c r="E4963" s="324">
        <f t="shared" si="77"/>
        <v>78766.78</v>
      </c>
    </row>
    <row r="4964" spans="1:5" x14ac:dyDescent="0.25">
      <c r="A4964" s="323" t="s">
        <v>6924</v>
      </c>
      <c r="B4964" s="323" t="s">
        <v>805</v>
      </c>
      <c r="C4964" s="323">
        <v>42148</v>
      </c>
      <c r="D4964" s="323">
        <v>222</v>
      </c>
      <c r="E4964" s="324">
        <f t="shared" si="77"/>
        <v>54136.920000000006</v>
      </c>
    </row>
    <row r="4965" spans="1:5" x14ac:dyDescent="0.25">
      <c r="A4965" s="323" t="s">
        <v>1223</v>
      </c>
      <c r="B4965" s="323" t="s">
        <v>805</v>
      </c>
      <c r="C4965" s="323">
        <v>42330</v>
      </c>
      <c r="D4965" s="323">
        <v>266</v>
      </c>
      <c r="E4965" s="324">
        <f t="shared" si="77"/>
        <v>64866.76</v>
      </c>
    </row>
    <row r="4966" spans="1:5" x14ac:dyDescent="0.25">
      <c r="A4966" s="323" t="s">
        <v>919</v>
      </c>
      <c r="B4966" s="323" t="s">
        <v>816</v>
      </c>
      <c r="C4966" s="323">
        <v>42486</v>
      </c>
      <c r="D4966" s="323">
        <v>66</v>
      </c>
      <c r="E4966" s="324">
        <f t="shared" si="77"/>
        <v>24142.140000000003</v>
      </c>
    </row>
    <row r="4967" spans="1:5" x14ac:dyDescent="0.25">
      <c r="A4967" s="323" t="s">
        <v>1920</v>
      </c>
      <c r="B4967" s="323" t="s">
        <v>805</v>
      </c>
      <c r="C4967" s="323">
        <v>42486</v>
      </c>
      <c r="D4967" s="323">
        <v>210</v>
      </c>
      <c r="E4967" s="324">
        <f t="shared" si="77"/>
        <v>51210.600000000006</v>
      </c>
    </row>
    <row r="4968" spans="1:5" x14ac:dyDescent="0.25">
      <c r="A4968" s="323" t="s">
        <v>2119</v>
      </c>
      <c r="B4968" s="323" t="s">
        <v>805</v>
      </c>
      <c r="C4968" s="323">
        <v>42486</v>
      </c>
      <c r="D4968" s="323">
        <v>212</v>
      </c>
      <c r="E4968" s="324">
        <f t="shared" si="77"/>
        <v>51698.32</v>
      </c>
    </row>
    <row r="4969" spans="1:5" x14ac:dyDescent="0.25">
      <c r="A4969" s="323" t="s">
        <v>2258</v>
      </c>
      <c r="B4969" s="323" t="s">
        <v>805</v>
      </c>
      <c r="C4969" s="323">
        <v>42486</v>
      </c>
      <c r="D4969" s="323">
        <v>106</v>
      </c>
      <c r="E4969" s="324">
        <f t="shared" si="77"/>
        <v>25849.16</v>
      </c>
    </row>
    <row r="4970" spans="1:5" x14ac:dyDescent="0.25">
      <c r="A4970" s="323" t="s">
        <v>2346</v>
      </c>
      <c r="B4970" s="323" t="s">
        <v>805</v>
      </c>
      <c r="C4970" s="323">
        <v>42486</v>
      </c>
      <c r="D4970" s="323">
        <v>193</v>
      </c>
      <c r="E4970" s="324">
        <f t="shared" si="77"/>
        <v>47064.98</v>
      </c>
    </row>
    <row r="4971" spans="1:5" x14ac:dyDescent="0.25">
      <c r="A4971" s="323" t="s">
        <v>2786</v>
      </c>
      <c r="B4971" s="323" t="s">
        <v>805</v>
      </c>
      <c r="C4971" s="323">
        <v>42486</v>
      </c>
      <c r="D4971" s="323">
        <v>113</v>
      </c>
      <c r="E4971" s="324">
        <f t="shared" si="77"/>
        <v>27556.18</v>
      </c>
    </row>
    <row r="4972" spans="1:5" x14ac:dyDescent="0.25">
      <c r="A4972" s="323" t="s">
        <v>3108</v>
      </c>
      <c r="B4972" s="323" t="s">
        <v>805</v>
      </c>
      <c r="C4972" s="323">
        <v>42486</v>
      </c>
      <c r="D4972" s="323">
        <v>156</v>
      </c>
      <c r="E4972" s="324">
        <f t="shared" si="77"/>
        <v>38042.160000000003</v>
      </c>
    </row>
    <row r="4973" spans="1:5" x14ac:dyDescent="0.25">
      <c r="A4973" s="323" t="s">
        <v>3467</v>
      </c>
      <c r="B4973" s="323" t="s">
        <v>805</v>
      </c>
      <c r="C4973" s="323">
        <v>42486</v>
      </c>
      <c r="D4973" s="323">
        <v>211</v>
      </c>
      <c r="E4973" s="324">
        <f t="shared" si="77"/>
        <v>51454.460000000006</v>
      </c>
    </row>
    <row r="4974" spans="1:5" x14ac:dyDescent="0.25">
      <c r="A4974" s="323" t="s">
        <v>882</v>
      </c>
      <c r="B4974" s="323" t="s">
        <v>809</v>
      </c>
      <c r="C4974" s="323">
        <v>42504</v>
      </c>
      <c r="D4974" s="323">
        <v>61</v>
      </c>
      <c r="E4974" s="324">
        <f t="shared" si="77"/>
        <v>29750.920000000002</v>
      </c>
    </row>
    <row r="4975" spans="1:5" x14ac:dyDescent="0.25">
      <c r="A4975" s="323" t="s">
        <v>5096</v>
      </c>
      <c r="B4975" s="323" t="s">
        <v>805</v>
      </c>
      <c r="C4975" s="323">
        <v>42504</v>
      </c>
      <c r="D4975" s="323">
        <v>425</v>
      </c>
      <c r="E4975" s="324">
        <f t="shared" si="77"/>
        <v>103640.5</v>
      </c>
    </row>
    <row r="4976" spans="1:5" x14ac:dyDescent="0.25">
      <c r="A4976" s="323" t="s">
        <v>5287</v>
      </c>
      <c r="B4976" s="323" t="s">
        <v>805</v>
      </c>
      <c r="C4976" s="323">
        <v>42504</v>
      </c>
      <c r="D4976" s="323">
        <v>161</v>
      </c>
      <c r="E4976" s="324">
        <f t="shared" si="77"/>
        <v>39261.46</v>
      </c>
    </row>
    <row r="4977" spans="1:5" x14ac:dyDescent="0.25">
      <c r="A4977" s="323" t="s">
        <v>5325</v>
      </c>
      <c r="B4977" s="323" t="s">
        <v>805</v>
      </c>
      <c r="C4977" s="323">
        <v>42504</v>
      </c>
      <c r="D4977" s="323">
        <v>426</v>
      </c>
      <c r="E4977" s="324">
        <f t="shared" si="77"/>
        <v>103884.36</v>
      </c>
    </row>
    <row r="4978" spans="1:5" x14ac:dyDescent="0.25">
      <c r="A4978" s="323" t="s">
        <v>5354</v>
      </c>
      <c r="B4978" s="323" t="s">
        <v>805</v>
      </c>
      <c r="C4978" s="323">
        <v>42504</v>
      </c>
      <c r="D4978" s="323">
        <v>580</v>
      </c>
      <c r="E4978" s="324">
        <f t="shared" si="77"/>
        <v>141438.80000000002</v>
      </c>
    </row>
    <row r="4979" spans="1:5" x14ac:dyDescent="0.25">
      <c r="A4979" s="323" t="s">
        <v>5381</v>
      </c>
      <c r="B4979" s="323" t="s">
        <v>805</v>
      </c>
      <c r="C4979" s="323">
        <v>42504</v>
      </c>
      <c r="D4979" s="323">
        <v>120</v>
      </c>
      <c r="E4979" s="324">
        <f t="shared" si="77"/>
        <v>29263.200000000001</v>
      </c>
    </row>
    <row r="4980" spans="1:5" x14ac:dyDescent="0.25">
      <c r="A4980" s="323" t="s">
        <v>5402</v>
      </c>
      <c r="B4980" s="323" t="s">
        <v>805</v>
      </c>
      <c r="C4980" s="323">
        <v>42504</v>
      </c>
      <c r="D4980" s="323">
        <v>170</v>
      </c>
      <c r="E4980" s="324">
        <f t="shared" si="77"/>
        <v>41456.200000000004</v>
      </c>
    </row>
    <row r="4981" spans="1:5" x14ac:dyDescent="0.25">
      <c r="A4981" s="323" t="s">
        <v>5426</v>
      </c>
      <c r="B4981" s="323" t="s">
        <v>805</v>
      </c>
      <c r="C4981" s="323">
        <v>42504</v>
      </c>
      <c r="D4981" s="323">
        <v>396</v>
      </c>
      <c r="E4981" s="324">
        <f t="shared" si="77"/>
        <v>96568.560000000012</v>
      </c>
    </row>
    <row r="4982" spans="1:5" x14ac:dyDescent="0.25">
      <c r="A4982" s="323" t="s">
        <v>5454</v>
      </c>
      <c r="B4982" s="323" t="s">
        <v>805</v>
      </c>
      <c r="C4982" s="323">
        <v>42504</v>
      </c>
      <c r="D4982" s="323">
        <v>182</v>
      </c>
      <c r="E4982" s="324">
        <f t="shared" si="77"/>
        <v>44382.520000000004</v>
      </c>
    </row>
    <row r="4983" spans="1:5" x14ac:dyDescent="0.25">
      <c r="A4983" s="323" t="s">
        <v>5483</v>
      </c>
      <c r="B4983" s="323" t="s">
        <v>805</v>
      </c>
      <c r="C4983" s="323">
        <v>42504</v>
      </c>
      <c r="D4983" s="323">
        <v>269</v>
      </c>
      <c r="E4983" s="324">
        <f t="shared" si="77"/>
        <v>65598.34</v>
      </c>
    </row>
    <row r="4984" spans="1:5" x14ac:dyDescent="0.25">
      <c r="A4984" s="323" t="s">
        <v>5507</v>
      </c>
      <c r="B4984" s="323" t="s">
        <v>805</v>
      </c>
      <c r="C4984" s="323">
        <v>42504</v>
      </c>
      <c r="D4984" s="323">
        <v>839</v>
      </c>
      <c r="E4984" s="324">
        <f t="shared" si="77"/>
        <v>204598.54</v>
      </c>
    </row>
    <row r="4985" spans="1:5" x14ac:dyDescent="0.25">
      <c r="A4985" s="323" t="s">
        <v>6470</v>
      </c>
      <c r="B4985" s="323" t="s">
        <v>809</v>
      </c>
      <c r="C4985" s="323">
        <v>42504</v>
      </c>
      <c r="D4985" s="323">
        <v>119</v>
      </c>
      <c r="E4985" s="324">
        <f t="shared" si="77"/>
        <v>58038.68</v>
      </c>
    </row>
    <row r="4986" spans="1:5" x14ac:dyDescent="0.25">
      <c r="A4986" s="323" t="s">
        <v>6787</v>
      </c>
      <c r="B4986" s="323" t="s">
        <v>805</v>
      </c>
      <c r="C4986" s="323">
        <v>42504</v>
      </c>
      <c r="D4986" s="323">
        <v>404</v>
      </c>
      <c r="E4986" s="324">
        <f t="shared" si="77"/>
        <v>98519.44</v>
      </c>
    </row>
    <row r="4987" spans="1:5" x14ac:dyDescent="0.25">
      <c r="A4987" s="323" t="s">
        <v>6829</v>
      </c>
      <c r="B4987" s="323" t="s">
        <v>805</v>
      </c>
      <c r="C4987" s="323">
        <v>42504</v>
      </c>
      <c r="D4987" s="323">
        <v>207</v>
      </c>
      <c r="E4987" s="324">
        <f t="shared" si="77"/>
        <v>50479.020000000004</v>
      </c>
    </row>
    <row r="4988" spans="1:5" x14ac:dyDescent="0.25">
      <c r="A4988" s="323" t="s">
        <v>5673</v>
      </c>
      <c r="B4988" s="323" t="s">
        <v>805</v>
      </c>
      <c r="C4988" s="323">
        <v>42510</v>
      </c>
      <c r="D4988" s="323">
        <v>246</v>
      </c>
      <c r="E4988" s="324">
        <f t="shared" si="77"/>
        <v>59989.560000000005</v>
      </c>
    </row>
    <row r="4989" spans="1:5" x14ac:dyDescent="0.25">
      <c r="A4989" s="323" t="s">
        <v>5745</v>
      </c>
      <c r="B4989" s="323" t="s">
        <v>805</v>
      </c>
      <c r="C4989" s="323">
        <v>42510</v>
      </c>
      <c r="D4989" s="323">
        <v>245</v>
      </c>
      <c r="E4989" s="324">
        <f t="shared" si="77"/>
        <v>59745.700000000004</v>
      </c>
    </row>
    <row r="4990" spans="1:5" x14ac:dyDescent="0.25">
      <c r="A4990" s="323" t="s">
        <v>5756</v>
      </c>
      <c r="B4990" s="323" t="s">
        <v>805</v>
      </c>
      <c r="C4990" s="323">
        <v>42510</v>
      </c>
      <c r="D4990" s="323">
        <v>498</v>
      </c>
      <c r="E4990" s="324">
        <f t="shared" si="77"/>
        <v>121442.28000000001</v>
      </c>
    </row>
    <row r="4991" spans="1:5" x14ac:dyDescent="0.25">
      <c r="A4991" s="323" t="s">
        <v>5769</v>
      </c>
      <c r="B4991" s="323" t="s">
        <v>805</v>
      </c>
      <c r="C4991" s="323">
        <v>42510</v>
      </c>
      <c r="D4991" s="323">
        <v>122</v>
      </c>
      <c r="E4991" s="324">
        <f t="shared" si="77"/>
        <v>29750.920000000002</v>
      </c>
    </row>
    <row r="4992" spans="1:5" x14ac:dyDescent="0.25">
      <c r="A4992" s="323" t="s">
        <v>5774</v>
      </c>
      <c r="B4992" s="323" t="s">
        <v>805</v>
      </c>
      <c r="C4992" s="323">
        <v>42510</v>
      </c>
      <c r="D4992" s="323">
        <v>367</v>
      </c>
      <c r="E4992" s="324">
        <f t="shared" si="77"/>
        <v>89496.62000000001</v>
      </c>
    </row>
    <row r="4993" spans="1:5" x14ac:dyDescent="0.25">
      <c r="A4993" s="323" t="s">
        <v>5785</v>
      </c>
      <c r="B4993" s="323" t="s">
        <v>805</v>
      </c>
      <c r="C4993" s="323">
        <v>42510</v>
      </c>
      <c r="D4993" s="323">
        <v>459</v>
      </c>
      <c r="E4993" s="324">
        <f t="shared" si="77"/>
        <v>111931.74</v>
      </c>
    </row>
    <row r="4994" spans="1:5" x14ac:dyDescent="0.25">
      <c r="A4994" s="323" t="s">
        <v>5799</v>
      </c>
      <c r="B4994" s="323" t="s">
        <v>805</v>
      </c>
      <c r="C4994" s="323">
        <v>42510</v>
      </c>
      <c r="D4994" s="323">
        <v>238</v>
      </c>
      <c r="E4994" s="324">
        <f t="shared" ref="E4994:E5057" si="78">D4994*IF(B4994=$G$9,WerkdrukbedragPerLeerlingBo,IF(B4994=$G$10,WerkdrukbedragPerLeerlingSbo,IF(B4994=$G$11,WerkdrukbedragPerLeerlingSo,IF(B4994=$G$12,WerkdrukbedragPerLeerlingVso,0))))</f>
        <v>58038.68</v>
      </c>
    </row>
    <row r="4995" spans="1:5" x14ac:dyDescent="0.25">
      <c r="A4995" s="323" t="s">
        <v>5805</v>
      </c>
      <c r="B4995" s="323" t="s">
        <v>805</v>
      </c>
      <c r="C4995" s="323">
        <v>42510</v>
      </c>
      <c r="D4995" s="323">
        <v>497</v>
      </c>
      <c r="E4995" s="324">
        <f t="shared" si="78"/>
        <v>121198.42000000001</v>
      </c>
    </row>
    <row r="4996" spans="1:5" x14ac:dyDescent="0.25">
      <c r="A4996" s="323" t="s">
        <v>5825</v>
      </c>
      <c r="B4996" s="323" t="s">
        <v>805</v>
      </c>
      <c r="C4996" s="323">
        <v>42510</v>
      </c>
      <c r="D4996" s="323">
        <v>491</v>
      </c>
      <c r="E4996" s="324">
        <f t="shared" si="78"/>
        <v>119735.26000000001</v>
      </c>
    </row>
    <row r="4997" spans="1:5" x14ac:dyDescent="0.25">
      <c r="A4997" s="323" t="s">
        <v>5825</v>
      </c>
      <c r="B4997" s="323" t="s">
        <v>805</v>
      </c>
      <c r="C4997" s="323">
        <v>42510</v>
      </c>
      <c r="D4997" s="323">
        <v>247</v>
      </c>
      <c r="E4997" s="324">
        <f t="shared" si="78"/>
        <v>60233.420000000006</v>
      </c>
    </row>
    <row r="4998" spans="1:5" x14ac:dyDescent="0.25">
      <c r="A4998" s="323" t="s">
        <v>5861</v>
      </c>
      <c r="B4998" s="323" t="s">
        <v>805</v>
      </c>
      <c r="C4998" s="323">
        <v>42510</v>
      </c>
      <c r="D4998" s="323">
        <v>254</v>
      </c>
      <c r="E4998" s="324">
        <f t="shared" si="78"/>
        <v>61940.44</v>
      </c>
    </row>
    <row r="4999" spans="1:5" x14ac:dyDescent="0.25">
      <c r="A4999" s="323" t="s">
        <v>5881</v>
      </c>
      <c r="B4999" s="323" t="s">
        <v>805</v>
      </c>
      <c r="C4999" s="323">
        <v>42510</v>
      </c>
      <c r="D4999" s="323">
        <v>450</v>
      </c>
      <c r="E4999" s="324">
        <f t="shared" si="78"/>
        <v>109737</v>
      </c>
    </row>
    <row r="5000" spans="1:5" x14ac:dyDescent="0.25">
      <c r="A5000" s="323" t="s">
        <v>5888</v>
      </c>
      <c r="B5000" s="323" t="s">
        <v>805</v>
      </c>
      <c r="C5000" s="323">
        <v>42510</v>
      </c>
      <c r="D5000" s="323">
        <v>643</v>
      </c>
      <c r="E5000" s="324">
        <f t="shared" si="78"/>
        <v>156801.98000000001</v>
      </c>
    </row>
    <row r="5001" spans="1:5" x14ac:dyDescent="0.25">
      <c r="A5001" s="323" t="s">
        <v>5929</v>
      </c>
      <c r="B5001" s="323" t="s">
        <v>805</v>
      </c>
      <c r="C5001" s="323">
        <v>42510</v>
      </c>
      <c r="D5001" s="323">
        <v>270</v>
      </c>
      <c r="E5001" s="324">
        <f t="shared" si="78"/>
        <v>65842.2</v>
      </c>
    </row>
    <row r="5002" spans="1:5" x14ac:dyDescent="0.25">
      <c r="A5002" s="323" t="s">
        <v>5944</v>
      </c>
      <c r="B5002" s="323" t="s">
        <v>805</v>
      </c>
      <c r="C5002" s="323">
        <v>42510</v>
      </c>
      <c r="D5002" s="323">
        <v>114</v>
      </c>
      <c r="E5002" s="324">
        <f t="shared" si="78"/>
        <v>27800.04</v>
      </c>
    </row>
    <row r="5003" spans="1:5" x14ac:dyDescent="0.25">
      <c r="A5003" s="323" t="s">
        <v>5955</v>
      </c>
      <c r="B5003" s="323" t="s">
        <v>805</v>
      </c>
      <c r="C5003" s="323">
        <v>42510</v>
      </c>
      <c r="D5003" s="323">
        <v>361</v>
      </c>
      <c r="E5003" s="324">
        <f t="shared" si="78"/>
        <v>88033.46</v>
      </c>
    </row>
    <row r="5004" spans="1:5" x14ac:dyDescent="0.25">
      <c r="A5004" s="323" t="s">
        <v>6506</v>
      </c>
      <c r="B5004" s="323" t="s">
        <v>809</v>
      </c>
      <c r="C5004" s="323">
        <v>42510</v>
      </c>
      <c r="D5004" s="323">
        <v>80</v>
      </c>
      <c r="E5004" s="324">
        <f t="shared" si="78"/>
        <v>39017.600000000006</v>
      </c>
    </row>
    <row r="5005" spans="1:5" x14ac:dyDescent="0.25">
      <c r="A5005" s="323" t="s">
        <v>6506</v>
      </c>
      <c r="B5005" s="323" t="s">
        <v>803</v>
      </c>
      <c r="C5005" s="323">
        <v>42510</v>
      </c>
      <c r="D5005" s="323">
        <v>117</v>
      </c>
      <c r="E5005" s="324">
        <f t="shared" si="78"/>
        <v>57063.240000000005</v>
      </c>
    </row>
    <row r="5006" spans="1:5" x14ac:dyDescent="0.25">
      <c r="A5006" s="323" t="s">
        <v>6543</v>
      </c>
      <c r="B5006" s="323" t="s">
        <v>816</v>
      </c>
      <c r="C5006" s="323">
        <v>42510</v>
      </c>
      <c r="D5006" s="323">
        <v>120</v>
      </c>
      <c r="E5006" s="324">
        <f t="shared" si="78"/>
        <v>43894.8</v>
      </c>
    </row>
    <row r="5007" spans="1:5" x14ac:dyDescent="0.25">
      <c r="A5007" s="323" t="s">
        <v>6543</v>
      </c>
      <c r="B5007" s="323" t="s">
        <v>816</v>
      </c>
      <c r="C5007" s="323">
        <v>42510</v>
      </c>
      <c r="D5007" s="323">
        <v>97</v>
      </c>
      <c r="E5007" s="324">
        <f t="shared" si="78"/>
        <v>35481.630000000005</v>
      </c>
    </row>
    <row r="5008" spans="1:5" x14ac:dyDescent="0.25">
      <c r="A5008" s="323" t="s">
        <v>6550</v>
      </c>
      <c r="B5008" s="323" t="s">
        <v>809</v>
      </c>
      <c r="C5008" s="323">
        <v>42510</v>
      </c>
      <c r="D5008" s="323">
        <v>73</v>
      </c>
      <c r="E5008" s="324">
        <f t="shared" si="78"/>
        <v>35603.560000000005</v>
      </c>
    </row>
    <row r="5009" spans="1:5" x14ac:dyDescent="0.25">
      <c r="A5009" s="323" t="s">
        <v>6550</v>
      </c>
      <c r="B5009" s="323" t="s">
        <v>803</v>
      </c>
      <c r="C5009" s="323">
        <v>42510</v>
      </c>
      <c r="D5009" s="323">
        <v>93</v>
      </c>
      <c r="E5009" s="324">
        <f t="shared" si="78"/>
        <v>45357.96</v>
      </c>
    </row>
    <row r="5010" spans="1:5" x14ac:dyDescent="0.25">
      <c r="A5010" s="323" t="s">
        <v>6550</v>
      </c>
      <c r="B5010" s="323" t="s">
        <v>809</v>
      </c>
      <c r="C5010" s="323">
        <v>42510</v>
      </c>
      <c r="D5010" s="323">
        <v>22</v>
      </c>
      <c r="E5010" s="324">
        <f t="shared" si="78"/>
        <v>10729.84</v>
      </c>
    </row>
    <row r="5011" spans="1:5" x14ac:dyDescent="0.25">
      <c r="A5011" s="323" t="s">
        <v>6550</v>
      </c>
      <c r="B5011" s="323" t="s">
        <v>803</v>
      </c>
      <c r="C5011" s="323">
        <v>42510</v>
      </c>
      <c r="D5011" s="323">
        <v>20</v>
      </c>
      <c r="E5011" s="324">
        <f t="shared" si="78"/>
        <v>9754.4000000000015</v>
      </c>
    </row>
    <row r="5012" spans="1:5" x14ac:dyDescent="0.25">
      <c r="A5012" s="323" t="s">
        <v>6557</v>
      </c>
      <c r="B5012" s="323" t="s">
        <v>809</v>
      </c>
      <c r="C5012" s="323">
        <v>42510</v>
      </c>
      <c r="D5012" s="323">
        <v>51</v>
      </c>
      <c r="E5012" s="324">
        <f t="shared" si="78"/>
        <v>24873.72</v>
      </c>
    </row>
    <row r="5013" spans="1:5" x14ac:dyDescent="0.25">
      <c r="A5013" s="323" t="s">
        <v>7405</v>
      </c>
      <c r="B5013" s="323" t="s">
        <v>805</v>
      </c>
      <c r="C5013" s="323">
        <v>42510</v>
      </c>
      <c r="D5013" s="323">
        <v>380</v>
      </c>
      <c r="E5013" s="324">
        <f t="shared" si="78"/>
        <v>92666.8</v>
      </c>
    </row>
    <row r="5014" spans="1:5" x14ac:dyDescent="0.25">
      <c r="A5014" s="323" t="s">
        <v>7436</v>
      </c>
      <c r="B5014" s="323" t="s">
        <v>805</v>
      </c>
      <c r="C5014" s="323">
        <v>42510</v>
      </c>
      <c r="D5014" s="323">
        <v>267</v>
      </c>
      <c r="E5014" s="324">
        <f t="shared" si="78"/>
        <v>65110.62</v>
      </c>
    </row>
    <row r="5015" spans="1:5" x14ac:dyDescent="0.25">
      <c r="A5015" s="323" t="s">
        <v>7438</v>
      </c>
      <c r="B5015" s="323" t="s">
        <v>805</v>
      </c>
      <c r="C5015" s="323">
        <v>42510</v>
      </c>
      <c r="D5015" s="323">
        <v>327</v>
      </c>
      <c r="E5015" s="324">
        <f t="shared" si="78"/>
        <v>79742.22</v>
      </c>
    </row>
    <row r="5016" spans="1:5" x14ac:dyDescent="0.25">
      <c r="A5016" s="323" t="s">
        <v>5327</v>
      </c>
      <c r="B5016" s="323" t="s">
        <v>805</v>
      </c>
      <c r="C5016" s="323">
        <v>42514</v>
      </c>
      <c r="D5016" s="323">
        <v>183</v>
      </c>
      <c r="E5016" s="324">
        <f t="shared" si="78"/>
        <v>44626.380000000005</v>
      </c>
    </row>
    <row r="5017" spans="1:5" x14ac:dyDescent="0.25">
      <c r="A5017" s="323" t="s">
        <v>5427</v>
      </c>
      <c r="B5017" s="323" t="s">
        <v>805</v>
      </c>
      <c r="C5017" s="323">
        <v>42514</v>
      </c>
      <c r="D5017" s="323">
        <v>291</v>
      </c>
      <c r="E5017" s="324">
        <f t="shared" si="78"/>
        <v>70963.260000000009</v>
      </c>
    </row>
    <row r="5018" spans="1:5" x14ac:dyDescent="0.25">
      <c r="A5018" s="323" t="s">
        <v>5455</v>
      </c>
      <c r="B5018" s="323" t="s">
        <v>805</v>
      </c>
      <c r="C5018" s="323">
        <v>42514</v>
      </c>
      <c r="D5018" s="323">
        <v>130</v>
      </c>
      <c r="E5018" s="324">
        <f t="shared" si="78"/>
        <v>31701.800000000003</v>
      </c>
    </row>
    <row r="5019" spans="1:5" x14ac:dyDescent="0.25">
      <c r="A5019" s="323" t="s">
        <v>5589</v>
      </c>
      <c r="B5019" s="323" t="s">
        <v>805</v>
      </c>
      <c r="C5019" s="323">
        <v>42514</v>
      </c>
      <c r="D5019" s="323">
        <v>478</v>
      </c>
      <c r="E5019" s="324">
        <f t="shared" si="78"/>
        <v>116565.08</v>
      </c>
    </row>
    <row r="5020" spans="1:5" x14ac:dyDescent="0.25">
      <c r="A5020" s="323" t="s">
        <v>5617</v>
      </c>
      <c r="B5020" s="323" t="s">
        <v>805</v>
      </c>
      <c r="C5020" s="323">
        <v>42514</v>
      </c>
      <c r="D5020" s="323">
        <v>299</v>
      </c>
      <c r="E5020" s="324">
        <f t="shared" si="78"/>
        <v>72914.14</v>
      </c>
    </row>
    <row r="5021" spans="1:5" x14ac:dyDescent="0.25">
      <c r="A5021" s="323" t="s">
        <v>5628</v>
      </c>
      <c r="B5021" s="323" t="s">
        <v>805</v>
      </c>
      <c r="C5021" s="323">
        <v>42514</v>
      </c>
      <c r="D5021" s="323">
        <v>86</v>
      </c>
      <c r="E5021" s="324">
        <f t="shared" si="78"/>
        <v>20971.960000000003</v>
      </c>
    </row>
    <row r="5022" spans="1:5" x14ac:dyDescent="0.25">
      <c r="A5022" s="323" t="s">
        <v>5674</v>
      </c>
      <c r="B5022" s="323" t="s">
        <v>805</v>
      </c>
      <c r="C5022" s="323">
        <v>42514</v>
      </c>
      <c r="D5022" s="323">
        <v>237</v>
      </c>
      <c r="E5022" s="324">
        <f t="shared" si="78"/>
        <v>57794.82</v>
      </c>
    </row>
    <row r="5023" spans="1:5" x14ac:dyDescent="0.25">
      <c r="A5023" s="323" t="s">
        <v>5701</v>
      </c>
      <c r="B5023" s="323" t="s">
        <v>805</v>
      </c>
      <c r="C5023" s="323">
        <v>42514</v>
      </c>
      <c r="D5023" s="323">
        <v>647</v>
      </c>
      <c r="E5023" s="324">
        <f t="shared" si="78"/>
        <v>157777.42000000001</v>
      </c>
    </row>
    <row r="5024" spans="1:5" x14ac:dyDescent="0.25">
      <c r="A5024" s="323" t="s">
        <v>5712</v>
      </c>
      <c r="B5024" s="323" t="s">
        <v>805</v>
      </c>
      <c r="C5024" s="323">
        <v>42514</v>
      </c>
      <c r="D5024" s="323">
        <v>396</v>
      </c>
      <c r="E5024" s="324">
        <f t="shared" si="78"/>
        <v>96568.560000000012</v>
      </c>
    </row>
    <row r="5025" spans="1:5" x14ac:dyDescent="0.25">
      <c r="A5025" s="323" t="s">
        <v>5712</v>
      </c>
      <c r="B5025" s="323" t="s">
        <v>805</v>
      </c>
      <c r="C5025" s="323">
        <v>42514</v>
      </c>
      <c r="D5025" s="323">
        <v>62</v>
      </c>
      <c r="E5025" s="324">
        <f t="shared" si="78"/>
        <v>15119.320000000002</v>
      </c>
    </row>
    <row r="5026" spans="1:5" x14ac:dyDescent="0.25">
      <c r="A5026" s="323" t="s">
        <v>6346</v>
      </c>
      <c r="B5026" s="323" t="s">
        <v>809</v>
      </c>
      <c r="C5026" s="323">
        <v>42514</v>
      </c>
      <c r="D5026" s="323">
        <v>186</v>
      </c>
      <c r="E5026" s="324">
        <f t="shared" si="78"/>
        <v>90715.92</v>
      </c>
    </row>
    <row r="5027" spans="1:5" x14ac:dyDescent="0.25">
      <c r="A5027" s="323" t="s">
        <v>6346</v>
      </c>
      <c r="B5027" s="323" t="s">
        <v>803</v>
      </c>
      <c r="C5027" s="323">
        <v>42514</v>
      </c>
      <c r="D5027" s="323">
        <v>191</v>
      </c>
      <c r="E5027" s="324">
        <f t="shared" si="78"/>
        <v>93154.52</v>
      </c>
    </row>
    <row r="5028" spans="1:5" x14ac:dyDescent="0.25">
      <c r="A5028" s="323" t="s">
        <v>6346</v>
      </c>
      <c r="B5028" s="323" t="s">
        <v>803</v>
      </c>
      <c r="C5028" s="323">
        <v>42514</v>
      </c>
      <c r="D5028" s="323">
        <v>92</v>
      </c>
      <c r="E5028" s="324">
        <f t="shared" si="78"/>
        <v>44870.240000000005</v>
      </c>
    </row>
    <row r="5029" spans="1:5" x14ac:dyDescent="0.25">
      <c r="A5029" s="323" t="s">
        <v>6346</v>
      </c>
      <c r="B5029" s="323" t="s">
        <v>803</v>
      </c>
      <c r="C5029" s="323">
        <v>42514</v>
      </c>
      <c r="D5029" s="323">
        <v>94</v>
      </c>
      <c r="E5029" s="324">
        <f t="shared" si="78"/>
        <v>45845.68</v>
      </c>
    </row>
    <row r="5030" spans="1:5" x14ac:dyDescent="0.25">
      <c r="A5030" s="323" t="s">
        <v>6346</v>
      </c>
      <c r="B5030" s="323" t="s">
        <v>803</v>
      </c>
      <c r="C5030" s="323">
        <v>42514</v>
      </c>
      <c r="D5030" s="323">
        <v>132</v>
      </c>
      <c r="E5030" s="324">
        <f t="shared" si="78"/>
        <v>64379.040000000001</v>
      </c>
    </row>
    <row r="5031" spans="1:5" x14ac:dyDescent="0.25">
      <c r="A5031" s="323" t="s">
        <v>6346</v>
      </c>
      <c r="B5031" s="323" t="s">
        <v>803</v>
      </c>
      <c r="C5031" s="323">
        <v>42514</v>
      </c>
      <c r="D5031" s="323">
        <v>23</v>
      </c>
      <c r="E5031" s="324">
        <f t="shared" si="78"/>
        <v>11217.560000000001</v>
      </c>
    </row>
    <row r="5032" spans="1:5" x14ac:dyDescent="0.25">
      <c r="A5032" s="323" t="s">
        <v>6346</v>
      </c>
      <c r="B5032" s="323" t="s">
        <v>809</v>
      </c>
      <c r="C5032" s="323">
        <v>42514</v>
      </c>
      <c r="D5032" s="323">
        <v>24</v>
      </c>
      <c r="E5032" s="324">
        <f t="shared" si="78"/>
        <v>11705.28</v>
      </c>
    </row>
    <row r="5033" spans="1:5" x14ac:dyDescent="0.25">
      <c r="A5033" s="323" t="s">
        <v>6346</v>
      </c>
      <c r="B5033" s="323" t="s">
        <v>803</v>
      </c>
      <c r="C5033" s="323">
        <v>42514</v>
      </c>
      <c r="D5033" s="323">
        <v>16</v>
      </c>
      <c r="E5033" s="324">
        <f t="shared" si="78"/>
        <v>7803.52</v>
      </c>
    </row>
    <row r="5034" spans="1:5" x14ac:dyDescent="0.25">
      <c r="A5034" s="323" t="s">
        <v>6564</v>
      </c>
      <c r="B5034" s="323" t="s">
        <v>816</v>
      </c>
      <c r="C5034" s="323">
        <v>42514</v>
      </c>
      <c r="D5034" s="323">
        <v>163</v>
      </c>
      <c r="E5034" s="324">
        <f t="shared" si="78"/>
        <v>59623.770000000004</v>
      </c>
    </row>
    <row r="5035" spans="1:5" x14ac:dyDescent="0.25">
      <c r="A5035" s="323" t="s">
        <v>6941</v>
      </c>
      <c r="B5035" s="323" t="s">
        <v>805</v>
      </c>
      <c r="C5035" s="323">
        <v>42514</v>
      </c>
      <c r="D5035" s="323">
        <v>196</v>
      </c>
      <c r="E5035" s="324">
        <f t="shared" si="78"/>
        <v>47796.560000000005</v>
      </c>
    </row>
    <row r="5036" spans="1:5" x14ac:dyDescent="0.25">
      <c r="A5036" s="323" t="s">
        <v>7403</v>
      </c>
      <c r="B5036" s="323" t="s">
        <v>805</v>
      </c>
      <c r="C5036" s="323">
        <v>42523</v>
      </c>
      <c r="D5036" s="323">
        <v>292</v>
      </c>
      <c r="E5036" s="324">
        <f t="shared" si="78"/>
        <v>71207.12000000001</v>
      </c>
    </row>
    <row r="5037" spans="1:5" x14ac:dyDescent="0.25">
      <c r="A5037" s="323" t="s">
        <v>3568</v>
      </c>
      <c r="B5037" s="323" t="s">
        <v>805</v>
      </c>
      <c r="C5037" s="323">
        <v>42524</v>
      </c>
      <c r="D5037" s="323">
        <v>338</v>
      </c>
      <c r="E5037" s="324">
        <f t="shared" si="78"/>
        <v>82424.680000000008</v>
      </c>
    </row>
    <row r="5038" spans="1:5" x14ac:dyDescent="0.25">
      <c r="A5038" s="323" t="s">
        <v>7318</v>
      </c>
      <c r="B5038" s="323" t="s">
        <v>805</v>
      </c>
      <c r="C5038" s="323">
        <v>42535</v>
      </c>
      <c r="D5038" s="323">
        <v>1184</v>
      </c>
      <c r="E5038" s="324">
        <f t="shared" si="78"/>
        <v>288730.23999999999</v>
      </c>
    </row>
    <row r="5039" spans="1:5" x14ac:dyDescent="0.25">
      <c r="A5039" s="323" t="s">
        <v>7331</v>
      </c>
      <c r="B5039" s="323" t="s">
        <v>805</v>
      </c>
      <c r="C5039" s="323">
        <v>42535</v>
      </c>
      <c r="D5039" s="323">
        <v>274</v>
      </c>
      <c r="E5039" s="324">
        <f t="shared" si="78"/>
        <v>66817.64</v>
      </c>
    </row>
    <row r="5040" spans="1:5" x14ac:dyDescent="0.25">
      <c r="A5040" s="323" t="s">
        <v>7390</v>
      </c>
      <c r="B5040" s="323" t="s">
        <v>805</v>
      </c>
      <c r="C5040" s="323">
        <v>42535</v>
      </c>
      <c r="D5040" s="323">
        <v>654</v>
      </c>
      <c r="E5040" s="324">
        <f t="shared" si="78"/>
        <v>159484.44</v>
      </c>
    </row>
    <row r="5041" spans="1:5" x14ac:dyDescent="0.25">
      <c r="A5041" s="323" t="s">
        <v>7462</v>
      </c>
      <c r="B5041" s="323" t="s">
        <v>805</v>
      </c>
      <c r="C5041" s="323">
        <v>42535</v>
      </c>
      <c r="D5041" s="323">
        <v>297</v>
      </c>
      <c r="E5041" s="324">
        <f t="shared" si="78"/>
        <v>72426.42</v>
      </c>
    </row>
    <row r="5042" spans="1:5" x14ac:dyDescent="0.25">
      <c r="A5042" s="323" t="s">
        <v>7128</v>
      </c>
      <c r="B5042" s="323" t="s">
        <v>809</v>
      </c>
      <c r="C5042" s="323">
        <v>42536</v>
      </c>
      <c r="D5042" s="323">
        <v>42</v>
      </c>
      <c r="E5042" s="324">
        <f t="shared" si="78"/>
        <v>20484.240000000002</v>
      </c>
    </row>
    <row r="5043" spans="1:5" x14ac:dyDescent="0.25">
      <c r="A5043" s="323" t="s">
        <v>7128</v>
      </c>
      <c r="B5043" s="323" t="s">
        <v>803</v>
      </c>
      <c r="C5043" s="323">
        <v>42536</v>
      </c>
      <c r="D5043" s="323">
        <v>25</v>
      </c>
      <c r="E5043" s="324">
        <f t="shared" si="78"/>
        <v>12193</v>
      </c>
    </row>
    <row r="5044" spans="1:5" x14ac:dyDescent="0.25">
      <c r="A5044" s="323" t="s">
        <v>7130</v>
      </c>
      <c r="B5044" s="323" t="s">
        <v>809</v>
      </c>
      <c r="C5044" s="323">
        <v>42536</v>
      </c>
      <c r="D5044" s="323">
        <v>34</v>
      </c>
      <c r="E5044" s="324">
        <f t="shared" si="78"/>
        <v>16582.48</v>
      </c>
    </row>
    <row r="5045" spans="1:5" x14ac:dyDescent="0.25">
      <c r="A5045" s="323" t="s">
        <v>7130</v>
      </c>
      <c r="B5045" s="323" t="s">
        <v>803</v>
      </c>
      <c r="C5045" s="323">
        <v>42536</v>
      </c>
      <c r="D5045" s="323">
        <v>36</v>
      </c>
      <c r="E5045" s="324">
        <f t="shared" si="78"/>
        <v>17557.920000000002</v>
      </c>
    </row>
    <row r="5046" spans="1:5" x14ac:dyDescent="0.25">
      <c r="A5046" s="323" t="s">
        <v>7131</v>
      </c>
      <c r="B5046" s="323" t="s">
        <v>809</v>
      </c>
      <c r="C5046" s="323">
        <v>42536</v>
      </c>
      <c r="D5046" s="323">
        <v>49</v>
      </c>
      <c r="E5046" s="324">
        <f t="shared" si="78"/>
        <v>23898.280000000002</v>
      </c>
    </row>
    <row r="5047" spans="1:5" x14ac:dyDescent="0.25">
      <c r="A5047" s="323" t="s">
        <v>7131</v>
      </c>
      <c r="B5047" s="323" t="s">
        <v>803</v>
      </c>
      <c r="C5047" s="323">
        <v>42536</v>
      </c>
      <c r="D5047" s="323">
        <v>60</v>
      </c>
      <c r="E5047" s="324">
        <f t="shared" si="78"/>
        <v>29263.200000000001</v>
      </c>
    </row>
    <row r="5048" spans="1:5" x14ac:dyDescent="0.25">
      <c r="A5048" s="323" t="s">
        <v>7131</v>
      </c>
      <c r="B5048" s="323" t="s">
        <v>809</v>
      </c>
      <c r="C5048" s="323">
        <v>42536</v>
      </c>
      <c r="D5048" s="323">
        <v>52</v>
      </c>
      <c r="E5048" s="324">
        <f t="shared" si="78"/>
        <v>25361.440000000002</v>
      </c>
    </row>
    <row r="5049" spans="1:5" x14ac:dyDescent="0.25">
      <c r="A5049" s="323" t="s">
        <v>7131</v>
      </c>
      <c r="B5049" s="323" t="s">
        <v>803</v>
      </c>
      <c r="C5049" s="323">
        <v>42536</v>
      </c>
      <c r="D5049" s="323">
        <v>63</v>
      </c>
      <c r="E5049" s="324">
        <f t="shared" si="78"/>
        <v>30726.36</v>
      </c>
    </row>
    <row r="5050" spans="1:5" x14ac:dyDescent="0.25">
      <c r="A5050" s="323" t="s">
        <v>7131</v>
      </c>
      <c r="B5050" s="323" t="s">
        <v>809</v>
      </c>
      <c r="C5050" s="323">
        <v>42536</v>
      </c>
      <c r="D5050" s="323">
        <v>25</v>
      </c>
      <c r="E5050" s="324">
        <f t="shared" si="78"/>
        <v>12193</v>
      </c>
    </row>
    <row r="5051" spans="1:5" x14ac:dyDescent="0.25">
      <c r="A5051" s="323" t="s">
        <v>7131</v>
      </c>
      <c r="B5051" s="323" t="s">
        <v>803</v>
      </c>
      <c r="C5051" s="323">
        <v>42536</v>
      </c>
      <c r="D5051" s="323">
        <v>33</v>
      </c>
      <c r="E5051" s="324">
        <f t="shared" si="78"/>
        <v>16094.76</v>
      </c>
    </row>
    <row r="5052" spans="1:5" x14ac:dyDescent="0.25">
      <c r="A5052" s="323" t="s">
        <v>2804</v>
      </c>
      <c r="B5052" s="323" t="s">
        <v>805</v>
      </c>
      <c r="C5052" s="323">
        <v>42538</v>
      </c>
      <c r="D5052" s="323">
        <v>354</v>
      </c>
      <c r="E5052" s="324">
        <f t="shared" si="78"/>
        <v>86326.44</v>
      </c>
    </row>
    <row r="5053" spans="1:5" x14ac:dyDescent="0.25">
      <c r="A5053" s="323" t="s">
        <v>3051</v>
      </c>
      <c r="B5053" s="323" t="s">
        <v>805</v>
      </c>
      <c r="C5053" s="323">
        <v>42538</v>
      </c>
      <c r="D5053" s="323">
        <v>145</v>
      </c>
      <c r="E5053" s="324">
        <f t="shared" si="78"/>
        <v>35359.700000000004</v>
      </c>
    </row>
    <row r="5054" spans="1:5" x14ac:dyDescent="0.25">
      <c r="A5054" s="323" t="s">
        <v>3587</v>
      </c>
      <c r="B5054" s="323" t="s">
        <v>805</v>
      </c>
      <c r="C5054" s="323">
        <v>42538</v>
      </c>
      <c r="D5054" s="323">
        <v>286</v>
      </c>
      <c r="E5054" s="324">
        <f t="shared" si="78"/>
        <v>69743.960000000006</v>
      </c>
    </row>
    <row r="5055" spans="1:5" x14ac:dyDescent="0.25">
      <c r="A5055" s="323" t="s">
        <v>4026</v>
      </c>
      <c r="B5055" s="323" t="s">
        <v>805</v>
      </c>
      <c r="C5055" s="323">
        <v>42538</v>
      </c>
      <c r="D5055" s="323">
        <v>58</v>
      </c>
      <c r="E5055" s="324">
        <f t="shared" si="78"/>
        <v>14143.880000000001</v>
      </c>
    </row>
    <row r="5056" spans="1:5" x14ac:dyDescent="0.25">
      <c r="A5056" s="323" t="s">
        <v>6793</v>
      </c>
      <c r="B5056" s="323" t="s">
        <v>805</v>
      </c>
      <c r="C5056" s="323">
        <v>42538</v>
      </c>
      <c r="D5056" s="323">
        <v>145</v>
      </c>
      <c r="E5056" s="324">
        <f t="shared" si="78"/>
        <v>35359.700000000004</v>
      </c>
    </row>
    <row r="5057" spans="1:5" x14ac:dyDescent="0.25">
      <c r="A5057" s="323" t="s">
        <v>6825</v>
      </c>
      <c r="B5057" s="323" t="s">
        <v>805</v>
      </c>
      <c r="C5057" s="323">
        <v>42538</v>
      </c>
      <c r="D5057" s="323">
        <v>301</v>
      </c>
      <c r="E5057" s="324">
        <f t="shared" si="78"/>
        <v>73401.86</v>
      </c>
    </row>
    <row r="5058" spans="1:5" x14ac:dyDescent="0.25">
      <c r="A5058" s="323" t="s">
        <v>6981</v>
      </c>
      <c r="B5058" s="323" t="s">
        <v>805</v>
      </c>
      <c r="C5058" s="323">
        <v>42538</v>
      </c>
      <c r="D5058" s="323">
        <v>416</v>
      </c>
      <c r="E5058" s="324">
        <f t="shared" ref="E5058:E5121" si="79">D5058*IF(B5058=$G$9,WerkdrukbedragPerLeerlingBo,IF(B5058=$G$10,WerkdrukbedragPerLeerlingSbo,IF(B5058=$G$11,WerkdrukbedragPerLeerlingSo,IF(B5058=$G$12,WerkdrukbedragPerLeerlingVso,0))))</f>
        <v>101445.76000000001</v>
      </c>
    </row>
    <row r="5059" spans="1:5" x14ac:dyDescent="0.25">
      <c r="A5059" s="323" t="s">
        <v>1123</v>
      </c>
      <c r="B5059" s="323" t="s">
        <v>805</v>
      </c>
      <c r="C5059" s="323">
        <v>42540</v>
      </c>
      <c r="D5059" s="323">
        <v>113</v>
      </c>
      <c r="E5059" s="324">
        <f t="shared" si="79"/>
        <v>27556.18</v>
      </c>
    </row>
    <row r="5060" spans="1:5" x14ac:dyDescent="0.25">
      <c r="A5060" s="323" t="s">
        <v>1611</v>
      </c>
      <c r="B5060" s="323" t="s">
        <v>805</v>
      </c>
      <c r="C5060" s="323">
        <v>42540</v>
      </c>
      <c r="D5060" s="323">
        <v>34</v>
      </c>
      <c r="E5060" s="324">
        <f t="shared" si="79"/>
        <v>8291.24</v>
      </c>
    </row>
    <row r="5061" spans="1:5" x14ac:dyDescent="0.25">
      <c r="A5061" s="323" t="s">
        <v>1611</v>
      </c>
      <c r="B5061" s="323" t="s">
        <v>805</v>
      </c>
      <c r="C5061" s="323">
        <v>42540</v>
      </c>
      <c r="D5061" s="323">
        <v>33</v>
      </c>
      <c r="E5061" s="324">
        <f t="shared" si="79"/>
        <v>8047.38</v>
      </c>
    </row>
    <row r="5062" spans="1:5" x14ac:dyDescent="0.25">
      <c r="A5062" s="323" t="s">
        <v>1944</v>
      </c>
      <c r="B5062" s="323" t="s">
        <v>805</v>
      </c>
      <c r="C5062" s="323">
        <v>42540</v>
      </c>
      <c r="D5062" s="323">
        <v>100</v>
      </c>
      <c r="E5062" s="324">
        <f t="shared" si="79"/>
        <v>24386</v>
      </c>
    </row>
    <row r="5063" spans="1:5" x14ac:dyDescent="0.25">
      <c r="A5063" s="323" t="s">
        <v>1976</v>
      </c>
      <c r="B5063" s="323" t="s">
        <v>805</v>
      </c>
      <c r="C5063" s="323">
        <v>42540</v>
      </c>
      <c r="D5063" s="323">
        <v>57</v>
      </c>
      <c r="E5063" s="324">
        <f t="shared" si="79"/>
        <v>13900.02</v>
      </c>
    </row>
    <row r="5064" spans="1:5" x14ac:dyDescent="0.25">
      <c r="A5064" s="323" t="s">
        <v>1981</v>
      </c>
      <c r="B5064" s="323" t="s">
        <v>805</v>
      </c>
      <c r="C5064" s="323">
        <v>42540</v>
      </c>
      <c r="D5064" s="323">
        <v>167</v>
      </c>
      <c r="E5064" s="324">
        <f t="shared" si="79"/>
        <v>40724.620000000003</v>
      </c>
    </row>
    <row r="5065" spans="1:5" x14ac:dyDescent="0.25">
      <c r="A5065" s="323" t="s">
        <v>2195</v>
      </c>
      <c r="B5065" s="323" t="s">
        <v>805</v>
      </c>
      <c r="C5065" s="323">
        <v>42540</v>
      </c>
      <c r="D5065" s="323">
        <v>169</v>
      </c>
      <c r="E5065" s="324">
        <f t="shared" si="79"/>
        <v>41212.340000000004</v>
      </c>
    </row>
    <row r="5066" spans="1:5" x14ac:dyDescent="0.25">
      <c r="A5066" s="323" t="s">
        <v>2902</v>
      </c>
      <c r="B5066" s="323" t="s">
        <v>805</v>
      </c>
      <c r="C5066" s="323">
        <v>42540</v>
      </c>
      <c r="D5066" s="323">
        <v>97</v>
      </c>
      <c r="E5066" s="324">
        <f t="shared" si="79"/>
        <v>23654.420000000002</v>
      </c>
    </row>
    <row r="5067" spans="1:5" x14ac:dyDescent="0.25">
      <c r="A5067" s="323" t="s">
        <v>3078</v>
      </c>
      <c r="B5067" s="323" t="s">
        <v>805</v>
      </c>
      <c r="C5067" s="323">
        <v>42540</v>
      </c>
      <c r="D5067" s="323">
        <v>279</v>
      </c>
      <c r="E5067" s="324">
        <f t="shared" si="79"/>
        <v>68036.94</v>
      </c>
    </row>
    <row r="5068" spans="1:5" x14ac:dyDescent="0.25">
      <c r="A5068" s="323" t="s">
        <v>4298</v>
      </c>
      <c r="B5068" s="323" t="s">
        <v>805</v>
      </c>
      <c r="C5068" s="323">
        <v>42540</v>
      </c>
      <c r="D5068" s="323">
        <v>391</v>
      </c>
      <c r="E5068" s="324">
        <f t="shared" si="79"/>
        <v>95349.260000000009</v>
      </c>
    </row>
    <row r="5069" spans="1:5" x14ac:dyDescent="0.25">
      <c r="A5069" s="323" t="s">
        <v>5178</v>
      </c>
      <c r="B5069" s="323" t="s">
        <v>805</v>
      </c>
      <c r="C5069" s="323">
        <v>42540</v>
      </c>
      <c r="D5069" s="323">
        <v>139</v>
      </c>
      <c r="E5069" s="324">
        <f t="shared" si="79"/>
        <v>33896.54</v>
      </c>
    </row>
    <row r="5070" spans="1:5" x14ac:dyDescent="0.25">
      <c r="A5070" s="323" t="s">
        <v>5828</v>
      </c>
      <c r="B5070" s="323" t="s">
        <v>805</v>
      </c>
      <c r="C5070" s="323">
        <v>42540</v>
      </c>
      <c r="D5070" s="323">
        <v>87</v>
      </c>
      <c r="E5070" s="324">
        <f t="shared" si="79"/>
        <v>21215.82</v>
      </c>
    </row>
    <row r="5071" spans="1:5" x14ac:dyDescent="0.25">
      <c r="A5071" s="323" t="s">
        <v>5852</v>
      </c>
      <c r="B5071" s="323" t="s">
        <v>805</v>
      </c>
      <c r="C5071" s="323">
        <v>42540</v>
      </c>
      <c r="D5071" s="323">
        <v>170</v>
      </c>
      <c r="E5071" s="324">
        <f t="shared" si="79"/>
        <v>41456.200000000004</v>
      </c>
    </row>
    <row r="5072" spans="1:5" x14ac:dyDescent="0.25">
      <c r="A5072" s="323" t="s">
        <v>5863</v>
      </c>
      <c r="B5072" s="323" t="s">
        <v>805</v>
      </c>
      <c r="C5072" s="323">
        <v>42540</v>
      </c>
      <c r="D5072" s="323">
        <v>200</v>
      </c>
      <c r="E5072" s="324">
        <f t="shared" si="79"/>
        <v>48772</v>
      </c>
    </row>
    <row r="5073" spans="1:5" x14ac:dyDescent="0.25">
      <c r="A5073" s="323" t="s">
        <v>5873</v>
      </c>
      <c r="B5073" s="323" t="s">
        <v>805</v>
      </c>
      <c r="C5073" s="323">
        <v>42540</v>
      </c>
      <c r="D5073" s="323">
        <v>211</v>
      </c>
      <c r="E5073" s="324">
        <f t="shared" si="79"/>
        <v>51454.460000000006</v>
      </c>
    </row>
    <row r="5074" spans="1:5" x14ac:dyDescent="0.25">
      <c r="A5074" s="323" t="s">
        <v>7421</v>
      </c>
      <c r="B5074" s="323" t="s">
        <v>805</v>
      </c>
      <c r="C5074" s="323">
        <v>42540</v>
      </c>
      <c r="D5074" s="323">
        <v>479</v>
      </c>
      <c r="E5074" s="324">
        <f t="shared" si="79"/>
        <v>116808.94</v>
      </c>
    </row>
    <row r="5075" spans="1:5" x14ac:dyDescent="0.25">
      <c r="A5075" s="323" t="s">
        <v>2272</v>
      </c>
      <c r="B5075" s="323" t="s">
        <v>805</v>
      </c>
      <c r="C5075" s="323">
        <v>42541</v>
      </c>
      <c r="D5075" s="323">
        <v>425</v>
      </c>
      <c r="E5075" s="324">
        <f t="shared" si="79"/>
        <v>103640.5</v>
      </c>
    </row>
    <row r="5076" spans="1:5" x14ac:dyDescent="0.25">
      <c r="A5076" s="323" t="s">
        <v>3983</v>
      </c>
      <c r="B5076" s="323" t="s">
        <v>805</v>
      </c>
      <c r="C5076" s="323">
        <v>42542</v>
      </c>
      <c r="D5076" s="323">
        <v>443</v>
      </c>
      <c r="E5076" s="324">
        <f t="shared" si="79"/>
        <v>108029.98000000001</v>
      </c>
    </row>
    <row r="5077" spans="1:5" x14ac:dyDescent="0.25">
      <c r="A5077" s="323" t="s">
        <v>1471</v>
      </c>
      <c r="B5077" s="323" t="s">
        <v>805</v>
      </c>
      <c r="C5077" s="323">
        <v>42545</v>
      </c>
      <c r="D5077" s="323">
        <v>105</v>
      </c>
      <c r="E5077" s="324">
        <f t="shared" si="79"/>
        <v>25605.300000000003</v>
      </c>
    </row>
    <row r="5078" spans="1:5" x14ac:dyDescent="0.25">
      <c r="A5078" s="323" t="s">
        <v>1932</v>
      </c>
      <c r="B5078" s="323" t="s">
        <v>805</v>
      </c>
      <c r="C5078" s="323">
        <v>42545</v>
      </c>
      <c r="D5078" s="323">
        <v>115</v>
      </c>
      <c r="E5078" s="324">
        <f t="shared" si="79"/>
        <v>28043.9</v>
      </c>
    </row>
    <row r="5079" spans="1:5" x14ac:dyDescent="0.25">
      <c r="A5079" s="323" t="s">
        <v>1980</v>
      </c>
      <c r="B5079" s="323" t="s">
        <v>805</v>
      </c>
      <c r="C5079" s="323">
        <v>42545</v>
      </c>
      <c r="D5079" s="323">
        <v>96</v>
      </c>
      <c r="E5079" s="324">
        <f t="shared" si="79"/>
        <v>23410.560000000001</v>
      </c>
    </row>
    <row r="5080" spans="1:5" x14ac:dyDescent="0.25">
      <c r="A5080" s="323" t="s">
        <v>2249</v>
      </c>
      <c r="B5080" s="323" t="s">
        <v>805</v>
      </c>
      <c r="C5080" s="323">
        <v>42545</v>
      </c>
      <c r="D5080" s="323">
        <v>90</v>
      </c>
      <c r="E5080" s="324">
        <f t="shared" si="79"/>
        <v>21947.4</v>
      </c>
    </row>
    <row r="5081" spans="1:5" x14ac:dyDescent="0.25">
      <c r="A5081" s="323" t="s">
        <v>2349</v>
      </c>
      <c r="B5081" s="323" t="s">
        <v>805</v>
      </c>
      <c r="C5081" s="323">
        <v>42545</v>
      </c>
      <c r="D5081" s="323">
        <v>89</v>
      </c>
      <c r="E5081" s="324">
        <f t="shared" si="79"/>
        <v>21703.54</v>
      </c>
    </row>
    <row r="5082" spans="1:5" x14ac:dyDescent="0.25">
      <c r="A5082" s="323" t="s">
        <v>2640</v>
      </c>
      <c r="B5082" s="323" t="s">
        <v>805</v>
      </c>
      <c r="C5082" s="323">
        <v>42545</v>
      </c>
      <c r="D5082" s="323">
        <v>92</v>
      </c>
      <c r="E5082" s="324">
        <f t="shared" si="79"/>
        <v>22435.120000000003</v>
      </c>
    </row>
    <row r="5083" spans="1:5" x14ac:dyDescent="0.25">
      <c r="A5083" s="323" t="s">
        <v>2647</v>
      </c>
      <c r="B5083" s="323" t="s">
        <v>805</v>
      </c>
      <c r="C5083" s="323">
        <v>42545</v>
      </c>
      <c r="D5083" s="323">
        <v>137</v>
      </c>
      <c r="E5083" s="324">
        <f t="shared" si="79"/>
        <v>33408.82</v>
      </c>
    </row>
    <row r="5084" spans="1:5" x14ac:dyDescent="0.25">
      <c r="A5084" s="323" t="s">
        <v>3346</v>
      </c>
      <c r="B5084" s="323" t="s">
        <v>805</v>
      </c>
      <c r="C5084" s="323">
        <v>42545</v>
      </c>
      <c r="D5084" s="323">
        <v>79</v>
      </c>
      <c r="E5084" s="324">
        <f t="shared" si="79"/>
        <v>19264.940000000002</v>
      </c>
    </row>
    <row r="5085" spans="1:5" x14ac:dyDescent="0.25">
      <c r="A5085" s="323" t="s">
        <v>3503</v>
      </c>
      <c r="B5085" s="323" t="s">
        <v>805</v>
      </c>
      <c r="C5085" s="323">
        <v>42545</v>
      </c>
      <c r="D5085" s="323">
        <v>127</v>
      </c>
      <c r="E5085" s="324">
        <f t="shared" si="79"/>
        <v>30970.22</v>
      </c>
    </row>
    <row r="5086" spans="1:5" x14ac:dyDescent="0.25">
      <c r="A5086" s="323" t="s">
        <v>3761</v>
      </c>
      <c r="B5086" s="323" t="s">
        <v>805</v>
      </c>
      <c r="C5086" s="323">
        <v>42545</v>
      </c>
      <c r="D5086" s="323">
        <v>312</v>
      </c>
      <c r="E5086" s="324">
        <f t="shared" si="79"/>
        <v>76084.320000000007</v>
      </c>
    </row>
    <row r="5087" spans="1:5" x14ac:dyDescent="0.25">
      <c r="A5087" s="323" t="s">
        <v>3876</v>
      </c>
      <c r="B5087" s="323" t="s">
        <v>805</v>
      </c>
      <c r="C5087" s="323">
        <v>42545</v>
      </c>
      <c r="D5087" s="323">
        <v>210</v>
      </c>
      <c r="E5087" s="324">
        <f t="shared" si="79"/>
        <v>51210.600000000006</v>
      </c>
    </row>
    <row r="5088" spans="1:5" x14ac:dyDescent="0.25">
      <c r="A5088" s="323" t="s">
        <v>4526</v>
      </c>
      <c r="B5088" s="323" t="s">
        <v>805</v>
      </c>
      <c r="C5088" s="323">
        <v>42545</v>
      </c>
      <c r="D5088" s="323">
        <v>119</v>
      </c>
      <c r="E5088" s="324">
        <f t="shared" si="79"/>
        <v>29019.34</v>
      </c>
    </row>
    <row r="5089" spans="1:5" x14ac:dyDescent="0.25">
      <c r="A5089" s="323" t="s">
        <v>4623</v>
      </c>
      <c r="B5089" s="323" t="s">
        <v>805</v>
      </c>
      <c r="C5089" s="323">
        <v>42545</v>
      </c>
      <c r="D5089" s="323">
        <v>256</v>
      </c>
      <c r="E5089" s="324">
        <f t="shared" si="79"/>
        <v>62428.160000000003</v>
      </c>
    </row>
    <row r="5090" spans="1:5" x14ac:dyDescent="0.25">
      <c r="A5090" s="323" t="s">
        <v>4764</v>
      </c>
      <c r="B5090" s="323" t="s">
        <v>805</v>
      </c>
      <c r="C5090" s="323">
        <v>42545</v>
      </c>
      <c r="D5090" s="323">
        <v>370</v>
      </c>
      <c r="E5090" s="324">
        <f t="shared" si="79"/>
        <v>90228.200000000012</v>
      </c>
    </row>
    <row r="5091" spans="1:5" x14ac:dyDescent="0.25">
      <c r="A5091" s="323" t="s">
        <v>3706</v>
      </c>
      <c r="B5091" s="323" t="s">
        <v>805</v>
      </c>
      <c r="C5091" s="323">
        <v>42546</v>
      </c>
      <c r="D5091" s="323">
        <v>209</v>
      </c>
      <c r="E5091" s="324">
        <f t="shared" si="79"/>
        <v>50966.740000000005</v>
      </c>
    </row>
    <row r="5092" spans="1:5" x14ac:dyDescent="0.25">
      <c r="A5092" s="323" t="s">
        <v>4232</v>
      </c>
      <c r="B5092" s="323" t="s">
        <v>805</v>
      </c>
      <c r="C5092" s="323">
        <v>42546</v>
      </c>
      <c r="D5092" s="323">
        <v>228</v>
      </c>
      <c r="E5092" s="324">
        <f t="shared" si="79"/>
        <v>55600.08</v>
      </c>
    </row>
    <row r="5093" spans="1:5" x14ac:dyDescent="0.25">
      <c r="A5093" s="323" t="s">
        <v>4342</v>
      </c>
      <c r="B5093" s="323" t="s">
        <v>805</v>
      </c>
      <c r="C5093" s="323">
        <v>42546</v>
      </c>
      <c r="D5093" s="323">
        <v>63</v>
      </c>
      <c r="E5093" s="324">
        <f t="shared" si="79"/>
        <v>15363.18</v>
      </c>
    </row>
    <row r="5094" spans="1:5" x14ac:dyDescent="0.25">
      <c r="A5094" s="323" t="s">
        <v>4647</v>
      </c>
      <c r="B5094" s="323" t="s">
        <v>805</v>
      </c>
      <c r="C5094" s="323">
        <v>42546</v>
      </c>
      <c r="D5094" s="323">
        <v>234</v>
      </c>
      <c r="E5094" s="324">
        <f t="shared" si="79"/>
        <v>57063.240000000005</v>
      </c>
    </row>
    <row r="5095" spans="1:5" x14ac:dyDescent="0.25">
      <c r="A5095" s="323" t="s">
        <v>4713</v>
      </c>
      <c r="B5095" s="323" t="s">
        <v>805</v>
      </c>
      <c r="C5095" s="323">
        <v>42546</v>
      </c>
      <c r="D5095" s="323">
        <v>319</v>
      </c>
      <c r="E5095" s="324">
        <f t="shared" si="79"/>
        <v>77791.340000000011</v>
      </c>
    </row>
    <row r="5096" spans="1:5" x14ac:dyDescent="0.25">
      <c r="A5096" s="323" t="s">
        <v>4782</v>
      </c>
      <c r="B5096" s="323" t="s">
        <v>805</v>
      </c>
      <c r="C5096" s="323">
        <v>42546</v>
      </c>
      <c r="D5096" s="323">
        <v>183</v>
      </c>
      <c r="E5096" s="324">
        <f t="shared" si="79"/>
        <v>44626.380000000005</v>
      </c>
    </row>
    <row r="5097" spans="1:5" x14ac:dyDescent="0.25">
      <c r="A5097" s="323" t="s">
        <v>4976</v>
      </c>
      <c r="B5097" s="323" t="s">
        <v>805</v>
      </c>
      <c r="C5097" s="323">
        <v>42546</v>
      </c>
      <c r="D5097" s="323">
        <v>381</v>
      </c>
      <c r="E5097" s="324">
        <f t="shared" si="79"/>
        <v>92910.66</v>
      </c>
    </row>
    <row r="5098" spans="1:5" x14ac:dyDescent="0.25">
      <c r="A5098" s="323" t="s">
        <v>5014</v>
      </c>
      <c r="B5098" s="323" t="s">
        <v>805</v>
      </c>
      <c r="C5098" s="323">
        <v>42546</v>
      </c>
      <c r="D5098" s="323">
        <v>101</v>
      </c>
      <c r="E5098" s="324">
        <f t="shared" si="79"/>
        <v>24629.86</v>
      </c>
    </row>
    <row r="5099" spans="1:5" x14ac:dyDescent="0.25">
      <c r="A5099" s="323" t="s">
        <v>5441</v>
      </c>
      <c r="B5099" s="323" t="s">
        <v>805</v>
      </c>
      <c r="C5099" s="323">
        <v>42546</v>
      </c>
      <c r="D5099" s="323">
        <v>72</v>
      </c>
      <c r="E5099" s="324">
        <f t="shared" si="79"/>
        <v>17557.920000000002</v>
      </c>
    </row>
    <row r="5100" spans="1:5" x14ac:dyDescent="0.25">
      <c r="A5100" s="323" t="s">
        <v>6488</v>
      </c>
      <c r="B5100" s="323" t="s">
        <v>816</v>
      </c>
      <c r="C5100" s="323">
        <v>42546</v>
      </c>
      <c r="D5100" s="323">
        <v>70</v>
      </c>
      <c r="E5100" s="324">
        <f t="shared" si="79"/>
        <v>25605.300000000003</v>
      </c>
    </row>
    <row r="5101" spans="1:5" x14ac:dyDescent="0.25">
      <c r="A5101" s="323" t="s">
        <v>7175</v>
      </c>
      <c r="B5101" s="323" t="s">
        <v>809</v>
      </c>
      <c r="C5101" s="323">
        <v>42546</v>
      </c>
      <c r="D5101" s="323">
        <v>56</v>
      </c>
      <c r="E5101" s="324">
        <f t="shared" si="79"/>
        <v>27312.32</v>
      </c>
    </row>
    <row r="5102" spans="1:5" x14ac:dyDescent="0.25">
      <c r="A5102" s="323" t="s">
        <v>7175</v>
      </c>
      <c r="B5102" s="323" t="s">
        <v>803</v>
      </c>
      <c r="C5102" s="323">
        <v>42546</v>
      </c>
      <c r="D5102" s="323">
        <v>67</v>
      </c>
      <c r="E5102" s="324">
        <f t="shared" si="79"/>
        <v>32677.24</v>
      </c>
    </row>
    <row r="5103" spans="1:5" x14ac:dyDescent="0.25">
      <c r="A5103" s="323" t="s">
        <v>4961</v>
      </c>
      <c r="B5103" s="323" t="s">
        <v>816</v>
      </c>
      <c r="C5103" s="323">
        <v>42552</v>
      </c>
      <c r="D5103" s="323">
        <v>111</v>
      </c>
      <c r="E5103" s="324">
        <f t="shared" si="79"/>
        <v>40602.69</v>
      </c>
    </row>
    <row r="5104" spans="1:5" x14ac:dyDescent="0.25">
      <c r="A5104" s="323" t="s">
        <v>5347</v>
      </c>
      <c r="B5104" s="323" t="s">
        <v>809</v>
      </c>
      <c r="C5104" s="323">
        <v>42552</v>
      </c>
      <c r="D5104" s="323">
        <v>41</v>
      </c>
      <c r="E5104" s="324">
        <f t="shared" si="79"/>
        <v>19996.52</v>
      </c>
    </row>
    <row r="5105" spans="1:5" x14ac:dyDescent="0.25">
      <c r="A5105" s="323" t="s">
        <v>5347</v>
      </c>
      <c r="B5105" s="323" t="s">
        <v>803</v>
      </c>
      <c r="C5105" s="323">
        <v>42552</v>
      </c>
      <c r="D5105" s="323">
        <v>66</v>
      </c>
      <c r="E5105" s="324">
        <f t="shared" si="79"/>
        <v>32189.52</v>
      </c>
    </row>
    <row r="5106" spans="1:5" x14ac:dyDescent="0.25">
      <c r="A5106" s="323" t="s">
        <v>5374</v>
      </c>
      <c r="B5106" s="323" t="s">
        <v>805</v>
      </c>
      <c r="C5106" s="323">
        <v>42552</v>
      </c>
      <c r="D5106" s="323">
        <v>182</v>
      </c>
      <c r="E5106" s="324">
        <f t="shared" si="79"/>
        <v>44382.520000000004</v>
      </c>
    </row>
    <row r="5107" spans="1:5" x14ac:dyDescent="0.25">
      <c r="A5107" s="323" t="s">
        <v>5450</v>
      </c>
      <c r="B5107" s="323" t="s">
        <v>805</v>
      </c>
      <c r="C5107" s="323">
        <v>42552</v>
      </c>
      <c r="D5107" s="323">
        <v>173</v>
      </c>
      <c r="E5107" s="324">
        <f t="shared" si="79"/>
        <v>42187.78</v>
      </c>
    </row>
    <row r="5108" spans="1:5" x14ac:dyDescent="0.25">
      <c r="A5108" s="323" t="s">
        <v>5504</v>
      </c>
      <c r="B5108" s="323" t="s">
        <v>805</v>
      </c>
      <c r="C5108" s="323">
        <v>42552</v>
      </c>
      <c r="D5108" s="323">
        <v>221</v>
      </c>
      <c r="E5108" s="324">
        <f t="shared" si="79"/>
        <v>53893.060000000005</v>
      </c>
    </row>
    <row r="5109" spans="1:5" x14ac:dyDescent="0.25">
      <c r="A5109" s="323" t="s">
        <v>5521</v>
      </c>
      <c r="B5109" s="323" t="s">
        <v>805</v>
      </c>
      <c r="C5109" s="323">
        <v>42552</v>
      </c>
      <c r="D5109" s="323">
        <v>185</v>
      </c>
      <c r="E5109" s="324">
        <f t="shared" si="79"/>
        <v>45114.100000000006</v>
      </c>
    </row>
    <row r="5110" spans="1:5" x14ac:dyDescent="0.25">
      <c r="A5110" s="323" t="s">
        <v>5541</v>
      </c>
      <c r="B5110" s="323" t="s">
        <v>805</v>
      </c>
      <c r="C5110" s="323">
        <v>42552</v>
      </c>
      <c r="D5110" s="323">
        <v>170</v>
      </c>
      <c r="E5110" s="324">
        <f t="shared" si="79"/>
        <v>41456.200000000004</v>
      </c>
    </row>
    <row r="5111" spans="1:5" x14ac:dyDescent="0.25">
      <c r="A5111" s="323" t="s">
        <v>5567</v>
      </c>
      <c r="B5111" s="323" t="s">
        <v>805</v>
      </c>
      <c r="C5111" s="323">
        <v>42552</v>
      </c>
      <c r="D5111" s="323">
        <v>451</v>
      </c>
      <c r="E5111" s="324">
        <f t="shared" si="79"/>
        <v>109980.86</v>
      </c>
    </row>
    <row r="5112" spans="1:5" x14ac:dyDescent="0.25">
      <c r="A5112" s="323" t="s">
        <v>5584</v>
      </c>
      <c r="B5112" s="323" t="s">
        <v>805</v>
      </c>
      <c r="C5112" s="323">
        <v>42552</v>
      </c>
      <c r="D5112" s="323">
        <v>214</v>
      </c>
      <c r="E5112" s="324">
        <f t="shared" si="79"/>
        <v>52186.04</v>
      </c>
    </row>
    <row r="5113" spans="1:5" x14ac:dyDescent="0.25">
      <c r="A5113" s="323" t="s">
        <v>5602</v>
      </c>
      <c r="B5113" s="323" t="s">
        <v>805</v>
      </c>
      <c r="C5113" s="323">
        <v>42552</v>
      </c>
      <c r="D5113" s="323">
        <v>375</v>
      </c>
      <c r="E5113" s="324">
        <f t="shared" si="79"/>
        <v>91447.5</v>
      </c>
    </row>
    <row r="5114" spans="1:5" x14ac:dyDescent="0.25">
      <c r="A5114" s="323" t="s">
        <v>5611</v>
      </c>
      <c r="B5114" s="323" t="s">
        <v>805</v>
      </c>
      <c r="C5114" s="323">
        <v>42552</v>
      </c>
      <c r="D5114" s="323">
        <v>152</v>
      </c>
      <c r="E5114" s="324">
        <f t="shared" si="79"/>
        <v>37066.720000000001</v>
      </c>
    </row>
    <row r="5115" spans="1:5" x14ac:dyDescent="0.25">
      <c r="A5115" s="323" t="s">
        <v>5636</v>
      </c>
      <c r="B5115" s="323" t="s">
        <v>805</v>
      </c>
      <c r="C5115" s="323">
        <v>42552</v>
      </c>
      <c r="D5115" s="323">
        <v>252</v>
      </c>
      <c r="E5115" s="324">
        <f t="shared" si="79"/>
        <v>61452.72</v>
      </c>
    </row>
    <row r="5116" spans="1:5" x14ac:dyDescent="0.25">
      <c r="A5116" s="323" t="s">
        <v>5642</v>
      </c>
      <c r="B5116" s="323" t="s">
        <v>805</v>
      </c>
      <c r="C5116" s="323">
        <v>42552</v>
      </c>
      <c r="D5116" s="323">
        <v>571</v>
      </c>
      <c r="E5116" s="324">
        <f t="shared" si="79"/>
        <v>139244.06</v>
      </c>
    </row>
    <row r="5117" spans="1:5" x14ac:dyDescent="0.25">
      <c r="A5117" s="323" t="s">
        <v>5650</v>
      </c>
      <c r="B5117" s="323" t="s">
        <v>805</v>
      </c>
      <c r="C5117" s="323">
        <v>42552</v>
      </c>
      <c r="D5117" s="323">
        <v>184</v>
      </c>
      <c r="E5117" s="324">
        <f t="shared" si="79"/>
        <v>44870.240000000005</v>
      </c>
    </row>
    <row r="5118" spans="1:5" x14ac:dyDescent="0.25">
      <c r="A5118" s="323" t="s">
        <v>5671</v>
      </c>
      <c r="B5118" s="323" t="s">
        <v>805</v>
      </c>
      <c r="C5118" s="323">
        <v>42552</v>
      </c>
      <c r="D5118" s="323">
        <v>128</v>
      </c>
      <c r="E5118" s="324">
        <f t="shared" si="79"/>
        <v>31214.080000000002</v>
      </c>
    </row>
    <row r="5119" spans="1:5" x14ac:dyDescent="0.25">
      <c r="A5119" s="323" t="s">
        <v>5710</v>
      </c>
      <c r="B5119" s="323" t="s">
        <v>805</v>
      </c>
      <c r="C5119" s="323">
        <v>42552</v>
      </c>
      <c r="D5119" s="323">
        <v>262</v>
      </c>
      <c r="E5119" s="324">
        <f t="shared" si="79"/>
        <v>63891.320000000007</v>
      </c>
    </row>
    <row r="5120" spans="1:5" x14ac:dyDescent="0.25">
      <c r="A5120" s="323" t="s">
        <v>5719</v>
      </c>
      <c r="B5120" s="323" t="s">
        <v>805</v>
      </c>
      <c r="C5120" s="323">
        <v>42552</v>
      </c>
      <c r="D5120" s="323">
        <v>133</v>
      </c>
      <c r="E5120" s="324">
        <f t="shared" si="79"/>
        <v>32433.38</v>
      </c>
    </row>
    <row r="5121" spans="1:5" x14ac:dyDescent="0.25">
      <c r="A5121" s="323" t="s">
        <v>5728</v>
      </c>
      <c r="B5121" s="323" t="s">
        <v>805</v>
      </c>
      <c r="C5121" s="323">
        <v>42552</v>
      </c>
      <c r="D5121" s="323">
        <v>169</v>
      </c>
      <c r="E5121" s="324">
        <f t="shared" si="79"/>
        <v>41212.340000000004</v>
      </c>
    </row>
    <row r="5122" spans="1:5" x14ac:dyDescent="0.25">
      <c r="A5122" s="323" t="s">
        <v>5737</v>
      </c>
      <c r="B5122" s="323" t="s">
        <v>805</v>
      </c>
      <c r="C5122" s="323">
        <v>42552</v>
      </c>
      <c r="D5122" s="323">
        <v>206</v>
      </c>
      <c r="E5122" s="324">
        <f t="shared" ref="E5122:E5185" si="80">D5122*IF(B5122=$G$9,WerkdrukbedragPerLeerlingBo,IF(B5122=$G$10,WerkdrukbedragPerLeerlingSbo,IF(B5122=$G$11,WerkdrukbedragPerLeerlingSo,IF(B5122=$G$12,WerkdrukbedragPerLeerlingVso,0))))</f>
        <v>50235.16</v>
      </c>
    </row>
    <row r="5123" spans="1:5" x14ac:dyDescent="0.25">
      <c r="A5123" s="323" t="s">
        <v>6651</v>
      </c>
      <c r="B5123" s="323" t="s">
        <v>805</v>
      </c>
      <c r="C5123" s="323">
        <v>42553</v>
      </c>
      <c r="D5123" s="323">
        <v>133</v>
      </c>
      <c r="E5123" s="324">
        <f t="shared" si="80"/>
        <v>32433.38</v>
      </c>
    </row>
    <row r="5124" spans="1:5" x14ac:dyDescent="0.25">
      <c r="A5124" s="323" t="s">
        <v>6700</v>
      </c>
      <c r="B5124" s="323" t="s">
        <v>805</v>
      </c>
      <c r="C5124" s="323">
        <v>42553</v>
      </c>
      <c r="D5124" s="323">
        <v>200</v>
      </c>
      <c r="E5124" s="324">
        <f t="shared" si="80"/>
        <v>48772</v>
      </c>
    </row>
    <row r="5125" spans="1:5" x14ac:dyDescent="0.25">
      <c r="A5125" s="323" t="s">
        <v>6708</v>
      </c>
      <c r="B5125" s="323" t="s">
        <v>816</v>
      </c>
      <c r="C5125" s="323">
        <v>42553</v>
      </c>
      <c r="D5125" s="323">
        <v>128</v>
      </c>
      <c r="E5125" s="324">
        <f t="shared" si="80"/>
        <v>46821.120000000003</v>
      </c>
    </row>
    <row r="5126" spans="1:5" x14ac:dyDescent="0.25">
      <c r="A5126" s="323" t="s">
        <v>6709</v>
      </c>
      <c r="B5126" s="323" t="s">
        <v>805</v>
      </c>
      <c r="C5126" s="323">
        <v>42553</v>
      </c>
      <c r="D5126" s="323">
        <v>226</v>
      </c>
      <c r="E5126" s="324">
        <f t="shared" si="80"/>
        <v>55112.36</v>
      </c>
    </row>
    <row r="5127" spans="1:5" x14ac:dyDescent="0.25">
      <c r="A5127" s="323" t="s">
        <v>6710</v>
      </c>
      <c r="B5127" s="323" t="s">
        <v>805</v>
      </c>
      <c r="C5127" s="323">
        <v>42553</v>
      </c>
      <c r="D5127" s="323">
        <v>221</v>
      </c>
      <c r="E5127" s="324">
        <f t="shared" si="80"/>
        <v>53893.060000000005</v>
      </c>
    </row>
    <row r="5128" spans="1:5" x14ac:dyDescent="0.25">
      <c r="A5128" s="323" t="s">
        <v>6711</v>
      </c>
      <c r="B5128" s="323" t="s">
        <v>805</v>
      </c>
      <c r="C5128" s="323">
        <v>42553</v>
      </c>
      <c r="D5128" s="323">
        <v>309</v>
      </c>
      <c r="E5128" s="324">
        <f t="shared" si="80"/>
        <v>75352.740000000005</v>
      </c>
    </row>
    <row r="5129" spans="1:5" x14ac:dyDescent="0.25">
      <c r="A5129" s="323" t="s">
        <v>6715</v>
      </c>
      <c r="B5129" s="323" t="s">
        <v>805</v>
      </c>
      <c r="C5129" s="323">
        <v>42553</v>
      </c>
      <c r="D5129" s="323">
        <v>649</v>
      </c>
      <c r="E5129" s="324">
        <f t="shared" si="80"/>
        <v>158265.14000000001</v>
      </c>
    </row>
    <row r="5130" spans="1:5" x14ac:dyDescent="0.25">
      <c r="A5130" s="323" t="s">
        <v>6716</v>
      </c>
      <c r="B5130" s="323" t="s">
        <v>805</v>
      </c>
      <c r="C5130" s="323">
        <v>42553</v>
      </c>
      <c r="D5130" s="323">
        <v>116</v>
      </c>
      <c r="E5130" s="324">
        <f t="shared" si="80"/>
        <v>28287.760000000002</v>
      </c>
    </row>
    <row r="5131" spans="1:5" x14ac:dyDescent="0.25">
      <c r="A5131" s="323" t="s">
        <v>6717</v>
      </c>
      <c r="B5131" s="323" t="s">
        <v>805</v>
      </c>
      <c r="C5131" s="323">
        <v>42553</v>
      </c>
      <c r="D5131" s="323">
        <v>194</v>
      </c>
      <c r="E5131" s="324">
        <f t="shared" si="80"/>
        <v>47308.840000000004</v>
      </c>
    </row>
    <row r="5132" spans="1:5" x14ac:dyDescent="0.25">
      <c r="A5132" s="323" t="s">
        <v>6718</v>
      </c>
      <c r="B5132" s="323" t="s">
        <v>805</v>
      </c>
      <c r="C5132" s="323">
        <v>42553</v>
      </c>
      <c r="D5132" s="323">
        <v>522</v>
      </c>
      <c r="E5132" s="324">
        <f t="shared" si="80"/>
        <v>127294.92000000001</v>
      </c>
    </row>
    <row r="5133" spans="1:5" x14ac:dyDescent="0.25">
      <c r="A5133" s="323" t="s">
        <v>6719</v>
      </c>
      <c r="B5133" s="323" t="s">
        <v>805</v>
      </c>
      <c r="C5133" s="323">
        <v>42553</v>
      </c>
      <c r="D5133" s="323">
        <v>142</v>
      </c>
      <c r="E5133" s="324">
        <f t="shared" si="80"/>
        <v>34628.120000000003</v>
      </c>
    </row>
    <row r="5134" spans="1:5" x14ac:dyDescent="0.25">
      <c r="A5134" s="323" t="s">
        <v>6720</v>
      </c>
      <c r="B5134" s="323" t="s">
        <v>805</v>
      </c>
      <c r="C5134" s="323">
        <v>42553</v>
      </c>
      <c r="D5134" s="323">
        <v>105</v>
      </c>
      <c r="E5134" s="324">
        <f t="shared" si="80"/>
        <v>25605.300000000003</v>
      </c>
    </row>
    <row r="5135" spans="1:5" x14ac:dyDescent="0.25">
      <c r="A5135" s="323" t="s">
        <v>6724</v>
      </c>
      <c r="B5135" s="323" t="s">
        <v>805</v>
      </c>
      <c r="C5135" s="323">
        <v>42553</v>
      </c>
      <c r="D5135" s="323">
        <v>270</v>
      </c>
      <c r="E5135" s="324">
        <f t="shared" si="80"/>
        <v>65842.2</v>
      </c>
    </row>
    <row r="5136" spans="1:5" x14ac:dyDescent="0.25">
      <c r="A5136" s="323" t="s">
        <v>6725</v>
      </c>
      <c r="B5136" s="323" t="s">
        <v>805</v>
      </c>
      <c r="C5136" s="323">
        <v>42553</v>
      </c>
      <c r="D5136" s="323">
        <v>187</v>
      </c>
      <c r="E5136" s="324">
        <f t="shared" si="80"/>
        <v>45601.82</v>
      </c>
    </row>
    <row r="5137" spans="1:5" x14ac:dyDescent="0.25">
      <c r="A5137" s="323" t="s">
        <v>7357</v>
      </c>
      <c r="B5137" s="323" t="s">
        <v>805</v>
      </c>
      <c r="C5137" s="323">
        <v>42553</v>
      </c>
      <c r="D5137" s="323">
        <v>412</v>
      </c>
      <c r="E5137" s="324">
        <f t="shared" si="80"/>
        <v>100470.32</v>
      </c>
    </row>
    <row r="5138" spans="1:5" x14ac:dyDescent="0.25">
      <c r="A5138" s="323" t="s">
        <v>7398</v>
      </c>
      <c r="B5138" s="323" t="s">
        <v>805</v>
      </c>
      <c r="C5138" s="323">
        <v>42553</v>
      </c>
      <c r="D5138" s="323">
        <v>335</v>
      </c>
      <c r="E5138" s="324">
        <f t="shared" si="80"/>
        <v>81693.100000000006</v>
      </c>
    </row>
    <row r="5139" spans="1:5" x14ac:dyDescent="0.25">
      <c r="A5139" s="323" t="s">
        <v>4430</v>
      </c>
      <c r="B5139" s="323" t="s">
        <v>805</v>
      </c>
      <c r="C5139" s="323">
        <v>42554</v>
      </c>
      <c r="D5139" s="323">
        <v>244</v>
      </c>
      <c r="E5139" s="324">
        <f t="shared" si="80"/>
        <v>59501.840000000004</v>
      </c>
    </row>
    <row r="5140" spans="1:5" x14ac:dyDescent="0.25">
      <c r="A5140" s="323" t="s">
        <v>4535</v>
      </c>
      <c r="B5140" s="323" t="s">
        <v>805</v>
      </c>
      <c r="C5140" s="323">
        <v>42554</v>
      </c>
      <c r="D5140" s="323">
        <v>51</v>
      </c>
      <c r="E5140" s="324">
        <f t="shared" si="80"/>
        <v>12436.86</v>
      </c>
    </row>
    <row r="5141" spans="1:5" x14ac:dyDescent="0.25">
      <c r="A5141" s="323" t="s">
        <v>4767</v>
      </c>
      <c r="B5141" s="323" t="s">
        <v>805</v>
      </c>
      <c r="C5141" s="323">
        <v>42554</v>
      </c>
      <c r="D5141" s="323">
        <v>46</v>
      </c>
      <c r="E5141" s="324">
        <f t="shared" si="80"/>
        <v>11217.560000000001</v>
      </c>
    </row>
    <row r="5142" spans="1:5" x14ac:dyDescent="0.25">
      <c r="A5142" s="323" t="s">
        <v>4912</v>
      </c>
      <c r="B5142" s="323" t="s">
        <v>805</v>
      </c>
      <c r="C5142" s="323">
        <v>42554</v>
      </c>
      <c r="D5142" s="323">
        <v>65</v>
      </c>
      <c r="E5142" s="324">
        <f t="shared" si="80"/>
        <v>15850.900000000001</v>
      </c>
    </row>
    <row r="5143" spans="1:5" x14ac:dyDescent="0.25">
      <c r="A5143" s="323" t="s">
        <v>4962</v>
      </c>
      <c r="B5143" s="323" t="s">
        <v>805</v>
      </c>
      <c r="C5143" s="323">
        <v>42554</v>
      </c>
      <c r="D5143" s="323">
        <v>139</v>
      </c>
      <c r="E5143" s="324">
        <f t="shared" si="80"/>
        <v>33896.54</v>
      </c>
    </row>
    <row r="5144" spans="1:5" x14ac:dyDescent="0.25">
      <c r="A5144" s="323" t="s">
        <v>6284</v>
      </c>
      <c r="B5144" s="323" t="s">
        <v>805</v>
      </c>
      <c r="C5144" s="323">
        <v>42554</v>
      </c>
      <c r="D5144" s="323">
        <v>73</v>
      </c>
      <c r="E5144" s="324">
        <f t="shared" si="80"/>
        <v>17801.780000000002</v>
      </c>
    </row>
    <row r="5145" spans="1:5" x14ac:dyDescent="0.25">
      <c r="A5145" s="323" t="s">
        <v>6302</v>
      </c>
      <c r="B5145" s="323" t="s">
        <v>805</v>
      </c>
      <c r="C5145" s="323">
        <v>42554</v>
      </c>
      <c r="D5145" s="323">
        <v>88</v>
      </c>
      <c r="E5145" s="324">
        <f t="shared" si="80"/>
        <v>21459.68</v>
      </c>
    </row>
    <row r="5146" spans="1:5" x14ac:dyDescent="0.25">
      <c r="A5146" s="323" t="s">
        <v>6316</v>
      </c>
      <c r="B5146" s="323" t="s">
        <v>805</v>
      </c>
      <c r="C5146" s="323">
        <v>42554</v>
      </c>
      <c r="D5146" s="323">
        <v>63</v>
      </c>
      <c r="E5146" s="324">
        <f t="shared" si="80"/>
        <v>15363.18</v>
      </c>
    </row>
    <row r="5147" spans="1:5" x14ac:dyDescent="0.25">
      <c r="A5147" s="323" t="s">
        <v>6320</v>
      </c>
      <c r="B5147" s="323" t="s">
        <v>805</v>
      </c>
      <c r="C5147" s="323">
        <v>42554</v>
      </c>
      <c r="D5147" s="323">
        <v>167</v>
      </c>
      <c r="E5147" s="324">
        <f t="shared" si="80"/>
        <v>40724.620000000003</v>
      </c>
    </row>
    <row r="5148" spans="1:5" x14ac:dyDescent="0.25">
      <c r="A5148" s="323" t="s">
        <v>6324</v>
      </c>
      <c r="B5148" s="323" t="s">
        <v>805</v>
      </c>
      <c r="C5148" s="323">
        <v>42554</v>
      </c>
      <c r="D5148" s="323">
        <v>71</v>
      </c>
      <c r="E5148" s="324">
        <f t="shared" si="80"/>
        <v>17314.060000000001</v>
      </c>
    </row>
    <row r="5149" spans="1:5" x14ac:dyDescent="0.25">
      <c r="A5149" s="323" t="s">
        <v>4083</v>
      </c>
      <c r="B5149" s="323" t="s">
        <v>805</v>
      </c>
      <c r="C5149" s="323">
        <v>42557</v>
      </c>
      <c r="D5149" s="323">
        <v>41</v>
      </c>
      <c r="E5149" s="324">
        <f t="shared" si="80"/>
        <v>9998.26</v>
      </c>
    </row>
    <row r="5150" spans="1:5" x14ac:dyDescent="0.25">
      <c r="A5150" s="323" t="s">
        <v>4547</v>
      </c>
      <c r="B5150" s="323" t="s">
        <v>805</v>
      </c>
      <c r="C5150" s="323">
        <v>42557</v>
      </c>
      <c r="D5150" s="323">
        <v>311</v>
      </c>
      <c r="E5150" s="324">
        <f t="shared" si="80"/>
        <v>75840.460000000006</v>
      </c>
    </row>
    <row r="5151" spans="1:5" x14ac:dyDescent="0.25">
      <c r="A5151" s="323" t="s">
        <v>4636</v>
      </c>
      <c r="B5151" s="323" t="s">
        <v>805</v>
      </c>
      <c r="C5151" s="323">
        <v>42557</v>
      </c>
      <c r="D5151" s="323">
        <v>117</v>
      </c>
      <c r="E5151" s="324">
        <f t="shared" si="80"/>
        <v>28531.620000000003</v>
      </c>
    </row>
    <row r="5152" spans="1:5" x14ac:dyDescent="0.25">
      <c r="A5152" s="323" t="s">
        <v>4636</v>
      </c>
      <c r="B5152" s="323" t="s">
        <v>805</v>
      </c>
      <c r="C5152" s="323">
        <v>42557</v>
      </c>
      <c r="D5152" s="323">
        <v>93</v>
      </c>
      <c r="E5152" s="324">
        <f t="shared" si="80"/>
        <v>22678.98</v>
      </c>
    </row>
    <row r="5153" spans="1:5" x14ac:dyDescent="0.25">
      <c r="A5153" s="323" t="s">
        <v>4705</v>
      </c>
      <c r="B5153" s="323" t="s">
        <v>805</v>
      </c>
      <c r="C5153" s="323">
        <v>42557</v>
      </c>
      <c r="D5153" s="323">
        <v>233</v>
      </c>
      <c r="E5153" s="324">
        <f t="shared" si="80"/>
        <v>56819.380000000005</v>
      </c>
    </row>
    <row r="5154" spans="1:5" x14ac:dyDescent="0.25">
      <c r="A5154" s="323" t="s">
        <v>4882</v>
      </c>
      <c r="B5154" s="323" t="s">
        <v>805</v>
      </c>
      <c r="C5154" s="323">
        <v>42557</v>
      </c>
      <c r="D5154" s="323">
        <v>171</v>
      </c>
      <c r="E5154" s="324">
        <f t="shared" si="80"/>
        <v>41700.060000000005</v>
      </c>
    </row>
    <row r="5155" spans="1:5" x14ac:dyDescent="0.25">
      <c r="A5155" s="323" t="s">
        <v>4926</v>
      </c>
      <c r="B5155" s="323" t="s">
        <v>805</v>
      </c>
      <c r="C5155" s="323">
        <v>42557</v>
      </c>
      <c r="D5155" s="323">
        <v>122</v>
      </c>
      <c r="E5155" s="324">
        <f t="shared" si="80"/>
        <v>29750.920000000002</v>
      </c>
    </row>
    <row r="5156" spans="1:5" x14ac:dyDescent="0.25">
      <c r="A5156" s="323" t="s">
        <v>4926</v>
      </c>
      <c r="B5156" s="323" t="s">
        <v>805</v>
      </c>
      <c r="C5156" s="323">
        <v>42557</v>
      </c>
      <c r="D5156" s="323">
        <v>64</v>
      </c>
      <c r="E5156" s="324">
        <f t="shared" si="80"/>
        <v>15607.04</v>
      </c>
    </row>
    <row r="5157" spans="1:5" x14ac:dyDescent="0.25">
      <c r="A5157" s="323" t="s">
        <v>4926</v>
      </c>
      <c r="B5157" s="323" t="s">
        <v>805</v>
      </c>
      <c r="C5157" s="323">
        <v>42557</v>
      </c>
      <c r="D5157" s="323">
        <v>35</v>
      </c>
      <c r="E5157" s="324">
        <f t="shared" si="80"/>
        <v>8535.1</v>
      </c>
    </row>
    <row r="5158" spans="1:5" x14ac:dyDescent="0.25">
      <c r="A5158" s="323" t="s">
        <v>6194</v>
      </c>
      <c r="B5158" s="323" t="s">
        <v>805</v>
      </c>
      <c r="C5158" s="323">
        <v>42557</v>
      </c>
      <c r="D5158" s="323">
        <v>38</v>
      </c>
      <c r="E5158" s="324">
        <f t="shared" si="80"/>
        <v>9266.68</v>
      </c>
    </row>
    <row r="5159" spans="1:5" x14ac:dyDescent="0.25">
      <c r="A5159" s="323" t="s">
        <v>6834</v>
      </c>
      <c r="B5159" s="323" t="s">
        <v>805</v>
      </c>
      <c r="C5159" s="323">
        <v>42557</v>
      </c>
      <c r="D5159" s="323">
        <v>91</v>
      </c>
      <c r="E5159" s="324">
        <f t="shared" si="80"/>
        <v>22191.260000000002</v>
      </c>
    </row>
    <row r="5160" spans="1:5" x14ac:dyDescent="0.25">
      <c r="A5160" s="323" t="s">
        <v>5239</v>
      </c>
      <c r="B5160" s="323" t="s">
        <v>809</v>
      </c>
      <c r="C5160" s="323">
        <v>42558</v>
      </c>
      <c r="D5160" s="323">
        <v>94</v>
      </c>
      <c r="E5160" s="324">
        <f t="shared" si="80"/>
        <v>45845.68</v>
      </c>
    </row>
    <row r="5161" spans="1:5" x14ac:dyDescent="0.25">
      <c r="A5161" s="323" t="s">
        <v>5239</v>
      </c>
      <c r="B5161" s="323" t="s">
        <v>803</v>
      </c>
      <c r="C5161" s="323">
        <v>42558</v>
      </c>
      <c r="D5161" s="323">
        <v>82</v>
      </c>
      <c r="E5161" s="324">
        <f t="shared" si="80"/>
        <v>39993.040000000001</v>
      </c>
    </row>
    <row r="5162" spans="1:5" x14ac:dyDescent="0.25">
      <c r="A5162" s="323" t="s">
        <v>5449</v>
      </c>
      <c r="B5162" s="323" t="s">
        <v>805</v>
      </c>
      <c r="C5162" s="323">
        <v>42558</v>
      </c>
      <c r="D5162" s="323">
        <v>267</v>
      </c>
      <c r="E5162" s="324">
        <f t="shared" si="80"/>
        <v>65110.62</v>
      </c>
    </row>
    <row r="5163" spans="1:5" x14ac:dyDescent="0.25">
      <c r="A5163" s="323" t="s">
        <v>5503</v>
      </c>
      <c r="B5163" s="323" t="s">
        <v>805</v>
      </c>
      <c r="C5163" s="323">
        <v>42558</v>
      </c>
      <c r="D5163" s="323">
        <v>364</v>
      </c>
      <c r="E5163" s="324">
        <f t="shared" si="80"/>
        <v>88765.040000000008</v>
      </c>
    </row>
    <row r="5164" spans="1:5" x14ac:dyDescent="0.25">
      <c r="A5164" s="323" t="s">
        <v>5520</v>
      </c>
      <c r="B5164" s="323" t="s">
        <v>805</v>
      </c>
      <c r="C5164" s="323">
        <v>42558</v>
      </c>
      <c r="D5164" s="323">
        <v>171</v>
      </c>
      <c r="E5164" s="324">
        <f t="shared" si="80"/>
        <v>41700.060000000005</v>
      </c>
    </row>
    <row r="5165" spans="1:5" x14ac:dyDescent="0.25">
      <c r="A5165" s="323" t="s">
        <v>5583</v>
      </c>
      <c r="B5165" s="323" t="s">
        <v>805</v>
      </c>
      <c r="C5165" s="323">
        <v>42558</v>
      </c>
      <c r="D5165" s="323">
        <v>209</v>
      </c>
      <c r="E5165" s="324">
        <f t="shared" si="80"/>
        <v>50966.740000000005</v>
      </c>
    </row>
    <row r="5166" spans="1:5" x14ac:dyDescent="0.25">
      <c r="A5166" s="323" t="s">
        <v>5635</v>
      </c>
      <c r="B5166" s="323" t="s">
        <v>805</v>
      </c>
      <c r="C5166" s="323">
        <v>42558</v>
      </c>
      <c r="D5166" s="323">
        <v>398</v>
      </c>
      <c r="E5166" s="324">
        <f t="shared" si="80"/>
        <v>97056.28</v>
      </c>
    </row>
    <row r="5167" spans="1:5" x14ac:dyDescent="0.25">
      <c r="A5167" s="323" t="s">
        <v>5670</v>
      </c>
      <c r="B5167" s="323" t="s">
        <v>805</v>
      </c>
      <c r="C5167" s="323">
        <v>42558</v>
      </c>
      <c r="D5167" s="323">
        <v>123</v>
      </c>
      <c r="E5167" s="324">
        <f t="shared" si="80"/>
        <v>29994.780000000002</v>
      </c>
    </row>
    <row r="5168" spans="1:5" x14ac:dyDescent="0.25">
      <c r="A5168" s="323" t="s">
        <v>6536</v>
      </c>
      <c r="B5168" s="323" t="s">
        <v>816</v>
      </c>
      <c r="C5168" s="323">
        <v>42558</v>
      </c>
      <c r="D5168" s="323">
        <v>194</v>
      </c>
      <c r="E5168" s="324">
        <f t="shared" si="80"/>
        <v>70963.260000000009</v>
      </c>
    </row>
    <row r="5169" spans="1:5" x14ac:dyDescent="0.25">
      <c r="A5169" s="323" t="s">
        <v>6760</v>
      </c>
      <c r="B5169" s="323" t="s">
        <v>805</v>
      </c>
      <c r="C5169" s="323">
        <v>42558</v>
      </c>
      <c r="D5169" s="323">
        <v>183</v>
      </c>
      <c r="E5169" s="324">
        <f t="shared" si="80"/>
        <v>44626.380000000005</v>
      </c>
    </row>
    <row r="5170" spans="1:5" x14ac:dyDescent="0.25">
      <c r="A5170" s="323" t="s">
        <v>6904</v>
      </c>
      <c r="B5170" s="323" t="s">
        <v>805</v>
      </c>
      <c r="C5170" s="323">
        <v>42558</v>
      </c>
      <c r="D5170" s="323">
        <v>466</v>
      </c>
      <c r="E5170" s="324">
        <f t="shared" si="80"/>
        <v>113638.76000000001</v>
      </c>
    </row>
    <row r="5171" spans="1:5" x14ac:dyDescent="0.25">
      <c r="A5171" s="323" t="s">
        <v>7038</v>
      </c>
      <c r="B5171" s="323" t="s">
        <v>805</v>
      </c>
      <c r="C5171" s="323">
        <v>42558</v>
      </c>
      <c r="D5171" s="323">
        <v>179</v>
      </c>
      <c r="E5171" s="324">
        <f t="shared" si="80"/>
        <v>43650.94</v>
      </c>
    </row>
    <row r="5172" spans="1:5" x14ac:dyDescent="0.25">
      <c r="A5172" s="323" t="s">
        <v>7159</v>
      </c>
      <c r="B5172" s="323" t="s">
        <v>805</v>
      </c>
      <c r="C5172" s="323">
        <v>42558</v>
      </c>
      <c r="D5172" s="323">
        <v>306</v>
      </c>
      <c r="E5172" s="324">
        <f t="shared" si="80"/>
        <v>74621.16</v>
      </c>
    </row>
    <row r="5173" spans="1:5" x14ac:dyDescent="0.25">
      <c r="A5173" s="323" t="s">
        <v>7219</v>
      </c>
      <c r="B5173" s="323" t="s">
        <v>805</v>
      </c>
      <c r="C5173" s="323">
        <v>42558</v>
      </c>
      <c r="D5173" s="323">
        <v>317</v>
      </c>
      <c r="E5173" s="324">
        <f t="shared" si="80"/>
        <v>77303.62000000001</v>
      </c>
    </row>
    <row r="5174" spans="1:5" x14ac:dyDescent="0.25">
      <c r="A5174" s="323" t="s">
        <v>7268</v>
      </c>
      <c r="B5174" s="323" t="s">
        <v>805</v>
      </c>
      <c r="C5174" s="323">
        <v>42558</v>
      </c>
      <c r="D5174" s="323">
        <v>192</v>
      </c>
      <c r="E5174" s="324">
        <f t="shared" si="80"/>
        <v>46821.120000000003</v>
      </c>
    </row>
    <row r="5175" spans="1:5" x14ac:dyDescent="0.25">
      <c r="A5175" s="323" t="s">
        <v>1921</v>
      </c>
      <c r="B5175" s="323" t="s">
        <v>805</v>
      </c>
      <c r="C5175" s="323">
        <v>42559</v>
      </c>
      <c r="D5175" s="323">
        <v>167</v>
      </c>
      <c r="E5175" s="324">
        <f t="shared" si="80"/>
        <v>40724.620000000003</v>
      </c>
    </row>
    <row r="5176" spans="1:5" x14ac:dyDescent="0.25">
      <c r="A5176" s="323" t="s">
        <v>1951</v>
      </c>
      <c r="B5176" s="323" t="s">
        <v>805</v>
      </c>
      <c r="C5176" s="323">
        <v>42559</v>
      </c>
      <c r="D5176" s="323">
        <v>144</v>
      </c>
      <c r="E5176" s="324">
        <f t="shared" si="80"/>
        <v>35115.840000000004</v>
      </c>
    </row>
    <row r="5177" spans="1:5" x14ac:dyDescent="0.25">
      <c r="A5177" s="323" t="s">
        <v>2910</v>
      </c>
      <c r="B5177" s="323" t="s">
        <v>805</v>
      </c>
      <c r="C5177" s="323">
        <v>42559</v>
      </c>
      <c r="D5177" s="323">
        <v>174</v>
      </c>
      <c r="E5177" s="324">
        <f t="shared" si="80"/>
        <v>42431.64</v>
      </c>
    </row>
    <row r="5178" spans="1:5" x14ac:dyDescent="0.25">
      <c r="A5178" s="323" t="s">
        <v>3887</v>
      </c>
      <c r="B5178" s="323" t="s">
        <v>805</v>
      </c>
      <c r="C5178" s="323">
        <v>42561</v>
      </c>
      <c r="D5178" s="323">
        <v>78</v>
      </c>
      <c r="E5178" s="324">
        <f t="shared" si="80"/>
        <v>19021.080000000002</v>
      </c>
    </row>
    <row r="5179" spans="1:5" x14ac:dyDescent="0.25">
      <c r="A5179" s="323" t="s">
        <v>4055</v>
      </c>
      <c r="B5179" s="323" t="s">
        <v>805</v>
      </c>
      <c r="C5179" s="323">
        <v>42561</v>
      </c>
      <c r="D5179" s="323">
        <v>139</v>
      </c>
      <c r="E5179" s="324">
        <f t="shared" si="80"/>
        <v>33896.54</v>
      </c>
    </row>
    <row r="5180" spans="1:5" x14ac:dyDescent="0.25">
      <c r="A5180" s="323" t="s">
        <v>4198</v>
      </c>
      <c r="B5180" s="323" t="s">
        <v>805</v>
      </c>
      <c r="C5180" s="323">
        <v>42561</v>
      </c>
      <c r="D5180" s="323">
        <v>103</v>
      </c>
      <c r="E5180" s="324">
        <f t="shared" si="80"/>
        <v>25117.58</v>
      </c>
    </row>
    <row r="5181" spans="1:5" x14ac:dyDescent="0.25">
      <c r="A5181" s="323" t="s">
        <v>4314</v>
      </c>
      <c r="B5181" s="323" t="s">
        <v>805</v>
      </c>
      <c r="C5181" s="323">
        <v>42561</v>
      </c>
      <c r="D5181" s="323">
        <v>291</v>
      </c>
      <c r="E5181" s="324">
        <f t="shared" si="80"/>
        <v>70963.260000000009</v>
      </c>
    </row>
    <row r="5182" spans="1:5" x14ac:dyDescent="0.25">
      <c r="A5182" s="323" t="s">
        <v>4425</v>
      </c>
      <c r="B5182" s="323" t="s">
        <v>805</v>
      </c>
      <c r="C5182" s="323">
        <v>42561</v>
      </c>
      <c r="D5182" s="323">
        <v>92</v>
      </c>
      <c r="E5182" s="324">
        <f t="shared" si="80"/>
        <v>22435.120000000003</v>
      </c>
    </row>
    <row r="5183" spans="1:5" x14ac:dyDescent="0.25">
      <c r="A5183" s="323" t="s">
        <v>4885</v>
      </c>
      <c r="B5183" s="323" t="s">
        <v>805</v>
      </c>
      <c r="C5183" s="323">
        <v>42561</v>
      </c>
      <c r="D5183" s="323">
        <v>282</v>
      </c>
      <c r="E5183" s="324">
        <f t="shared" si="80"/>
        <v>68768.52</v>
      </c>
    </row>
    <row r="5184" spans="1:5" x14ac:dyDescent="0.25">
      <c r="A5184" s="323" t="s">
        <v>4970</v>
      </c>
      <c r="B5184" s="323" t="s">
        <v>805</v>
      </c>
      <c r="C5184" s="323">
        <v>42561</v>
      </c>
      <c r="D5184" s="323">
        <v>159</v>
      </c>
      <c r="E5184" s="324">
        <f t="shared" si="80"/>
        <v>38773.740000000005</v>
      </c>
    </row>
    <row r="5185" spans="1:5" x14ac:dyDescent="0.25">
      <c r="A5185" s="323" t="s">
        <v>5045</v>
      </c>
      <c r="B5185" s="323" t="s">
        <v>805</v>
      </c>
      <c r="C5185" s="323">
        <v>42561</v>
      </c>
      <c r="D5185" s="323">
        <v>241</v>
      </c>
      <c r="E5185" s="324">
        <f t="shared" si="80"/>
        <v>58770.26</v>
      </c>
    </row>
    <row r="5186" spans="1:5" x14ac:dyDescent="0.25">
      <c r="A5186" s="323" t="s">
        <v>5093</v>
      </c>
      <c r="B5186" s="323" t="s">
        <v>805</v>
      </c>
      <c r="C5186" s="323">
        <v>42561</v>
      </c>
      <c r="D5186" s="323">
        <v>57</v>
      </c>
      <c r="E5186" s="324">
        <f t="shared" ref="E5186:E5249" si="81">D5186*IF(B5186=$G$9,WerkdrukbedragPerLeerlingBo,IF(B5186=$G$10,WerkdrukbedragPerLeerlingSbo,IF(B5186=$G$11,WerkdrukbedragPerLeerlingSo,IF(B5186=$G$12,WerkdrukbedragPerLeerlingVso,0))))</f>
        <v>13900.02</v>
      </c>
    </row>
    <row r="5187" spans="1:5" x14ac:dyDescent="0.25">
      <c r="A5187" s="323" t="s">
        <v>5154</v>
      </c>
      <c r="B5187" s="323" t="s">
        <v>805</v>
      </c>
      <c r="C5187" s="323">
        <v>42561</v>
      </c>
      <c r="D5187" s="323">
        <v>146</v>
      </c>
      <c r="E5187" s="324">
        <f t="shared" si="81"/>
        <v>35603.560000000005</v>
      </c>
    </row>
    <row r="5188" spans="1:5" x14ac:dyDescent="0.25">
      <c r="A5188" s="323" t="s">
        <v>6418</v>
      </c>
      <c r="B5188" s="323" t="s">
        <v>805</v>
      </c>
      <c r="C5188" s="323">
        <v>42562</v>
      </c>
      <c r="D5188" s="323">
        <v>617</v>
      </c>
      <c r="E5188" s="324">
        <f t="shared" si="81"/>
        <v>150461.62</v>
      </c>
    </row>
    <row r="5189" spans="1:5" x14ac:dyDescent="0.25">
      <c r="A5189" s="323" t="s">
        <v>6434</v>
      </c>
      <c r="B5189" s="323" t="s">
        <v>805</v>
      </c>
      <c r="C5189" s="323">
        <v>42562</v>
      </c>
      <c r="D5189" s="323">
        <v>248</v>
      </c>
      <c r="E5189" s="324">
        <f t="shared" si="81"/>
        <v>60477.280000000006</v>
      </c>
    </row>
    <row r="5190" spans="1:5" x14ac:dyDescent="0.25">
      <c r="A5190" s="323" t="s">
        <v>7301</v>
      </c>
      <c r="B5190" s="323" t="s">
        <v>805</v>
      </c>
      <c r="C5190" s="323">
        <v>42562</v>
      </c>
      <c r="D5190" s="323">
        <v>759</v>
      </c>
      <c r="E5190" s="324">
        <f t="shared" si="81"/>
        <v>185089.74000000002</v>
      </c>
    </row>
    <row r="5191" spans="1:5" x14ac:dyDescent="0.25">
      <c r="A5191" s="323" t="s">
        <v>1226</v>
      </c>
      <c r="B5191" s="323" t="s">
        <v>805</v>
      </c>
      <c r="C5191" s="323">
        <v>42564</v>
      </c>
      <c r="D5191" s="323">
        <v>468</v>
      </c>
      <c r="E5191" s="324">
        <f t="shared" si="81"/>
        <v>114126.48000000001</v>
      </c>
    </row>
    <row r="5192" spans="1:5" x14ac:dyDescent="0.25">
      <c r="A5192" s="323" t="s">
        <v>1438</v>
      </c>
      <c r="B5192" s="323" t="s">
        <v>805</v>
      </c>
      <c r="C5192" s="323">
        <v>42567</v>
      </c>
      <c r="D5192" s="323">
        <v>153</v>
      </c>
      <c r="E5192" s="324">
        <f t="shared" si="81"/>
        <v>37310.58</v>
      </c>
    </row>
    <row r="5193" spans="1:5" x14ac:dyDescent="0.25">
      <c r="A5193" s="323" t="s">
        <v>3374</v>
      </c>
      <c r="B5193" s="323" t="s">
        <v>805</v>
      </c>
      <c r="C5193" s="323">
        <v>42567</v>
      </c>
      <c r="D5193" s="323">
        <v>173</v>
      </c>
      <c r="E5193" s="324">
        <f t="shared" si="81"/>
        <v>42187.78</v>
      </c>
    </row>
    <row r="5194" spans="1:5" x14ac:dyDescent="0.25">
      <c r="A5194" s="323" t="s">
        <v>3650</v>
      </c>
      <c r="B5194" s="323" t="s">
        <v>805</v>
      </c>
      <c r="C5194" s="323">
        <v>42567</v>
      </c>
      <c r="D5194" s="323">
        <v>183</v>
      </c>
      <c r="E5194" s="324">
        <f t="shared" si="81"/>
        <v>44626.380000000005</v>
      </c>
    </row>
    <row r="5195" spans="1:5" x14ac:dyDescent="0.25">
      <c r="A5195" s="323" t="s">
        <v>6079</v>
      </c>
      <c r="B5195" s="323" t="s">
        <v>805</v>
      </c>
      <c r="C5195" s="323">
        <v>42567</v>
      </c>
      <c r="D5195" s="323">
        <v>92</v>
      </c>
      <c r="E5195" s="324">
        <f t="shared" si="81"/>
        <v>22435.120000000003</v>
      </c>
    </row>
    <row r="5196" spans="1:5" x14ac:dyDescent="0.25">
      <c r="A5196" s="323" t="s">
        <v>6894</v>
      </c>
      <c r="B5196" s="323" t="s">
        <v>805</v>
      </c>
      <c r="C5196" s="323">
        <v>42567</v>
      </c>
      <c r="D5196" s="323">
        <v>306</v>
      </c>
      <c r="E5196" s="324">
        <f t="shared" si="81"/>
        <v>74621.16</v>
      </c>
    </row>
    <row r="5197" spans="1:5" x14ac:dyDescent="0.25">
      <c r="A5197" s="323" t="s">
        <v>3674</v>
      </c>
      <c r="B5197" s="323" t="s">
        <v>805</v>
      </c>
      <c r="C5197" s="323">
        <v>42569</v>
      </c>
      <c r="D5197" s="323">
        <v>238</v>
      </c>
      <c r="E5197" s="324">
        <f t="shared" si="81"/>
        <v>58038.68</v>
      </c>
    </row>
    <row r="5198" spans="1:5" x14ac:dyDescent="0.25">
      <c r="A5198" s="323" t="s">
        <v>4071</v>
      </c>
      <c r="B5198" s="323" t="s">
        <v>805</v>
      </c>
      <c r="C5198" s="323">
        <v>42569</v>
      </c>
      <c r="D5198" s="323">
        <v>294</v>
      </c>
      <c r="E5198" s="324">
        <f t="shared" si="81"/>
        <v>71694.840000000011</v>
      </c>
    </row>
    <row r="5199" spans="1:5" x14ac:dyDescent="0.25">
      <c r="A5199" s="323" t="s">
        <v>2173</v>
      </c>
      <c r="B5199" s="323" t="s">
        <v>805</v>
      </c>
      <c r="C5199" s="323">
        <v>42570</v>
      </c>
      <c r="D5199" s="323">
        <v>123</v>
      </c>
      <c r="E5199" s="324">
        <f t="shared" si="81"/>
        <v>29994.780000000002</v>
      </c>
    </row>
    <row r="5200" spans="1:5" x14ac:dyDescent="0.25">
      <c r="A5200" s="323" t="s">
        <v>2174</v>
      </c>
      <c r="B5200" s="323" t="s">
        <v>805</v>
      </c>
      <c r="C5200" s="323">
        <v>42570</v>
      </c>
      <c r="D5200" s="323">
        <v>142</v>
      </c>
      <c r="E5200" s="324">
        <f t="shared" si="81"/>
        <v>34628.120000000003</v>
      </c>
    </row>
    <row r="5201" spans="1:5" x14ac:dyDescent="0.25">
      <c r="A5201" s="323" t="s">
        <v>2771</v>
      </c>
      <c r="B5201" s="323" t="s">
        <v>805</v>
      </c>
      <c r="C5201" s="323">
        <v>42570</v>
      </c>
      <c r="D5201" s="323">
        <v>103</v>
      </c>
      <c r="E5201" s="324">
        <f t="shared" si="81"/>
        <v>25117.58</v>
      </c>
    </row>
    <row r="5202" spans="1:5" x14ac:dyDescent="0.25">
      <c r="A5202" s="323" t="s">
        <v>2890</v>
      </c>
      <c r="B5202" s="323" t="s">
        <v>805</v>
      </c>
      <c r="C5202" s="323">
        <v>42570</v>
      </c>
      <c r="D5202" s="323">
        <v>205</v>
      </c>
      <c r="E5202" s="324">
        <f t="shared" si="81"/>
        <v>49991.3</v>
      </c>
    </row>
    <row r="5203" spans="1:5" x14ac:dyDescent="0.25">
      <c r="A5203" s="323" t="s">
        <v>878</v>
      </c>
      <c r="B5203" s="323" t="s">
        <v>809</v>
      </c>
      <c r="C5203" s="323">
        <v>42572</v>
      </c>
      <c r="D5203" s="323">
        <v>63</v>
      </c>
      <c r="E5203" s="324">
        <f t="shared" si="81"/>
        <v>30726.36</v>
      </c>
    </row>
    <row r="5204" spans="1:5" x14ac:dyDescent="0.25">
      <c r="A5204" s="323" t="s">
        <v>878</v>
      </c>
      <c r="B5204" s="323" t="s">
        <v>803</v>
      </c>
      <c r="C5204" s="323">
        <v>42572</v>
      </c>
      <c r="D5204" s="323">
        <v>275</v>
      </c>
      <c r="E5204" s="324">
        <f t="shared" si="81"/>
        <v>134123</v>
      </c>
    </row>
    <row r="5205" spans="1:5" x14ac:dyDescent="0.25">
      <c r="A5205" s="323" t="s">
        <v>878</v>
      </c>
      <c r="B5205" s="323" t="s">
        <v>803</v>
      </c>
      <c r="C5205" s="323">
        <v>42572</v>
      </c>
      <c r="D5205" s="323">
        <v>109</v>
      </c>
      <c r="E5205" s="324">
        <f t="shared" si="81"/>
        <v>53161.48</v>
      </c>
    </row>
    <row r="5206" spans="1:5" x14ac:dyDescent="0.25">
      <c r="A5206" s="323" t="s">
        <v>878</v>
      </c>
      <c r="B5206" s="323" t="s">
        <v>809</v>
      </c>
      <c r="C5206" s="323">
        <v>42572</v>
      </c>
      <c r="D5206" s="323">
        <v>100</v>
      </c>
      <c r="E5206" s="324">
        <f t="shared" si="81"/>
        <v>48772</v>
      </c>
    </row>
    <row r="5207" spans="1:5" x14ac:dyDescent="0.25">
      <c r="A5207" s="323" t="s">
        <v>7414</v>
      </c>
      <c r="B5207" s="323" t="s">
        <v>805</v>
      </c>
      <c r="C5207" s="323">
        <v>42579</v>
      </c>
      <c r="D5207" s="323">
        <v>323</v>
      </c>
      <c r="E5207" s="324">
        <f t="shared" si="81"/>
        <v>78766.78</v>
      </c>
    </row>
    <row r="5208" spans="1:5" x14ac:dyDescent="0.25">
      <c r="A5208" s="323" t="s">
        <v>7415</v>
      </c>
      <c r="B5208" s="323" t="s">
        <v>805</v>
      </c>
      <c r="C5208" s="323">
        <v>42580</v>
      </c>
      <c r="D5208" s="323">
        <v>274</v>
      </c>
      <c r="E5208" s="324">
        <f t="shared" si="81"/>
        <v>66817.64</v>
      </c>
    </row>
    <row r="5209" spans="1:5" x14ac:dyDescent="0.25">
      <c r="A5209" s="323" t="s">
        <v>1905</v>
      </c>
      <c r="B5209" s="323" t="s">
        <v>805</v>
      </c>
      <c r="C5209" s="323">
        <v>42587</v>
      </c>
      <c r="D5209" s="323">
        <v>130</v>
      </c>
      <c r="E5209" s="324">
        <f t="shared" si="81"/>
        <v>31701.800000000003</v>
      </c>
    </row>
    <row r="5210" spans="1:5" x14ac:dyDescent="0.25">
      <c r="A5210" s="323" t="s">
        <v>3863</v>
      </c>
      <c r="B5210" s="323" t="s">
        <v>805</v>
      </c>
      <c r="C5210" s="323">
        <v>42587</v>
      </c>
      <c r="D5210" s="323">
        <v>147</v>
      </c>
      <c r="E5210" s="324">
        <f t="shared" si="81"/>
        <v>35847.420000000006</v>
      </c>
    </row>
    <row r="5211" spans="1:5" x14ac:dyDescent="0.25">
      <c r="A5211" s="323" t="s">
        <v>4011</v>
      </c>
      <c r="B5211" s="323" t="s">
        <v>805</v>
      </c>
      <c r="C5211" s="323">
        <v>42587</v>
      </c>
      <c r="D5211" s="323">
        <v>123</v>
      </c>
      <c r="E5211" s="324">
        <f t="shared" si="81"/>
        <v>29994.780000000002</v>
      </c>
    </row>
    <row r="5212" spans="1:5" x14ac:dyDescent="0.25">
      <c r="A5212" s="323" t="s">
        <v>4038</v>
      </c>
      <c r="B5212" s="323" t="s">
        <v>805</v>
      </c>
      <c r="C5212" s="323">
        <v>42587</v>
      </c>
      <c r="D5212" s="323">
        <v>271</v>
      </c>
      <c r="E5212" s="324">
        <f t="shared" si="81"/>
        <v>66086.06</v>
      </c>
    </row>
    <row r="5213" spans="1:5" x14ac:dyDescent="0.25">
      <c r="A5213" s="323" t="s">
        <v>4158</v>
      </c>
      <c r="B5213" s="323" t="s">
        <v>805</v>
      </c>
      <c r="C5213" s="323">
        <v>42587</v>
      </c>
      <c r="D5213" s="323">
        <v>204</v>
      </c>
      <c r="E5213" s="324">
        <f t="shared" si="81"/>
        <v>49747.44</v>
      </c>
    </row>
    <row r="5214" spans="1:5" x14ac:dyDescent="0.25">
      <c r="A5214" s="323" t="s">
        <v>4183</v>
      </c>
      <c r="B5214" s="323" t="s">
        <v>805</v>
      </c>
      <c r="C5214" s="323">
        <v>42587</v>
      </c>
      <c r="D5214" s="323">
        <v>100</v>
      </c>
      <c r="E5214" s="324">
        <f t="shared" si="81"/>
        <v>24386</v>
      </c>
    </row>
    <row r="5215" spans="1:5" x14ac:dyDescent="0.25">
      <c r="A5215" s="323" t="s">
        <v>4292</v>
      </c>
      <c r="B5215" s="323" t="s">
        <v>805</v>
      </c>
      <c r="C5215" s="323">
        <v>42587</v>
      </c>
      <c r="D5215" s="323">
        <v>282</v>
      </c>
      <c r="E5215" s="324">
        <f t="shared" si="81"/>
        <v>68768.52</v>
      </c>
    </row>
    <row r="5216" spans="1:5" x14ac:dyDescent="0.25">
      <c r="A5216" s="323" t="s">
        <v>4400</v>
      </c>
      <c r="B5216" s="323" t="s">
        <v>805</v>
      </c>
      <c r="C5216" s="323">
        <v>42587</v>
      </c>
      <c r="D5216" s="323">
        <v>149</v>
      </c>
      <c r="E5216" s="324">
        <f t="shared" si="81"/>
        <v>36335.14</v>
      </c>
    </row>
    <row r="5217" spans="1:5" x14ac:dyDescent="0.25">
      <c r="A5217" s="323" t="s">
        <v>4606</v>
      </c>
      <c r="B5217" s="323" t="s">
        <v>805</v>
      </c>
      <c r="C5217" s="323">
        <v>42587</v>
      </c>
      <c r="D5217" s="323">
        <v>274</v>
      </c>
      <c r="E5217" s="324">
        <f t="shared" si="81"/>
        <v>66817.64</v>
      </c>
    </row>
    <row r="5218" spans="1:5" x14ac:dyDescent="0.25">
      <c r="A5218" s="323" t="s">
        <v>4753</v>
      </c>
      <c r="B5218" s="323" t="s">
        <v>805</v>
      </c>
      <c r="C5218" s="323">
        <v>42587</v>
      </c>
      <c r="D5218" s="323">
        <v>203</v>
      </c>
      <c r="E5218" s="324">
        <f t="shared" si="81"/>
        <v>49503.58</v>
      </c>
    </row>
    <row r="5219" spans="1:5" x14ac:dyDescent="0.25">
      <c r="A5219" s="323" t="s">
        <v>5127</v>
      </c>
      <c r="B5219" s="323" t="s">
        <v>816</v>
      </c>
      <c r="C5219" s="323">
        <v>42587</v>
      </c>
      <c r="D5219" s="323">
        <v>178</v>
      </c>
      <c r="E5219" s="324">
        <f t="shared" si="81"/>
        <v>65110.62</v>
      </c>
    </row>
    <row r="5220" spans="1:5" x14ac:dyDescent="0.25">
      <c r="A5220" s="323" t="s">
        <v>6956</v>
      </c>
      <c r="B5220" s="323" t="s">
        <v>805</v>
      </c>
      <c r="C5220" s="323">
        <v>42587</v>
      </c>
      <c r="D5220" s="323">
        <v>287</v>
      </c>
      <c r="E5220" s="324">
        <f t="shared" si="81"/>
        <v>69987.820000000007</v>
      </c>
    </row>
    <row r="5221" spans="1:5" x14ac:dyDescent="0.25">
      <c r="A5221" s="323" t="s">
        <v>6957</v>
      </c>
      <c r="B5221" s="323" t="s">
        <v>805</v>
      </c>
      <c r="C5221" s="323">
        <v>42587</v>
      </c>
      <c r="D5221" s="323">
        <v>207</v>
      </c>
      <c r="E5221" s="324">
        <f t="shared" si="81"/>
        <v>50479.020000000004</v>
      </c>
    </row>
    <row r="5222" spans="1:5" x14ac:dyDescent="0.25">
      <c r="A5222" s="323" t="s">
        <v>7411</v>
      </c>
      <c r="B5222" s="323" t="s">
        <v>805</v>
      </c>
      <c r="C5222" s="323">
        <v>42587</v>
      </c>
      <c r="D5222" s="323">
        <v>290</v>
      </c>
      <c r="E5222" s="324">
        <f t="shared" si="81"/>
        <v>70719.400000000009</v>
      </c>
    </row>
    <row r="5223" spans="1:5" x14ac:dyDescent="0.25">
      <c r="A5223" s="323" t="s">
        <v>5072</v>
      </c>
      <c r="B5223" s="323" t="s">
        <v>805</v>
      </c>
      <c r="C5223" s="323">
        <v>42594</v>
      </c>
      <c r="D5223" s="323">
        <v>275</v>
      </c>
      <c r="E5223" s="324">
        <f t="shared" si="81"/>
        <v>67061.5</v>
      </c>
    </row>
    <row r="5224" spans="1:5" x14ac:dyDescent="0.25">
      <c r="A5224" s="323" t="s">
        <v>2901</v>
      </c>
      <c r="B5224" s="323" t="s">
        <v>805</v>
      </c>
      <c r="C5224" s="323">
        <v>42596</v>
      </c>
      <c r="D5224" s="323">
        <v>81</v>
      </c>
      <c r="E5224" s="324">
        <f t="shared" si="81"/>
        <v>19752.66</v>
      </c>
    </row>
    <row r="5225" spans="1:5" x14ac:dyDescent="0.25">
      <c r="A5225" s="323" t="s">
        <v>4006</v>
      </c>
      <c r="B5225" s="323" t="s">
        <v>805</v>
      </c>
      <c r="C5225" s="323">
        <v>42596</v>
      </c>
      <c r="D5225" s="323">
        <v>155</v>
      </c>
      <c r="E5225" s="324">
        <f t="shared" si="81"/>
        <v>37798.300000000003</v>
      </c>
    </row>
    <row r="5226" spans="1:5" x14ac:dyDescent="0.25">
      <c r="A5226" s="323" t="s">
        <v>4289</v>
      </c>
      <c r="B5226" s="323" t="s">
        <v>805</v>
      </c>
      <c r="C5226" s="323">
        <v>42596</v>
      </c>
      <c r="D5226" s="323">
        <v>228</v>
      </c>
      <c r="E5226" s="324">
        <f t="shared" si="81"/>
        <v>55600.08</v>
      </c>
    </row>
    <row r="5227" spans="1:5" x14ac:dyDescent="0.25">
      <c r="A5227" s="323" t="s">
        <v>5696</v>
      </c>
      <c r="B5227" s="323" t="s">
        <v>805</v>
      </c>
      <c r="C5227" s="323">
        <v>42596</v>
      </c>
      <c r="D5227" s="323">
        <v>321</v>
      </c>
      <c r="E5227" s="324">
        <f t="shared" si="81"/>
        <v>78279.06</v>
      </c>
    </row>
    <row r="5228" spans="1:5" x14ac:dyDescent="0.25">
      <c r="A5228" s="323" t="s">
        <v>6762</v>
      </c>
      <c r="B5228" s="323" t="s">
        <v>805</v>
      </c>
      <c r="C5228" s="323">
        <v>42596</v>
      </c>
      <c r="D5228" s="323">
        <v>265</v>
      </c>
      <c r="E5228" s="324">
        <f t="shared" si="81"/>
        <v>64622.9</v>
      </c>
    </row>
    <row r="5229" spans="1:5" x14ac:dyDescent="0.25">
      <c r="A5229" s="323" t="s">
        <v>2613</v>
      </c>
      <c r="B5229" s="323" t="s">
        <v>805</v>
      </c>
      <c r="C5229" s="323">
        <v>42600</v>
      </c>
      <c r="D5229" s="323">
        <v>156</v>
      </c>
      <c r="E5229" s="324">
        <f t="shared" si="81"/>
        <v>38042.160000000003</v>
      </c>
    </row>
    <row r="5230" spans="1:5" x14ac:dyDescent="0.25">
      <c r="A5230" s="323" t="s">
        <v>4942</v>
      </c>
      <c r="B5230" s="323" t="s">
        <v>805</v>
      </c>
      <c r="C5230" s="323">
        <v>42600</v>
      </c>
      <c r="D5230" s="323">
        <v>200</v>
      </c>
      <c r="E5230" s="324">
        <f t="shared" si="81"/>
        <v>48772</v>
      </c>
    </row>
    <row r="5231" spans="1:5" x14ac:dyDescent="0.25">
      <c r="A5231" s="323" t="s">
        <v>5017</v>
      </c>
      <c r="B5231" s="323" t="s">
        <v>805</v>
      </c>
      <c r="C5231" s="323">
        <v>42600</v>
      </c>
      <c r="D5231" s="323">
        <v>140</v>
      </c>
      <c r="E5231" s="324">
        <f t="shared" si="81"/>
        <v>34140.400000000001</v>
      </c>
    </row>
    <row r="5232" spans="1:5" x14ac:dyDescent="0.25">
      <c r="A5232" s="323" t="s">
        <v>5054</v>
      </c>
      <c r="B5232" s="323" t="s">
        <v>805</v>
      </c>
      <c r="C5232" s="323">
        <v>42600</v>
      </c>
      <c r="D5232" s="323">
        <v>286</v>
      </c>
      <c r="E5232" s="324">
        <f t="shared" si="81"/>
        <v>69743.960000000006</v>
      </c>
    </row>
    <row r="5233" spans="1:5" x14ac:dyDescent="0.25">
      <c r="A5233" s="323" t="s">
        <v>5116</v>
      </c>
      <c r="B5233" s="323" t="s">
        <v>805</v>
      </c>
      <c r="C5233" s="323">
        <v>42600</v>
      </c>
      <c r="D5233" s="323">
        <v>174</v>
      </c>
      <c r="E5233" s="324">
        <f t="shared" si="81"/>
        <v>42431.64</v>
      </c>
    </row>
    <row r="5234" spans="1:5" x14ac:dyDescent="0.25">
      <c r="A5234" s="323" t="s">
        <v>5256</v>
      </c>
      <c r="B5234" s="323" t="s">
        <v>805</v>
      </c>
      <c r="C5234" s="323">
        <v>42600</v>
      </c>
      <c r="D5234" s="323">
        <v>195</v>
      </c>
      <c r="E5234" s="324">
        <f t="shared" si="81"/>
        <v>47552.700000000004</v>
      </c>
    </row>
    <row r="5235" spans="1:5" x14ac:dyDescent="0.25">
      <c r="A5235" s="323" t="s">
        <v>6814</v>
      </c>
      <c r="B5235" s="323" t="s">
        <v>805</v>
      </c>
      <c r="C5235" s="323">
        <v>42600</v>
      </c>
      <c r="D5235" s="323">
        <v>104</v>
      </c>
      <c r="E5235" s="324">
        <f t="shared" si="81"/>
        <v>25361.440000000002</v>
      </c>
    </row>
    <row r="5236" spans="1:5" x14ac:dyDescent="0.25">
      <c r="A5236" s="323" t="s">
        <v>7136</v>
      </c>
      <c r="B5236" s="323" t="s">
        <v>805</v>
      </c>
      <c r="C5236" s="323">
        <v>42600</v>
      </c>
      <c r="D5236" s="323">
        <v>427</v>
      </c>
      <c r="E5236" s="324">
        <f t="shared" si="81"/>
        <v>104128.22</v>
      </c>
    </row>
    <row r="5237" spans="1:5" x14ac:dyDescent="0.25">
      <c r="A5237" s="323" t="s">
        <v>7333</v>
      </c>
      <c r="B5237" s="323" t="s">
        <v>805</v>
      </c>
      <c r="C5237" s="323">
        <v>42600</v>
      </c>
      <c r="D5237" s="323">
        <v>198</v>
      </c>
      <c r="E5237" s="324">
        <f t="shared" si="81"/>
        <v>48284.280000000006</v>
      </c>
    </row>
    <row r="5238" spans="1:5" x14ac:dyDescent="0.25">
      <c r="A5238" s="323" t="s">
        <v>1077</v>
      </c>
      <c r="B5238" s="323" t="s">
        <v>805</v>
      </c>
      <c r="C5238" s="323">
        <v>42604</v>
      </c>
      <c r="D5238" s="323">
        <v>88</v>
      </c>
      <c r="E5238" s="324">
        <f t="shared" si="81"/>
        <v>21459.68</v>
      </c>
    </row>
    <row r="5239" spans="1:5" x14ac:dyDescent="0.25">
      <c r="A5239" s="323" t="s">
        <v>1103</v>
      </c>
      <c r="B5239" s="323" t="s">
        <v>805</v>
      </c>
      <c r="C5239" s="323">
        <v>42604</v>
      </c>
      <c r="D5239" s="323">
        <v>39</v>
      </c>
      <c r="E5239" s="324">
        <f t="shared" si="81"/>
        <v>9510.5400000000009</v>
      </c>
    </row>
    <row r="5240" spans="1:5" x14ac:dyDescent="0.25">
      <c r="A5240" s="323" t="s">
        <v>1454</v>
      </c>
      <c r="B5240" s="323" t="s">
        <v>805</v>
      </c>
      <c r="C5240" s="323">
        <v>42604</v>
      </c>
      <c r="D5240" s="323">
        <v>29</v>
      </c>
      <c r="E5240" s="324">
        <f t="shared" si="81"/>
        <v>7071.9400000000005</v>
      </c>
    </row>
    <row r="5241" spans="1:5" x14ac:dyDescent="0.25">
      <c r="A5241" s="323" t="s">
        <v>1510</v>
      </c>
      <c r="B5241" s="323" t="s">
        <v>805</v>
      </c>
      <c r="C5241" s="323">
        <v>42604</v>
      </c>
      <c r="D5241" s="323">
        <v>27</v>
      </c>
      <c r="E5241" s="324">
        <f t="shared" si="81"/>
        <v>6584.22</v>
      </c>
    </row>
    <row r="5242" spans="1:5" x14ac:dyDescent="0.25">
      <c r="A5242" s="323" t="s">
        <v>1603</v>
      </c>
      <c r="B5242" s="323" t="s">
        <v>805</v>
      </c>
      <c r="C5242" s="323">
        <v>42604</v>
      </c>
      <c r="D5242" s="323">
        <v>44</v>
      </c>
      <c r="E5242" s="324">
        <f t="shared" si="81"/>
        <v>10729.84</v>
      </c>
    </row>
    <row r="5243" spans="1:5" x14ac:dyDescent="0.25">
      <c r="A5243" s="323" t="s">
        <v>1877</v>
      </c>
      <c r="B5243" s="323" t="s">
        <v>805</v>
      </c>
      <c r="C5243" s="323">
        <v>42604</v>
      </c>
      <c r="D5243" s="323">
        <v>105</v>
      </c>
      <c r="E5243" s="324">
        <f t="shared" si="81"/>
        <v>25605.300000000003</v>
      </c>
    </row>
    <row r="5244" spans="1:5" x14ac:dyDescent="0.25">
      <c r="A5244" s="323" t="s">
        <v>2031</v>
      </c>
      <c r="B5244" s="323" t="s">
        <v>805</v>
      </c>
      <c r="C5244" s="323">
        <v>42604</v>
      </c>
      <c r="D5244" s="323">
        <v>169</v>
      </c>
      <c r="E5244" s="324">
        <f t="shared" si="81"/>
        <v>41212.340000000004</v>
      </c>
    </row>
    <row r="5245" spans="1:5" x14ac:dyDescent="0.25">
      <c r="A5245" s="323" t="s">
        <v>2072</v>
      </c>
      <c r="B5245" s="323" t="s">
        <v>805</v>
      </c>
      <c r="C5245" s="323">
        <v>42604</v>
      </c>
      <c r="D5245" s="323">
        <v>35</v>
      </c>
      <c r="E5245" s="324">
        <f t="shared" si="81"/>
        <v>8535.1</v>
      </c>
    </row>
    <row r="5246" spans="1:5" x14ac:dyDescent="0.25">
      <c r="A5246" s="323" t="s">
        <v>2073</v>
      </c>
      <c r="B5246" s="323" t="s">
        <v>805</v>
      </c>
      <c r="C5246" s="323">
        <v>42604</v>
      </c>
      <c r="D5246" s="323">
        <v>72</v>
      </c>
      <c r="E5246" s="324">
        <f t="shared" si="81"/>
        <v>17557.920000000002</v>
      </c>
    </row>
    <row r="5247" spans="1:5" x14ac:dyDescent="0.25">
      <c r="A5247" s="323" t="s">
        <v>2643</v>
      </c>
      <c r="B5247" s="323" t="s">
        <v>805</v>
      </c>
      <c r="C5247" s="323">
        <v>42604</v>
      </c>
      <c r="D5247" s="323">
        <v>106</v>
      </c>
      <c r="E5247" s="324">
        <f t="shared" si="81"/>
        <v>25849.16</v>
      </c>
    </row>
    <row r="5248" spans="1:5" x14ac:dyDescent="0.25">
      <c r="A5248" s="323" t="s">
        <v>3499</v>
      </c>
      <c r="B5248" s="323" t="s">
        <v>805</v>
      </c>
      <c r="C5248" s="323">
        <v>42604</v>
      </c>
      <c r="D5248" s="323">
        <v>172</v>
      </c>
      <c r="E5248" s="324">
        <f t="shared" si="81"/>
        <v>41943.920000000006</v>
      </c>
    </row>
    <row r="5249" spans="1:5" x14ac:dyDescent="0.25">
      <c r="A5249" s="323" t="s">
        <v>819</v>
      </c>
      <c r="B5249" s="323" t="s">
        <v>805</v>
      </c>
      <c r="C5249" s="323">
        <v>42607</v>
      </c>
      <c r="D5249" s="323">
        <v>68</v>
      </c>
      <c r="E5249" s="324">
        <f t="shared" si="81"/>
        <v>16582.48</v>
      </c>
    </row>
    <row r="5250" spans="1:5" x14ac:dyDescent="0.25">
      <c r="A5250" s="323" t="s">
        <v>956</v>
      </c>
      <c r="B5250" s="323" t="s">
        <v>805</v>
      </c>
      <c r="C5250" s="323">
        <v>42607</v>
      </c>
      <c r="D5250" s="323">
        <v>127</v>
      </c>
      <c r="E5250" s="324">
        <f t="shared" ref="E5250:E5313" si="82">D5250*IF(B5250=$G$9,WerkdrukbedragPerLeerlingBo,IF(B5250=$G$10,WerkdrukbedragPerLeerlingSbo,IF(B5250=$G$11,WerkdrukbedragPerLeerlingSo,IF(B5250=$G$12,WerkdrukbedragPerLeerlingVso,0))))</f>
        <v>30970.22</v>
      </c>
    </row>
    <row r="5251" spans="1:5" x14ac:dyDescent="0.25">
      <c r="A5251" s="323" t="s">
        <v>1091</v>
      </c>
      <c r="B5251" s="323" t="s">
        <v>805</v>
      </c>
      <c r="C5251" s="323">
        <v>42607</v>
      </c>
      <c r="D5251" s="323">
        <v>69</v>
      </c>
      <c r="E5251" s="324">
        <f t="shared" si="82"/>
        <v>16826.34</v>
      </c>
    </row>
    <row r="5252" spans="1:5" x14ac:dyDescent="0.25">
      <c r="A5252" s="323" t="s">
        <v>1094</v>
      </c>
      <c r="B5252" s="323" t="s">
        <v>805</v>
      </c>
      <c r="C5252" s="323">
        <v>42607</v>
      </c>
      <c r="D5252" s="323">
        <v>183</v>
      </c>
      <c r="E5252" s="324">
        <f t="shared" si="82"/>
        <v>44626.380000000005</v>
      </c>
    </row>
    <row r="5253" spans="1:5" x14ac:dyDescent="0.25">
      <c r="A5253" s="323" t="s">
        <v>1095</v>
      </c>
      <c r="B5253" s="323" t="s">
        <v>805</v>
      </c>
      <c r="C5253" s="323">
        <v>42607</v>
      </c>
      <c r="D5253" s="323">
        <v>62</v>
      </c>
      <c r="E5253" s="324">
        <f t="shared" si="82"/>
        <v>15119.320000000002</v>
      </c>
    </row>
    <row r="5254" spans="1:5" x14ac:dyDescent="0.25">
      <c r="A5254" s="323" t="s">
        <v>1131</v>
      </c>
      <c r="B5254" s="323" t="s">
        <v>805</v>
      </c>
      <c r="C5254" s="323">
        <v>42607</v>
      </c>
      <c r="D5254" s="323">
        <v>98</v>
      </c>
      <c r="E5254" s="324">
        <f t="shared" si="82"/>
        <v>23898.280000000002</v>
      </c>
    </row>
    <row r="5255" spans="1:5" x14ac:dyDescent="0.25">
      <c r="A5255" s="323" t="s">
        <v>1379</v>
      </c>
      <c r="B5255" s="323" t="s">
        <v>805</v>
      </c>
      <c r="C5255" s="323">
        <v>42607</v>
      </c>
      <c r="D5255" s="323">
        <v>46</v>
      </c>
      <c r="E5255" s="324">
        <f t="shared" si="82"/>
        <v>11217.560000000001</v>
      </c>
    </row>
    <row r="5256" spans="1:5" x14ac:dyDescent="0.25">
      <c r="A5256" s="323" t="s">
        <v>1397</v>
      </c>
      <c r="B5256" s="323" t="s">
        <v>805</v>
      </c>
      <c r="C5256" s="323">
        <v>42607</v>
      </c>
      <c r="D5256" s="323">
        <v>121</v>
      </c>
      <c r="E5256" s="324">
        <f t="shared" si="82"/>
        <v>29507.06</v>
      </c>
    </row>
    <row r="5257" spans="1:5" x14ac:dyDescent="0.25">
      <c r="A5257" s="323" t="s">
        <v>1397</v>
      </c>
      <c r="B5257" s="323" t="s">
        <v>805</v>
      </c>
      <c r="C5257" s="323">
        <v>42607</v>
      </c>
      <c r="D5257" s="323">
        <v>156</v>
      </c>
      <c r="E5257" s="324">
        <f t="shared" si="82"/>
        <v>38042.160000000003</v>
      </c>
    </row>
    <row r="5258" spans="1:5" x14ac:dyDescent="0.25">
      <c r="A5258" s="323" t="s">
        <v>1675</v>
      </c>
      <c r="B5258" s="323" t="s">
        <v>805</v>
      </c>
      <c r="C5258" s="323">
        <v>42607</v>
      </c>
      <c r="D5258" s="323">
        <v>143</v>
      </c>
      <c r="E5258" s="324">
        <f t="shared" si="82"/>
        <v>34871.980000000003</v>
      </c>
    </row>
    <row r="5259" spans="1:5" x14ac:dyDescent="0.25">
      <c r="A5259" s="323" t="s">
        <v>1869</v>
      </c>
      <c r="B5259" s="323" t="s">
        <v>805</v>
      </c>
      <c r="C5259" s="323">
        <v>42607</v>
      </c>
      <c r="D5259" s="323">
        <v>126</v>
      </c>
      <c r="E5259" s="324">
        <f t="shared" si="82"/>
        <v>30726.36</v>
      </c>
    </row>
    <row r="5260" spans="1:5" x14ac:dyDescent="0.25">
      <c r="A5260" s="323" t="s">
        <v>1929</v>
      </c>
      <c r="B5260" s="323" t="s">
        <v>805</v>
      </c>
      <c r="C5260" s="323">
        <v>42607</v>
      </c>
      <c r="D5260" s="323">
        <v>55</v>
      </c>
      <c r="E5260" s="324">
        <f t="shared" si="82"/>
        <v>13412.300000000001</v>
      </c>
    </row>
    <row r="5261" spans="1:5" x14ac:dyDescent="0.25">
      <c r="A5261" s="323" t="s">
        <v>1998</v>
      </c>
      <c r="B5261" s="323" t="s">
        <v>805</v>
      </c>
      <c r="C5261" s="323">
        <v>42607</v>
      </c>
      <c r="D5261" s="323">
        <v>98</v>
      </c>
      <c r="E5261" s="324">
        <f t="shared" si="82"/>
        <v>23898.280000000002</v>
      </c>
    </row>
    <row r="5262" spans="1:5" x14ac:dyDescent="0.25">
      <c r="A5262" s="323" t="s">
        <v>2158</v>
      </c>
      <c r="B5262" s="323" t="s">
        <v>805</v>
      </c>
      <c r="C5262" s="323">
        <v>42607</v>
      </c>
      <c r="D5262" s="323">
        <v>99</v>
      </c>
      <c r="E5262" s="324">
        <f t="shared" si="82"/>
        <v>24142.140000000003</v>
      </c>
    </row>
    <row r="5263" spans="1:5" x14ac:dyDescent="0.25">
      <c r="A5263" s="323" t="s">
        <v>2159</v>
      </c>
      <c r="B5263" s="323" t="s">
        <v>805</v>
      </c>
      <c r="C5263" s="323">
        <v>42607</v>
      </c>
      <c r="D5263" s="323">
        <v>199</v>
      </c>
      <c r="E5263" s="324">
        <f t="shared" si="82"/>
        <v>48528.14</v>
      </c>
    </row>
    <row r="5264" spans="1:5" x14ac:dyDescent="0.25">
      <c r="A5264" s="323" t="s">
        <v>2166</v>
      </c>
      <c r="B5264" s="323" t="s">
        <v>805</v>
      </c>
      <c r="C5264" s="323">
        <v>42607</v>
      </c>
      <c r="D5264" s="323">
        <v>138</v>
      </c>
      <c r="E5264" s="324">
        <f t="shared" si="82"/>
        <v>33652.68</v>
      </c>
    </row>
    <row r="5265" spans="1:5" x14ac:dyDescent="0.25">
      <c r="A5265" s="323" t="s">
        <v>2169</v>
      </c>
      <c r="B5265" s="323" t="s">
        <v>805</v>
      </c>
      <c r="C5265" s="323">
        <v>42607</v>
      </c>
      <c r="D5265" s="323">
        <v>74</v>
      </c>
      <c r="E5265" s="324">
        <f t="shared" si="82"/>
        <v>18045.64</v>
      </c>
    </row>
    <row r="5266" spans="1:5" x14ac:dyDescent="0.25">
      <c r="A5266" s="323" t="s">
        <v>2170</v>
      </c>
      <c r="B5266" s="323" t="s">
        <v>805</v>
      </c>
      <c r="C5266" s="323">
        <v>42607</v>
      </c>
      <c r="D5266" s="323">
        <v>215</v>
      </c>
      <c r="E5266" s="324">
        <f t="shared" si="82"/>
        <v>52429.9</v>
      </c>
    </row>
    <row r="5267" spans="1:5" x14ac:dyDescent="0.25">
      <c r="A5267" s="323" t="s">
        <v>2176</v>
      </c>
      <c r="B5267" s="323" t="s">
        <v>805</v>
      </c>
      <c r="C5267" s="323">
        <v>42607</v>
      </c>
      <c r="D5267" s="323">
        <v>80</v>
      </c>
      <c r="E5267" s="324">
        <f t="shared" si="82"/>
        <v>19508.800000000003</v>
      </c>
    </row>
    <row r="5268" spans="1:5" x14ac:dyDescent="0.25">
      <c r="A5268" s="323" t="s">
        <v>2208</v>
      </c>
      <c r="B5268" s="323" t="s">
        <v>805</v>
      </c>
      <c r="C5268" s="323">
        <v>42607</v>
      </c>
      <c r="D5268" s="323">
        <v>60</v>
      </c>
      <c r="E5268" s="324">
        <f t="shared" si="82"/>
        <v>14631.6</v>
      </c>
    </row>
    <row r="5269" spans="1:5" x14ac:dyDescent="0.25">
      <c r="A5269" s="323" t="s">
        <v>2238</v>
      </c>
      <c r="B5269" s="323" t="s">
        <v>805</v>
      </c>
      <c r="C5269" s="323">
        <v>42607</v>
      </c>
      <c r="D5269" s="323">
        <v>66</v>
      </c>
      <c r="E5269" s="324">
        <f t="shared" si="82"/>
        <v>16094.76</v>
      </c>
    </row>
    <row r="5270" spans="1:5" x14ac:dyDescent="0.25">
      <c r="A5270" s="323" t="s">
        <v>2309</v>
      </c>
      <c r="B5270" s="323" t="s">
        <v>805</v>
      </c>
      <c r="C5270" s="323">
        <v>42607</v>
      </c>
      <c r="D5270" s="323">
        <v>87</v>
      </c>
      <c r="E5270" s="324">
        <f t="shared" si="82"/>
        <v>21215.82</v>
      </c>
    </row>
    <row r="5271" spans="1:5" x14ac:dyDescent="0.25">
      <c r="A5271" s="323" t="s">
        <v>2402</v>
      </c>
      <c r="B5271" s="323" t="s">
        <v>805</v>
      </c>
      <c r="C5271" s="323">
        <v>42607</v>
      </c>
      <c r="D5271" s="323">
        <v>94</v>
      </c>
      <c r="E5271" s="324">
        <f t="shared" si="82"/>
        <v>22922.84</v>
      </c>
    </row>
    <row r="5272" spans="1:5" x14ac:dyDescent="0.25">
      <c r="A5272" s="323" t="s">
        <v>2680</v>
      </c>
      <c r="B5272" s="323" t="s">
        <v>805</v>
      </c>
      <c r="C5272" s="323">
        <v>42607</v>
      </c>
      <c r="D5272" s="323">
        <v>69</v>
      </c>
      <c r="E5272" s="324">
        <f t="shared" si="82"/>
        <v>16826.34</v>
      </c>
    </row>
    <row r="5273" spans="1:5" x14ac:dyDescent="0.25">
      <c r="A5273" s="323" t="s">
        <v>3058</v>
      </c>
      <c r="B5273" s="323" t="s">
        <v>805</v>
      </c>
      <c r="C5273" s="323">
        <v>42607</v>
      </c>
      <c r="D5273" s="323">
        <v>354</v>
      </c>
      <c r="E5273" s="324">
        <f t="shared" si="82"/>
        <v>86326.44</v>
      </c>
    </row>
    <row r="5274" spans="1:5" x14ac:dyDescent="0.25">
      <c r="A5274" s="323" t="s">
        <v>3430</v>
      </c>
      <c r="B5274" s="323" t="s">
        <v>805</v>
      </c>
      <c r="C5274" s="323">
        <v>42607</v>
      </c>
      <c r="D5274" s="323">
        <v>160</v>
      </c>
      <c r="E5274" s="324">
        <f t="shared" si="82"/>
        <v>39017.600000000006</v>
      </c>
    </row>
    <row r="5275" spans="1:5" x14ac:dyDescent="0.25">
      <c r="A5275" s="323" t="s">
        <v>3433</v>
      </c>
      <c r="B5275" s="323" t="s">
        <v>805</v>
      </c>
      <c r="C5275" s="323">
        <v>42607</v>
      </c>
      <c r="D5275" s="323">
        <v>264</v>
      </c>
      <c r="E5275" s="324">
        <f t="shared" si="82"/>
        <v>64379.040000000001</v>
      </c>
    </row>
    <row r="5276" spans="1:5" x14ac:dyDescent="0.25">
      <c r="A5276" s="323" t="s">
        <v>5165</v>
      </c>
      <c r="B5276" s="323" t="s">
        <v>805</v>
      </c>
      <c r="C5276" s="323">
        <v>42607</v>
      </c>
      <c r="D5276" s="323">
        <v>171</v>
      </c>
      <c r="E5276" s="324">
        <f t="shared" si="82"/>
        <v>41700.060000000005</v>
      </c>
    </row>
    <row r="5277" spans="1:5" x14ac:dyDescent="0.25">
      <c r="A5277" s="323" t="s">
        <v>6761</v>
      </c>
      <c r="B5277" s="323" t="s">
        <v>805</v>
      </c>
      <c r="C5277" s="323">
        <v>42607</v>
      </c>
      <c r="D5277" s="323">
        <v>97</v>
      </c>
      <c r="E5277" s="324">
        <f t="shared" si="82"/>
        <v>23654.420000000002</v>
      </c>
    </row>
    <row r="5278" spans="1:5" x14ac:dyDescent="0.25">
      <c r="A5278" s="323" t="s">
        <v>6843</v>
      </c>
      <c r="B5278" s="323" t="s">
        <v>816</v>
      </c>
      <c r="C5278" s="323">
        <v>42607</v>
      </c>
      <c r="D5278" s="323">
        <v>109</v>
      </c>
      <c r="E5278" s="324">
        <f t="shared" si="82"/>
        <v>39871.11</v>
      </c>
    </row>
    <row r="5279" spans="1:5" x14ac:dyDescent="0.25">
      <c r="A5279" s="323" t="s">
        <v>6852</v>
      </c>
      <c r="B5279" s="323" t="s">
        <v>805</v>
      </c>
      <c r="C5279" s="323">
        <v>42607</v>
      </c>
      <c r="D5279" s="323">
        <v>59</v>
      </c>
      <c r="E5279" s="324">
        <f t="shared" si="82"/>
        <v>14387.740000000002</v>
      </c>
    </row>
    <row r="5280" spans="1:5" x14ac:dyDescent="0.25">
      <c r="A5280" s="323" t="s">
        <v>7176</v>
      </c>
      <c r="B5280" s="323" t="s">
        <v>809</v>
      </c>
      <c r="C5280" s="323">
        <v>42607</v>
      </c>
      <c r="D5280" s="323">
        <v>25</v>
      </c>
      <c r="E5280" s="324">
        <f t="shared" si="82"/>
        <v>12193</v>
      </c>
    </row>
    <row r="5281" spans="1:5" x14ac:dyDescent="0.25">
      <c r="A5281" s="323" t="s">
        <v>7176</v>
      </c>
      <c r="B5281" s="323" t="s">
        <v>803</v>
      </c>
      <c r="C5281" s="323">
        <v>42607</v>
      </c>
      <c r="D5281" s="323">
        <v>25</v>
      </c>
      <c r="E5281" s="324">
        <f t="shared" si="82"/>
        <v>12193</v>
      </c>
    </row>
    <row r="5282" spans="1:5" x14ac:dyDescent="0.25">
      <c r="A5282" s="323" t="s">
        <v>7376</v>
      </c>
      <c r="B5282" s="323" t="s">
        <v>805</v>
      </c>
      <c r="C5282" s="323">
        <v>42607</v>
      </c>
      <c r="D5282" s="323">
        <v>226</v>
      </c>
      <c r="E5282" s="324">
        <f t="shared" si="82"/>
        <v>55112.36</v>
      </c>
    </row>
    <row r="5283" spans="1:5" x14ac:dyDescent="0.25">
      <c r="A5283" s="323" t="s">
        <v>1049</v>
      </c>
      <c r="B5283" s="323" t="s">
        <v>805</v>
      </c>
      <c r="C5283" s="323">
        <v>42610</v>
      </c>
      <c r="D5283" s="323">
        <v>124</v>
      </c>
      <c r="E5283" s="324">
        <f t="shared" si="82"/>
        <v>30238.640000000003</v>
      </c>
    </row>
    <row r="5284" spans="1:5" x14ac:dyDescent="0.25">
      <c r="A5284" s="323" t="s">
        <v>1432</v>
      </c>
      <c r="B5284" s="323" t="s">
        <v>805</v>
      </c>
      <c r="C5284" s="323">
        <v>42610</v>
      </c>
      <c r="D5284" s="323">
        <v>125</v>
      </c>
      <c r="E5284" s="324">
        <f t="shared" si="82"/>
        <v>30482.5</v>
      </c>
    </row>
    <row r="5285" spans="1:5" x14ac:dyDescent="0.25">
      <c r="A5285" s="323" t="s">
        <v>2097</v>
      </c>
      <c r="B5285" s="323" t="s">
        <v>805</v>
      </c>
      <c r="C5285" s="323">
        <v>42610</v>
      </c>
      <c r="D5285" s="323">
        <v>83</v>
      </c>
      <c r="E5285" s="324">
        <f t="shared" si="82"/>
        <v>20240.38</v>
      </c>
    </row>
    <row r="5286" spans="1:5" x14ac:dyDescent="0.25">
      <c r="A5286" s="323" t="s">
        <v>5013</v>
      </c>
      <c r="B5286" s="323" t="s">
        <v>805</v>
      </c>
      <c r="C5286" s="323">
        <v>42610</v>
      </c>
      <c r="D5286" s="323">
        <v>307</v>
      </c>
      <c r="E5286" s="324">
        <f t="shared" si="82"/>
        <v>74865.02</v>
      </c>
    </row>
    <row r="5287" spans="1:5" x14ac:dyDescent="0.25">
      <c r="A5287" s="323" t="s">
        <v>5060</v>
      </c>
      <c r="B5287" s="323" t="s">
        <v>805</v>
      </c>
      <c r="C5287" s="323">
        <v>42610</v>
      </c>
      <c r="D5287" s="323">
        <v>400</v>
      </c>
      <c r="E5287" s="324">
        <f t="shared" si="82"/>
        <v>97544</v>
      </c>
    </row>
    <row r="5288" spans="1:5" x14ac:dyDescent="0.25">
      <c r="A5288" s="323" t="s">
        <v>5102</v>
      </c>
      <c r="B5288" s="323" t="s">
        <v>805</v>
      </c>
      <c r="C5288" s="323">
        <v>42610</v>
      </c>
      <c r="D5288" s="323">
        <v>127</v>
      </c>
      <c r="E5288" s="324">
        <f t="shared" si="82"/>
        <v>30970.22</v>
      </c>
    </row>
    <row r="5289" spans="1:5" x14ac:dyDescent="0.25">
      <c r="A5289" s="323" t="s">
        <v>5102</v>
      </c>
      <c r="B5289" s="323" t="s">
        <v>805</v>
      </c>
      <c r="C5289" s="323">
        <v>42610</v>
      </c>
      <c r="D5289" s="323">
        <v>147</v>
      </c>
      <c r="E5289" s="324">
        <f t="shared" si="82"/>
        <v>35847.420000000006</v>
      </c>
    </row>
    <row r="5290" spans="1:5" x14ac:dyDescent="0.25">
      <c r="A5290" s="323" t="s">
        <v>5187</v>
      </c>
      <c r="B5290" s="323" t="s">
        <v>805</v>
      </c>
      <c r="C5290" s="323">
        <v>42610</v>
      </c>
      <c r="D5290" s="323">
        <v>268</v>
      </c>
      <c r="E5290" s="324">
        <f t="shared" si="82"/>
        <v>65354.48</v>
      </c>
    </row>
    <row r="5291" spans="1:5" x14ac:dyDescent="0.25">
      <c r="A5291" s="323" t="s">
        <v>5290</v>
      </c>
      <c r="B5291" s="323" t="s">
        <v>805</v>
      </c>
      <c r="C5291" s="323">
        <v>42610</v>
      </c>
      <c r="D5291" s="323">
        <v>153</v>
      </c>
      <c r="E5291" s="324">
        <f t="shared" si="82"/>
        <v>37310.58</v>
      </c>
    </row>
    <row r="5292" spans="1:5" x14ac:dyDescent="0.25">
      <c r="A5292" s="323" t="s">
        <v>5303</v>
      </c>
      <c r="B5292" s="323" t="s">
        <v>805</v>
      </c>
      <c r="C5292" s="323">
        <v>42610</v>
      </c>
      <c r="D5292" s="323">
        <v>170</v>
      </c>
      <c r="E5292" s="324">
        <f t="shared" si="82"/>
        <v>41456.200000000004</v>
      </c>
    </row>
    <row r="5293" spans="1:5" x14ac:dyDescent="0.25">
      <c r="A5293" s="323" t="s">
        <v>5328</v>
      </c>
      <c r="B5293" s="323" t="s">
        <v>805</v>
      </c>
      <c r="C5293" s="323">
        <v>42610</v>
      </c>
      <c r="D5293" s="323">
        <v>131</v>
      </c>
      <c r="E5293" s="324">
        <f t="shared" si="82"/>
        <v>31945.660000000003</v>
      </c>
    </row>
    <row r="5294" spans="1:5" x14ac:dyDescent="0.25">
      <c r="A5294" s="323" t="s">
        <v>5412</v>
      </c>
      <c r="B5294" s="323" t="s">
        <v>805</v>
      </c>
      <c r="C5294" s="323">
        <v>42610</v>
      </c>
      <c r="D5294" s="323">
        <v>150</v>
      </c>
      <c r="E5294" s="324">
        <f t="shared" si="82"/>
        <v>36579</v>
      </c>
    </row>
    <row r="5295" spans="1:5" x14ac:dyDescent="0.25">
      <c r="A5295" s="323" t="s">
        <v>5440</v>
      </c>
      <c r="B5295" s="323" t="s">
        <v>805</v>
      </c>
      <c r="C5295" s="323">
        <v>42610</v>
      </c>
      <c r="D5295" s="323">
        <v>193</v>
      </c>
      <c r="E5295" s="324">
        <f t="shared" si="82"/>
        <v>47064.98</v>
      </c>
    </row>
    <row r="5296" spans="1:5" x14ac:dyDescent="0.25">
      <c r="A5296" s="323" t="s">
        <v>6091</v>
      </c>
      <c r="B5296" s="323" t="s">
        <v>805</v>
      </c>
      <c r="C5296" s="323">
        <v>42610</v>
      </c>
      <c r="D5296" s="323">
        <v>54</v>
      </c>
      <c r="E5296" s="324">
        <f t="shared" si="82"/>
        <v>13168.44</v>
      </c>
    </row>
    <row r="5297" spans="1:5" x14ac:dyDescent="0.25">
      <c r="A5297" s="323" t="s">
        <v>6750</v>
      </c>
      <c r="B5297" s="323" t="s">
        <v>805</v>
      </c>
      <c r="C5297" s="323">
        <v>42610</v>
      </c>
      <c r="D5297" s="323">
        <v>135</v>
      </c>
      <c r="E5297" s="324">
        <f t="shared" si="82"/>
        <v>32921.1</v>
      </c>
    </row>
    <row r="5298" spans="1:5" x14ac:dyDescent="0.25">
      <c r="A5298" s="323" t="s">
        <v>1617</v>
      </c>
      <c r="B5298" s="323" t="s">
        <v>805</v>
      </c>
      <c r="C5298" s="323">
        <v>42616</v>
      </c>
      <c r="D5298" s="323">
        <v>283</v>
      </c>
      <c r="E5298" s="324">
        <f t="shared" si="82"/>
        <v>69012.38</v>
      </c>
    </row>
    <row r="5299" spans="1:5" x14ac:dyDescent="0.25">
      <c r="A5299" s="323" t="s">
        <v>1741</v>
      </c>
      <c r="B5299" s="323" t="s">
        <v>805</v>
      </c>
      <c r="C5299" s="323">
        <v>42616</v>
      </c>
      <c r="D5299" s="323">
        <v>216</v>
      </c>
      <c r="E5299" s="324">
        <f t="shared" si="82"/>
        <v>52673.760000000002</v>
      </c>
    </row>
    <row r="5300" spans="1:5" x14ac:dyDescent="0.25">
      <c r="A5300" s="323" t="s">
        <v>1766</v>
      </c>
      <c r="B5300" s="323" t="s">
        <v>805</v>
      </c>
      <c r="C5300" s="323">
        <v>42616</v>
      </c>
      <c r="D5300" s="323">
        <v>376</v>
      </c>
      <c r="E5300" s="324">
        <f t="shared" si="82"/>
        <v>91691.36</v>
      </c>
    </row>
    <row r="5301" spans="1:5" x14ac:dyDescent="0.25">
      <c r="A5301" s="323" t="s">
        <v>1767</v>
      </c>
      <c r="B5301" s="323" t="s">
        <v>805</v>
      </c>
      <c r="C5301" s="323">
        <v>42616</v>
      </c>
      <c r="D5301" s="323">
        <v>158</v>
      </c>
      <c r="E5301" s="324">
        <f t="shared" si="82"/>
        <v>38529.880000000005</v>
      </c>
    </row>
    <row r="5302" spans="1:5" x14ac:dyDescent="0.25">
      <c r="A5302" s="323" t="s">
        <v>1853</v>
      </c>
      <c r="B5302" s="323" t="s">
        <v>805</v>
      </c>
      <c r="C5302" s="323">
        <v>42616</v>
      </c>
      <c r="D5302" s="323">
        <v>63</v>
      </c>
      <c r="E5302" s="324">
        <f t="shared" si="82"/>
        <v>15363.18</v>
      </c>
    </row>
    <row r="5303" spans="1:5" x14ac:dyDescent="0.25">
      <c r="A5303" s="323" t="s">
        <v>2217</v>
      </c>
      <c r="B5303" s="323" t="s">
        <v>805</v>
      </c>
      <c r="C5303" s="323">
        <v>42616</v>
      </c>
      <c r="D5303" s="323">
        <v>143</v>
      </c>
      <c r="E5303" s="324">
        <f t="shared" si="82"/>
        <v>34871.980000000003</v>
      </c>
    </row>
    <row r="5304" spans="1:5" x14ac:dyDescent="0.25">
      <c r="A5304" s="323" t="s">
        <v>2260</v>
      </c>
      <c r="B5304" s="323" t="s">
        <v>805</v>
      </c>
      <c r="C5304" s="323">
        <v>42616</v>
      </c>
      <c r="D5304" s="323">
        <v>134</v>
      </c>
      <c r="E5304" s="324">
        <f t="shared" si="82"/>
        <v>32677.24</v>
      </c>
    </row>
    <row r="5305" spans="1:5" x14ac:dyDescent="0.25">
      <c r="A5305" s="323" t="s">
        <v>2354</v>
      </c>
      <c r="B5305" s="323" t="s">
        <v>805</v>
      </c>
      <c r="C5305" s="323">
        <v>42616</v>
      </c>
      <c r="D5305" s="323">
        <v>166</v>
      </c>
      <c r="E5305" s="324">
        <f t="shared" si="82"/>
        <v>40480.76</v>
      </c>
    </row>
    <row r="5306" spans="1:5" x14ac:dyDescent="0.25">
      <c r="A5306" s="323" t="s">
        <v>2819</v>
      </c>
      <c r="B5306" s="323" t="s">
        <v>805</v>
      </c>
      <c r="C5306" s="323">
        <v>42616</v>
      </c>
      <c r="D5306" s="323">
        <v>168</v>
      </c>
      <c r="E5306" s="324">
        <f t="shared" si="82"/>
        <v>40968.480000000003</v>
      </c>
    </row>
    <row r="5307" spans="1:5" x14ac:dyDescent="0.25">
      <c r="A5307" s="323" t="s">
        <v>2821</v>
      </c>
      <c r="B5307" s="323" t="s">
        <v>805</v>
      </c>
      <c r="C5307" s="323">
        <v>42616</v>
      </c>
      <c r="D5307" s="323">
        <v>123</v>
      </c>
      <c r="E5307" s="324">
        <f t="shared" si="82"/>
        <v>29994.780000000002</v>
      </c>
    </row>
    <row r="5308" spans="1:5" x14ac:dyDescent="0.25">
      <c r="A5308" s="323" t="s">
        <v>3287</v>
      </c>
      <c r="B5308" s="323" t="s">
        <v>805</v>
      </c>
      <c r="C5308" s="323">
        <v>42616</v>
      </c>
      <c r="D5308" s="323">
        <v>185</v>
      </c>
      <c r="E5308" s="324">
        <f t="shared" si="82"/>
        <v>45114.100000000006</v>
      </c>
    </row>
    <row r="5309" spans="1:5" x14ac:dyDescent="0.25">
      <c r="A5309" s="323" t="s">
        <v>3939</v>
      </c>
      <c r="B5309" s="323" t="s">
        <v>805</v>
      </c>
      <c r="C5309" s="323">
        <v>42616</v>
      </c>
      <c r="D5309" s="323">
        <v>218</v>
      </c>
      <c r="E5309" s="324">
        <f t="shared" si="82"/>
        <v>53161.48</v>
      </c>
    </row>
    <row r="5310" spans="1:5" x14ac:dyDescent="0.25">
      <c r="A5310" s="323" t="s">
        <v>4247</v>
      </c>
      <c r="B5310" s="323" t="s">
        <v>805</v>
      </c>
      <c r="C5310" s="323">
        <v>42616</v>
      </c>
      <c r="D5310" s="323">
        <v>167</v>
      </c>
      <c r="E5310" s="324">
        <f t="shared" si="82"/>
        <v>40724.620000000003</v>
      </c>
    </row>
    <row r="5311" spans="1:5" x14ac:dyDescent="0.25">
      <c r="A5311" s="323" t="s">
        <v>4355</v>
      </c>
      <c r="B5311" s="323" t="s">
        <v>805</v>
      </c>
      <c r="C5311" s="323">
        <v>42616</v>
      </c>
      <c r="D5311" s="323">
        <v>171</v>
      </c>
      <c r="E5311" s="324">
        <f t="shared" si="82"/>
        <v>41700.060000000005</v>
      </c>
    </row>
    <row r="5312" spans="1:5" x14ac:dyDescent="0.25">
      <c r="A5312" s="323" t="s">
        <v>4465</v>
      </c>
      <c r="B5312" s="323" t="s">
        <v>805</v>
      </c>
      <c r="C5312" s="323">
        <v>42616</v>
      </c>
      <c r="D5312" s="323">
        <v>121</v>
      </c>
      <c r="E5312" s="324">
        <f t="shared" si="82"/>
        <v>29507.06</v>
      </c>
    </row>
    <row r="5313" spans="1:5" x14ac:dyDescent="0.25">
      <c r="A5313" s="323" t="s">
        <v>5164</v>
      </c>
      <c r="B5313" s="323" t="s">
        <v>805</v>
      </c>
      <c r="C5313" s="323">
        <v>42616</v>
      </c>
      <c r="D5313" s="323">
        <v>79</v>
      </c>
      <c r="E5313" s="324">
        <f t="shared" si="82"/>
        <v>19264.940000000002</v>
      </c>
    </row>
    <row r="5314" spans="1:5" x14ac:dyDescent="0.25">
      <c r="A5314" s="323" t="s">
        <v>3037</v>
      </c>
      <c r="B5314" s="323" t="s">
        <v>805</v>
      </c>
      <c r="C5314" s="323">
        <v>42623</v>
      </c>
      <c r="D5314" s="323">
        <v>246</v>
      </c>
      <c r="E5314" s="324">
        <f t="shared" ref="E5314:E5377" si="83">D5314*IF(B5314=$G$9,WerkdrukbedragPerLeerlingBo,IF(B5314=$G$10,WerkdrukbedragPerLeerlingSbo,IF(B5314=$G$11,WerkdrukbedragPerLeerlingSo,IF(B5314=$G$12,WerkdrukbedragPerLeerlingVso,0))))</f>
        <v>59989.560000000005</v>
      </c>
    </row>
    <row r="5315" spans="1:5" x14ac:dyDescent="0.25">
      <c r="A5315" s="323" t="s">
        <v>3378</v>
      </c>
      <c r="B5315" s="323" t="s">
        <v>805</v>
      </c>
      <c r="C5315" s="323">
        <v>42623</v>
      </c>
      <c r="D5315" s="323">
        <v>33</v>
      </c>
      <c r="E5315" s="324">
        <f t="shared" si="83"/>
        <v>8047.38</v>
      </c>
    </row>
    <row r="5316" spans="1:5" x14ac:dyDescent="0.25">
      <c r="A5316" s="323" t="s">
        <v>3531</v>
      </c>
      <c r="B5316" s="323" t="s">
        <v>805</v>
      </c>
      <c r="C5316" s="323">
        <v>42623</v>
      </c>
      <c r="D5316" s="323">
        <v>76</v>
      </c>
      <c r="E5316" s="324">
        <f t="shared" si="83"/>
        <v>18533.36</v>
      </c>
    </row>
    <row r="5317" spans="1:5" x14ac:dyDescent="0.25">
      <c r="A5317" s="323" t="s">
        <v>3655</v>
      </c>
      <c r="B5317" s="323" t="s">
        <v>805</v>
      </c>
      <c r="C5317" s="323">
        <v>42623</v>
      </c>
      <c r="D5317" s="323">
        <v>172</v>
      </c>
      <c r="E5317" s="324">
        <f t="shared" si="83"/>
        <v>41943.920000000006</v>
      </c>
    </row>
    <row r="5318" spans="1:5" x14ac:dyDescent="0.25">
      <c r="A5318" s="323" t="s">
        <v>3981</v>
      </c>
      <c r="B5318" s="323" t="s">
        <v>805</v>
      </c>
      <c r="C5318" s="323">
        <v>42623</v>
      </c>
      <c r="D5318" s="323">
        <v>302</v>
      </c>
      <c r="E5318" s="324">
        <f t="shared" si="83"/>
        <v>73645.72</v>
      </c>
    </row>
    <row r="5319" spans="1:5" x14ac:dyDescent="0.25">
      <c r="A5319" s="323" t="s">
        <v>4319</v>
      </c>
      <c r="B5319" s="323" t="s">
        <v>805</v>
      </c>
      <c r="C5319" s="323">
        <v>42623</v>
      </c>
      <c r="D5319" s="323">
        <v>111</v>
      </c>
      <c r="E5319" s="324">
        <f t="shared" si="83"/>
        <v>27068.460000000003</v>
      </c>
    </row>
    <row r="5320" spans="1:5" x14ac:dyDescent="0.25">
      <c r="A5320" s="323" t="s">
        <v>4433</v>
      </c>
      <c r="B5320" s="323" t="s">
        <v>805</v>
      </c>
      <c r="C5320" s="323">
        <v>42623</v>
      </c>
      <c r="D5320" s="323">
        <v>136</v>
      </c>
      <c r="E5320" s="324">
        <f t="shared" si="83"/>
        <v>33164.959999999999</v>
      </c>
    </row>
    <row r="5321" spans="1:5" x14ac:dyDescent="0.25">
      <c r="A5321" s="323" t="s">
        <v>5150</v>
      </c>
      <c r="B5321" s="323" t="s">
        <v>805</v>
      </c>
      <c r="C5321" s="323">
        <v>42623</v>
      </c>
      <c r="D5321" s="323">
        <v>324</v>
      </c>
      <c r="E5321" s="324">
        <f t="shared" si="83"/>
        <v>79010.64</v>
      </c>
    </row>
    <row r="5322" spans="1:5" x14ac:dyDescent="0.25">
      <c r="A5322" s="323" t="s">
        <v>5279</v>
      </c>
      <c r="B5322" s="323" t="s">
        <v>805</v>
      </c>
      <c r="C5322" s="323">
        <v>42623</v>
      </c>
      <c r="D5322" s="323">
        <v>165</v>
      </c>
      <c r="E5322" s="324">
        <f t="shared" si="83"/>
        <v>40236.9</v>
      </c>
    </row>
    <row r="5323" spans="1:5" x14ac:dyDescent="0.25">
      <c r="A5323" s="323" t="s">
        <v>5423</v>
      </c>
      <c r="B5323" s="323" t="s">
        <v>805</v>
      </c>
      <c r="C5323" s="323">
        <v>42623</v>
      </c>
      <c r="D5323" s="323">
        <v>113</v>
      </c>
      <c r="E5323" s="324">
        <f t="shared" si="83"/>
        <v>27556.18</v>
      </c>
    </row>
    <row r="5324" spans="1:5" x14ac:dyDescent="0.25">
      <c r="A5324" s="323" t="s">
        <v>5481</v>
      </c>
      <c r="B5324" s="323" t="s">
        <v>805</v>
      </c>
      <c r="C5324" s="323">
        <v>42623</v>
      </c>
      <c r="D5324" s="323">
        <v>150</v>
      </c>
      <c r="E5324" s="324">
        <f t="shared" si="83"/>
        <v>36579</v>
      </c>
    </row>
    <row r="5325" spans="1:5" x14ac:dyDescent="0.25">
      <c r="A5325" s="323" t="s">
        <v>5481</v>
      </c>
      <c r="B5325" s="323" t="s">
        <v>805</v>
      </c>
      <c r="C5325" s="323">
        <v>42623</v>
      </c>
      <c r="D5325" s="323">
        <v>70</v>
      </c>
      <c r="E5325" s="324">
        <f t="shared" si="83"/>
        <v>17070.2</v>
      </c>
    </row>
    <row r="5326" spans="1:5" x14ac:dyDescent="0.25">
      <c r="A5326" s="323" t="s">
        <v>5505</v>
      </c>
      <c r="B5326" s="323" t="s">
        <v>805</v>
      </c>
      <c r="C5326" s="323">
        <v>42623</v>
      </c>
      <c r="D5326" s="323">
        <v>138</v>
      </c>
      <c r="E5326" s="324">
        <f t="shared" si="83"/>
        <v>33652.68</v>
      </c>
    </row>
    <row r="5327" spans="1:5" x14ac:dyDescent="0.25">
      <c r="A5327" s="323" t="s">
        <v>5524</v>
      </c>
      <c r="B5327" s="323" t="s">
        <v>805</v>
      </c>
      <c r="C5327" s="323">
        <v>42623</v>
      </c>
      <c r="D5327" s="323">
        <v>338</v>
      </c>
      <c r="E5327" s="324">
        <f t="shared" si="83"/>
        <v>82424.680000000008</v>
      </c>
    </row>
    <row r="5328" spans="1:5" x14ac:dyDescent="0.25">
      <c r="A5328" s="323" t="s">
        <v>5613</v>
      </c>
      <c r="B5328" s="323" t="s">
        <v>805</v>
      </c>
      <c r="C5328" s="323">
        <v>42623</v>
      </c>
      <c r="D5328" s="323">
        <v>369</v>
      </c>
      <c r="E5328" s="324">
        <f t="shared" si="83"/>
        <v>89984.340000000011</v>
      </c>
    </row>
    <row r="5329" spans="1:5" x14ac:dyDescent="0.25">
      <c r="A5329" s="323" t="s">
        <v>5625</v>
      </c>
      <c r="B5329" s="323" t="s">
        <v>805</v>
      </c>
      <c r="C5329" s="323">
        <v>42623</v>
      </c>
      <c r="D5329" s="323">
        <v>131</v>
      </c>
      <c r="E5329" s="324">
        <f t="shared" si="83"/>
        <v>31945.660000000003</v>
      </c>
    </row>
    <row r="5330" spans="1:5" x14ac:dyDescent="0.25">
      <c r="A5330" s="323" t="s">
        <v>5637</v>
      </c>
      <c r="B5330" s="323" t="s">
        <v>805</v>
      </c>
      <c r="C5330" s="323">
        <v>42623</v>
      </c>
      <c r="D5330" s="323">
        <v>179</v>
      </c>
      <c r="E5330" s="324">
        <f t="shared" si="83"/>
        <v>43650.94</v>
      </c>
    </row>
    <row r="5331" spans="1:5" x14ac:dyDescent="0.25">
      <c r="A5331" s="323" t="s">
        <v>6137</v>
      </c>
      <c r="B5331" s="323" t="s">
        <v>805</v>
      </c>
      <c r="C5331" s="323">
        <v>42623</v>
      </c>
      <c r="D5331" s="323">
        <v>70</v>
      </c>
      <c r="E5331" s="324">
        <f t="shared" si="83"/>
        <v>17070.2</v>
      </c>
    </row>
    <row r="5332" spans="1:5" x14ac:dyDescent="0.25">
      <c r="A5332" s="323" t="s">
        <v>6479</v>
      </c>
      <c r="B5332" s="323" t="s">
        <v>809</v>
      </c>
      <c r="C5332" s="323">
        <v>42623</v>
      </c>
      <c r="D5332" s="323">
        <v>14</v>
      </c>
      <c r="E5332" s="324">
        <f t="shared" si="83"/>
        <v>6828.08</v>
      </c>
    </row>
    <row r="5333" spans="1:5" x14ac:dyDescent="0.25">
      <c r="A5333" s="323" t="s">
        <v>6479</v>
      </c>
      <c r="B5333" s="323" t="s">
        <v>803</v>
      </c>
      <c r="C5333" s="323">
        <v>42623</v>
      </c>
      <c r="D5333" s="323">
        <v>342</v>
      </c>
      <c r="E5333" s="324">
        <f t="shared" si="83"/>
        <v>166800.24000000002</v>
      </c>
    </row>
    <row r="5334" spans="1:5" x14ac:dyDescent="0.25">
      <c r="A5334" s="323" t="s">
        <v>6507</v>
      </c>
      <c r="B5334" s="323" t="s">
        <v>816</v>
      </c>
      <c r="C5334" s="323">
        <v>42623</v>
      </c>
      <c r="D5334" s="323">
        <v>101</v>
      </c>
      <c r="E5334" s="324">
        <f t="shared" si="83"/>
        <v>36944.79</v>
      </c>
    </row>
    <row r="5335" spans="1:5" x14ac:dyDescent="0.25">
      <c r="A5335" s="323" t="s">
        <v>6544</v>
      </c>
      <c r="B5335" s="323" t="s">
        <v>809</v>
      </c>
      <c r="C5335" s="323">
        <v>42623</v>
      </c>
      <c r="D5335" s="323">
        <v>277</v>
      </c>
      <c r="E5335" s="324">
        <f t="shared" si="83"/>
        <v>135098.44</v>
      </c>
    </row>
    <row r="5336" spans="1:5" x14ac:dyDescent="0.25">
      <c r="A5336" s="323" t="s">
        <v>6813</v>
      </c>
      <c r="B5336" s="323" t="s">
        <v>805</v>
      </c>
      <c r="C5336" s="323">
        <v>42623</v>
      </c>
      <c r="D5336" s="323">
        <v>254</v>
      </c>
      <c r="E5336" s="324">
        <f t="shared" si="83"/>
        <v>61940.44</v>
      </c>
    </row>
    <row r="5337" spans="1:5" x14ac:dyDescent="0.25">
      <c r="A5337" s="323" t="s">
        <v>6976</v>
      </c>
      <c r="B5337" s="323" t="s">
        <v>805</v>
      </c>
      <c r="C5337" s="323">
        <v>42623</v>
      </c>
      <c r="D5337" s="323">
        <v>289</v>
      </c>
      <c r="E5337" s="324">
        <f t="shared" si="83"/>
        <v>70475.540000000008</v>
      </c>
    </row>
    <row r="5338" spans="1:5" x14ac:dyDescent="0.25">
      <c r="A5338" s="323" t="s">
        <v>7072</v>
      </c>
      <c r="B5338" s="323" t="s">
        <v>805</v>
      </c>
      <c r="C5338" s="323">
        <v>42623</v>
      </c>
      <c r="D5338" s="323">
        <v>325</v>
      </c>
      <c r="E5338" s="324">
        <f t="shared" si="83"/>
        <v>79254.5</v>
      </c>
    </row>
    <row r="5339" spans="1:5" x14ac:dyDescent="0.25">
      <c r="A5339" s="323" t="s">
        <v>7147</v>
      </c>
      <c r="B5339" s="323" t="s">
        <v>805</v>
      </c>
      <c r="C5339" s="323">
        <v>42623</v>
      </c>
      <c r="D5339" s="323">
        <v>162</v>
      </c>
      <c r="E5339" s="324">
        <f t="shared" si="83"/>
        <v>39505.32</v>
      </c>
    </row>
    <row r="5340" spans="1:5" x14ac:dyDescent="0.25">
      <c r="A5340" s="323" t="s">
        <v>7344</v>
      </c>
      <c r="B5340" s="323" t="s">
        <v>805</v>
      </c>
      <c r="C5340" s="323">
        <v>42623</v>
      </c>
      <c r="D5340" s="323">
        <v>347</v>
      </c>
      <c r="E5340" s="324">
        <f t="shared" si="83"/>
        <v>84619.42</v>
      </c>
    </row>
    <row r="5341" spans="1:5" x14ac:dyDescent="0.25">
      <c r="A5341" s="323" t="s">
        <v>7431</v>
      </c>
      <c r="B5341" s="323" t="s">
        <v>805</v>
      </c>
      <c r="C5341" s="323">
        <v>42623</v>
      </c>
      <c r="D5341" s="323">
        <v>684</v>
      </c>
      <c r="E5341" s="324">
        <f t="shared" si="83"/>
        <v>166800.24000000002</v>
      </c>
    </row>
    <row r="5342" spans="1:5" x14ac:dyDescent="0.25">
      <c r="A5342" s="323" t="s">
        <v>6932</v>
      </c>
      <c r="B5342" s="323" t="s">
        <v>809</v>
      </c>
      <c r="C5342" s="323">
        <v>42631</v>
      </c>
      <c r="D5342" s="323">
        <v>122</v>
      </c>
      <c r="E5342" s="324">
        <f t="shared" si="83"/>
        <v>59501.840000000004</v>
      </c>
    </row>
    <row r="5343" spans="1:5" x14ac:dyDescent="0.25">
      <c r="A5343" s="323" t="s">
        <v>6932</v>
      </c>
      <c r="B5343" s="323" t="s">
        <v>803</v>
      </c>
      <c r="C5343" s="323">
        <v>42631</v>
      </c>
      <c r="D5343" s="323">
        <v>172</v>
      </c>
      <c r="E5343" s="324">
        <f t="shared" si="83"/>
        <v>83887.840000000011</v>
      </c>
    </row>
    <row r="5344" spans="1:5" x14ac:dyDescent="0.25">
      <c r="A5344" s="323" t="s">
        <v>1493</v>
      </c>
      <c r="B5344" s="323" t="s">
        <v>805</v>
      </c>
      <c r="C5344" s="323">
        <v>42632</v>
      </c>
      <c r="D5344" s="323">
        <v>436</v>
      </c>
      <c r="E5344" s="324">
        <f t="shared" si="83"/>
        <v>106322.96</v>
      </c>
    </row>
    <row r="5345" spans="1:5" x14ac:dyDescent="0.25">
      <c r="A5345" s="323" t="s">
        <v>1529</v>
      </c>
      <c r="B5345" s="323" t="s">
        <v>805</v>
      </c>
      <c r="C5345" s="323">
        <v>42632</v>
      </c>
      <c r="D5345" s="323">
        <v>349</v>
      </c>
      <c r="E5345" s="324">
        <f t="shared" si="83"/>
        <v>85107.14</v>
      </c>
    </row>
    <row r="5346" spans="1:5" x14ac:dyDescent="0.25">
      <c r="A5346" s="323" t="s">
        <v>1551</v>
      </c>
      <c r="B5346" s="323" t="s">
        <v>805</v>
      </c>
      <c r="C5346" s="323">
        <v>42632</v>
      </c>
      <c r="D5346" s="323">
        <v>75</v>
      </c>
      <c r="E5346" s="324">
        <f t="shared" si="83"/>
        <v>18289.5</v>
      </c>
    </row>
    <row r="5347" spans="1:5" x14ac:dyDescent="0.25">
      <c r="A5347" s="323" t="s">
        <v>1586</v>
      </c>
      <c r="B5347" s="323" t="s">
        <v>805</v>
      </c>
      <c r="C5347" s="323">
        <v>42632</v>
      </c>
      <c r="D5347" s="323">
        <v>89</v>
      </c>
      <c r="E5347" s="324">
        <f t="shared" si="83"/>
        <v>21703.54</v>
      </c>
    </row>
    <row r="5348" spans="1:5" x14ac:dyDescent="0.25">
      <c r="A5348" s="323" t="s">
        <v>1895</v>
      </c>
      <c r="B5348" s="323" t="s">
        <v>805</v>
      </c>
      <c r="C5348" s="323">
        <v>42632</v>
      </c>
      <c r="D5348" s="323">
        <v>58</v>
      </c>
      <c r="E5348" s="324">
        <f t="shared" si="83"/>
        <v>14143.880000000001</v>
      </c>
    </row>
    <row r="5349" spans="1:5" x14ac:dyDescent="0.25">
      <c r="A5349" s="323" t="s">
        <v>1960</v>
      </c>
      <c r="B5349" s="323" t="s">
        <v>805</v>
      </c>
      <c r="C5349" s="323">
        <v>42632</v>
      </c>
      <c r="D5349" s="323">
        <v>76</v>
      </c>
      <c r="E5349" s="324">
        <f t="shared" si="83"/>
        <v>18533.36</v>
      </c>
    </row>
    <row r="5350" spans="1:5" x14ac:dyDescent="0.25">
      <c r="A5350" s="323" t="s">
        <v>1983</v>
      </c>
      <c r="B5350" s="323" t="s">
        <v>805</v>
      </c>
      <c r="C5350" s="323">
        <v>42632</v>
      </c>
      <c r="D5350" s="323">
        <v>82</v>
      </c>
      <c r="E5350" s="324">
        <f t="shared" si="83"/>
        <v>19996.52</v>
      </c>
    </row>
    <row r="5351" spans="1:5" x14ac:dyDescent="0.25">
      <c r="A5351" s="323" t="s">
        <v>2004</v>
      </c>
      <c r="B5351" s="323" t="s">
        <v>805</v>
      </c>
      <c r="C5351" s="323">
        <v>42632</v>
      </c>
      <c r="D5351" s="323">
        <v>227</v>
      </c>
      <c r="E5351" s="324">
        <f t="shared" si="83"/>
        <v>55356.22</v>
      </c>
    </row>
    <row r="5352" spans="1:5" x14ac:dyDescent="0.25">
      <c r="A5352" s="323" t="s">
        <v>2537</v>
      </c>
      <c r="B5352" s="323" t="s">
        <v>805</v>
      </c>
      <c r="C5352" s="323">
        <v>42632</v>
      </c>
      <c r="D5352" s="323">
        <v>167</v>
      </c>
      <c r="E5352" s="324">
        <f t="shared" si="83"/>
        <v>40724.620000000003</v>
      </c>
    </row>
    <row r="5353" spans="1:5" x14ac:dyDescent="0.25">
      <c r="A5353" s="323" t="s">
        <v>2570</v>
      </c>
      <c r="B5353" s="323" t="s">
        <v>805</v>
      </c>
      <c r="C5353" s="323">
        <v>42632</v>
      </c>
      <c r="D5353" s="323">
        <v>106</v>
      </c>
      <c r="E5353" s="324">
        <f t="shared" si="83"/>
        <v>25849.16</v>
      </c>
    </row>
    <row r="5354" spans="1:5" x14ac:dyDescent="0.25">
      <c r="A5354" s="323" t="s">
        <v>2741</v>
      </c>
      <c r="B5354" s="323" t="s">
        <v>805</v>
      </c>
      <c r="C5354" s="323">
        <v>42632</v>
      </c>
      <c r="D5354" s="323">
        <v>66</v>
      </c>
      <c r="E5354" s="324">
        <f t="shared" si="83"/>
        <v>16094.76</v>
      </c>
    </row>
    <row r="5355" spans="1:5" x14ac:dyDescent="0.25">
      <c r="A5355" s="323" t="s">
        <v>2751</v>
      </c>
      <c r="B5355" s="323" t="s">
        <v>805</v>
      </c>
      <c r="C5355" s="323">
        <v>42632</v>
      </c>
      <c r="D5355" s="323">
        <v>68</v>
      </c>
      <c r="E5355" s="324">
        <f t="shared" si="83"/>
        <v>16582.48</v>
      </c>
    </row>
    <row r="5356" spans="1:5" x14ac:dyDescent="0.25">
      <c r="A5356" s="323" t="s">
        <v>2907</v>
      </c>
      <c r="B5356" s="323" t="s">
        <v>805</v>
      </c>
      <c r="C5356" s="323">
        <v>42632</v>
      </c>
      <c r="D5356" s="323">
        <v>71</v>
      </c>
      <c r="E5356" s="324">
        <f t="shared" si="83"/>
        <v>17314.060000000001</v>
      </c>
    </row>
    <row r="5357" spans="1:5" x14ac:dyDescent="0.25">
      <c r="A5357" s="323" t="s">
        <v>4142</v>
      </c>
      <c r="B5357" s="323" t="s">
        <v>805</v>
      </c>
      <c r="C5357" s="323">
        <v>42634</v>
      </c>
      <c r="D5357" s="323">
        <v>64</v>
      </c>
      <c r="E5357" s="324">
        <f t="shared" si="83"/>
        <v>15607.04</v>
      </c>
    </row>
    <row r="5358" spans="1:5" x14ac:dyDescent="0.25">
      <c r="A5358" s="323" t="s">
        <v>4142</v>
      </c>
      <c r="B5358" s="323" t="s">
        <v>805</v>
      </c>
      <c r="C5358" s="323">
        <v>42634</v>
      </c>
      <c r="D5358" s="323">
        <v>42</v>
      </c>
      <c r="E5358" s="324">
        <f t="shared" si="83"/>
        <v>10242.120000000001</v>
      </c>
    </row>
    <row r="5359" spans="1:5" x14ac:dyDescent="0.25">
      <c r="A5359" s="323" t="s">
        <v>4142</v>
      </c>
      <c r="B5359" s="323" t="s">
        <v>805</v>
      </c>
      <c r="C5359" s="323">
        <v>42634</v>
      </c>
      <c r="D5359" s="323">
        <v>24</v>
      </c>
      <c r="E5359" s="324">
        <f t="shared" si="83"/>
        <v>5852.64</v>
      </c>
    </row>
    <row r="5360" spans="1:5" x14ac:dyDescent="0.25">
      <c r="A5360" s="323" t="s">
        <v>4389</v>
      </c>
      <c r="B5360" s="323" t="s">
        <v>805</v>
      </c>
      <c r="C5360" s="323">
        <v>42634</v>
      </c>
      <c r="D5360" s="323">
        <v>92</v>
      </c>
      <c r="E5360" s="324">
        <f t="shared" si="83"/>
        <v>22435.120000000003</v>
      </c>
    </row>
    <row r="5361" spans="1:5" x14ac:dyDescent="0.25">
      <c r="A5361" s="323" t="s">
        <v>4389</v>
      </c>
      <c r="B5361" s="323" t="s">
        <v>805</v>
      </c>
      <c r="C5361" s="323">
        <v>42634</v>
      </c>
      <c r="D5361" s="323">
        <v>33</v>
      </c>
      <c r="E5361" s="324">
        <f t="shared" si="83"/>
        <v>8047.38</v>
      </c>
    </row>
    <row r="5362" spans="1:5" x14ac:dyDescent="0.25">
      <c r="A5362" s="323" t="s">
        <v>4745</v>
      </c>
      <c r="B5362" s="323" t="s">
        <v>805</v>
      </c>
      <c r="C5362" s="323">
        <v>42634</v>
      </c>
      <c r="D5362" s="323">
        <v>56</v>
      </c>
      <c r="E5362" s="324">
        <f t="shared" si="83"/>
        <v>13656.16</v>
      </c>
    </row>
    <row r="5363" spans="1:5" x14ac:dyDescent="0.25">
      <c r="A5363" s="323" t="s">
        <v>879</v>
      </c>
      <c r="B5363" s="323" t="s">
        <v>816</v>
      </c>
      <c r="C5363" s="323">
        <v>42635</v>
      </c>
      <c r="D5363" s="323">
        <v>230</v>
      </c>
      <c r="E5363" s="324">
        <f t="shared" si="83"/>
        <v>84131.700000000012</v>
      </c>
    </row>
    <row r="5364" spans="1:5" x14ac:dyDescent="0.25">
      <c r="A5364" s="323" t="s">
        <v>948</v>
      </c>
      <c r="B5364" s="323" t="s">
        <v>816</v>
      </c>
      <c r="C5364" s="323">
        <v>42635</v>
      </c>
      <c r="D5364" s="323">
        <v>84</v>
      </c>
      <c r="E5364" s="324">
        <f t="shared" si="83"/>
        <v>30726.36</v>
      </c>
    </row>
    <row r="5365" spans="1:5" x14ac:dyDescent="0.25">
      <c r="A5365" s="323" t="s">
        <v>948</v>
      </c>
      <c r="B5365" s="323" t="s">
        <v>816</v>
      </c>
      <c r="C5365" s="323">
        <v>42635</v>
      </c>
      <c r="D5365" s="323">
        <v>43</v>
      </c>
      <c r="E5365" s="324">
        <f t="shared" si="83"/>
        <v>15728.970000000001</v>
      </c>
    </row>
    <row r="5366" spans="1:5" x14ac:dyDescent="0.25">
      <c r="A5366" s="323" t="s">
        <v>1194</v>
      </c>
      <c r="B5366" s="323" t="s">
        <v>816</v>
      </c>
      <c r="C5366" s="323">
        <v>42635</v>
      </c>
      <c r="D5366" s="323">
        <v>123</v>
      </c>
      <c r="E5366" s="324">
        <f t="shared" si="83"/>
        <v>44992.170000000006</v>
      </c>
    </row>
    <row r="5367" spans="1:5" x14ac:dyDescent="0.25">
      <c r="A5367" s="323" t="s">
        <v>1194</v>
      </c>
      <c r="B5367" s="323" t="s">
        <v>816</v>
      </c>
      <c r="C5367" s="323">
        <v>42635</v>
      </c>
      <c r="D5367" s="323">
        <v>164</v>
      </c>
      <c r="E5367" s="324">
        <f t="shared" si="83"/>
        <v>59989.560000000005</v>
      </c>
    </row>
    <row r="5368" spans="1:5" x14ac:dyDescent="0.25">
      <c r="A5368" s="323" t="s">
        <v>1431</v>
      </c>
      <c r="B5368" s="323" t="s">
        <v>809</v>
      </c>
      <c r="C5368" s="323">
        <v>42635</v>
      </c>
      <c r="D5368" s="323">
        <v>91</v>
      </c>
      <c r="E5368" s="324">
        <f t="shared" si="83"/>
        <v>44382.520000000004</v>
      </c>
    </row>
    <row r="5369" spans="1:5" x14ac:dyDescent="0.25">
      <c r="A5369" s="323" t="s">
        <v>1431</v>
      </c>
      <c r="B5369" s="323" t="s">
        <v>803</v>
      </c>
      <c r="C5369" s="323">
        <v>42635</v>
      </c>
      <c r="D5369" s="323">
        <v>154</v>
      </c>
      <c r="E5369" s="324">
        <f t="shared" si="83"/>
        <v>75108.88</v>
      </c>
    </row>
    <row r="5370" spans="1:5" x14ac:dyDescent="0.25">
      <c r="A5370" s="323" t="s">
        <v>1457</v>
      </c>
      <c r="B5370" s="323" t="s">
        <v>805</v>
      </c>
      <c r="C5370" s="323">
        <v>42636</v>
      </c>
      <c r="D5370" s="323">
        <v>48</v>
      </c>
      <c r="E5370" s="324">
        <f t="shared" si="83"/>
        <v>11705.28</v>
      </c>
    </row>
    <row r="5371" spans="1:5" x14ac:dyDescent="0.25">
      <c r="A5371" s="323" t="s">
        <v>2924</v>
      </c>
      <c r="B5371" s="323" t="s">
        <v>805</v>
      </c>
      <c r="C5371" s="323">
        <v>42653</v>
      </c>
      <c r="D5371" s="323">
        <v>60</v>
      </c>
      <c r="E5371" s="324">
        <f t="shared" si="83"/>
        <v>14631.6</v>
      </c>
    </row>
    <row r="5372" spans="1:5" x14ac:dyDescent="0.25">
      <c r="A5372" s="323" t="s">
        <v>3941</v>
      </c>
      <c r="B5372" s="323" t="s">
        <v>805</v>
      </c>
      <c r="C5372" s="323">
        <v>42653</v>
      </c>
      <c r="D5372" s="323">
        <v>246</v>
      </c>
      <c r="E5372" s="324">
        <f t="shared" si="83"/>
        <v>59989.560000000005</v>
      </c>
    </row>
    <row r="5373" spans="1:5" x14ac:dyDescent="0.25">
      <c r="A5373" s="323" t="s">
        <v>4037</v>
      </c>
      <c r="B5373" s="323" t="s">
        <v>805</v>
      </c>
      <c r="C5373" s="323">
        <v>42653</v>
      </c>
      <c r="D5373" s="323">
        <v>212</v>
      </c>
      <c r="E5373" s="324">
        <f t="shared" si="83"/>
        <v>51698.32</v>
      </c>
    </row>
    <row r="5374" spans="1:5" x14ac:dyDescent="0.25">
      <c r="A5374" s="323" t="s">
        <v>4093</v>
      </c>
      <c r="B5374" s="323" t="s">
        <v>805</v>
      </c>
      <c r="C5374" s="323">
        <v>42653</v>
      </c>
      <c r="D5374" s="323">
        <v>270</v>
      </c>
      <c r="E5374" s="324">
        <f t="shared" si="83"/>
        <v>65842.2</v>
      </c>
    </row>
    <row r="5375" spans="1:5" x14ac:dyDescent="0.25">
      <c r="A5375" s="323" t="s">
        <v>4234</v>
      </c>
      <c r="B5375" s="323" t="s">
        <v>805</v>
      </c>
      <c r="C5375" s="323">
        <v>42653</v>
      </c>
      <c r="D5375" s="323">
        <v>218</v>
      </c>
      <c r="E5375" s="324">
        <f t="shared" si="83"/>
        <v>53161.48</v>
      </c>
    </row>
    <row r="5376" spans="1:5" x14ac:dyDescent="0.25">
      <c r="A5376" s="323" t="s">
        <v>4346</v>
      </c>
      <c r="B5376" s="323" t="s">
        <v>805</v>
      </c>
      <c r="C5376" s="323">
        <v>42653</v>
      </c>
      <c r="D5376" s="323">
        <v>392</v>
      </c>
      <c r="E5376" s="324">
        <f t="shared" si="83"/>
        <v>95593.12000000001</v>
      </c>
    </row>
    <row r="5377" spans="1:5" x14ac:dyDescent="0.25">
      <c r="A5377" s="323" t="s">
        <v>4357</v>
      </c>
      <c r="B5377" s="323" t="s">
        <v>805</v>
      </c>
      <c r="C5377" s="323">
        <v>42653</v>
      </c>
      <c r="D5377" s="323">
        <v>413</v>
      </c>
      <c r="E5377" s="324">
        <f t="shared" si="83"/>
        <v>100714.18000000001</v>
      </c>
    </row>
    <row r="5378" spans="1:5" x14ac:dyDescent="0.25">
      <c r="A5378" s="323" t="s">
        <v>5357</v>
      </c>
      <c r="B5378" s="323" t="s">
        <v>805</v>
      </c>
      <c r="C5378" s="323">
        <v>42653</v>
      </c>
      <c r="D5378" s="323">
        <v>248</v>
      </c>
      <c r="E5378" s="324">
        <f t="shared" ref="E5378:E5441" si="84">D5378*IF(B5378=$G$9,WerkdrukbedragPerLeerlingBo,IF(B5378=$G$10,WerkdrukbedragPerLeerlingSbo,IF(B5378=$G$11,WerkdrukbedragPerLeerlingSo,IF(B5378=$G$12,WerkdrukbedragPerLeerlingVso,0))))</f>
        <v>60477.280000000006</v>
      </c>
    </row>
    <row r="5379" spans="1:5" x14ac:dyDescent="0.25">
      <c r="A5379" s="323" t="s">
        <v>5407</v>
      </c>
      <c r="B5379" s="323" t="s">
        <v>805</v>
      </c>
      <c r="C5379" s="323">
        <v>42653</v>
      </c>
      <c r="D5379" s="323">
        <v>464</v>
      </c>
      <c r="E5379" s="324">
        <f t="shared" si="84"/>
        <v>113151.04000000001</v>
      </c>
    </row>
    <row r="5380" spans="1:5" x14ac:dyDescent="0.25">
      <c r="A5380" s="323" t="s">
        <v>5429</v>
      </c>
      <c r="B5380" s="323" t="s">
        <v>805</v>
      </c>
      <c r="C5380" s="323">
        <v>42653</v>
      </c>
      <c r="D5380" s="323">
        <v>205</v>
      </c>
      <c r="E5380" s="324">
        <f t="shared" si="84"/>
        <v>49991.3</v>
      </c>
    </row>
    <row r="5381" spans="1:5" x14ac:dyDescent="0.25">
      <c r="A5381" s="323" t="s">
        <v>5459</v>
      </c>
      <c r="B5381" s="323" t="s">
        <v>805</v>
      </c>
      <c r="C5381" s="323">
        <v>42653</v>
      </c>
      <c r="D5381" s="323">
        <v>234</v>
      </c>
      <c r="E5381" s="324">
        <f t="shared" si="84"/>
        <v>57063.240000000005</v>
      </c>
    </row>
    <row r="5382" spans="1:5" x14ac:dyDescent="0.25">
      <c r="A5382" s="323" t="s">
        <v>1453</v>
      </c>
      <c r="B5382" s="323" t="s">
        <v>805</v>
      </c>
      <c r="C5382" s="323">
        <v>42656</v>
      </c>
      <c r="D5382" s="323">
        <v>69</v>
      </c>
      <c r="E5382" s="324">
        <f t="shared" si="84"/>
        <v>16826.34</v>
      </c>
    </row>
    <row r="5383" spans="1:5" x14ac:dyDescent="0.25">
      <c r="A5383" s="323" t="s">
        <v>1469</v>
      </c>
      <c r="B5383" s="323" t="s">
        <v>805</v>
      </c>
      <c r="C5383" s="323">
        <v>42656</v>
      </c>
      <c r="D5383" s="323">
        <v>115</v>
      </c>
      <c r="E5383" s="324">
        <f t="shared" si="84"/>
        <v>28043.9</v>
      </c>
    </row>
    <row r="5384" spans="1:5" x14ac:dyDescent="0.25">
      <c r="A5384" s="323" t="s">
        <v>1474</v>
      </c>
      <c r="B5384" s="323" t="s">
        <v>805</v>
      </c>
      <c r="C5384" s="323">
        <v>42656</v>
      </c>
      <c r="D5384" s="323">
        <v>74</v>
      </c>
      <c r="E5384" s="324">
        <f t="shared" si="84"/>
        <v>18045.64</v>
      </c>
    </row>
    <row r="5385" spans="1:5" x14ac:dyDescent="0.25">
      <c r="A5385" s="323" t="s">
        <v>1870</v>
      </c>
      <c r="B5385" s="323" t="s">
        <v>805</v>
      </c>
      <c r="C5385" s="323">
        <v>42656</v>
      </c>
      <c r="D5385" s="323">
        <v>210</v>
      </c>
      <c r="E5385" s="324">
        <f t="shared" si="84"/>
        <v>51210.600000000006</v>
      </c>
    </row>
    <row r="5386" spans="1:5" x14ac:dyDescent="0.25">
      <c r="A5386" s="323" t="s">
        <v>1876</v>
      </c>
      <c r="B5386" s="323" t="s">
        <v>805</v>
      </c>
      <c r="C5386" s="323">
        <v>42656</v>
      </c>
      <c r="D5386" s="323">
        <v>97</v>
      </c>
      <c r="E5386" s="324">
        <f t="shared" si="84"/>
        <v>23654.420000000002</v>
      </c>
    </row>
    <row r="5387" spans="1:5" x14ac:dyDescent="0.25">
      <c r="A5387" s="323" t="s">
        <v>1975</v>
      </c>
      <c r="B5387" s="323" t="s">
        <v>805</v>
      </c>
      <c r="C5387" s="323">
        <v>42656</v>
      </c>
      <c r="D5387" s="323">
        <v>40</v>
      </c>
      <c r="E5387" s="324">
        <f t="shared" si="84"/>
        <v>9754.4000000000015</v>
      </c>
    </row>
    <row r="5388" spans="1:5" x14ac:dyDescent="0.25">
      <c r="A5388" s="323" t="s">
        <v>2261</v>
      </c>
      <c r="B5388" s="323" t="s">
        <v>805</v>
      </c>
      <c r="C5388" s="323">
        <v>42656</v>
      </c>
      <c r="D5388" s="323">
        <v>184</v>
      </c>
      <c r="E5388" s="324">
        <f t="shared" si="84"/>
        <v>44870.240000000005</v>
      </c>
    </row>
    <row r="5389" spans="1:5" x14ac:dyDescent="0.25">
      <c r="A5389" s="323" t="s">
        <v>2369</v>
      </c>
      <c r="B5389" s="323" t="s">
        <v>805</v>
      </c>
      <c r="C5389" s="323">
        <v>42656</v>
      </c>
      <c r="D5389" s="323">
        <v>90</v>
      </c>
      <c r="E5389" s="324">
        <f t="shared" si="84"/>
        <v>21947.4</v>
      </c>
    </row>
    <row r="5390" spans="1:5" x14ac:dyDescent="0.25">
      <c r="A5390" s="323" t="s">
        <v>2413</v>
      </c>
      <c r="B5390" s="323" t="s">
        <v>805</v>
      </c>
      <c r="C5390" s="323">
        <v>42656</v>
      </c>
      <c r="D5390" s="323">
        <v>40</v>
      </c>
      <c r="E5390" s="324">
        <f t="shared" si="84"/>
        <v>9754.4000000000015</v>
      </c>
    </row>
    <row r="5391" spans="1:5" x14ac:dyDescent="0.25">
      <c r="A5391" s="323" t="s">
        <v>2649</v>
      </c>
      <c r="B5391" s="323" t="s">
        <v>805</v>
      </c>
      <c r="C5391" s="323">
        <v>42656</v>
      </c>
      <c r="D5391" s="323">
        <v>80</v>
      </c>
      <c r="E5391" s="324">
        <f t="shared" si="84"/>
        <v>19508.800000000003</v>
      </c>
    </row>
    <row r="5392" spans="1:5" x14ac:dyDescent="0.25">
      <c r="A5392" s="323" t="s">
        <v>2709</v>
      </c>
      <c r="B5392" s="323" t="s">
        <v>805</v>
      </c>
      <c r="C5392" s="323">
        <v>42656</v>
      </c>
      <c r="D5392" s="323">
        <v>111</v>
      </c>
      <c r="E5392" s="324">
        <f t="shared" si="84"/>
        <v>27068.460000000003</v>
      </c>
    </row>
    <row r="5393" spans="1:5" x14ac:dyDescent="0.25">
      <c r="A5393" s="323" t="s">
        <v>2719</v>
      </c>
      <c r="B5393" s="323" t="s">
        <v>805</v>
      </c>
      <c r="C5393" s="323">
        <v>42656</v>
      </c>
      <c r="D5393" s="323">
        <v>144</v>
      </c>
      <c r="E5393" s="324">
        <f t="shared" si="84"/>
        <v>35115.840000000004</v>
      </c>
    </row>
    <row r="5394" spans="1:5" x14ac:dyDescent="0.25">
      <c r="A5394" s="323" t="s">
        <v>3152</v>
      </c>
      <c r="B5394" s="323" t="s">
        <v>805</v>
      </c>
      <c r="C5394" s="323">
        <v>42656</v>
      </c>
      <c r="D5394" s="323">
        <v>167</v>
      </c>
      <c r="E5394" s="324">
        <f t="shared" si="84"/>
        <v>40724.620000000003</v>
      </c>
    </row>
    <row r="5395" spans="1:5" x14ac:dyDescent="0.25">
      <c r="A5395" s="323" t="s">
        <v>3618</v>
      </c>
      <c r="B5395" s="323" t="s">
        <v>805</v>
      </c>
      <c r="C5395" s="323">
        <v>42656</v>
      </c>
      <c r="D5395" s="323">
        <v>263</v>
      </c>
      <c r="E5395" s="324">
        <f t="shared" si="84"/>
        <v>64135.18</v>
      </c>
    </row>
    <row r="5396" spans="1:5" x14ac:dyDescent="0.25">
      <c r="A5396" s="323" t="s">
        <v>3745</v>
      </c>
      <c r="B5396" s="323" t="s">
        <v>805</v>
      </c>
      <c r="C5396" s="323">
        <v>42656</v>
      </c>
      <c r="D5396" s="323">
        <v>242</v>
      </c>
      <c r="E5396" s="324">
        <f t="shared" si="84"/>
        <v>59014.12</v>
      </c>
    </row>
    <row r="5397" spans="1:5" x14ac:dyDescent="0.25">
      <c r="A5397" s="323" t="s">
        <v>3950</v>
      </c>
      <c r="B5397" s="323" t="s">
        <v>805</v>
      </c>
      <c r="C5397" s="323">
        <v>42656</v>
      </c>
      <c r="D5397" s="323">
        <v>139</v>
      </c>
      <c r="E5397" s="324">
        <f t="shared" si="84"/>
        <v>33896.54</v>
      </c>
    </row>
    <row r="5398" spans="1:5" x14ac:dyDescent="0.25">
      <c r="A5398" s="323" t="s">
        <v>5994</v>
      </c>
      <c r="B5398" s="323" t="s">
        <v>805</v>
      </c>
      <c r="C5398" s="323">
        <v>42656</v>
      </c>
      <c r="D5398" s="323">
        <v>150</v>
      </c>
      <c r="E5398" s="324">
        <f t="shared" si="84"/>
        <v>36579</v>
      </c>
    </row>
    <row r="5399" spans="1:5" x14ac:dyDescent="0.25">
      <c r="A5399" s="323" t="s">
        <v>1478</v>
      </c>
      <c r="B5399" s="323" t="s">
        <v>805</v>
      </c>
      <c r="C5399" s="323">
        <v>42658</v>
      </c>
      <c r="D5399" s="323">
        <v>100</v>
      </c>
      <c r="E5399" s="324">
        <f t="shared" si="84"/>
        <v>24386</v>
      </c>
    </row>
    <row r="5400" spans="1:5" x14ac:dyDescent="0.25">
      <c r="A5400" s="323" t="s">
        <v>1554</v>
      </c>
      <c r="B5400" s="323" t="s">
        <v>805</v>
      </c>
      <c r="C5400" s="323">
        <v>42658</v>
      </c>
      <c r="D5400" s="323">
        <v>71</v>
      </c>
      <c r="E5400" s="324">
        <f t="shared" si="84"/>
        <v>17314.060000000001</v>
      </c>
    </row>
    <row r="5401" spans="1:5" x14ac:dyDescent="0.25">
      <c r="A5401" s="323" t="s">
        <v>2039</v>
      </c>
      <c r="B5401" s="323" t="s">
        <v>805</v>
      </c>
      <c r="C5401" s="323">
        <v>42658</v>
      </c>
      <c r="D5401" s="323">
        <v>105</v>
      </c>
      <c r="E5401" s="324">
        <f t="shared" si="84"/>
        <v>25605.300000000003</v>
      </c>
    </row>
    <row r="5402" spans="1:5" x14ac:dyDescent="0.25">
      <c r="A5402" s="323" t="s">
        <v>2083</v>
      </c>
      <c r="B5402" s="323" t="s">
        <v>805</v>
      </c>
      <c r="C5402" s="323">
        <v>42658</v>
      </c>
      <c r="D5402" s="323">
        <v>180</v>
      </c>
      <c r="E5402" s="324">
        <f t="shared" si="84"/>
        <v>43894.8</v>
      </c>
    </row>
    <row r="5403" spans="1:5" x14ac:dyDescent="0.25">
      <c r="A5403" s="323" t="s">
        <v>2172</v>
      </c>
      <c r="B5403" s="323" t="s">
        <v>805</v>
      </c>
      <c r="C5403" s="323">
        <v>42658</v>
      </c>
      <c r="D5403" s="323">
        <v>175</v>
      </c>
      <c r="E5403" s="324">
        <f t="shared" si="84"/>
        <v>42675.5</v>
      </c>
    </row>
    <row r="5404" spans="1:5" x14ac:dyDescent="0.25">
      <c r="A5404" s="323" t="s">
        <v>2427</v>
      </c>
      <c r="B5404" s="323" t="s">
        <v>805</v>
      </c>
      <c r="C5404" s="323">
        <v>42658</v>
      </c>
      <c r="D5404" s="323">
        <v>107</v>
      </c>
      <c r="E5404" s="324">
        <f t="shared" si="84"/>
        <v>26093.02</v>
      </c>
    </row>
    <row r="5405" spans="1:5" x14ac:dyDescent="0.25">
      <c r="A5405" s="323" t="s">
        <v>859</v>
      </c>
      <c r="B5405" s="323" t="s">
        <v>809</v>
      </c>
      <c r="C5405" s="323">
        <v>42665</v>
      </c>
      <c r="D5405" s="323">
        <v>132</v>
      </c>
      <c r="E5405" s="324">
        <f t="shared" si="84"/>
        <v>64379.040000000001</v>
      </c>
    </row>
    <row r="5406" spans="1:5" x14ac:dyDescent="0.25">
      <c r="A5406" s="323" t="s">
        <v>859</v>
      </c>
      <c r="B5406" s="323" t="s">
        <v>803</v>
      </c>
      <c r="C5406" s="323">
        <v>42665</v>
      </c>
      <c r="D5406" s="323">
        <v>79</v>
      </c>
      <c r="E5406" s="324">
        <f t="shared" si="84"/>
        <v>38529.880000000005</v>
      </c>
    </row>
    <row r="5407" spans="1:5" x14ac:dyDescent="0.25">
      <c r="A5407" s="323" t="s">
        <v>877</v>
      </c>
      <c r="B5407" s="323" t="s">
        <v>803</v>
      </c>
      <c r="C5407" s="323">
        <v>42665</v>
      </c>
      <c r="D5407" s="323">
        <v>193</v>
      </c>
      <c r="E5407" s="324">
        <f t="shared" si="84"/>
        <v>94129.96</v>
      </c>
    </row>
    <row r="5408" spans="1:5" x14ac:dyDescent="0.25">
      <c r="A5408" s="323" t="s">
        <v>1012</v>
      </c>
      <c r="B5408" s="323" t="s">
        <v>809</v>
      </c>
      <c r="C5408" s="323">
        <v>42665</v>
      </c>
      <c r="D5408" s="323">
        <v>99</v>
      </c>
      <c r="E5408" s="324">
        <f t="shared" si="84"/>
        <v>48284.280000000006</v>
      </c>
    </row>
    <row r="5409" spans="1:5" x14ac:dyDescent="0.25">
      <c r="A5409" s="323" t="s">
        <v>1012</v>
      </c>
      <c r="B5409" s="323" t="s">
        <v>803</v>
      </c>
      <c r="C5409" s="323">
        <v>42665</v>
      </c>
      <c r="D5409" s="323">
        <v>125</v>
      </c>
      <c r="E5409" s="324">
        <f t="shared" si="84"/>
        <v>60965</v>
      </c>
    </row>
    <row r="5410" spans="1:5" x14ac:dyDescent="0.25">
      <c r="A5410" s="323" t="s">
        <v>1191</v>
      </c>
      <c r="B5410" s="323" t="s">
        <v>809</v>
      </c>
      <c r="C5410" s="323">
        <v>42665</v>
      </c>
      <c r="D5410" s="323">
        <v>138</v>
      </c>
      <c r="E5410" s="324">
        <f t="shared" si="84"/>
        <v>67305.36</v>
      </c>
    </row>
    <row r="5411" spans="1:5" x14ac:dyDescent="0.25">
      <c r="A5411" s="323" t="s">
        <v>3191</v>
      </c>
      <c r="B5411" s="323" t="s">
        <v>809</v>
      </c>
      <c r="C5411" s="323">
        <v>42665</v>
      </c>
      <c r="D5411" s="323">
        <v>49</v>
      </c>
      <c r="E5411" s="324">
        <f t="shared" si="84"/>
        <v>23898.280000000002</v>
      </c>
    </row>
    <row r="5412" spans="1:5" x14ac:dyDescent="0.25">
      <c r="A5412" s="323" t="s">
        <v>3191</v>
      </c>
      <c r="B5412" s="323" t="s">
        <v>803</v>
      </c>
      <c r="C5412" s="323">
        <v>42665</v>
      </c>
      <c r="D5412" s="323">
        <v>51</v>
      </c>
      <c r="E5412" s="324">
        <f t="shared" si="84"/>
        <v>24873.72</v>
      </c>
    </row>
    <row r="5413" spans="1:5" x14ac:dyDescent="0.25">
      <c r="A5413" s="323" t="s">
        <v>6525</v>
      </c>
      <c r="B5413" s="323" t="s">
        <v>809</v>
      </c>
      <c r="C5413" s="323">
        <v>42665</v>
      </c>
      <c r="D5413" s="323">
        <v>29</v>
      </c>
      <c r="E5413" s="324">
        <f t="shared" si="84"/>
        <v>14143.880000000001</v>
      </c>
    </row>
    <row r="5414" spans="1:5" x14ac:dyDescent="0.25">
      <c r="A5414" s="323" t="s">
        <v>6525</v>
      </c>
      <c r="B5414" s="323" t="s">
        <v>803</v>
      </c>
      <c r="C5414" s="323">
        <v>42665</v>
      </c>
      <c r="D5414" s="323">
        <v>46</v>
      </c>
      <c r="E5414" s="324">
        <f t="shared" si="84"/>
        <v>22435.120000000003</v>
      </c>
    </row>
    <row r="5415" spans="1:5" x14ac:dyDescent="0.25">
      <c r="A5415" s="323" t="s">
        <v>6525</v>
      </c>
      <c r="B5415" s="323" t="s">
        <v>809</v>
      </c>
      <c r="C5415" s="323">
        <v>42665</v>
      </c>
      <c r="D5415" s="323">
        <v>14</v>
      </c>
      <c r="E5415" s="324">
        <f t="shared" si="84"/>
        <v>6828.08</v>
      </c>
    </row>
    <row r="5416" spans="1:5" x14ac:dyDescent="0.25">
      <c r="A5416" s="323" t="s">
        <v>6525</v>
      </c>
      <c r="B5416" s="323" t="s">
        <v>803</v>
      </c>
      <c r="C5416" s="323">
        <v>42665</v>
      </c>
      <c r="D5416" s="323">
        <v>21</v>
      </c>
      <c r="E5416" s="324">
        <f t="shared" si="84"/>
        <v>10242.120000000001</v>
      </c>
    </row>
    <row r="5417" spans="1:5" x14ac:dyDescent="0.25">
      <c r="A5417" s="323" t="s">
        <v>7172</v>
      </c>
      <c r="B5417" s="323" t="s">
        <v>809</v>
      </c>
      <c r="C5417" s="323">
        <v>42665</v>
      </c>
      <c r="D5417" s="323">
        <v>56</v>
      </c>
      <c r="E5417" s="324">
        <f t="shared" si="84"/>
        <v>27312.32</v>
      </c>
    </row>
    <row r="5418" spans="1:5" x14ac:dyDescent="0.25">
      <c r="A5418" s="323" t="s">
        <v>7172</v>
      </c>
      <c r="B5418" s="323" t="s">
        <v>803</v>
      </c>
      <c r="C5418" s="323">
        <v>42665</v>
      </c>
      <c r="D5418" s="323">
        <v>98</v>
      </c>
      <c r="E5418" s="324">
        <f t="shared" si="84"/>
        <v>47796.560000000005</v>
      </c>
    </row>
    <row r="5419" spans="1:5" x14ac:dyDescent="0.25">
      <c r="A5419" s="323" t="s">
        <v>7172</v>
      </c>
      <c r="B5419" s="323" t="s">
        <v>809</v>
      </c>
      <c r="C5419" s="323">
        <v>42665</v>
      </c>
      <c r="D5419" s="323">
        <v>11</v>
      </c>
      <c r="E5419" s="324">
        <f t="shared" si="84"/>
        <v>5364.92</v>
      </c>
    </row>
    <row r="5420" spans="1:5" x14ac:dyDescent="0.25">
      <c r="A5420" s="323" t="s">
        <v>825</v>
      </c>
      <c r="B5420" s="323" t="s">
        <v>805</v>
      </c>
      <c r="C5420" s="323">
        <v>42669</v>
      </c>
      <c r="D5420" s="323">
        <v>139</v>
      </c>
      <c r="E5420" s="324">
        <f t="shared" si="84"/>
        <v>33896.54</v>
      </c>
    </row>
    <row r="5421" spans="1:5" x14ac:dyDescent="0.25">
      <c r="A5421" s="323" t="s">
        <v>1124</v>
      </c>
      <c r="B5421" s="323" t="s">
        <v>805</v>
      </c>
      <c r="C5421" s="323">
        <v>42669</v>
      </c>
      <c r="D5421" s="323">
        <v>152</v>
      </c>
      <c r="E5421" s="324">
        <f t="shared" si="84"/>
        <v>37066.720000000001</v>
      </c>
    </row>
    <row r="5422" spans="1:5" x14ac:dyDescent="0.25">
      <c r="A5422" s="323" t="s">
        <v>1705</v>
      </c>
      <c r="B5422" s="323" t="s">
        <v>805</v>
      </c>
      <c r="C5422" s="323">
        <v>42669</v>
      </c>
      <c r="D5422" s="323">
        <v>199</v>
      </c>
      <c r="E5422" s="324">
        <f t="shared" si="84"/>
        <v>48528.14</v>
      </c>
    </row>
    <row r="5423" spans="1:5" x14ac:dyDescent="0.25">
      <c r="A5423" s="323" t="s">
        <v>1714</v>
      </c>
      <c r="B5423" s="323" t="s">
        <v>805</v>
      </c>
      <c r="C5423" s="323">
        <v>42669</v>
      </c>
      <c r="D5423" s="323">
        <v>178</v>
      </c>
      <c r="E5423" s="324">
        <f t="shared" si="84"/>
        <v>43407.08</v>
      </c>
    </row>
    <row r="5424" spans="1:5" x14ac:dyDescent="0.25">
      <c r="A5424" s="323" t="s">
        <v>1777</v>
      </c>
      <c r="B5424" s="323" t="s">
        <v>805</v>
      </c>
      <c r="C5424" s="323">
        <v>42669</v>
      </c>
      <c r="D5424" s="323">
        <v>179</v>
      </c>
      <c r="E5424" s="324">
        <f t="shared" si="84"/>
        <v>43650.94</v>
      </c>
    </row>
    <row r="5425" spans="1:5" x14ac:dyDescent="0.25">
      <c r="A5425" s="323" t="s">
        <v>2088</v>
      </c>
      <c r="B5425" s="323" t="s">
        <v>805</v>
      </c>
      <c r="C5425" s="323">
        <v>42669</v>
      </c>
      <c r="D5425" s="323">
        <v>249</v>
      </c>
      <c r="E5425" s="324">
        <f t="shared" si="84"/>
        <v>60721.140000000007</v>
      </c>
    </row>
    <row r="5426" spans="1:5" x14ac:dyDescent="0.25">
      <c r="A5426" s="323" t="s">
        <v>2198</v>
      </c>
      <c r="B5426" s="323" t="s">
        <v>805</v>
      </c>
      <c r="C5426" s="323">
        <v>42669</v>
      </c>
      <c r="D5426" s="323">
        <v>188</v>
      </c>
      <c r="E5426" s="324">
        <f t="shared" si="84"/>
        <v>45845.68</v>
      </c>
    </row>
    <row r="5427" spans="1:5" x14ac:dyDescent="0.25">
      <c r="A5427" s="323" t="s">
        <v>2478</v>
      </c>
      <c r="B5427" s="323" t="s">
        <v>805</v>
      </c>
      <c r="C5427" s="323">
        <v>42669</v>
      </c>
      <c r="D5427" s="323">
        <v>185</v>
      </c>
      <c r="E5427" s="324">
        <f t="shared" si="84"/>
        <v>45114.100000000006</v>
      </c>
    </row>
    <row r="5428" spans="1:5" x14ac:dyDescent="0.25">
      <c r="A5428" s="323" t="s">
        <v>3080</v>
      </c>
      <c r="B5428" s="323" t="s">
        <v>805</v>
      </c>
      <c r="C5428" s="323">
        <v>42669</v>
      </c>
      <c r="D5428" s="323">
        <v>80</v>
      </c>
      <c r="E5428" s="324">
        <f t="shared" si="84"/>
        <v>19508.800000000003</v>
      </c>
    </row>
    <row r="5429" spans="1:5" x14ac:dyDescent="0.25">
      <c r="A5429" s="323" t="s">
        <v>3206</v>
      </c>
      <c r="B5429" s="323" t="s">
        <v>805</v>
      </c>
      <c r="C5429" s="323">
        <v>42669</v>
      </c>
      <c r="D5429" s="323">
        <v>184</v>
      </c>
      <c r="E5429" s="324">
        <f t="shared" si="84"/>
        <v>44870.240000000005</v>
      </c>
    </row>
    <row r="5430" spans="1:5" x14ac:dyDescent="0.25">
      <c r="A5430" s="323" t="s">
        <v>3216</v>
      </c>
      <c r="B5430" s="323" t="s">
        <v>805</v>
      </c>
      <c r="C5430" s="323">
        <v>42669</v>
      </c>
      <c r="D5430" s="323">
        <v>299</v>
      </c>
      <c r="E5430" s="324">
        <f t="shared" si="84"/>
        <v>72914.14</v>
      </c>
    </row>
    <row r="5431" spans="1:5" x14ac:dyDescent="0.25">
      <c r="A5431" s="323" t="s">
        <v>3539</v>
      </c>
      <c r="B5431" s="323" t="s">
        <v>805</v>
      </c>
      <c r="C5431" s="323">
        <v>42669</v>
      </c>
      <c r="D5431" s="323">
        <v>169</v>
      </c>
      <c r="E5431" s="324">
        <f t="shared" si="84"/>
        <v>41212.340000000004</v>
      </c>
    </row>
    <row r="5432" spans="1:5" x14ac:dyDescent="0.25">
      <c r="A5432" s="323" t="s">
        <v>3800</v>
      </c>
      <c r="B5432" s="323" t="s">
        <v>805</v>
      </c>
      <c r="C5432" s="323">
        <v>42669</v>
      </c>
      <c r="D5432" s="323">
        <v>96</v>
      </c>
      <c r="E5432" s="324">
        <f t="shared" si="84"/>
        <v>23410.560000000001</v>
      </c>
    </row>
    <row r="5433" spans="1:5" x14ac:dyDescent="0.25">
      <c r="A5433" s="323" t="s">
        <v>5227</v>
      </c>
      <c r="B5433" s="323" t="s">
        <v>805</v>
      </c>
      <c r="C5433" s="323">
        <v>42669</v>
      </c>
      <c r="D5433" s="323">
        <v>85</v>
      </c>
      <c r="E5433" s="324">
        <f t="shared" si="84"/>
        <v>20728.100000000002</v>
      </c>
    </row>
    <row r="5434" spans="1:5" x14ac:dyDescent="0.25">
      <c r="A5434" s="323" t="s">
        <v>6769</v>
      </c>
      <c r="B5434" s="323" t="s">
        <v>805</v>
      </c>
      <c r="C5434" s="323">
        <v>42669</v>
      </c>
      <c r="D5434" s="323">
        <v>153</v>
      </c>
      <c r="E5434" s="324">
        <f t="shared" si="84"/>
        <v>37310.58</v>
      </c>
    </row>
    <row r="5435" spans="1:5" x14ac:dyDescent="0.25">
      <c r="A5435" s="323" t="s">
        <v>6835</v>
      </c>
      <c r="B5435" s="323" t="s">
        <v>805</v>
      </c>
      <c r="C5435" s="323">
        <v>42669</v>
      </c>
      <c r="D5435" s="323">
        <v>167</v>
      </c>
      <c r="E5435" s="324">
        <f t="shared" si="84"/>
        <v>40724.620000000003</v>
      </c>
    </row>
    <row r="5436" spans="1:5" x14ac:dyDescent="0.25">
      <c r="A5436" s="323" t="s">
        <v>6874</v>
      </c>
      <c r="B5436" s="323" t="s">
        <v>805</v>
      </c>
      <c r="C5436" s="323">
        <v>42669</v>
      </c>
      <c r="D5436" s="323">
        <v>227</v>
      </c>
      <c r="E5436" s="324">
        <f t="shared" si="84"/>
        <v>55356.22</v>
      </c>
    </row>
    <row r="5437" spans="1:5" x14ac:dyDescent="0.25">
      <c r="A5437" s="323" t="s">
        <v>7060</v>
      </c>
      <c r="B5437" s="323" t="s">
        <v>805</v>
      </c>
      <c r="C5437" s="323">
        <v>42669</v>
      </c>
      <c r="D5437" s="323">
        <v>133</v>
      </c>
      <c r="E5437" s="324">
        <f t="shared" si="84"/>
        <v>32433.38</v>
      </c>
    </row>
    <row r="5438" spans="1:5" x14ac:dyDescent="0.25">
      <c r="A5438" s="323" t="s">
        <v>7083</v>
      </c>
      <c r="B5438" s="323" t="s">
        <v>805</v>
      </c>
      <c r="C5438" s="323">
        <v>42669</v>
      </c>
      <c r="D5438" s="323">
        <v>136</v>
      </c>
      <c r="E5438" s="324">
        <f t="shared" si="84"/>
        <v>33164.959999999999</v>
      </c>
    </row>
    <row r="5439" spans="1:5" x14ac:dyDescent="0.25">
      <c r="A5439" s="323" t="s">
        <v>7089</v>
      </c>
      <c r="B5439" s="323" t="s">
        <v>805</v>
      </c>
      <c r="C5439" s="323">
        <v>42669</v>
      </c>
      <c r="D5439" s="323">
        <v>382</v>
      </c>
      <c r="E5439" s="324">
        <f t="shared" si="84"/>
        <v>93154.52</v>
      </c>
    </row>
    <row r="5440" spans="1:5" x14ac:dyDescent="0.25">
      <c r="A5440" s="323" t="s">
        <v>7445</v>
      </c>
      <c r="B5440" s="323" t="s">
        <v>805</v>
      </c>
      <c r="C5440" s="323">
        <v>42674</v>
      </c>
      <c r="D5440" s="323">
        <v>136</v>
      </c>
      <c r="E5440" s="324">
        <f t="shared" si="84"/>
        <v>33164.959999999999</v>
      </c>
    </row>
    <row r="5441" spans="1:5" x14ac:dyDescent="0.25">
      <c r="A5441" s="323" t="s">
        <v>7447</v>
      </c>
      <c r="B5441" s="323" t="s">
        <v>805</v>
      </c>
      <c r="C5441" s="323">
        <v>42679</v>
      </c>
      <c r="D5441" s="323">
        <v>269</v>
      </c>
      <c r="E5441" s="324">
        <f t="shared" si="84"/>
        <v>65598.34</v>
      </c>
    </row>
    <row r="5442" spans="1:5" x14ac:dyDescent="0.25">
      <c r="A5442" s="323" t="s">
        <v>1717</v>
      </c>
      <c r="B5442" s="323" t="s">
        <v>805</v>
      </c>
      <c r="C5442" s="323">
        <v>42683</v>
      </c>
      <c r="D5442" s="323">
        <v>53</v>
      </c>
      <c r="E5442" s="324">
        <f t="shared" ref="E5442:E5505" si="85">D5442*IF(B5442=$G$9,WerkdrukbedragPerLeerlingBo,IF(B5442=$G$10,WerkdrukbedragPerLeerlingSbo,IF(B5442=$G$11,WerkdrukbedragPerLeerlingSo,IF(B5442=$G$12,WerkdrukbedragPerLeerlingVso,0))))</f>
        <v>12924.58</v>
      </c>
    </row>
    <row r="5443" spans="1:5" x14ac:dyDescent="0.25">
      <c r="A5443" s="323" t="s">
        <v>2530</v>
      </c>
      <c r="B5443" s="323" t="s">
        <v>805</v>
      </c>
      <c r="C5443" s="323">
        <v>42683</v>
      </c>
      <c r="D5443" s="323">
        <v>56</v>
      </c>
      <c r="E5443" s="324">
        <f t="shared" si="85"/>
        <v>13656.16</v>
      </c>
    </row>
    <row r="5444" spans="1:5" x14ac:dyDescent="0.25">
      <c r="A5444" s="323" t="s">
        <v>2885</v>
      </c>
      <c r="B5444" s="323" t="s">
        <v>805</v>
      </c>
      <c r="C5444" s="323">
        <v>42683</v>
      </c>
      <c r="D5444" s="323">
        <v>554</v>
      </c>
      <c r="E5444" s="324">
        <f t="shared" si="85"/>
        <v>135098.44</v>
      </c>
    </row>
    <row r="5445" spans="1:5" x14ac:dyDescent="0.25">
      <c r="A5445" s="323" t="s">
        <v>3469</v>
      </c>
      <c r="B5445" s="323" t="s">
        <v>805</v>
      </c>
      <c r="C5445" s="323">
        <v>42683</v>
      </c>
      <c r="D5445" s="323">
        <v>410</v>
      </c>
      <c r="E5445" s="324">
        <f t="shared" si="85"/>
        <v>99982.6</v>
      </c>
    </row>
    <row r="5446" spans="1:5" x14ac:dyDescent="0.25">
      <c r="A5446" s="323" t="s">
        <v>3740</v>
      </c>
      <c r="B5446" s="323" t="s">
        <v>805</v>
      </c>
      <c r="C5446" s="323">
        <v>42683</v>
      </c>
      <c r="D5446" s="323">
        <v>347</v>
      </c>
      <c r="E5446" s="324">
        <f t="shared" si="85"/>
        <v>84619.42</v>
      </c>
    </row>
    <row r="5447" spans="1:5" x14ac:dyDescent="0.25">
      <c r="A5447" s="323" t="s">
        <v>3806</v>
      </c>
      <c r="B5447" s="323" t="s">
        <v>805</v>
      </c>
      <c r="C5447" s="323">
        <v>42683</v>
      </c>
      <c r="D5447" s="323">
        <v>217</v>
      </c>
      <c r="E5447" s="324">
        <f t="shared" si="85"/>
        <v>52917.62</v>
      </c>
    </row>
    <row r="5448" spans="1:5" x14ac:dyDescent="0.25">
      <c r="A5448" s="323" t="s">
        <v>3945</v>
      </c>
      <c r="B5448" s="323" t="s">
        <v>805</v>
      </c>
      <c r="C5448" s="323">
        <v>42683</v>
      </c>
      <c r="D5448" s="323">
        <v>372</v>
      </c>
      <c r="E5448" s="324">
        <f t="shared" si="85"/>
        <v>90715.92</v>
      </c>
    </row>
    <row r="5449" spans="1:5" x14ac:dyDescent="0.25">
      <c r="A5449" s="323" t="s">
        <v>3996</v>
      </c>
      <c r="B5449" s="323" t="s">
        <v>805</v>
      </c>
      <c r="C5449" s="323">
        <v>42683</v>
      </c>
      <c r="D5449" s="323">
        <v>427</v>
      </c>
      <c r="E5449" s="324">
        <f t="shared" si="85"/>
        <v>104128.22</v>
      </c>
    </row>
    <row r="5450" spans="1:5" x14ac:dyDescent="0.25">
      <c r="A5450" s="323" t="s">
        <v>4111</v>
      </c>
      <c r="B5450" s="323" t="s">
        <v>805</v>
      </c>
      <c r="C5450" s="323">
        <v>42683</v>
      </c>
      <c r="D5450" s="323">
        <v>268</v>
      </c>
      <c r="E5450" s="324">
        <f t="shared" si="85"/>
        <v>65354.48</v>
      </c>
    </row>
    <row r="5451" spans="1:5" x14ac:dyDescent="0.25">
      <c r="A5451" s="323" t="s">
        <v>4285</v>
      </c>
      <c r="B5451" s="323" t="s">
        <v>805</v>
      </c>
      <c r="C5451" s="323">
        <v>42683</v>
      </c>
      <c r="D5451" s="323">
        <v>207</v>
      </c>
      <c r="E5451" s="324">
        <f t="shared" si="85"/>
        <v>50479.020000000004</v>
      </c>
    </row>
    <row r="5452" spans="1:5" x14ac:dyDescent="0.25">
      <c r="A5452" s="323" t="s">
        <v>4506</v>
      </c>
      <c r="B5452" s="323" t="s">
        <v>805</v>
      </c>
      <c r="C5452" s="323">
        <v>42683</v>
      </c>
      <c r="D5452" s="323">
        <v>162</v>
      </c>
      <c r="E5452" s="324">
        <f t="shared" si="85"/>
        <v>39505.32</v>
      </c>
    </row>
    <row r="5453" spans="1:5" x14ac:dyDescent="0.25">
      <c r="A5453" s="323" t="s">
        <v>6802</v>
      </c>
      <c r="B5453" s="323" t="s">
        <v>805</v>
      </c>
      <c r="C5453" s="323">
        <v>42683</v>
      </c>
      <c r="D5453" s="323">
        <v>118</v>
      </c>
      <c r="E5453" s="324">
        <f t="shared" si="85"/>
        <v>28775.480000000003</v>
      </c>
    </row>
    <row r="5454" spans="1:5" x14ac:dyDescent="0.25">
      <c r="A5454" s="323" t="s">
        <v>6870</v>
      </c>
      <c r="B5454" s="323" t="s">
        <v>805</v>
      </c>
      <c r="C5454" s="323">
        <v>42683</v>
      </c>
      <c r="D5454" s="323">
        <v>326</v>
      </c>
      <c r="E5454" s="324">
        <f t="shared" si="85"/>
        <v>79498.36</v>
      </c>
    </row>
    <row r="5455" spans="1:5" x14ac:dyDescent="0.25">
      <c r="A5455" s="323" t="s">
        <v>6962</v>
      </c>
      <c r="B5455" s="323" t="s">
        <v>805</v>
      </c>
      <c r="C5455" s="323">
        <v>42683</v>
      </c>
      <c r="D5455" s="323">
        <v>353</v>
      </c>
      <c r="E5455" s="324">
        <f t="shared" si="85"/>
        <v>86082.58</v>
      </c>
    </row>
    <row r="5456" spans="1:5" x14ac:dyDescent="0.25">
      <c r="A5456" s="323" t="s">
        <v>6963</v>
      </c>
      <c r="B5456" s="323" t="s">
        <v>805</v>
      </c>
      <c r="C5456" s="323">
        <v>42683</v>
      </c>
      <c r="D5456" s="323">
        <v>258</v>
      </c>
      <c r="E5456" s="324">
        <f t="shared" si="85"/>
        <v>62915.880000000005</v>
      </c>
    </row>
    <row r="5457" spans="1:5" x14ac:dyDescent="0.25">
      <c r="A5457" s="323" t="s">
        <v>7262</v>
      </c>
      <c r="B5457" s="323" t="s">
        <v>805</v>
      </c>
      <c r="C5457" s="323">
        <v>42683</v>
      </c>
      <c r="D5457" s="323">
        <v>685</v>
      </c>
      <c r="E5457" s="324">
        <f t="shared" si="85"/>
        <v>167044.1</v>
      </c>
    </row>
    <row r="5458" spans="1:5" x14ac:dyDescent="0.25">
      <c r="A5458" s="323" t="s">
        <v>7275</v>
      </c>
      <c r="B5458" s="323" t="s">
        <v>805</v>
      </c>
      <c r="C5458" s="323">
        <v>42683</v>
      </c>
      <c r="D5458" s="323">
        <v>335</v>
      </c>
      <c r="E5458" s="324">
        <f t="shared" si="85"/>
        <v>81693.100000000006</v>
      </c>
    </row>
    <row r="5459" spans="1:5" x14ac:dyDescent="0.25">
      <c r="A5459" s="323" t="s">
        <v>7453</v>
      </c>
      <c r="B5459" s="323" t="s">
        <v>805</v>
      </c>
      <c r="C5459" s="323">
        <v>42686</v>
      </c>
      <c r="D5459" s="323">
        <v>129</v>
      </c>
      <c r="E5459" s="324">
        <f t="shared" si="85"/>
        <v>31457.940000000002</v>
      </c>
    </row>
    <row r="5460" spans="1:5" x14ac:dyDescent="0.25">
      <c r="A5460" s="323" t="s">
        <v>7505</v>
      </c>
      <c r="B5460" s="323" t="s">
        <v>805</v>
      </c>
      <c r="C5460" s="323">
        <v>42686</v>
      </c>
      <c r="D5460" s="323">
        <v>51</v>
      </c>
      <c r="E5460" s="324">
        <f t="shared" si="85"/>
        <v>12436.86</v>
      </c>
    </row>
    <row r="5461" spans="1:5" x14ac:dyDescent="0.25">
      <c r="A5461" s="323" t="s">
        <v>943</v>
      </c>
      <c r="B5461" s="323" t="s">
        <v>809</v>
      </c>
      <c r="C5461" s="323">
        <v>42687</v>
      </c>
      <c r="D5461" s="323">
        <v>40</v>
      </c>
      <c r="E5461" s="324">
        <f t="shared" si="85"/>
        <v>19508.800000000003</v>
      </c>
    </row>
    <row r="5462" spans="1:5" x14ac:dyDescent="0.25">
      <c r="A5462" s="323" t="s">
        <v>943</v>
      </c>
      <c r="B5462" s="323" t="s">
        <v>803</v>
      </c>
      <c r="C5462" s="323">
        <v>42687</v>
      </c>
      <c r="D5462" s="323">
        <v>65</v>
      </c>
      <c r="E5462" s="324">
        <f t="shared" si="85"/>
        <v>31701.800000000003</v>
      </c>
    </row>
    <row r="5463" spans="1:5" x14ac:dyDescent="0.25">
      <c r="A5463" s="323" t="s">
        <v>943</v>
      </c>
      <c r="B5463" s="323" t="s">
        <v>809</v>
      </c>
      <c r="C5463" s="323">
        <v>42687</v>
      </c>
      <c r="D5463" s="323">
        <v>76</v>
      </c>
      <c r="E5463" s="324">
        <f t="shared" si="85"/>
        <v>37066.720000000001</v>
      </c>
    </row>
    <row r="5464" spans="1:5" x14ac:dyDescent="0.25">
      <c r="A5464" s="323" t="s">
        <v>943</v>
      </c>
      <c r="B5464" s="323" t="s">
        <v>803</v>
      </c>
      <c r="C5464" s="323">
        <v>42687</v>
      </c>
      <c r="D5464" s="323">
        <v>85</v>
      </c>
      <c r="E5464" s="324">
        <f t="shared" si="85"/>
        <v>41456.200000000004</v>
      </c>
    </row>
    <row r="5465" spans="1:5" x14ac:dyDescent="0.25">
      <c r="A5465" s="323" t="s">
        <v>943</v>
      </c>
      <c r="B5465" s="323" t="s">
        <v>803</v>
      </c>
      <c r="C5465" s="323">
        <v>42687</v>
      </c>
      <c r="D5465" s="323">
        <v>108</v>
      </c>
      <c r="E5465" s="324">
        <f t="shared" si="85"/>
        <v>52673.760000000002</v>
      </c>
    </row>
    <row r="5466" spans="1:5" x14ac:dyDescent="0.25">
      <c r="A5466" s="323" t="s">
        <v>1420</v>
      </c>
      <c r="B5466" s="323" t="s">
        <v>816</v>
      </c>
      <c r="C5466" s="323">
        <v>42687</v>
      </c>
      <c r="D5466" s="323">
        <v>118</v>
      </c>
      <c r="E5466" s="324">
        <f t="shared" si="85"/>
        <v>43163.22</v>
      </c>
    </row>
    <row r="5467" spans="1:5" x14ac:dyDescent="0.25">
      <c r="A5467" s="323" t="s">
        <v>3190</v>
      </c>
      <c r="B5467" s="323" t="s">
        <v>816</v>
      </c>
      <c r="C5467" s="323">
        <v>42687</v>
      </c>
      <c r="D5467" s="323">
        <v>158</v>
      </c>
      <c r="E5467" s="324">
        <f t="shared" si="85"/>
        <v>57794.82</v>
      </c>
    </row>
    <row r="5468" spans="1:5" x14ac:dyDescent="0.25">
      <c r="A5468" s="323" t="s">
        <v>3792</v>
      </c>
      <c r="B5468" s="323" t="s">
        <v>816</v>
      </c>
      <c r="C5468" s="323">
        <v>42687</v>
      </c>
      <c r="D5468" s="323">
        <v>66</v>
      </c>
      <c r="E5468" s="324">
        <f t="shared" si="85"/>
        <v>24142.140000000003</v>
      </c>
    </row>
    <row r="5469" spans="1:5" x14ac:dyDescent="0.25">
      <c r="A5469" s="323" t="s">
        <v>6523</v>
      </c>
      <c r="B5469" s="323" t="s">
        <v>816</v>
      </c>
      <c r="C5469" s="323">
        <v>42687</v>
      </c>
      <c r="D5469" s="323">
        <v>240</v>
      </c>
      <c r="E5469" s="324">
        <f t="shared" si="85"/>
        <v>87789.6</v>
      </c>
    </row>
    <row r="5470" spans="1:5" x14ac:dyDescent="0.25">
      <c r="A5470" s="323" t="s">
        <v>7449</v>
      </c>
      <c r="B5470" s="323" t="s">
        <v>805</v>
      </c>
      <c r="C5470" s="323">
        <v>42708</v>
      </c>
      <c r="D5470" s="323">
        <v>4</v>
      </c>
      <c r="E5470" s="324">
        <f t="shared" si="85"/>
        <v>975.44</v>
      </c>
    </row>
    <row r="5471" spans="1:5" x14ac:dyDescent="0.25">
      <c r="A5471" s="323" t="s">
        <v>4385</v>
      </c>
      <c r="B5471" s="323" t="s">
        <v>805</v>
      </c>
      <c r="C5471" s="323">
        <v>42709</v>
      </c>
      <c r="D5471" s="323">
        <v>353</v>
      </c>
      <c r="E5471" s="324">
        <f t="shared" si="85"/>
        <v>86082.58</v>
      </c>
    </row>
    <row r="5472" spans="1:5" x14ac:dyDescent="0.25">
      <c r="A5472" s="323" t="s">
        <v>4811</v>
      </c>
      <c r="B5472" s="323" t="s">
        <v>805</v>
      </c>
      <c r="C5472" s="323">
        <v>42709</v>
      </c>
      <c r="D5472" s="323">
        <v>198</v>
      </c>
      <c r="E5472" s="324">
        <f t="shared" si="85"/>
        <v>48284.280000000006</v>
      </c>
    </row>
    <row r="5473" spans="1:5" x14ac:dyDescent="0.25">
      <c r="A5473" s="323" t="s">
        <v>4842</v>
      </c>
      <c r="B5473" s="323" t="s">
        <v>805</v>
      </c>
      <c r="C5473" s="323">
        <v>42709</v>
      </c>
      <c r="D5473" s="323">
        <v>242</v>
      </c>
      <c r="E5473" s="324">
        <f t="shared" si="85"/>
        <v>59014.12</v>
      </c>
    </row>
    <row r="5474" spans="1:5" x14ac:dyDescent="0.25">
      <c r="A5474" s="323" t="s">
        <v>4857</v>
      </c>
      <c r="B5474" s="323" t="s">
        <v>805</v>
      </c>
      <c r="C5474" s="323">
        <v>42709</v>
      </c>
      <c r="D5474" s="323">
        <v>417</v>
      </c>
      <c r="E5474" s="324">
        <f t="shared" si="85"/>
        <v>101689.62000000001</v>
      </c>
    </row>
    <row r="5475" spans="1:5" x14ac:dyDescent="0.25">
      <c r="A5475" s="323" t="s">
        <v>4897</v>
      </c>
      <c r="B5475" s="323" t="s">
        <v>805</v>
      </c>
      <c r="C5475" s="323">
        <v>42709</v>
      </c>
      <c r="D5475" s="323">
        <v>312</v>
      </c>
      <c r="E5475" s="324">
        <f t="shared" si="85"/>
        <v>76084.320000000007</v>
      </c>
    </row>
    <row r="5476" spans="1:5" x14ac:dyDescent="0.25">
      <c r="A5476" s="323" t="s">
        <v>4934</v>
      </c>
      <c r="B5476" s="323" t="s">
        <v>805</v>
      </c>
      <c r="C5476" s="323">
        <v>42709</v>
      </c>
      <c r="D5476" s="323">
        <v>287</v>
      </c>
      <c r="E5476" s="324">
        <f t="shared" si="85"/>
        <v>69987.820000000007</v>
      </c>
    </row>
    <row r="5477" spans="1:5" x14ac:dyDescent="0.25">
      <c r="A5477" s="323" t="s">
        <v>4975</v>
      </c>
      <c r="B5477" s="323" t="s">
        <v>805</v>
      </c>
      <c r="C5477" s="323">
        <v>42709</v>
      </c>
      <c r="D5477" s="323">
        <v>269</v>
      </c>
      <c r="E5477" s="324">
        <f t="shared" si="85"/>
        <v>65598.34</v>
      </c>
    </row>
    <row r="5478" spans="1:5" x14ac:dyDescent="0.25">
      <c r="A5478" s="323" t="s">
        <v>5050</v>
      </c>
      <c r="B5478" s="323" t="s">
        <v>805</v>
      </c>
      <c r="C5478" s="323">
        <v>42709</v>
      </c>
      <c r="D5478" s="323">
        <v>344</v>
      </c>
      <c r="E5478" s="324">
        <f t="shared" si="85"/>
        <v>83887.840000000011</v>
      </c>
    </row>
    <row r="5479" spans="1:5" x14ac:dyDescent="0.25">
      <c r="A5479" s="323" t="s">
        <v>5103</v>
      </c>
      <c r="B5479" s="323" t="s">
        <v>805</v>
      </c>
      <c r="C5479" s="323">
        <v>42709</v>
      </c>
      <c r="D5479" s="323">
        <v>357</v>
      </c>
      <c r="E5479" s="324">
        <f t="shared" si="85"/>
        <v>87058.02</v>
      </c>
    </row>
    <row r="5480" spans="1:5" x14ac:dyDescent="0.25">
      <c r="A5480" s="323" t="s">
        <v>6092</v>
      </c>
      <c r="B5480" s="323" t="s">
        <v>805</v>
      </c>
      <c r="C5480" s="323">
        <v>42709</v>
      </c>
      <c r="D5480" s="323">
        <v>181</v>
      </c>
      <c r="E5480" s="324">
        <f t="shared" si="85"/>
        <v>44138.66</v>
      </c>
    </row>
    <row r="5481" spans="1:5" x14ac:dyDescent="0.25">
      <c r="A5481" s="323" t="s">
        <v>6167</v>
      </c>
      <c r="B5481" s="323" t="s">
        <v>805</v>
      </c>
      <c r="C5481" s="323">
        <v>42709</v>
      </c>
      <c r="D5481" s="323">
        <v>168</v>
      </c>
      <c r="E5481" s="324">
        <f t="shared" si="85"/>
        <v>40968.480000000003</v>
      </c>
    </row>
    <row r="5482" spans="1:5" x14ac:dyDescent="0.25">
      <c r="A5482" s="323" t="s">
        <v>6751</v>
      </c>
      <c r="B5482" s="323" t="s">
        <v>805</v>
      </c>
      <c r="C5482" s="323">
        <v>42709</v>
      </c>
      <c r="D5482" s="323">
        <v>294</v>
      </c>
      <c r="E5482" s="324">
        <f t="shared" si="85"/>
        <v>71694.840000000011</v>
      </c>
    </row>
    <row r="5483" spans="1:5" x14ac:dyDescent="0.25">
      <c r="A5483" s="323" t="s">
        <v>7151</v>
      </c>
      <c r="B5483" s="323" t="s">
        <v>805</v>
      </c>
      <c r="C5483" s="323">
        <v>42709</v>
      </c>
      <c r="D5483" s="323">
        <v>272</v>
      </c>
      <c r="E5483" s="324">
        <f t="shared" si="85"/>
        <v>66329.919999999998</v>
      </c>
    </row>
    <row r="5484" spans="1:5" x14ac:dyDescent="0.25">
      <c r="A5484" s="323" t="s">
        <v>7321</v>
      </c>
      <c r="B5484" s="323" t="s">
        <v>805</v>
      </c>
      <c r="C5484" s="323">
        <v>42709</v>
      </c>
      <c r="D5484" s="323">
        <v>273</v>
      </c>
      <c r="E5484" s="324">
        <f t="shared" si="85"/>
        <v>66573.78</v>
      </c>
    </row>
    <row r="5485" spans="1:5" x14ac:dyDescent="0.25">
      <c r="A5485" s="323" t="s">
        <v>7457</v>
      </c>
      <c r="B5485" s="323" t="s">
        <v>805</v>
      </c>
      <c r="C5485" s="323">
        <v>42715</v>
      </c>
      <c r="D5485" s="323">
        <v>214</v>
      </c>
      <c r="E5485" s="324">
        <f t="shared" si="85"/>
        <v>52186.04</v>
      </c>
    </row>
    <row r="5486" spans="1:5" x14ac:dyDescent="0.25">
      <c r="A5486" s="323" t="s">
        <v>4963</v>
      </c>
      <c r="B5486" s="323" t="s">
        <v>805</v>
      </c>
      <c r="C5486" s="323">
        <v>42719</v>
      </c>
      <c r="D5486" s="323">
        <v>134</v>
      </c>
      <c r="E5486" s="324">
        <f t="shared" si="85"/>
        <v>32677.24</v>
      </c>
    </row>
    <row r="5487" spans="1:5" x14ac:dyDescent="0.25">
      <c r="A5487" s="323" t="s">
        <v>5037</v>
      </c>
      <c r="B5487" s="323" t="s">
        <v>805</v>
      </c>
      <c r="C5487" s="323">
        <v>42719</v>
      </c>
      <c r="D5487" s="323">
        <v>111</v>
      </c>
      <c r="E5487" s="324">
        <f t="shared" si="85"/>
        <v>27068.460000000003</v>
      </c>
    </row>
    <row r="5488" spans="1:5" x14ac:dyDescent="0.25">
      <c r="A5488" s="323" t="s">
        <v>5066</v>
      </c>
      <c r="B5488" s="323" t="s">
        <v>805</v>
      </c>
      <c r="C5488" s="323">
        <v>42719</v>
      </c>
      <c r="D5488" s="323">
        <v>341</v>
      </c>
      <c r="E5488" s="324">
        <f t="shared" si="85"/>
        <v>83156.260000000009</v>
      </c>
    </row>
    <row r="5489" spans="1:5" x14ac:dyDescent="0.25">
      <c r="A5489" s="323" t="s">
        <v>5090</v>
      </c>
      <c r="B5489" s="323" t="s">
        <v>805</v>
      </c>
      <c r="C5489" s="323">
        <v>42719</v>
      </c>
      <c r="D5489" s="323">
        <v>191</v>
      </c>
      <c r="E5489" s="324">
        <f t="shared" si="85"/>
        <v>46577.26</v>
      </c>
    </row>
    <row r="5490" spans="1:5" x14ac:dyDescent="0.25">
      <c r="A5490" s="323" t="s">
        <v>5241</v>
      </c>
      <c r="B5490" s="323" t="s">
        <v>805</v>
      </c>
      <c r="C5490" s="323">
        <v>42719</v>
      </c>
      <c r="D5490" s="323">
        <v>255</v>
      </c>
      <c r="E5490" s="324">
        <f t="shared" si="85"/>
        <v>62184.3</v>
      </c>
    </row>
    <row r="5491" spans="1:5" x14ac:dyDescent="0.25">
      <c r="A5491" s="323" t="s">
        <v>5319</v>
      </c>
      <c r="B5491" s="323" t="s">
        <v>805</v>
      </c>
      <c r="C5491" s="323">
        <v>42719</v>
      </c>
      <c r="D5491" s="323">
        <v>255</v>
      </c>
      <c r="E5491" s="324">
        <f t="shared" si="85"/>
        <v>62184.3</v>
      </c>
    </row>
    <row r="5492" spans="1:5" x14ac:dyDescent="0.25">
      <c r="A5492" s="323" t="s">
        <v>5376</v>
      </c>
      <c r="B5492" s="323" t="s">
        <v>805</v>
      </c>
      <c r="C5492" s="323">
        <v>42719</v>
      </c>
      <c r="D5492" s="323">
        <v>194</v>
      </c>
      <c r="E5492" s="324">
        <f t="shared" si="85"/>
        <v>47308.840000000004</v>
      </c>
    </row>
    <row r="5493" spans="1:5" x14ac:dyDescent="0.25">
      <c r="A5493" s="323" t="s">
        <v>6580</v>
      </c>
      <c r="B5493" s="323" t="s">
        <v>809</v>
      </c>
      <c r="C5493" s="323">
        <v>42719</v>
      </c>
      <c r="D5493" s="323">
        <v>39</v>
      </c>
      <c r="E5493" s="324">
        <f t="shared" si="85"/>
        <v>19021.080000000002</v>
      </c>
    </row>
    <row r="5494" spans="1:5" x14ac:dyDescent="0.25">
      <c r="A5494" s="323" t="s">
        <v>6580</v>
      </c>
      <c r="B5494" s="323" t="s">
        <v>803</v>
      </c>
      <c r="C5494" s="323">
        <v>42719</v>
      </c>
      <c r="D5494" s="323">
        <v>61</v>
      </c>
      <c r="E5494" s="324">
        <f t="shared" si="85"/>
        <v>29750.920000000002</v>
      </c>
    </row>
    <row r="5495" spans="1:5" x14ac:dyDescent="0.25">
      <c r="A5495" s="323" t="s">
        <v>6582</v>
      </c>
      <c r="B5495" s="323" t="s">
        <v>816</v>
      </c>
      <c r="C5495" s="323">
        <v>42719</v>
      </c>
      <c r="D5495" s="323">
        <v>224</v>
      </c>
      <c r="E5495" s="324">
        <f t="shared" si="85"/>
        <v>81936.960000000006</v>
      </c>
    </row>
    <row r="5496" spans="1:5" x14ac:dyDescent="0.25">
      <c r="A5496" s="323" t="s">
        <v>6748</v>
      </c>
      <c r="B5496" s="323" t="s">
        <v>805</v>
      </c>
      <c r="C5496" s="323">
        <v>42719</v>
      </c>
      <c r="D5496" s="323">
        <v>275</v>
      </c>
      <c r="E5496" s="324">
        <f t="shared" si="85"/>
        <v>67061.5</v>
      </c>
    </row>
    <row r="5497" spans="1:5" x14ac:dyDescent="0.25">
      <c r="A5497" s="323" t="s">
        <v>7078</v>
      </c>
      <c r="B5497" s="323" t="s">
        <v>805</v>
      </c>
      <c r="C5497" s="323">
        <v>42719</v>
      </c>
      <c r="D5497" s="323">
        <v>282</v>
      </c>
      <c r="E5497" s="324">
        <f t="shared" si="85"/>
        <v>68768.52</v>
      </c>
    </row>
    <row r="5498" spans="1:5" x14ac:dyDescent="0.25">
      <c r="A5498" s="323" t="s">
        <v>7194</v>
      </c>
      <c r="B5498" s="323" t="s">
        <v>805</v>
      </c>
      <c r="C5498" s="323">
        <v>42719</v>
      </c>
      <c r="D5498" s="323">
        <v>364</v>
      </c>
      <c r="E5498" s="324">
        <f t="shared" si="85"/>
        <v>88765.040000000008</v>
      </c>
    </row>
    <row r="5499" spans="1:5" x14ac:dyDescent="0.25">
      <c r="A5499" s="323" t="s">
        <v>7298</v>
      </c>
      <c r="B5499" s="323" t="s">
        <v>805</v>
      </c>
      <c r="C5499" s="323">
        <v>42719</v>
      </c>
      <c r="D5499" s="323">
        <v>435</v>
      </c>
      <c r="E5499" s="324">
        <f t="shared" si="85"/>
        <v>106079.1</v>
      </c>
    </row>
    <row r="5500" spans="1:5" x14ac:dyDescent="0.25">
      <c r="A5500" s="323" t="s">
        <v>1402</v>
      </c>
      <c r="B5500" s="323" t="s">
        <v>805</v>
      </c>
      <c r="C5500" s="323">
        <v>42723</v>
      </c>
      <c r="D5500" s="323">
        <v>422</v>
      </c>
      <c r="E5500" s="324">
        <f t="shared" si="85"/>
        <v>102908.92000000001</v>
      </c>
    </row>
    <row r="5501" spans="1:5" x14ac:dyDescent="0.25">
      <c r="A5501" s="323" t="s">
        <v>1080</v>
      </c>
      <c r="B5501" s="323" t="s">
        <v>805</v>
      </c>
      <c r="C5501" s="323">
        <v>42724</v>
      </c>
      <c r="D5501" s="323">
        <v>198</v>
      </c>
      <c r="E5501" s="324">
        <f t="shared" si="85"/>
        <v>48284.280000000006</v>
      </c>
    </row>
    <row r="5502" spans="1:5" x14ac:dyDescent="0.25">
      <c r="A5502" s="323" t="s">
        <v>1102</v>
      </c>
      <c r="B5502" s="323" t="s">
        <v>805</v>
      </c>
      <c r="C5502" s="323">
        <v>42724</v>
      </c>
      <c r="D5502" s="323">
        <v>146</v>
      </c>
      <c r="E5502" s="324">
        <f t="shared" si="85"/>
        <v>35603.560000000005</v>
      </c>
    </row>
    <row r="5503" spans="1:5" x14ac:dyDescent="0.25">
      <c r="A5503" s="323" t="s">
        <v>1669</v>
      </c>
      <c r="B5503" s="323" t="s">
        <v>805</v>
      </c>
      <c r="C5503" s="323">
        <v>42724</v>
      </c>
      <c r="D5503" s="323">
        <v>69</v>
      </c>
      <c r="E5503" s="324">
        <f t="shared" si="85"/>
        <v>16826.34</v>
      </c>
    </row>
    <row r="5504" spans="1:5" x14ac:dyDescent="0.25">
      <c r="A5504" s="323" t="s">
        <v>2161</v>
      </c>
      <c r="B5504" s="323" t="s">
        <v>805</v>
      </c>
      <c r="C5504" s="323">
        <v>42724</v>
      </c>
      <c r="D5504" s="323">
        <v>252</v>
      </c>
      <c r="E5504" s="324">
        <f t="shared" si="85"/>
        <v>61452.72</v>
      </c>
    </row>
    <row r="5505" spans="1:5" x14ac:dyDescent="0.25">
      <c r="A5505" s="323" t="s">
        <v>2181</v>
      </c>
      <c r="B5505" s="323" t="s">
        <v>805</v>
      </c>
      <c r="C5505" s="323">
        <v>42724</v>
      </c>
      <c r="D5505" s="323">
        <v>115</v>
      </c>
      <c r="E5505" s="324">
        <f t="shared" si="85"/>
        <v>28043.9</v>
      </c>
    </row>
    <row r="5506" spans="1:5" x14ac:dyDescent="0.25">
      <c r="A5506" s="323" t="s">
        <v>2452</v>
      </c>
      <c r="B5506" s="323" t="s">
        <v>805</v>
      </c>
      <c r="C5506" s="323">
        <v>42724</v>
      </c>
      <c r="D5506" s="323">
        <v>139</v>
      </c>
      <c r="E5506" s="324">
        <f t="shared" ref="E5506:E5569" si="86">D5506*IF(B5506=$G$9,WerkdrukbedragPerLeerlingBo,IF(B5506=$G$10,WerkdrukbedragPerLeerlingSbo,IF(B5506=$G$11,WerkdrukbedragPerLeerlingSo,IF(B5506=$G$12,WerkdrukbedragPerLeerlingVso,0))))</f>
        <v>33896.54</v>
      </c>
    </row>
    <row r="5507" spans="1:5" x14ac:dyDescent="0.25">
      <c r="A5507" s="323" t="s">
        <v>2503</v>
      </c>
      <c r="B5507" s="323" t="s">
        <v>805</v>
      </c>
      <c r="C5507" s="323">
        <v>42724</v>
      </c>
      <c r="D5507" s="323">
        <v>314</v>
      </c>
      <c r="E5507" s="324">
        <f t="shared" si="86"/>
        <v>76572.040000000008</v>
      </c>
    </row>
    <row r="5508" spans="1:5" x14ac:dyDescent="0.25">
      <c r="A5508" s="323" t="s">
        <v>2644</v>
      </c>
      <c r="B5508" s="323" t="s">
        <v>805</v>
      </c>
      <c r="C5508" s="323">
        <v>42724</v>
      </c>
      <c r="D5508" s="323">
        <v>151</v>
      </c>
      <c r="E5508" s="324">
        <f t="shared" si="86"/>
        <v>36822.86</v>
      </c>
    </row>
    <row r="5509" spans="1:5" x14ac:dyDescent="0.25">
      <c r="A5509" s="323" t="s">
        <v>2706</v>
      </c>
      <c r="B5509" s="323" t="s">
        <v>805</v>
      </c>
      <c r="C5509" s="323">
        <v>42724</v>
      </c>
      <c r="D5509" s="323">
        <v>366</v>
      </c>
      <c r="E5509" s="324">
        <f t="shared" si="86"/>
        <v>89252.760000000009</v>
      </c>
    </row>
    <row r="5510" spans="1:5" x14ac:dyDescent="0.25">
      <c r="A5510" s="323" t="s">
        <v>2933</v>
      </c>
      <c r="B5510" s="323" t="s">
        <v>805</v>
      </c>
      <c r="C5510" s="323">
        <v>42724</v>
      </c>
      <c r="D5510" s="323">
        <v>195</v>
      </c>
      <c r="E5510" s="324">
        <f t="shared" si="86"/>
        <v>47552.700000000004</v>
      </c>
    </row>
    <row r="5511" spans="1:5" x14ac:dyDescent="0.25">
      <c r="A5511" s="323" t="s">
        <v>3431</v>
      </c>
      <c r="B5511" s="323" t="s">
        <v>805</v>
      </c>
      <c r="C5511" s="323">
        <v>42724</v>
      </c>
      <c r="D5511" s="323">
        <v>209</v>
      </c>
      <c r="E5511" s="324">
        <f t="shared" si="86"/>
        <v>50966.740000000005</v>
      </c>
    </row>
    <row r="5512" spans="1:5" x14ac:dyDescent="0.25">
      <c r="A5512" s="323" t="s">
        <v>7460</v>
      </c>
      <c r="B5512" s="323" t="s">
        <v>805</v>
      </c>
      <c r="C5512" s="323">
        <v>42728</v>
      </c>
      <c r="D5512" s="323">
        <v>105</v>
      </c>
      <c r="E5512" s="324">
        <f t="shared" si="86"/>
        <v>25605.300000000003</v>
      </c>
    </row>
    <row r="5513" spans="1:5" x14ac:dyDescent="0.25">
      <c r="A5513" s="323" t="s">
        <v>7464</v>
      </c>
      <c r="B5513" s="323" t="s">
        <v>805</v>
      </c>
      <c r="C5513" s="323">
        <v>42736</v>
      </c>
      <c r="D5513" s="323">
        <v>98</v>
      </c>
      <c r="E5513" s="324">
        <f t="shared" si="86"/>
        <v>23898.280000000002</v>
      </c>
    </row>
    <row r="5514" spans="1:5" x14ac:dyDescent="0.25">
      <c r="A5514" s="323" t="s">
        <v>4711</v>
      </c>
      <c r="B5514" s="323" t="s">
        <v>805</v>
      </c>
      <c r="C5514" s="323">
        <v>42738</v>
      </c>
      <c r="D5514" s="323">
        <v>358</v>
      </c>
      <c r="E5514" s="324">
        <f t="shared" si="86"/>
        <v>87301.88</v>
      </c>
    </row>
    <row r="5515" spans="1:5" x14ac:dyDescent="0.25">
      <c r="A5515" s="323" t="s">
        <v>4898</v>
      </c>
      <c r="B5515" s="323" t="s">
        <v>805</v>
      </c>
      <c r="C5515" s="323">
        <v>42738</v>
      </c>
      <c r="D5515" s="323">
        <v>161</v>
      </c>
      <c r="E5515" s="324">
        <f t="shared" si="86"/>
        <v>39261.46</v>
      </c>
    </row>
    <row r="5516" spans="1:5" x14ac:dyDescent="0.25">
      <c r="A5516" s="323" t="s">
        <v>5026</v>
      </c>
      <c r="B5516" s="323" t="s">
        <v>805</v>
      </c>
      <c r="C5516" s="323">
        <v>42738</v>
      </c>
      <c r="D5516" s="323">
        <v>319</v>
      </c>
      <c r="E5516" s="324">
        <f t="shared" si="86"/>
        <v>77791.340000000011</v>
      </c>
    </row>
    <row r="5517" spans="1:5" x14ac:dyDescent="0.25">
      <c r="A5517" s="323" t="s">
        <v>1404</v>
      </c>
      <c r="B5517" s="323" t="s">
        <v>805</v>
      </c>
      <c r="C5517" s="323">
        <v>42744</v>
      </c>
      <c r="D5517" s="323">
        <v>87</v>
      </c>
      <c r="E5517" s="324">
        <f t="shared" si="86"/>
        <v>21215.82</v>
      </c>
    </row>
    <row r="5518" spans="1:5" x14ac:dyDescent="0.25">
      <c r="A5518" s="323" t="s">
        <v>1900</v>
      </c>
      <c r="B5518" s="323" t="s">
        <v>805</v>
      </c>
      <c r="C5518" s="323">
        <v>42744</v>
      </c>
      <c r="D5518" s="323">
        <v>95</v>
      </c>
      <c r="E5518" s="324">
        <f t="shared" si="86"/>
        <v>23166.7</v>
      </c>
    </row>
    <row r="5519" spans="1:5" x14ac:dyDescent="0.25">
      <c r="A5519" s="323" t="s">
        <v>1940</v>
      </c>
      <c r="B5519" s="323" t="s">
        <v>805</v>
      </c>
      <c r="C5519" s="323">
        <v>42744</v>
      </c>
      <c r="D5519" s="323">
        <v>36</v>
      </c>
      <c r="E5519" s="324">
        <f t="shared" si="86"/>
        <v>8778.9600000000009</v>
      </c>
    </row>
    <row r="5520" spans="1:5" x14ac:dyDescent="0.25">
      <c r="A5520" s="323" t="s">
        <v>1955</v>
      </c>
      <c r="B5520" s="323" t="s">
        <v>805</v>
      </c>
      <c r="C5520" s="323">
        <v>42744</v>
      </c>
      <c r="D5520" s="323">
        <v>100</v>
      </c>
      <c r="E5520" s="324">
        <f t="shared" si="86"/>
        <v>24386</v>
      </c>
    </row>
    <row r="5521" spans="1:5" x14ac:dyDescent="0.25">
      <c r="A5521" s="323" t="s">
        <v>3337</v>
      </c>
      <c r="B5521" s="323" t="s">
        <v>805</v>
      </c>
      <c r="C5521" s="323">
        <v>42744</v>
      </c>
      <c r="D5521" s="323">
        <v>338</v>
      </c>
      <c r="E5521" s="324">
        <f t="shared" si="86"/>
        <v>82424.680000000008</v>
      </c>
    </row>
    <row r="5522" spans="1:5" x14ac:dyDescent="0.25">
      <c r="A5522" s="323" t="s">
        <v>3624</v>
      </c>
      <c r="B5522" s="323" t="s">
        <v>805</v>
      </c>
      <c r="C5522" s="323">
        <v>42744</v>
      </c>
      <c r="D5522" s="323">
        <v>100</v>
      </c>
      <c r="E5522" s="324">
        <f t="shared" si="86"/>
        <v>24386</v>
      </c>
    </row>
    <row r="5523" spans="1:5" x14ac:dyDescent="0.25">
      <c r="A5523" s="323" t="s">
        <v>3865</v>
      </c>
      <c r="B5523" s="323" t="s">
        <v>805</v>
      </c>
      <c r="C5523" s="323">
        <v>42744</v>
      </c>
      <c r="D5523" s="323">
        <v>60</v>
      </c>
      <c r="E5523" s="324">
        <f t="shared" si="86"/>
        <v>14631.6</v>
      </c>
    </row>
    <row r="5524" spans="1:5" x14ac:dyDescent="0.25">
      <c r="A5524" s="323" t="s">
        <v>4358</v>
      </c>
      <c r="B5524" s="323" t="s">
        <v>805</v>
      </c>
      <c r="C5524" s="323">
        <v>42744</v>
      </c>
      <c r="D5524" s="323">
        <v>166</v>
      </c>
      <c r="E5524" s="324">
        <f t="shared" si="86"/>
        <v>40480.76</v>
      </c>
    </row>
    <row r="5525" spans="1:5" x14ac:dyDescent="0.25">
      <c r="A5525" s="323" t="s">
        <v>4467</v>
      </c>
      <c r="B5525" s="323" t="s">
        <v>805</v>
      </c>
      <c r="C5525" s="323">
        <v>42744</v>
      </c>
      <c r="D5525" s="323">
        <v>252</v>
      </c>
      <c r="E5525" s="324">
        <f t="shared" si="86"/>
        <v>61452.72</v>
      </c>
    </row>
    <row r="5526" spans="1:5" x14ac:dyDescent="0.25">
      <c r="A5526" s="323" t="s">
        <v>4576</v>
      </c>
      <c r="B5526" s="323" t="s">
        <v>805</v>
      </c>
      <c r="C5526" s="323">
        <v>42744</v>
      </c>
      <c r="D5526" s="323">
        <v>32</v>
      </c>
      <c r="E5526" s="324">
        <f t="shared" si="86"/>
        <v>7803.52</v>
      </c>
    </row>
    <row r="5527" spans="1:5" x14ac:dyDescent="0.25">
      <c r="A5527" s="323" t="s">
        <v>7129</v>
      </c>
      <c r="B5527" s="323" t="s">
        <v>809</v>
      </c>
      <c r="C5527" s="323">
        <v>42747</v>
      </c>
      <c r="D5527" s="323">
        <v>36</v>
      </c>
      <c r="E5527" s="324">
        <f t="shared" si="86"/>
        <v>17557.920000000002</v>
      </c>
    </row>
    <row r="5528" spans="1:5" x14ac:dyDescent="0.25">
      <c r="A5528" s="323" t="s">
        <v>7129</v>
      </c>
      <c r="B5528" s="323" t="s">
        <v>803</v>
      </c>
      <c r="C5528" s="323">
        <v>42747</v>
      </c>
      <c r="D5528" s="323">
        <v>51</v>
      </c>
      <c r="E5528" s="324">
        <f t="shared" si="86"/>
        <v>24873.72</v>
      </c>
    </row>
    <row r="5529" spans="1:5" x14ac:dyDescent="0.25">
      <c r="A5529" s="323" t="s">
        <v>7129</v>
      </c>
      <c r="B5529" s="323" t="s">
        <v>809</v>
      </c>
      <c r="C5529" s="323">
        <v>42747</v>
      </c>
      <c r="D5529" s="323">
        <v>32</v>
      </c>
      <c r="E5529" s="324">
        <f t="shared" si="86"/>
        <v>15607.04</v>
      </c>
    </row>
    <row r="5530" spans="1:5" x14ac:dyDescent="0.25">
      <c r="A5530" s="323" t="s">
        <v>7129</v>
      </c>
      <c r="B5530" s="323" t="s">
        <v>803</v>
      </c>
      <c r="C5530" s="323">
        <v>42747</v>
      </c>
      <c r="D5530" s="323">
        <v>25</v>
      </c>
      <c r="E5530" s="324">
        <f t="shared" si="86"/>
        <v>12193</v>
      </c>
    </row>
    <row r="5531" spans="1:5" x14ac:dyDescent="0.25">
      <c r="A5531" s="323" t="s">
        <v>7129</v>
      </c>
      <c r="B5531" s="323" t="s">
        <v>809</v>
      </c>
      <c r="C5531" s="323">
        <v>42747</v>
      </c>
      <c r="D5531" s="323">
        <v>21</v>
      </c>
      <c r="E5531" s="324">
        <f t="shared" si="86"/>
        <v>10242.120000000001</v>
      </c>
    </row>
    <row r="5532" spans="1:5" x14ac:dyDescent="0.25">
      <c r="A5532" s="323" t="s">
        <v>7471</v>
      </c>
      <c r="B5532" s="323" t="s">
        <v>805</v>
      </c>
      <c r="C5532" s="323">
        <v>42751</v>
      </c>
      <c r="D5532" s="323">
        <v>90</v>
      </c>
      <c r="E5532" s="324">
        <f t="shared" si="86"/>
        <v>21947.4</v>
      </c>
    </row>
    <row r="5533" spans="1:5" x14ac:dyDescent="0.25">
      <c r="A5533" s="323" t="s">
        <v>1600</v>
      </c>
      <c r="B5533" s="323" t="s">
        <v>805</v>
      </c>
      <c r="C5533" s="323">
        <v>42754</v>
      </c>
      <c r="D5533" s="323">
        <v>80</v>
      </c>
      <c r="E5533" s="324">
        <f t="shared" si="86"/>
        <v>19508.800000000003</v>
      </c>
    </row>
    <row r="5534" spans="1:5" x14ac:dyDescent="0.25">
      <c r="A5534" s="323" t="s">
        <v>1926</v>
      </c>
      <c r="B5534" s="323" t="s">
        <v>805</v>
      </c>
      <c r="C5534" s="323">
        <v>42754</v>
      </c>
      <c r="D5534" s="323">
        <v>244</v>
      </c>
      <c r="E5534" s="324">
        <f t="shared" si="86"/>
        <v>59501.840000000004</v>
      </c>
    </row>
    <row r="5535" spans="1:5" x14ac:dyDescent="0.25">
      <c r="A5535" s="323" t="s">
        <v>2360</v>
      </c>
      <c r="B5535" s="323" t="s">
        <v>805</v>
      </c>
      <c r="C5535" s="323">
        <v>42754</v>
      </c>
      <c r="D5535" s="323">
        <v>163</v>
      </c>
      <c r="E5535" s="324">
        <f t="shared" si="86"/>
        <v>39749.18</v>
      </c>
    </row>
    <row r="5536" spans="1:5" x14ac:dyDescent="0.25">
      <c r="A5536" s="323" t="s">
        <v>2372</v>
      </c>
      <c r="B5536" s="323" t="s">
        <v>805</v>
      </c>
      <c r="C5536" s="323">
        <v>42754</v>
      </c>
      <c r="D5536" s="323">
        <v>88</v>
      </c>
      <c r="E5536" s="324">
        <f t="shared" si="86"/>
        <v>21459.68</v>
      </c>
    </row>
    <row r="5537" spans="1:5" x14ac:dyDescent="0.25">
      <c r="A5537" s="323" t="s">
        <v>2934</v>
      </c>
      <c r="B5537" s="323" t="s">
        <v>805</v>
      </c>
      <c r="C5537" s="323">
        <v>42754</v>
      </c>
      <c r="D5537" s="323">
        <v>153</v>
      </c>
      <c r="E5537" s="324">
        <f t="shared" si="86"/>
        <v>37310.58</v>
      </c>
    </row>
    <row r="5538" spans="1:5" x14ac:dyDescent="0.25">
      <c r="A5538" s="323" t="s">
        <v>2949</v>
      </c>
      <c r="B5538" s="323" t="s">
        <v>805</v>
      </c>
      <c r="C5538" s="323">
        <v>42754</v>
      </c>
      <c r="D5538" s="323">
        <v>105</v>
      </c>
      <c r="E5538" s="324">
        <f t="shared" si="86"/>
        <v>25605.300000000003</v>
      </c>
    </row>
    <row r="5539" spans="1:5" x14ac:dyDescent="0.25">
      <c r="A5539" s="323" t="s">
        <v>3137</v>
      </c>
      <c r="B5539" s="323" t="s">
        <v>805</v>
      </c>
      <c r="C5539" s="323">
        <v>42754</v>
      </c>
      <c r="D5539" s="323">
        <v>280</v>
      </c>
      <c r="E5539" s="324">
        <f t="shared" si="86"/>
        <v>68280.800000000003</v>
      </c>
    </row>
    <row r="5540" spans="1:5" x14ac:dyDescent="0.25">
      <c r="A5540" s="323" t="s">
        <v>3339</v>
      </c>
      <c r="B5540" s="323" t="s">
        <v>805</v>
      </c>
      <c r="C5540" s="323">
        <v>42754</v>
      </c>
      <c r="D5540" s="323">
        <v>157</v>
      </c>
      <c r="E5540" s="324">
        <f t="shared" si="86"/>
        <v>38286.020000000004</v>
      </c>
    </row>
    <row r="5541" spans="1:5" x14ac:dyDescent="0.25">
      <c r="A5541" s="323" t="s">
        <v>3490</v>
      </c>
      <c r="B5541" s="323" t="s">
        <v>805</v>
      </c>
      <c r="C5541" s="323">
        <v>42754</v>
      </c>
      <c r="D5541" s="323">
        <v>261</v>
      </c>
      <c r="E5541" s="324">
        <f t="shared" si="86"/>
        <v>63647.460000000006</v>
      </c>
    </row>
    <row r="5542" spans="1:5" x14ac:dyDescent="0.25">
      <c r="A5542" s="323" t="s">
        <v>3516</v>
      </c>
      <c r="B5542" s="323" t="s">
        <v>805</v>
      </c>
      <c r="C5542" s="323">
        <v>42754</v>
      </c>
      <c r="D5542" s="323">
        <v>99</v>
      </c>
      <c r="E5542" s="324">
        <f t="shared" si="86"/>
        <v>24142.140000000003</v>
      </c>
    </row>
    <row r="5543" spans="1:5" x14ac:dyDescent="0.25">
      <c r="A5543" s="323" t="s">
        <v>3777</v>
      </c>
      <c r="B5543" s="323" t="s">
        <v>805</v>
      </c>
      <c r="C5543" s="323">
        <v>42754</v>
      </c>
      <c r="D5543" s="323">
        <v>109</v>
      </c>
      <c r="E5543" s="324">
        <f t="shared" si="86"/>
        <v>26580.74</v>
      </c>
    </row>
    <row r="5544" spans="1:5" x14ac:dyDescent="0.25">
      <c r="A5544" s="323" t="s">
        <v>5238</v>
      </c>
      <c r="B5544" s="323" t="s">
        <v>805</v>
      </c>
      <c r="C5544" s="323">
        <v>42754</v>
      </c>
      <c r="D5544" s="323">
        <v>44</v>
      </c>
      <c r="E5544" s="324">
        <f t="shared" si="86"/>
        <v>10729.84</v>
      </c>
    </row>
    <row r="5545" spans="1:5" x14ac:dyDescent="0.25">
      <c r="A5545" s="323" t="s">
        <v>1775</v>
      </c>
      <c r="B5545" s="323" t="s">
        <v>805</v>
      </c>
      <c r="C5545" s="323">
        <v>42755</v>
      </c>
      <c r="D5545" s="323">
        <v>143</v>
      </c>
      <c r="E5545" s="324">
        <f t="shared" si="86"/>
        <v>34871.980000000003</v>
      </c>
    </row>
    <row r="5546" spans="1:5" x14ac:dyDescent="0.25">
      <c r="A5546" s="323" t="s">
        <v>926</v>
      </c>
      <c r="B5546" s="323" t="s">
        <v>803</v>
      </c>
      <c r="C5546" s="323">
        <v>42756</v>
      </c>
      <c r="D5546" s="323">
        <v>59</v>
      </c>
      <c r="E5546" s="324">
        <f t="shared" si="86"/>
        <v>28775.480000000003</v>
      </c>
    </row>
    <row r="5547" spans="1:5" x14ac:dyDescent="0.25">
      <c r="A5547" s="323" t="s">
        <v>926</v>
      </c>
      <c r="B5547" s="323" t="s">
        <v>803</v>
      </c>
      <c r="C5547" s="323">
        <v>42756</v>
      </c>
      <c r="D5547" s="323">
        <v>29</v>
      </c>
      <c r="E5547" s="324">
        <f t="shared" si="86"/>
        <v>14143.880000000001</v>
      </c>
    </row>
    <row r="5548" spans="1:5" x14ac:dyDescent="0.25">
      <c r="A5548" s="323" t="s">
        <v>2711</v>
      </c>
      <c r="B5548" s="323" t="s">
        <v>805</v>
      </c>
      <c r="C5548" s="323">
        <v>42759</v>
      </c>
      <c r="D5548" s="323">
        <v>200</v>
      </c>
      <c r="E5548" s="324">
        <f t="shared" si="86"/>
        <v>48772</v>
      </c>
    </row>
    <row r="5549" spans="1:5" x14ac:dyDescent="0.25">
      <c r="A5549" s="323" t="s">
        <v>2922</v>
      </c>
      <c r="B5549" s="323" t="s">
        <v>805</v>
      </c>
      <c r="C5549" s="323">
        <v>42759</v>
      </c>
      <c r="D5549" s="323">
        <v>65</v>
      </c>
      <c r="E5549" s="324">
        <f t="shared" si="86"/>
        <v>15850.900000000001</v>
      </c>
    </row>
    <row r="5550" spans="1:5" x14ac:dyDescent="0.25">
      <c r="A5550" s="323" t="s">
        <v>3351</v>
      </c>
      <c r="B5550" s="323" t="s">
        <v>805</v>
      </c>
      <c r="C5550" s="323">
        <v>42759</v>
      </c>
      <c r="D5550" s="323">
        <v>111</v>
      </c>
      <c r="E5550" s="324">
        <f t="shared" si="86"/>
        <v>27068.460000000003</v>
      </c>
    </row>
    <row r="5551" spans="1:5" x14ac:dyDescent="0.25">
      <c r="A5551" s="323" t="s">
        <v>3573</v>
      </c>
      <c r="B5551" s="323" t="s">
        <v>805</v>
      </c>
      <c r="C5551" s="323">
        <v>42759</v>
      </c>
      <c r="D5551" s="323">
        <v>54</v>
      </c>
      <c r="E5551" s="324">
        <f t="shared" si="86"/>
        <v>13168.44</v>
      </c>
    </row>
    <row r="5552" spans="1:5" x14ac:dyDescent="0.25">
      <c r="A5552" s="323" t="s">
        <v>3636</v>
      </c>
      <c r="B5552" s="323" t="s">
        <v>805</v>
      </c>
      <c r="C5552" s="323">
        <v>42759</v>
      </c>
      <c r="D5552" s="323">
        <v>241</v>
      </c>
      <c r="E5552" s="324">
        <f t="shared" si="86"/>
        <v>58770.26</v>
      </c>
    </row>
    <row r="5553" spans="1:5" x14ac:dyDescent="0.25">
      <c r="A5553" s="323" t="s">
        <v>4014</v>
      </c>
      <c r="B5553" s="323" t="s">
        <v>805</v>
      </c>
      <c r="C5553" s="323">
        <v>42759</v>
      </c>
      <c r="D5553" s="323">
        <v>290</v>
      </c>
      <c r="E5553" s="324">
        <f t="shared" si="86"/>
        <v>70719.400000000009</v>
      </c>
    </row>
    <row r="5554" spans="1:5" x14ac:dyDescent="0.25">
      <c r="A5554" s="323" t="s">
        <v>1569</v>
      </c>
      <c r="B5554" s="323" t="s">
        <v>805</v>
      </c>
      <c r="C5554" s="323">
        <v>42760</v>
      </c>
      <c r="D5554" s="323">
        <v>572</v>
      </c>
      <c r="E5554" s="324">
        <f t="shared" si="86"/>
        <v>139487.92000000001</v>
      </c>
    </row>
    <row r="5555" spans="1:5" x14ac:dyDescent="0.25">
      <c r="A5555" s="323" t="s">
        <v>4875</v>
      </c>
      <c r="B5555" s="323" t="s">
        <v>805</v>
      </c>
      <c r="C5555" s="323">
        <v>42761</v>
      </c>
      <c r="D5555" s="323">
        <v>207</v>
      </c>
      <c r="E5555" s="324">
        <f t="shared" si="86"/>
        <v>50479.020000000004</v>
      </c>
    </row>
    <row r="5556" spans="1:5" x14ac:dyDescent="0.25">
      <c r="A5556" s="323" t="s">
        <v>4916</v>
      </c>
      <c r="B5556" s="323" t="s">
        <v>805</v>
      </c>
      <c r="C5556" s="323">
        <v>42761</v>
      </c>
      <c r="D5556" s="323">
        <v>259</v>
      </c>
      <c r="E5556" s="324">
        <f t="shared" si="86"/>
        <v>63159.740000000005</v>
      </c>
    </row>
    <row r="5557" spans="1:5" x14ac:dyDescent="0.25">
      <c r="A5557" s="323" t="s">
        <v>4999</v>
      </c>
      <c r="B5557" s="323" t="s">
        <v>805</v>
      </c>
      <c r="C5557" s="323">
        <v>42761</v>
      </c>
      <c r="D5557" s="323">
        <v>134</v>
      </c>
      <c r="E5557" s="324">
        <f t="shared" si="86"/>
        <v>32677.24</v>
      </c>
    </row>
    <row r="5558" spans="1:5" x14ac:dyDescent="0.25">
      <c r="A5558" s="323" t="s">
        <v>5036</v>
      </c>
      <c r="B5558" s="323" t="s">
        <v>805</v>
      </c>
      <c r="C5558" s="323">
        <v>42761</v>
      </c>
      <c r="D5558" s="323">
        <v>78</v>
      </c>
      <c r="E5558" s="324">
        <f t="shared" si="86"/>
        <v>19021.080000000002</v>
      </c>
    </row>
    <row r="5559" spans="1:5" x14ac:dyDescent="0.25">
      <c r="A5559" s="323" t="s">
        <v>5089</v>
      </c>
      <c r="B5559" s="323" t="s">
        <v>805</v>
      </c>
      <c r="C5559" s="323">
        <v>42761</v>
      </c>
      <c r="D5559" s="323">
        <v>98</v>
      </c>
      <c r="E5559" s="324">
        <f t="shared" si="86"/>
        <v>23898.280000000002</v>
      </c>
    </row>
    <row r="5560" spans="1:5" x14ac:dyDescent="0.25">
      <c r="A5560" s="323" t="s">
        <v>5318</v>
      </c>
      <c r="B5560" s="323" t="s">
        <v>805</v>
      </c>
      <c r="C5560" s="323">
        <v>42761</v>
      </c>
      <c r="D5560" s="323">
        <v>228</v>
      </c>
      <c r="E5560" s="324">
        <f t="shared" si="86"/>
        <v>55600.08</v>
      </c>
    </row>
    <row r="5561" spans="1:5" x14ac:dyDescent="0.25">
      <c r="A5561" s="323" t="s">
        <v>5349</v>
      </c>
      <c r="B5561" s="323" t="s">
        <v>805</v>
      </c>
      <c r="C5561" s="323">
        <v>42761</v>
      </c>
      <c r="D5561" s="323">
        <v>303</v>
      </c>
      <c r="E5561" s="324">
        <f t="shared" si="86"/>
        <v>73889.58</v>
      </c>
    </row>
    <row r="5562" spans="1:5" x14ac:dyDescent="0.25">
      <c r="A5562" s="323" t="s">
        <v>5397</v>
      </c>
      <c r="B5562" s="323" t="s">
        <v>805</v>
      </c>
      <c r="C5562" s="323">
        <v>42761</v>
      </c>
      <c r="D5562" s="323">
        <v>220</v>
      </c>
      <c r="E5562" s="324">
        <f t="shared" si="86"/>
        <v>53649.200000000004</v>
      </c>
    </row>
    <row r="5563" spans="1:5" x14ac:dyDescent="0.25">
      <c r="A5563" s="323" t="s">
        <v>1054</v>
      </c>
      <c r="B5563" s="323" t="s">
        <v>805</v>
      </c>
      <c r="C5563" s="323">
        <v>42765</v>
      </c>
      <c r="D5563" s="323">
        <v>55</v>
      </c>
      <c r="E5563" s="324">
        <f t="shared" si="86"/>
        <v>13412.300000000001</v>
      </c>
    </row>
    <row r="5564" spans="1:5" x14ac:dyDescent="0.25">
      <c r="A5564" s="323" t="s">
        <v>7483</v>
      </c>
      <c r="B5564" s="323" t="s">
        <v>805</v>
      </c>
      <c r="C5564" s="323">
        <v>42767</v>
      </c>
      <c r="D5564" s="323">
        <v>41</v>
      </c>
      <c r="E5564" s="324">
        <f t="shared" si="86"/>
        <v>9998.26</v>
      </c>
    </row>
    <row r="5565" spans="1:5" x14ac:dyDescent="0.25">
      <c r="A5565" s="323" t="s">
        <v>7482</v>
      </c>
      <c r="B5565" s="323" t="s">
        <v>805</v>
      </c>
      <c r="C5565" s="323">
        <v>42768</v>
      </c>
      <c r="D5565" s="323">
        <v>44</v>
      </c>
      <c r="E5565" s="324">
        <f t="shared" si="86"/>
        <v>10729.84</v>
      </c>
    </row>
    <row r="5566" spans="1:5" x14ac:dyDescent="0.25">
      <c r="A5566" s="323" t="s">
        <v>7484</v>
      </c>
      <c r="B5566" s="323" t="s">
        <v>805</v>
      </c>
      <c r="C5566" s="323">
        <v>42769</v>
      </c>
      <c r="D5566" s="323">
        <v>146</v>
      </c>
      <c r="E5566" s="324">
        <f t="shared" si="86"/>
        <v>35603.560000000005</v>
      </c>
    </row>
    <row r="5567" spans="1:5" x14ac:dyDescent="0.25">
      <c r="A5567" s="323" t="s">
        <v>7499</v>
      </c>
      <c r="B5567" s="323" t="s">
        <v>805</v>
      </c>
      <c r="C5567" s="323">
        <v>42782</v>
      </c>
      <c r="D5567" s="323">
        <v>13</v>
      </c>
      <c r="E5567" s="324">
        <f t="shared" si="86"/>
        <v>3170.1800000000003</v>
      </c>
    </row>
    <row r="5568" spans="1:5" x14ac:dyDescent="0.25">
      <c r="A5568" s="323" t="s">
        <v>7506</v>
      </c>
      <c r="B5568" s="323" t="s">
        <v>805</v>
      </c>
      <c r="C5568" s="323">
        <v>42786</v>
      </c>
      <c r="D5568" s="323">
        <v>29</v>
      </c>
      <c r="E5568" s="324">
        <f t="shared" si="86"/>
        <v>7071.9400000000005</v>
      </c>
    </row>
    <row r="5569" spans="1:5" x14ac:dyDescent="0.25">
      <c r="A5569" s="323" t="s">
        <v>6736</v>
      </c>
      <c r="B5569" s="323" t="s">
        <v>816</v>
      </c>
      <c r="C5569" s="323">
        <v>42787</v>
      </c>
      <c r="D5569" s="323">
        <v>209</v>
      </c>
      <c r="E5569" s="324">
        <f t="shared" si="86"/>
        <v>76450.11</v>
      </c>
    </row>
    <row r="5570" spans="1:5" x14ac:dyDescent="0.25">
      <c r="A5570" s="323" t="s">
        <v>1480</v>
      </c>
      <c r="B5570" s="323" t="s">
        <v>805</v>
      </c>
      <c r="C5570" s="323">
        <v>42788</v>
      </c>
      <c r="D5570" s="323">
        <v>124</v>
      </c>
      <c r="E5570" s="324">
        <f t="shared" ref="E5570:E5633" si="87">D5570*IF(B5570=$G$9,WerkdrukbedragPerLeerlingBo,IF(B5570=$G$10,WerkdrukbedragPerLeerlingSbo,IF(B5570=$G$11,WerkdrukbedragPerLeerlingSo,IF(B5570=$G$12,WerkdrukbedragPerLeerlingVso,0))))</f>
        <v>30238.640000000003</v>
      </c>
    </row>
    <row r="5571" spans="1:5" x14ac:dyDescent="0.25">
      <c r="A5571" s="323" t="s">
        <v>6496</v>
      </c>
      <c r="B5571" s="323" t="s">
        <v>816</v>
      </c>
      <c r="C5571" s="323">
        <v>42788</v>
      </c>
      <c r="D5571" s="323">
        <v>178</v>
      </c>
      <c r="E5571" s="324">
        <f t="shared" si="87"/>
        <v>65110.62</v>
      </c>
    </row>
    <row r="5572" spans="1:5" x14ac:dyDescent="0.25">
      <c r="A5572" s="323" t="s">
        <v>5149</v>
      </c>
      <c r="B5572" s="323" t="s">
        <v>805</v>
      </c>
      <c r="C5572" s="323">
        <v>42789</v>
      </c>
      <c r="D5572" s="323">
        <v>34</v>
      </c>
      <c r="E5572" s="324">
        <f t="shared" si="87"/>
        <v>8291.24</v>
      </c>
    </row>
    <row r="5573" spans="1:5" x14ac:dyDescent="0.25">
      <c r="A5573" s="323" t="s">
        <v>834</v>
      </c>
      <c r="B5573" s="323" t="s">
        <v>816</v>
      </c>
      <c r="C5573" s="323">
        <v>42790</v>
      </c>
      <c r="D5573" s="323">
        <v>167</v>
      </c>
      <c r="E5573" s="324">
        <f t="shared" si="87"/>
        <v>61086.93</v>
      </c>
    </row>
    <row r="5574" spans="1:5" x14ac:dyDescent="0.25">
      <c r="A5574" s="323" t="s">
        <v>6927</v>
      </c>
      <c r="B5574" s="323" t="s">
        <v>816</v>
      </c>
      <c r="C5574" s="323">
        <v>42790</v>
      </c>
      <c r="D5574" s="323">
        <v>130</v>
      </c>
      <c r="E5574" s="324">
        <f t="shared" si="87"/>
        <v>47552.700000000004</v>
      </c>
    </row>
    <row r="5575" spans="1:5" x14ac:dyDescent="0.25">
      <c r="A5575" s="323" t="s">
        <v>7050</v>
      </c>
      <c r="B5575" s="323" t="s">
        <v>816</v>
      </c>
      <c r="C5575" s="323">
        <v>42790</v>
      </c>
      <c r="D5575" s="323">
        <v>110</v>
      </c>
      <c r="E5575" s="324">
        <f t="shared" si="87"/>
        <v>40236.9</v>
      </c>
    </row>
    <row r="5576" spans="1:5" x14ac:dyDescent="0.25">
      <c r="A5576" s="323" t="s">
        <v>7050</v>
      </c>
      <c r="B5576" s="323" t="s">
        <v>816</v>
      </c>
      <c r="C5576" s="323">
        <v>42790</v>
      </c>
      <c r="D5576" s="323">
        <v>53</v>
      </c>
      <c r="E5576" s="324">
        <f t="shared" si="87"/>
        <v>19386.870000000003</v>
      </c>
    </row>
    <row r="5577" spans="1:5" x14ac:dyDescent="0.25">
      <c r="A5577" s="323" t="s">
        <v>7177</v>
      </c>
      <c r="B5577" s="323" t="s">
        <v>809</v>
      </c>
      <c r="C5577" s="323">
        <v>42790</v>
      </c>
      <c r="D5577" s="323">
        <v>48</v>
      </c>
      <c r="E5577" s="324">
        <f t="shared" si="87"/>
        <v>23410.560000000001</v>
      </c>
    </row>
    <row r="5578" spans="1:5" x14ac:dyDescent="0.25">
      <c r="A5578" s="323" t="s">
        <v>7177</v>
      </c>
      <c r="B5578" s="323" t="s">
        <v>803</v>
      </c>
      <c r="C5578" s="323">
        <v>42790</v>
      </c>
      <c r="D5578" s="323">
        <v>75</v>
      </c>
      <c r="E5578" s="324">
        <f t="shared" si="87"/>
        <v>36579</v>
      </c>
    </row>
    <row r="5579" spans="1:5" x14ac:dyDescent="0.25">
      <c r="A5579" s="323" t="s">
        <v>7177</v>
      </c>
      <c r="B5579" s="323" t="s">
        <v>809</v>
      </c>
      <c r="C5579" s="323">
        <v>42790</v>
      </c>
      <c r="D5579" s="323">
        <v>44</v>
      </c>
      <c r="E5579" s="324">
        <f t="shared" si="87"/>
        <v>21459.68</v>
      </c>
    </row>
    <row r="5580" spans="1:5" x14ac:dyDescent="0.25">
      <c r="A5580" s="323" t="s">
        <v>7185</v>
      </c>
      <c r="B5580" s="323" t="s">
        <v>809</v>
      </c>
      <c r="C5580" s="323">
        <v>42790</v>
      </c>
      <c r="D5580" s="323">
        <v>80</v>
      </c>
      <c r="E5580" s="324">
        <f t="shared" si="87"/>
        <v>39017.600000000006</v>
      </c>
    </row>
    <row r="5581" spans="1:5" x14ac:dyDescent="0.25">
      <c r="A5581" s="323" t="s">
        <v>7185</v>
      </c>
      <c r="B5581" s="323" t="s">
        <v>803</v>
      </c>
      <c r="C5581" s="323">
        <v>42790</v>
      </c>
      <c r="D5581" s="323">
        <v>27</v>
      </c>
      <c r="E5581" s="324">
        <f t="shared" si="87"/>
        <v>13168.44</v>
      </c>
    </row>
    <row r="5582" spans="1:5" x14ac:dyDescent="0.25">
      <c r="A5582" s="323" t="s">
        <v>7508</v>
      </c>
      <c r="B5582" s="323" t="s">
        <v>805</v>
      </c>
      <c r="C5582" s="323">
        <v>42791</v>
      </c>
      <c r="D5582" s="323">
        <v>34</v>
      </c>
      <c r="E5582" s="324">
        <f t="shared" si="87"/>
        <v>8291.24</v>
      </c>
    </row>
    <row r="5583" spans="1:5" x14ac:dyDescent="0.25">
      <c r="A5583" s="323" t="s">
        <v>7509</v>
      </c>
      <c r="B5583" s="323" t="s">
        <v>805</v>
      </c>
      <c r="C5583" s="323">
        <v>42793</v>
      </c>
      <c r="D5583" s="323">
        <v>10</v>
      </c>
      <c r="E5583" s="324">
        <f t="shared" si="87"/>
        <v>2438.6000000000004</v>
      </c>
    </row>
    <row r="5584" spans="1:5" x14ac:dyDescent="0.25">
      <c r="A5584" s="323" t="s">
        <v>1987</v>
      </c>
      <c r="B5584" s="323" t="s">
        <v>805</v>
      </c>
      <c r="C5584" s="323">
        <v>42794</v>
      </c>
      <c r="D5584" s="323">
        <v>191</v>
      </c>
      <c r="E5584" s="324">
        <f t="shared" si="87"/>
        <v>46577.26</v>
      </c>
    </row>
    <row r="5585" spans="1:5" x14ac:dyDescent="0.25">
      <c r="A5585" s="323" t="s">
        <v>2351</v>
      </c>
      <c r="B5585" s="323" t="s">
        <v>805</v>
      </c>
      <c r="C5585" s="323">
        <v>42794</v>
      </c>
      <c r="D5585" s="323">
        <v>278</v>
      </c>
      <c r="E5585" s="324">
        <f t="shared" si="87"/>
        <v>67793.08</v>
      </c>
    </row>
    <row r="5586" spans="1:5" x14ac:dyDescent="0.25">
      <c r="A5586" s="323" t="s">
        <v>7511</v>
      </c>
      <c r="B5586" s="323" t="s">
        <v>805</v>
      </c>
      <c r="C5586" s="323">
        <v>42795</v>
      </c>
      <c r="D5586" s="323">
        <v>5</v>
      </c>
      <c r="E5586" s="324">
        <f t="shared" si="87"/>
        <v>1219.3000000000002</v>
      </c>
    </row>
    <row r="5587" spans="1:5" x14ac:dyDescent="0.25">
      <c r="A5587" s="323" t="s">
        <v>5200</v>
      </c>
      <c r="B5587" s="323" t="s">
        <v>805</v>
      </c>
      <c r="C5587" s="323">
        <v>42836</v>
      </c>
      <c r="D5587" s="323">
        <v>365</v>
      </c>
      <c r="E5587" s="324">
        <f t="shared" si="87"/>
        <v>89008.900000000009</v>
      </c>
    </row>
    <row r="5588" spans="1:5" x14ac:dyDescent="0.25">
      <c r="A5588" s="323" t="s">
        <v>2262</v>
      </c>
      <c r="B5588" s="323" t="s">
        <v>805</v>
      </c>
      <c r="C5588" s="323">
        <v>42980</v>
      </c>
      <c r="D5588" s="323">
        <v>283</v>
      </c>
      <c r="E5588" s="324">
        <f t="shared" si="87"/>
        <v>69012.38</v>
      </c>
    </row>
    <row r="5589" spans="1:5" x14ac:dyDescent="0.25">
      <c r="A5589" s="323" t="s">
        <v>2734</v>
      </c>
      <c r="B5589" s="323" t="s">
        <v>805</v>
      </c>
      <c r="C5589" s="323">
        <v>43005</v>
      </c>
      <c r="D5589" s="323">
        <v>203</v>
      </c>
      <c r="E5589" s="324">
        <f t="shared" si="87"/>
        <v>49503.58</v>
      </c>
    </row>
    <row r="5590" spans="1:5" x14ac:dyDescent="0.25">
      <c r="A5590" s="323" t="s">
        <v>1233</v>
      </c>
      <c r="B5590" s="323" t="s">
        <v>809</v>
      </c>
      <c r="C5590" s="323">
        <v>43058</v>
      </c>
      <c r="D5590" s="323">
        <v>57</v>
      </c>
      <c r="E5590" s="324">
        <f t="shared" si="87"/>
        <v>27800.04</v>
      </c>
    </row>
    <row r="5591" spans="1:5" x14ac:dyDescent="0.25">
      <c r="A5591" s="323" t="s">
        <v>1233</v>
      </c>
      <c r="B5591" s="323" t="s">
        <v>803</v>
      </c>
      <c r="C5591" s="323">
        <v>43058</v>
      </c>
      <c r="D5591" s="323">
        <v>85</v>
      </c>
      <c r="E5591" s="324">
        <f t="shared" si="87"/>
        <v>41456.200000000004</v>
      </c>
    </row>
    <row r="5592" spans="1:5" x14ac:dyDescent="0.25">
      <c r="A5592" s="323" t="s">
        <v>2265</v>
      </c>
      <c r="B5592" s="323" t="s">
        <v>805</v>
      </c>
      <c r="C5592" s="323">
        <v>43175</v>
      </c>
      <c r="D5592" s="323">
        <v>214</v>
      </c>
      <c r="E5592" s="324">
        <f t="shared" si="87"/>
        <v>52186.04</v>
      </c>
    </row>
    <row r="5593" spans="1:5" x14ac:dyDescent="0.25">
      <c r="A5593" s="323" t="s">
        <v>1234</v>
      </c>
      <c r="B5593" s="323" t="s">
        <v>805</v>
      </c>
      <c r="C5593" s="323">
        <v>43188</v>
      </c>
      <c r="D5593" s="323">
        <v>194</v>
      </c>
      <c r="E5593" s="324">
        <f t="shared" si="87"/>
        <v>47308.840000000004</v>
      </c>
    </row>
    <row r="5594" spans="1:5" x14ac:dyDescent="0.25">
      <c r="A5594" s="323" t="s">
        <v>960</v>
      </c>
      <c r="B5594" s="323" t="s">
        <v>816</v>
      </c>
      <c r="C5594" s="323">
        <v>43227</v>
      </c>
      <c r="D5594" s="323">
        <v>89</v>
      </c>
      <c r="E5594" s="324">
        <f t="shared" si="87"/>
        <v>32555.31</v>
      </c>
    </row>
    <row r="5595" spans="1:5" x14ac:dyDescent="0.25">
      <c r="A5595" s="323" t="s">
        <v>4345</v>
      </c>
      <c r="B5595" s="323" t="s">
        <v>805</v>
      </c>
      <c r="C5595" s="323">
        <v>43227</v>
      </c>
      <c r="D5595" s="323">
        <v>208</v>
      </c>
      <c r="E5595" s="324">
        <f t="shared" si="87"/>
        <v>50722.880000000005</v>
      </c>
    </row>
    <row r="5596" spans="1:5" x14ac:dyDescent="0.25">
      <c r="A5596" s="323" t="s">
        <v>4664</v>
      </c>
      <c r="B5596" s="323" t="s">
        <v>805</v>
      </c>
      <c r="C5596" s="323">
        <v>43227</v>
      </c>
      <c r="D5596" s="323">
        <v>372</v>
      </c>
      <c r="E5596" s="324">
        <f t="shared" si="87"/>
        <v>90715.92</v>
      </c>
    </row>
    <row r="5597" spans="1:5" x14ac:dyDescent="0.25">
      <c r="A5597" s="323" t="s">
        <v>4717</v>
      </c>
      <c r="B5597" s="323" t="s">
        <v>805</v>
      </c>
      <c r="C5597" s="323">
        <v>43227</v>
      </c>
      <c r="D5597" s="323">
        <v>416</v>
      </c>
      <c r="E5597" s="324">
        <f t="shared" si="87"/>
        <v>101445.76000000001</v>
      </c>
    </row>
    <row r="5598" spans="1:5" x14ac:dyDescent="0.25">
      <c r="A5598" s="323" t="s">
        <v>4794</v>
      </c>
      <c r="B5598" s="323" t="s">
        <v>805</v>
      </c>
      <c r="C5598" s="323">
        <v>43227</v>
      </c>
      <c r="D5598" s="323">
        <v>420</v>
      </c>
      <c r="E5598" s="324">
        <f t="shared" si="87"/>
        <v>102421.20000000001</v>
      </c>
    </row>
    <row r="5599" spans="1:5" x14ac:dyDescent="0.25">
      <c r="A5599" s="323" t="s">
        <v>4940</v>
      </c>
      <c r="B5599" s="323" t="s">
        <v>805</v>
      </c>
      <c r="C5599" s="323">
        <v>43227</v>
      </c>
      <c r="D5599" s="323">
        <v>375</v>
      </c>
      <c r="E5599" s="324">
        <f t="shared" si="87"/>
        <v>91447.5</v>
      </c>
    </row>
    <row r="5600" spans="1:5" x14ac:dyDescent="0.25">
      <c r="A5600" s="323" t="s">
        <v>7057</v>
      </c>
      <c r="B5600" s="323" t="s">
        <v>805</v>
      </c>
      <c r="C5600" s="323">
        <v>43227</v>
      </c>
      <c r="D5600" s="323">
        <v>249</v>
      </c>
      <c r="E5600" s="324">
        <f t="shared" si="87"/>
        <v>60721.140000000007</v>
      </c>
    </row>
    <row r="5601" spans="1:5" x14ac:dyDescent="0.25">
      <c r="A5601" s="323" t="s">
        <v>1237</v>
      </c>
      <c r="B5601" s="323" t="s">
        <v>805</v>
      </c>
      <c r="C5601" s="323">
        <v>43305</v>
      </c>
      <c r="D5601" s="323">
        <v>255</v>
      </c>
      <c r="E5601" s="324">
        <f t="shared" si="87"/>
        <v>62184.3</v>
      </c>
    </row>
    <row r="5602" spans="1:5" x14ac:dyDescent="0.25">
      <c r="A5602" s="323" t="s">
        <v>2488</v>
      </c>
      <c r="B5602" s="323" t="s">
        <v>805</v>
      </c>
      <c r="C5602" s="323">
        <v>43305</v>
      </c>
      <c r="D5602" s="323">
        <v>42</v>
      </c>
      <c r="E5602" s="324">
        <f t="shared" si="87"/>
        <v>10242.120000000001</v>
      </c>
    </row>
    <row r="5603" spans="1:5" x14ac:dyDescent="0.25">
      <c r="A5603" s="323" t="s">
        <v>3110</v>
      </c>
      <c r="B5603" s="323" t="s">
        <v>805</v>
      </c>
      <c r="C5603" s="323">
        <v>43305</v>
      </c>
      <c r="D5603" s="323">
        <v>59</v>
      </c>
      <c r="E5603" s="324">
        <f t="shared" si="87"/>
        <v>14387.740000000002</v>
      </c>
    </row>
    <row r="5604" spans="1:5" x14ac:dyDescent="0.25">
      <c r="A5604" s="323" t="s">
        <v>3470</v>
      </c>
      <c r="B5604" s="323" t="s">
        <v>805</v>
      </c>
      <c r="C5604" s="323">
        <v>43305</v>
      </c>
      <c r="D5604" s="323">
        <v>256</v>
      </c>
      <c r="E5604" s="324">
        <f t="shared" si="87"/>
        <v>62428.160000000003</v>
      </c>
    </row>
    <row r="5605" spans="1:5" x14ac:dyDescent="0.25">
      <c r="A5605" s="323" t="s">
        <v>3741</v>
      </c>
      <c r="B5605" s="323" t="s">
        <v>805</v>
      </c>
      <c r="C5605" s="323">
        <v>43305</v>
      </c>
      <c r="D5605" s="323">
        <v>39</v>
      </c>
      <c r="E5605" s="324">
        <f t="shared" si="87"/>
        <v>9510.5400000000009</v>
      </c>
    </row>
    <row r="5606" spans="1:5" x14ac:dyDescent="0.25">
      <c r="A5606" s="323" t="s">
        <v>1291</v>
      </c>
      <c r="B5606" s="323" t="s">
        <v>805</v>
      </c>
      <c r="C5606" s="323">
        <v>43318</v>
      </c>
      <c r="D5606" s="323">
        <v>41</v>
      </c>
      <c r="E5606" s="324">
        <f t="shared" si="87"/>
        <v>9998.26</v>
      </c>
    </row>
    <row r="5607" spans="1:5" x14ac:dyDescent="0.25">
      <c r="A5607" s="323" t="s">
        <v>1792</v>
      </c>
      <c r="B5607" s="323" t="s">
        <v>805</v>
      </c>
      <c r="C5607" s="323">
        <v>43318</v>
      </c>
      <c r="D5607" s="323">
        <v>349</v>
      </c>
      <c r="E5607" s="324">
        <f t="shared" si="87"/>
        <v>85107.14</v>
      </c>
    </row>
    <row r="5608" spans="1:5" x14ac:dyDescent="0.25">
      <c r="A5608" s="323" t="s">
        <v>1793</v>
      </c>
      <c r="B5608" s="323" t="s">
        <v>805</v>
      </c>
      <c r="C5608" s="323">
        <v>43318</v>
      </c>
      <c r="D5608" s="323">
        <v>143</v>
      </c>
      <c r="E5608" s="324">
        <f t="shared" si="87"/>
        <v>34871.980000000003</v>
      </c>
    </row>
    <row r="5609" spans="1:5" x14ac:dyDescent="0.25">
      <c r="A5609" s="323" t="s">
        <v>2345</v>
      </c>
      <c r="B5609" s="323" t="s">
        <v>805</v>
      </c>
      <c r="C5609" s="323">
        <v>43318</v>
      </c>
      <c r="D5609" s="323">
        <v>207</v>
      </c>
      <c r="E5609" s="324">
        <f t="shared" si="87"/>
        <v>50479.020000000004</v>
      </c>
    </row>
    <row r="5610" spans="1:5" x14ac:dyDescent="0.25">
      <c r="A5610" s="323" t="s">
        <v>2839</v>
      </c>
      <c r="B5610" s="323" t="s">
        <v>805</v>
      </c>
      <c r="C5610" s="323">
        <v>43318</v>
      </c>
      <c r="D5610" s="323">
        <v>153</v>
      </c>
      <c r="E5610" s="324">
        <f t="shared" si="87"/>
        <v>37310.58</v>
      </c>
    </row>
    <row r="5611" spans="1:5" x14ac:dyDescent="0.25">
      <c r="A5611" s="323" t="s">
        <v>3144</v>
      </c>
      <c r="B5611" s="323" t="s">
        <v>805</v>
      </c>
      <c r="C5611" s="323">
        <v>43318</v>
      </c>
      <c r="D5611" s="323">
        <v>150</v>
      </c>
      <c r="E5611" s="324">
        <f t="shared" si="87"/>
        <v>36579</v>
      </c>
    </row>
    <row r="5612" spans="1:5" x14ac:dyDescent="0.25">
      <c r="A5612" s="323" t="s">
        <v>3742</v>
      </c>
      <c r="B5612" s="323" t="s">
        <v>805</v>
      </c>
      <c r="C5612" s="323">
        <v>43318</v>
      </c>
      <c r="D5612" s="323">
        <v>196</v>
      </c>
      <c r="E5612" s="324">
        <f t="shared" si="87"/>
        <v>47796.560000000005</v>
      </c>
    </row>
    <row r="5613" spans="1:5" x14ac:dyDescent="0.25">
      <c r="A5613" s="323" t="s">
        <v>4112</v>
      </c>
      <c r="B5613" s="323" t="s">
        <v>805</v>
      </c>
      <c r="C5613" s="323">
        <v>43318</v>
      </c>
      <c r="D5613" s="323">
        <v>202</v>
      </c>
      <c r="E5613" s="324">
        <f t="shared" si="87"/>
        <v>49259.72</v>
      </c>
    </row>
    <row r="5614" spans="1:5" x14ac:dyDescent="0.25">
      <c r="A5614" s="323" t="s">
        <v>6768</v>
      </c>
      <c r="B5614" s="323" t="s">
        <v>805</v>
      </c>
      <c r="C5614" s="323">
        <v>43318</v>
      </c>
      <c r="D5614" s="323">
        <v>131</v>
      </c>
      <c r="E5614" s="324">
        <f t="shared" si="87"/>
        <v>31945.660000000003</v>
      </c>
    </row>
    <row r="5615" spans="1:5" x14ac:dyDescent="0.25">
      <c r="A5615" s="323" t="s">
        <v>7158</v>
      </c>
      <c r="B5615" s="323" t="s">
        <v>805</v>
      </c>
      <c r="C5615" s="323">
        <v>43318</v>
      </c>
      <c r="D5615" s="323">
        <v>353</v>
      </c>
      <c r="E5615" s="324">
        <f t="shared" si="87"/>
        <v>86082.58</v>
      </c>
    </row>
    <row r="5616" spans="1:5" x14ac:dyDescent="0.25">
      <c r="A5616" s="323" t="s">
        <v>7233</v>
      </c>
      <c r="B5616" s="323" t="s">
        <v>805</v>
      </c>
      <c r="C5616" s="323">
        <v>43318</v>
      </c>
      <c r="D5616" s="323">
        <v>416</v>
      </c>
      <c r="E5616" s="324">
        <f t="shared" si="87"/>
        <v>101445.76000000001</v>
      </c>
    </row>
    <row r="5617" spans="1:5" x14ac:dyDescent="0.25">
      <c r="A5617" s="323" t="s">
        <v>7422</v>
      </c>
      <c r="B5617" s="323" t="s">
        <v>805</v>
      </c>
      <c r="C5617" s="323">
        <v>43318</v>
      </c>
      <c r="D5617" s="323">
        <v>428</v>
      </c>
      <c r="E5617" s="324">
        <f t="shared" si="87"/>
        <v>104372.08</v>
      </c>
    </row>
    <row r="5618" spans="1:5" x14ac:dyDescent="0.25">
      <c r="A5618" s="323" t="s">
        <v>1240</v>
      </c>
      <c r="B5618" s="323" t="s">
        <v>805</v>
      </c>
      <c r="C5618" s="323">
        <v>43383</v>
      </c>
      <c r="D5618" s="323">
        <v>315</v>
      </c>
      <c r="E5618" s="324">
        <f t="shared" si="87"/>
        <v>76815.900000000009</v>
      </c>
    </row>
    <row r="5619" spans="1:5" x14ac:dyDescent="0.25">
      <c r="A5619" s="323" t="s">
        <v>1319</v>
      </c>
      <c r="B5619" s="323" t="s">
        <v>805</v>
      </c>
      <c r="C5619" s="323">
        <v>43487</v>
      </c>
      <c r="D5619" s="323">
        <v>155</v>
      </c>
      <c r="E5619" s="324">
        <f t="shared" si="87"/>
        <v>37798.300000000003</v>
      </c>
    </row>
    <row r="5620" spans="1:5" x14ac:dyDescent="0.25">
      <c r="A5620" s="323" t="s">
        <v>2331</v>
      </c>
      <c r="B5620" s="323" t="s">
        <v>805</v>
      </c>
      <c r="C5620" s="323">
        <v>43487</v>
      </c>
      <c r="D5620" s="323">
        <v>116</v>
      </c>
      <c r="E5620" s="324">
        <f t="shared" si="87"/>
        <v>28287.760000000002</v>
      </c>
    </row>
    <row r="5621" spans="1:5" x14ac:dyDescent="0.25">
      <c r="A5621" s="323" t="s">
        <v>2519</v>
      </c>
      <c r="B5621" s="323" t="s">
        <v>805</v>
      </c>
      <c r="C5621" s="323">
        <v>43487</v>
      </c>
      <c r="D5621" s="323">
        <v>269</v>
      </c>
      <c r="E5621" s="324">
        <f t="shared" si="87"/>
        <v>65598.34</v>
      </c>
    </row>
    <row r="5622" spans="1:5" x14ac:dyDescent="0.25">
      <c r="A5622" s="323" t="s">
        <v>3471</v>
      </c>
      <c r="B5622" s="323" t="s">
        <v>805</v>
      </c>
      <c r="C5622" s="323">
        <v>43487</v>
      </c>
      <c r="D5622" s="323">
        <v>182</v>
      </c>
      <c r="E5622" s="324">
        <f t="shared" si="87"/>
        <v>44382.520000000004</v>
      </c>
    </row>
    <row r="5623" spans="1:5" x14ac:dyDescent="0.25">
      <c r="A5623" s="323" t="s">
        <v>3946</v>
      </c>
      <c r="B5623" s="323" t="s">
        <v>805</v>
      </c>
      <c r="C5623" s="323">
        <v>43487</v>
      </c>
      <c r="D5623" s="323">
        <v>325</v>
      </c>
      <c r="E5623" s="324">
        <f t="shared" si="87"/>
        <v>79254.5</v>
      </c>
    </row>
    <row r="5624" spans="1:5" x14ac:dyDescent="0.25">
      <c r="A5624" s="323" t="s">
        <v>6766</v>
      </c>
      <c r="B5624" s="323" t="s">
        <v>805</v>
      </c>
      <c r="C5624" s="323">
        <v>43487</v>
      </c>
      <c r="D5624" s="323">
        <v>265</v>
      </c>
      <c r="E5624" s="324">
        <f t="shared" si="87"/>
        <v>64622.9</v>
      </c>
    </row>
    <row r="5625" spans="1:5" x14ac:dyDescent="0.25">
      <c r="A5625" s="323" t="s">
        <v>7012</v>
      </c>
      <c r="B5625" s="323" t="s">
        <v>816</v>
      </c>
      <c r="C5625" s="323">
        <v>43487</v>
      </c>
      <c r="D5625" s="323">
        <v>75</v>
      </c>
      <c r="E5625" s="324">
        <f t="shared" si="87"/>
        <v>27434.25</v>
      </c>
    </row>
    <row r="5626" spans="1:5" x14ac:dyDescent="0.25">
      <c r="A5626" s="323" t="s">
        <v>7054</v>
      </c>
      <c r="B5626" s="323" t="s">
        <v>805</v>
      </c>
      <c r="C5626" s="323">
        <v>43487</v>
      </c>
      <c r="D5626" s="323">
        <v>306</v>
      </c>
      <c r="E5626" s="324">
        <f t="shared" si="87"/>
        <v>74621.16</v>
      </c>
    </row>
    <row r="5627" spans="1:5" x14ac:dyDescent="0.25">
      <c r="A5627" s="323" t="s">
        <v>1622</v>
      </c>
      <c r="B5627" s="323" t="s">
        <v>805</v>
      </c>
      <c r="C5627" s="323">
        <v>43824</v>
      </c>
      <c r="D5627" s="323">
        <v>304</v>
      </c>
      <c r="E5627" s="324">
        <f t="shared" si="87"/>
        <v>74133.440000000002</v>
      </c>
    </row>
    <row r="5628" spans="1:5" x14ac:dyDescent="0.25">
      <c r="A5628" s="323" t="s">
        <v>1248</v>
      </c>
      <c r="B5628" s="323" t="s">
        <v>805</v>
      </c>
      <c r="C5628" s="323">
        <v>43825</v>
      </c>
      <c r="D5628" s="323">
        <v>160</v>
      </c>
      <c r="E5628" s="324">
        <f t="shared" si="87"/>
        <v>39017.600000000006</v>
      </c>
    </row>
    <row r="5629" spans="1:5" x14ac:dyDescent="0.25">
      <c r="A5629" s="323" t="s">
        <v>4252</v>
      </c>
      <c r="B5629" s="323" t="s">
        <v>805</v>
      </c>
      <c r="C5629" s="323">
        <v>43864</v>
      </c>
      <c r="D5629" s="323">
        <v>150</v>
      </c>
      <c r="E5629" s="324">
        <f t="shared" si="87"/>
        <v>36579</v>
      </c>
    </row>
    <row r="5630" spans="1:5" x14ac:dyDescent="0.25">
      <c r="A5630" s="323" t="s">
        <v>4362</v>
      </c>
      <c r="B5630" s="323" t="s">
        <v>805</v>
      </c>
      <c r="C5630" s="323">
        <v>43864</v>
      </c>
      <c r="D5630" s="323">
        <v>350</v>
      </c>
      <c r="E5630" s="324">
        <f t="shared" si="87"/>
        <v>85351</v>
      </c>
    </row>
    <row r="5631" spans="1:5" x14ac:dyDescent="0.25">
      <c r="A5631" s="323" t="s">
        <v>4577</v>
      </c>
      <c r="B5631" s="323" t="s">
        <v>805</v>
      </c>
      <c r="C5631" s="323">
        <v>43864</v>
      </c>
      <c r="D5631" s="323">
        <v>273</v>
      </c>
      <c r="E5631" s="324">
        <f t="shared" si="87"/>
        <v>66573.78</v>
      </c>
    </row>
    <row r="5632" spans="1:5" x14ac:dyDescent="0.25">
      <c r="A5632" s="323" t="s">
        <v>4665</v>
      </c>
      <c r="B5632" s="323" t="s">
        <v>805</v>
      </c>
      <c r="C5632" s="323">
        <v>43864</v>
      </c>
      <c r="D5632" s="323">
        <v>235</v>
      </c>
      <c r="E5632" s="324">
        <f t="shared" si="87"/>
        <v>57307.100000000006</v>
      </c>
    </row>
    <row r="5633" spans="1:5" x14ac:dyDescent="0.25">
      <c r="A5633" s="323" t="s">
        <v>4723</v>
      </c>
      <c r="B5633" s="323" t="s">
        <v>805</v>
      </c>
      <c r="C5633" s="323">
        <v>43864</v>
      </c>
      <c r="D5633" s="323">
        <v>386</v>
      </c>
      <c r="E5633" s="324">
        <f t="shared" si="87"/>
        <v>94129.96</v>
      </c>
    </row>
    <row r="5634" spans="1:5" x14ac:dyDescent="0.25">
      <c r="A5634" s="323" t="s">
        <v>4723</v>
      </c>
      <c r="B5634" s="323" t="s">
        <v>805</v>
      </c>
      <c r="C5634" s="323">
        <v>43864</v>
      </c>
      <c r="D5634" s="323">
        <v>242</v>
      </c>
      <c r="E5634" s="324">
        <f t="shared" ref="E5634:E5697" si="88">D5634*IF(B5634=$G$9,WerkdrukbedragPerLeerlingBo,IF(B5634=$G$10,WerkdrukbedragPerLeerlingSbo,IF(B5634=$G$11,WerkdrukbedragPerLeerlingSo,IF(B5634=$G$12,WerkdrukbedragPerLeerlingVso,0))))</f>
        <v>59014.12</v>
      </c>
    </row>
    <row r="5635" spans="1:5" x14ac:dyDescent="0.25">
      <c r="A5635" s="323" t="s">
        <v>4795</v>
      </c>
      <c r="B5635" s="323" t="s">
        <v>805</v>
      </c>
      <c r="C5635" s="323">
        <v>43864</v>
      </c>
      <c r="D5635" s="323">
        <v>263</v>
      </c>
      <c r="E5635" s="324">
        <f t="shared" si="88"/>
        <v>64135.18</v>
      </c>
    </row>
    <row r="5636" spans="1:5" x14ac:dyDescent="0.25">
      <c r="A5636" s="323" t="s">
        <v>4846</v>
      </c>
      <c r="B5636" s="323" t="s">
        <v>805</v>
      </c>
      <c r="C5636" s="323">
        <v>43864</v>
      </c>
      <c r="D5636" s="323">
        <v>147</v>
      </c>
      <c r="E5636" s="324">
        <f t="shared" si="88"/>
        <v>35847.420000000006</v>
      </c>
    </row>
    <row r="5637" spans="1:5" x14ac:dyDescent="0.25">
      <c r="A5637" s="323" t="s">
        <v>1643</v>
      </c>
      <c r="B5637" s="323" t="s">
        <v>805</v>
      </c>
      <c r="C5637" s="323">
        <v>43928</v>
      </c>
      <c r="D5637" s="323">
        <v>528</v>
      </c>
      <c r="E5637" s="324">
        <f t="shared" si="88"/>
        <v>128758.08</v>
      </c>
    </row>
    <row r="5638" spans="1:5" x14ac:dyDescent="0.25">
      <c r="A5638" s="323" t="s">
        <v>2753</v>
      </c>
      <c r="B5638" s="323" t="s">
        <v>805</v>
      </c>
      <c r="C5638" s="323">
        <v>43928</v>
      </c>
      <c r="D5638" s="323">
        <v>343</v>
      </c>
      <c r="E5638" s="324">
        <f t="shared" si="88"/>
        <v>83643.98000000001</v>
      </c>
    </row>
    <row r="5639" spans="1:5" x14ac:dyDescent="0.25">
      <c r="A5639" s="323" t="s">
        <v>3257</v>
      </c>
      <c r="B5639" s="323" t="s">
        <v>805</v>
      </c>
      <c r="C5639" s="323">
        <v>43928</v>
      </c>
      <c r="D5639" s="323">
        <v>271</v>
      </c>
      <c r="E5639" s="324">
        <f t="shared" si="88"/>
        <v>66086.06</v>
      </c>
    </row>
    <row r="5640" spans="1:5" x14ac:dyDescent="0.25">
      <c r="A5640" s="323" t="s">
        <v>3821</v>
      </c>
      <c r="B5640" s="323" t="s">
        <v>805</v>
      </c>
      <c r="C5640" s="323">
        <v>43928</v>
      </c>
      <c r="D5640" s="323">
        <v>410</v>
      </c>
      <c r="E5640" s="324">
        <f t="shared" si="88"/>
        <v>99982.6</v>
      </c>
    </row>
    <row r="5641" spans="1:5" x14ac:dyDescent="0.25">
      <c r="A5641" s="323" t="s">
        <v>4012</v>
      </c>
      <c r="B5641" s="323" t="s">
        <v>805</v>
      </c>
      <c r="C5641" s="323">
        <v>43928</v>
      </c>
      <c r="D5641" s="323">
        <v>186</v>
      </c>
      <c r="E5641" s="324">
        <f t="shared" si="88"/>
        <v>45357.96</v>
      </c>
    </row>
    <row r="5642" spans="1:5" x14ac:dyDescent="0.25">
      <c r="A5642" s="323" t="s">
        <v>4401</v>
      </c>
      <c r="B5642" s="323" t="s">
        <v>805</v>
      </c>
      <c r="C5642" s="323">
        <v>43928</v>
      </c>
      <c r="D5642" s="323">
        <v>510</v>
      </c>
      <c r="E5642" s="324">
        <f t="shared" si="88"/>
        <v>124368.6</v>
      </c>
    </row>
    <row r="5643" spans="1:5" x14ac:dyDescent="0.25">
      <c r="A5643" s="323" t="s">
        <v>4607</v>
      </c>
      <c r="B5643" s="323" t="s">
        <v>805</v>
      </c>
      <c r="C5643" s="323">
        <v>43928</v>
      </c>
      <c r="D5643" s="323">
        <v>185</v>
      </c>
      <c r="E5643" s="324">
        <f t="shared" si="88"/>
        <v>45114.100000000006</v>
      </c>
    </row>
    <row r="5644" spans="1:5" x14ac:dyDescent="0.25">
      <c r="A5644" s="323" t="s">
        <v>1322</v>
      </c>
      <c r="B5644" s="323" t="s">
        <v>805</v>
      </c>
      <c r="C5644" s="323">
        <v>43967</v>
      </c>
      <c r="D5644" s="323">
        <v>147</v>
      </c>
      <c r="E5644" s="324">
        <f t="shared" si="88"/>
        <v>35847.420000000006</v>
      </c>
    </row>
    <row r="5645" spans="1:5" x14ac:dyDescent="0.25">
      <c r="A5645" s="323" t="s">
        <v>1625</v>
      </c>
      <c r="B5645" s="323" t="s">
        <v>805</v>
      </c>
      <c r="C5645" s="323">
        <v>43967</v>
      </c>
      <c r="D5645" s="323">
        <v>222</v>
      </c>
      <c r="E5645" s="324">
        <f t="shared" si="88"/>
        <v>54136.920000000006</v>
      </c>
    </row>
    <row r="5646" spans="1:5" x14ac:dyDescent="0.25">
      <c r="A5646" s="323" t="s">
        <v>2222</v>
      </c>
      <c r="B5646" s="323" t="s">
        <v>805</v>
      </c>
      <c r="C5646" s="323">
        <v>43967</v>
      </c>
      <c r="D5646" s="323">
        <v>175</v>
      </c>
      <c r="E5646" s="324">
        <f t="shared" si="88"/>
        <v>42675.5</v>
      </c>
    </row>
    <row r="5647" spans="1:5" x14ac:dyDescent="0.25">
      <c r="A5647" s="323" t="s">
        <v>2740</v>
      </c>
      <c r="B5647" s="323" t="s">
        <v>805</v>
      </c>
      <c r="C5647" s="323">
        <v>43967</v>
      </c>
      <c r="D5647" s="323">
        <v>212</v>
      </c>
      <c r="E5647" s="324">
        <f t="shared" si="88"/>
        <v>51698.32</v>
      </c>
    </row>
    <row r="5648" spans="1:5" x14ac:dyDescent="0.25">
      <c r="A5648" s="323" t="s">
        <v>3092</v>
      </c>
      <c r="B5648" s="323" t="s">
        <v>805</v>
      </c>
      <c r="C5648" s="323">
        <v>43967</v>
      </c>
      <c r="D5648" s="323">
        <v>216</v>
      </c>
      <c r="E5648" s="324">
        <f t="shared" si="88"/>
        <v>52673.760000000002</v>
      </c>
    </row>
    <row r="5649" spans="1:5" x14ac:dyDescent="0.25">
      <c r="A5649" s="323" t="s">
        <v>3249</v>
      </c>
      <c r="B5649" s="323" t="s">
        <v>805</v>
      </c>
      <c r="C5649" s="323">
        <v>43967</v>
      </c>
      <c r="D5649" s="323">
        <v>501</v>
      </c>
      <c r="E5649" s="324">
        <f t="shared" si="88"/>
        <v>122173.86</v>
      </c>
    </row>
    <row r="5650" spans="1:5" x14ac:dyDescent="0.25">
      <c r="A5650" s="323" t="s">
        <v>1628</v>
      </c>
      <c r="B5650" s="323" t="s">
        <v>805</v>
      </c>
      <c r="C5650" s="323">
        <v>44071</v>
      </c>
      <c r="D5650" s="323">
        <v>196</v>
      </c>
      <c r="E5650" s="324">
        <f t="shared" si="88"/>
        <v>47796.560000000005</v>
      </c>
    </row>
    <row r="5651" spans="1:5" x14ac:dyDescent="0.25">
      <c r="A5651" s="323" t="s">
        <v>1629</v>
      </c>
      <c r="B5651" s="323" t="s">
        <v>805</v>
      </c>
      <c r="C5651" s="323">
        <v>44175</v>
      </c>
      <c r="D5651" s="323">
        <v>415</v>
      </c>
      <c r="E5651" s="324">
        <f t="shared" si="88"/>
        <v>101201.90000000001</v>
      </c>
    </row>
    <row r="5652" spans="1:5" x14ac:dyDescent="0.25">
      <c r="A5652" s="323" t="s">
        <v>862</v>
      </c>
      <c r="B5652" s="323" t="s">
        <v>816</v>
      </c>
      <c r="C5652" s="323">
        <v>44201</v>
      </c>
      <c r="D5652" s="323">
        <v>133</v>
      </c>
      <c r="E5652" s="324">
        <f t="shared" si="88"/>
        <v>48650.07</v>
      </c>
    </row>
    <row r="5653" spans="1:5" x14ac:dyDescent="0.25">
      <c r="A5653" s="323" t="s">
        <v>938</v>
      </c>
      <c r="B5653" s="323" t="s">
        <v>809</v>
      </c>
      <c r="C5653" s="323">
        <v>44201</v>
      </c>
      <c r="D5653" s="323">
        <v>40</v>
      </c>
      <c r="E5653" s="324">
        <f t="shared" si="88"/>
        <v>19508.800000000003</v>
      </c>
    </row>
    <row r="5654" spans="1:5" x14ac:dyDescent="0.25">
      <c r="A5654" s="323" t="s">
        <v>938</v>
      </c>
      <c r="B5654" s="323" t="s">
        <v>803</v>
      </c>
      <c r="C5654" s="323">
        <v>44201</v>
      </c>
      <c r="D5654" s="323">
        <v>78</v>
      </c>
      <c r="E5654" s="324">
        <f t="shared" si="88"/>
        <v>38042.160000000003</v>
      </c>
    </row>
    <row r="5655" spans="1:5" x14ac:dyDescent="0.25">
      <c r="A5655" s="323" t="s">
        <v>1332</v>
      </c>
      <c r="B5655" s="323" t="s">
        <v>805</v>
      </c>
      <c r="C5655" s="323">
        <v>44201</v>
      </c>
      <c r="D5655" s="323">
        <v>159</v>
      </c>
      <c r="E5655" s="324">
        <f t="shared" si="88"/>
        <v>38773.740000000005</v>
      </c>
    </row>
    <row r="5656" spans="1:5" x14ac:dyDescent="0.25">
      <c r="A5656" s="323" t="s">
        <v>1337</v>
      </c>
      <c r="B5656" s="323" t="s">
        <v>805</v>
      </c>
      <c r="C5656" s="323">
        <v>44201</v>
      </c>
      <c r="D5656" s="323">
        <v>461</v>
      </c>
      <c r="E5656" s="324">
        <f t="shared" si="88"/>
        <v>112419.46</v>
      </c>
    </row>
    <row r="5657" spans="1:5" x14ac:dyDescent="0.25">
      <c r="A5657" s="323" t="s">
        <v>1580</v>
      </c>
      <c r="B5657" s="323" t="s">
        <v>805</v>
      </c>
      <c r="C5657" s="323">
        <v>44201</v>
      </c>
      <c r="D5657" s="323">
        <v>266</v>
      </c>
      <c r="E5657" s="324">
        <f t="shared" si="88"/>
        <v>64866.76</v>
      </c>
    </row>
    <row r="5658" spans="1:5" x14ac:dyDescent="0.25">
      <c r="A5658" s="323" t="s">
        <v>1632</v>
      </c>
      <c r="B5658" s="323" t="s">
        <v>805</v>
      </c>
      <c r="C5658" s="323">
        <v>44201</v>
      </c>
      <c r="D5658" s="323">
        <v>93</v>
      </c>
      <c r="E5658" s="324">
        <f t="shared" si="88"/>
        <v>22678.98</v>
      </c>
    </row>
    <row r="5659" spans="1:5" x14ac:dyDescent="0.25">
      <c r="A5659" s="323" t="s">
        <v>1732</v>
      </c>
      <c r="B5659" s="323" t="s">
        <v>805</v>
      </c>
      <c r="C5659" s="323">
        <v>44201</v>
      </c>
      <c r="D5659" s="323">
        <v>73</v>
      </c>
      <c r="E5659" s="324">
        <f t="shared" si="88"/>
        <v>17801.780000000002</v>
      </c>
    </row>
    <row r="5660" spans="1:5" x14ac:dyDescent="0.25">
      <c r="A5660" s="323" t="s">
        <v>2228</v>
      </c>
      <c r="B5660" s="323" t="s">
        <v>805</v>
      </c>
      <c r="C5660" s="323">
        <v>44201</v>
      </c>
      <c r="D5660" s="323">
        <v>165</v>
      </c>
      <c r="E5660" s="324">
        <f t="shared" si="88"/>
        <v>40236.9</v>
      </c>
    </row>
    <row r="5661" spans="1:5" x14ac:dyDescent="0.25">
      <c r="A5661" s="323" t="s">
        <v>2421</v>
      </c>
      <c r="B5661" s="323" t="s">
        <v>805</v>
      </c>
      <c r="C5661" s="323">
        <v>44201</v>
      </c>
      <c r="D5661" s="323">
        <v>131</v>
      </c>
      <c r="E5661" s="324">
        <f t="shared" si="88"/>
        <v>31945.660000000003</v>
      </c>
    </row>
    <row r="5662" spans="1:5" x14ac:dyDescent="0.25">
      <c r="A5662" s="323" t="s">
        <v>2459</v>
      </c>
      <c r="B5662" s="323" t="s">
        <v>805</v>
      </c>
      <c r="C5662" s="323">
        <v>44201</v>
      </c>
      <c r="D5662" s="323">
        <v>113</v>
      </c>
      <c r="E5662" s="324">
        <f t="shared" si="88"/>
        <v>27556.18</v>
      </c>
    </row>
    <row r="5663" spans="1:5" x14ac:dyDescent="0.25">
      <c r="A5663" s="323" t="s">
        <v>2586</v>
      </c>
      <c r="B5663" s="323" t="s">
        <v>805</v>
      </c>
      <c r="C5663" s="323">
        <v>44201</v>
      </c>
      <c r="D5663" s="323">
        <v>143</v>
      </c>
      <c r="E5663" s="324">
        <f t="shared" si="88"/>
        <v>34871.980000000003</v>
      </c>
    </row>
    <row r="5664" spans="1:5" x14ac:dyDescent="0.25">
      <c r="A5664" s="323" t="s">
        <v>2725</v>
      </c>
      <c r="B5664" s="323" t="s">
        <v>805</v>
      </c>
      <c r="C5664" s="323">
        <v>44201</v>
      </c>
      <c r="D5664" s="323">
        <v>264</v>
      </c>
      <c r="E5664" s="324">
        <f t="shared" si="88"/>
        <v>64379.040000000001</v>
      </c>
    </row>
    <row r="5665" spans="1:5" x14ac:dyDescent="0.25">
      <c r="A5665" s="323" t="s">
        <v>2743</v>
      </c>
      <c r="B5665" s="323" t="s">
        <v>805</v>
      </c>
      <c r="C5665" s="323">
        <v>44201</v>
      </c>
      <c r="D5665" s="323">
        <v>299</v>
      </c>
      <c r="E5665" s="324">
        <f t="shared" si="88"/>
        <v>72914.14</v>
      </c>
    </row>
    <row r="5666" spans="1:5" x14ac:dyDescent="0.25">
      <c r="A5666" s="323" t="s">
        <v>3096</v>
      </c>
      <c r="B5666" s="323" t="s">
        <v>805</v>
      </c>
      <c r="C5666" s="323">
        <v>44201</v>
      </c>
      <c r="D5666" s="323">
        <v>375</v>
      </c>
      <c r="E5666" s="324">
        <f t="shared" si="88"/>
        <v>91447.5</v>
      </c>
    </row>
    <row r="5667" spans="1:5" x14ac:dyDescent="0.25">
      <c r="A5667" s="323" t="s">
        <v>3252</v>
      </c>
      <c r="B5667" s="323" t="s">
        <v>805</v>
      </c>
      <c r="C5667" s="323">
        <v>44201</v>
      </c>
      <c r="D5667" s="323">
        <v>126</v>
      </c>
      <c r="E5667" s="324">
        <f t="shared" si="88"/>
        <v>30726.36</v>
      </c>
    </row>
    <row r="5668" spans="1:5" x14ac:dyDescent="0.25">
      <c r="A5668" s="323" t="s">
        <v>3572</v>
      </c>
      <c r="B5668" s="323" t="s">
        <v>805</v>
      </c>
      <c r="C5668" s="323">
        <v>44201</v>
      </c>
      <c r="D5668" s="323">
        <v>298</v>
      </c>
      <c r="E5668" s="324">
        <f t="shared" si="88"/>
        <v>72670.28</v>
      </c>
    </row>
    <row r="5669" spans="1:5" x14ac:dyDescent="0.25">
      <c r="A5669" s="323" t="s">
        <v>5210</v>
      </c>
      <c r="B5669" s="323" t="s">
        <v>805</v>
      </c>
      <c r="C5669" s="323">
        <v>44201</v>
      </c>
      <c r="D5669" s="323">
        <v>101</v>
      </c>
      <c r="E5669" s="324">
        <f t="shared" si="88"/>
        <v>24629.86</v>
      </c>
    </row>
    <row r="5670" spans="1:5" x14ac:dyDescent="0.25">
      <c r="A5670" s="323" t="s">
        <v>1630</v>
      </c>
      <c r="B5670" s="323" t="s">
        <v>805</v>
      </c>
      <c r="C5670" s="323">
        <v>44318</v>
      </c>
      <c r="D5670" s="323">
        <v>209</v>
      </c>
      <c r="E5670" s="324">
        <f t="shared" si="88"/>
        <v>50966.740000000005</v>
      </c>
    </row>
    <row r="5671" spans="1:5" x14ac:dyDescent="0.25">
      <c r="A5671" s="323" t="s">
        <v>2744</v>
      </c>
      <c r="B5671" s="323" t="s">
        <v>805</v>
      </c>
      <c r="C5671" s="323">
        <v>44318</v>
      </c>
      <c r="D5671" s="323">
        <v>249</v>
      </c>
      <c r="E5671" s="324">
        <f t="shared" si="88"/>
        <v>60721.140000000007</v>
      </c>
    </row>
    <row r="5672" spans="1:5" x14ac:dyDescent="0.25">
      <c r="A5672" s="323" t="s">
        <v>3253</v>
      </c>
      <c r="B5672" s="323" t="s">
        <v>805</v>
      </c>
      <c r="C5672" s="323">
        <v>44318</v>
      </c>
      <c r="D5672" s="323">
        <v>140</v>
      </c>
      <c r="E5672" s="324">
        <f t="shared" si="88"/>
        <v>34140.400000000001</v>
      </c>
    </row>
    <row r="5673" spans="1:5" x14ac:dyDescent="0.25">
      <c r="A5673" s="323" t="s">
        <v>885</v>
      </c>
      <c r="B5673" s="323" t="s">
        <v>816</v>
      </c>
      <c r="C5673" s="323">
        <v>44397</v>
      </c>
      <c r="D5673" s="323">
        <v>79</v>
      </c>
      <c r="E5673" s="324">
        <f t="shared" si="88"/>
        <v>28897.41</v>
      </c>
    </row>
    <row r="5674" spans="1:5" x14ac:dyDescent="0.25">
      <c r="A5674" s="323" t="s">
        <v>1243</v>
      </c>
      <c r="B5674" s="323" t="s">
        <v>805</v>
      </c>
      <c r="C5674" s="323">
        <v>44397</v>
      </c>
      <c r="D5674" s="323">
        <v>113</v>
      </c>
      <c r="E5674" s="324">
        <f t="shared" si="88"/>
        <v>27556.18</v>
      </c>
    </row>
    <row r="5675" spans="1:5" x14ac:dyDescent="0.25">
      <c r="A5675" s="323" t="s">
        <v>1313</v>
      </c>
      <c r="B5675" s="323" t="s">
        <v>805</v>
      </c>
      <c r="C5675" s="323">
        <v>44397</v>
      </c>
      <c r="D5675" s="323">
        <v>340</v>
      </c>
      <c r="E5675" s="324">
        <f t="shared" si="88"/>
        <v>82912.400000000009</v>
      </c>
    </row>
    <row r="5676" spans="1:5" x14ac:dyDescent="0.25">
      <c r="A5676" s="323" t="s">
        <v>1763</v>
      </c>
      <c r="B5676" s="323" t="s">
        <v>805</v>
      </c>
      <c r="C5676" s="323">
        <v>44397</v>
      </c>
      <c r="D5676" s="323">
        <v>239</v>
      </c>
      <c r="E5676" s="324">
        <f t="shared" si="88"/>
        <v>58282.54</v>
      </c>
    </row>
    <row r="5677" spans="1:5" x14ac:dyDescent="0.25">
      <c r="A5677" s="323" t="s">
        <v>2254</v>
      </c>
      <c r="B5677" s="323" t="s">
        <v>805</v>
      </c>
      <c r="C5677" s="323">
        <v>44397</v>
      </c>
      <c r="D5677" s="323">
        <v>137</v>
      </c>
      <c r="E5677" s="324">
        <f t="shared" si="88"/>
        <v>33408.82</v>
      </c>
    </row>
    <row r="5678" spans="1:5" x14ac:dyDescent="0.25">
      <c r="A5678" s="323" t="s">
        <v>2466</v>
      </c>
      <c r="B5678" s="323" t="s">
        <v>805</v>
      </c>
      <c r="C5678" s="323">
        <v>44397</v>
      </c>
      <c r="D5678" s="323">
        <v>167</v>
      </c>
      <c r="E5678" s="324">
        <f t="shared" si="88"/>
        <v>40724.620000000003</v>
      </c>
    </row>
    <row r="5679" spans="1:5" x14ac:dyDescent="0.25">
      <c r="A5679" s="323" t="s">
        <v>2589</v>
      </c>
      <c r="B5679" s="323" t="s">
        <v>805</v>
      </c>
      <c r="C5679" s="323">
        <v>44397</v>
      </c>
      <c r="D5679" s="323">
        <v>112</v>
      </c>
      <c r="E5679" s="324">
        <f t="shared" si="88"/>
        <v>27312.32</v>
      </c>
    </row>
    <row r="5680" spans="1:5" x14ac:dyDescent="0.25">
      <c r="A5680" s="323" t="s">
        <v>2590</v>
      </c>
      <c r="B5680" s="323" t="s">
        <v>805</v>
      </c>
      <c r="C5680" s="323">
        <v>44397</v>
      </c>
      <c r="D5680" s="323">
        <v>186</v>
      </c>
      <c r="E5680" s="324">
        <f t="shared" si="88"/>
        <v>45357.96</v>
      </c>
    </row>
    <row r="5681" spans="1:5" x14ac:dyDescent="0.25">
      <c r="A5681" s="323" t="s">
        <v>3107</v>
      </c>
      <c r="B5681" s="323" t="s">
        <v>805</v>
      </c>
      <c r="C5681" s="323">
        <v>44397</v>
      </c>
      <c r="D5681" s="323">
        <v>149</v>
      </c>
      <c r="E5681" s="324">
        <f t="shared" si="88"/>
        <v>36335.14</v>
      </c>
    </row>
    <row r="5682" spans="1:5" x14ac:dyDescent="0.25">
      <c r="A5682" s="323" t="s">
        <v>3658</v>
      </c>
      <c r="B5682" s="323" t="s">
        <v>805</v>
      </c>
      <c r="C5682" s="323">
        <v>44397</v>
      </c>
      <c r="D5682" s="323">
        <v>168</v>
      </c>
      <c r="E5682" s="324">
        <f t="shared" si="88"/>
        <v>40968.480000000003</v>
      </c>
    </row>
    <row r="5683" spans="1:5" x14ac:dyDescent="0.25">
      <c r="A5683" s="323" t="s">
        <v>3948</v>
      </c>
      <c r="B5683" s="323" t="s">
        <v>805</v>
      </c>
      <c r="C5683" s="323">
        <v>44397</v>
      </c>
      <c r="D5683" s="323">
        <v>452</v>
      </c>
      <c r="E5683" s="324">
        <f t="shared" si="88"/>
        <v>110224.72</v>
      </c>
    </row>
    <row r="5684" spans="1:5" x14ac:dyDescent="0.25">
      <c r="A5684" s="323" t="s">
        <v>4063</v>
      </c>
      <c r="B5684" s="323" t="s">
        <v>805</v>
      </c>
      <c r="C5684" s="323">
        <v>44397</v>
      </c>
      <c r="D5684" s="323">
        <v>214</v>
      </c>
      <c r="E5684" s="324">
        <f t="shared" si="88"/>
        <v>52186.04</v>
      </c>
    </row>
    <row r="5685" spans="1:5" x14ac:dyDescent="0.25">
      <c r="A5685" s="323" t="s">
        <v>4130</v>
      </c>
      <c r="B5685" s="323" t="s">
        <v>805</v>
      </c>
      <c r="C5685" s="323">
        <v>44397</v>
      </c>
      <c r="D5685" s="323">
        <v>164</v>
      </c>
      <c r="E5685" s="324">
        <f t="shared" si="88"/>
        <v>39993.040000000001</v>
      </c>
    </row>
    <row r="5686" spans="1:5" x14ac:dyDescent="0.25">
      <c r="A5686" s="323" t="s">
        <v>6779</v>
      </c>
      <c r="B5686" s="323" t="s">
        <v>805</v>
      </c>
      <c r="C5686" s="323">
        <v>44397</v>
      </c>
      <c r="D5686" s="323">
        <v>289</v>
      </c>
      <c r="E5686" s="324">
        <f t="shared" si="88"/>
        <v>70475.540000000008</v>
      </c>
    </row>
    <row r="5687" spans="1:5" x14ac:dyDescent="0.25">
      <c r="A5687" s="323" t="s">
        <v>940</v>
      </c>
      <c r="B5687" s="323" t="s">
        <v>809</v>
      </c>
      <c r="C5687" s="323">
        <v>44813</v>
      </c>
      <c r="D5687" s="323">
        <v>9</v>
      </c>
      <c r="E5687" s="324">
        <f t="shared" si="88"/>
        <v>4389.4800000000005</v>
      </c>
    </row>
    <row r="5688" spans="1:5" x14ac:dyDescent="0.25">
      <c r="A5688" s="323" t="s">
        <v>940</v>
      </c>
      <c r="B5688" s="323" t="s">
        <v>803</v>
      </c>
      <c r="C5688" s="323">
        <v>44813</v>
      </c>
      <c r="D5688" s="323">
        <v>50</v>
      </c>
      <c r="E5688" s="324">
        <f t="shared" si="88"/>
        <v>24386</v>
      </c>
    </row>
    <row r="5689" spans="1:5" x14ac:dyDescent="0.25">
      <c r="A5689" s="323" t="s">
        <v>940</v>
      </c>
      <c r="B5689" s="323" t="s">
        <v>809</v>
      </c>
      <c r="C5689" s="323">
        <v>44813</v>
      </c>
      <c r="D5689" s="323">
        <v>20</v>
      </c>
      <c r="E5689" s="324">
        <f t="shared" si="88"/>
        <v>9754.4000000000015</v>
      </c>
    </row>
    <row r="5690" spans="1:5" x14ac:dyDescent="0.25">
      <c r="A5690" s="323" t="s">
        <v>984</v>
      </c>
      <c r="B5690" s="323" t="s">
        <v>809</v>
      </c>
      <c r="C5690" s="323">
        <v>44813</v>
      </c>
      <c r="D5690" s="323">
        <v>70</v>
      </c>
      <c r="E5690" s="324">
        <f t="shared" si="88"/>
        <v>34140.400000000001</v>
      </c>
    </row>
    <row r="5691" spans="1:5" x14ac:dyDescent="0.25">
      <c r="A5691" s="323" t="s">
        <v>984</v>
      </c>
      <c r="B5691" s="323" t="s">
        <v>803</v>
      </c>
      <c r="C5691" s="323">
        <v>44813</v>
      </c>
      <c r="D5691" s="323">
        <v>20</v>
      </c>
      <c r="E5691" s="324">
        <f t="shared" si="88"/>
        <v>9754.4000000000015</v>
      </c>
    </row>
    <row r="5692" spans="1:5" x14ac:dyDescent="0.25">
      <c r="A5692" s="323" t="s">
        <v>5817</v>
      </c>
      <c r="B5692" s="323" t="s">
        <v>803</v>
      </c>
      <c r="C5692" s="323">
        <v>44813</v>
      </c>
      <c r="D5692" s="323">
        <v>154</v>
      </c>
      <c r="E5692" s="324">
        <f t="shared" si="88"/>
        <v>75108.88</v>
      </c>
    </row>
    <row r="5693" spans="1:5" x14ac:dyDescent="0.25">
      <c r="A5693" s="323" t="s">
        <v>5817</v>
      </c>
      <c r="B5693" s="323" t="s">
        <v>809</v>
      </c>
      <c r="C5693" s="323">
        <v>44813</v>
      </c>
      <c r="D5693" s="323">
        <v>42</v>
      </c>
      <c r="E5693" s="324">
        <f t="shared" si="88"/>
        <v>20484.240000000002</v>
      </c>
    </row>
    <row r="5694" spans="1:5" x14ac:dyDescent="0.25">
      <c r="A5694" s="323" t="s">
        <v>6868</v>
      </c>
      <c r="B5694" s="323" t="s">
        <v>803</v>
      </c>
      <c r="C5694" s="323">
        <v>44813</v>
      </c>
      <c r="D5694" s="323">
        <v>101</v>
      </c>
      <c r="E5694" s="324">
        <f t="shared" si="88"/>
        <v>49259.72</v>
      </c>
    </row>
    <row r="5695" spans="1:5" x14ac:dyDescent="0.25">
      <c r="A5695" s="323" t="s">
        <v>6869</v>
      </c>
      <c r="B5695" s="323" t="s">
        <v>809</v>
      </c>
      <c r="C5695" s="323">
        <v>44813</v>
      </c>
      <c r="D5695" s="323">
        <v>159</v>
      </c>
      <c r="E5695" s="324">
        <f t="shared" si="88"/>
        <v>77547.48000000001</v>
      </c>
    </row>
    <row r="5696" spans="1:5" x14ac:dyDescent="0.25">
      <c r="A5696" s="323" t="s">
        <v>837</v>
      </c>
      <c r="B5696" s="323" t="s">
        <v>805</v>
      </c>
      <c r="C5696" s="323">
        <v>45000</v>
      </c>
      <c r="D5696" s="323">
        <v>197</v>
      </c>
      <c r="E5696" s="324">
        <f t="shared" si="88"/>
        <v>48040.420000000006</v>
      </c>
    </row>
    <row r="5697" spans="1:5" x14ac:dyDescent="0.25">
      <c r="A5697" s="323" t="s">
        <v>908</v>
      </c>
      <c r="B5697" s="323" t="s">
        <v>816</v>
      </c>
      <c r="C5697" s="323">
        <v>45000</v>
      </c>
      <c r="D5697" s="323">
        <v>97</v>
      </c>
      <c r="E5697" s="324">
        <f t="shared" si="88"/>
        <v>35481.630000000005</v>
      </c>
    </row>
    <row r="5698" spans="1:5" x14ac:dyDescent="0.25">
      <c r="A5698" s="323" t="s">
        <v>1186</v>
      </c>
      <c r="B5698" s="323" t="s">
        <v>805</v>
      </c>
      <c r="C5698" s="323">
        <v>45000</v>
      </c>
      <c r="D5698" s="323">
        <v>99</v>
      </c>
      <c r="E5698" s="324">
        <f t="shared" ref="E5698:E5761" si="89">D5698*IF(B5698=$G$9,WerkdrukbedragPerLeerlingBo,IF(B5698=$G$10,WerkdrukbedragPerLeerlingSbo,IF(B5698=$G$11,WerkdrukbedragPerLeerlingSo,IF(B5698=$G$12,WerkdrukbedragPerLeerlingVso,0))))</f>
        <v>24142.140000000003</v>
      </c>
    </row>
    <row r="5699" spans="1:5" x14ac:dyDescent="0.25">
      <c r="A5699" s="323" t="s">
        <v>1245</v>
      </c>
      <c r="B5699" s="323" t="s">
        <v>805</v>
      </c>
      <c r="C5699" s="323">
        <v>45000</v>
      </c>
      <c r="D5699" s="323">
        <v>234</v>
      </c>
      <c r="E5699" s="324">
        <f t="shared" si="89"/>
        <v>57063.240000000005</v>
      </c>
    </row>
    <row r="5700" spans="1:5" x14ac:dyDescent="0.25">
      <c r="A5700" s="323" t="s">
        <v>1246</v>
      </c>
      <c r="B5700" s="323" t="s">
        <v>805</v>
      </c>
      <c r="C5700" s="323">
        <v>45000</v>
      </c>
      <c r="D5700" s="323">
        <v>189</v>
      </c>
      <c r="E5700" s="324">
        <f t="shared" si="89"/>
        <v>46089.54</v>
      </c>
    </row>
    <row r="5701" spans="1:5" x14ac:dyDescent="0.25">
      <c r="A5701" s="323" t="s">
        <v>1255</v>
      </c>
      <c r="B5701" s="323" t="s">
        <v>805</v>
      </c>
      <c r="C5701" s="323">
        <v>45000</v>
      </c>
      <c r="D5701" s="323">
        <v>106</v>
      </c>
      <c r="E5701" s="324">
        <f t="shared" si="89"/>
        <v>25849.16</v>
      </c>
    </row>
    <row r="5702" spans="1:5" x14ac:dyDescent="0.25">
      <c r="A5702" s="323" t="s">
        <v>1523</v>
      </c>
      <c r="B5702" s="323" t="s">
        <v>805</v>
      </c>
      <c r="C5702" s="323">
        <v>45000</v>
      </c>
      <c r="D5702" s="323">
        <v>167</v>
      </c>
      <c r="E5702" s="324">
        <f t="shared" si="89"/>
        <v>40724.620000000003</v>
      </c>
    </row>
    <row r="5703" spans="1:5" x14ac:dyDescent="0.25">
      <c r="A5703" s="323" t="s">
        <v>1549</v>
      </c>
      <c r="B5703" s="323" t="s">
        <v>805</v>
      </c>
      <c r="C5703" s="323">
        <v>45000</v>
      </c>
      <c r="D5703" s="323">
        <v>38</v>
      </c>
      <c r="E5703" s="324">
        <f t="shared" si="89"/>
        <v>9266.68</v>
      </c>
    </row>
    <row r="5704" spans="1:5" x14ac:dyDescent="0.25">
      <c r="A5704" s="323" t="s">
        <v>1591</v>
      </c>
      <c r="B5704" s="323" t="s">
        <v>805</v>
      </c>
      <c r="C5704" s="323">
        <v>45000</v>
      </c>
      <c r="D5704" s="323">
        <v>104</v>
      </c>
      <c r="E5704" s="324">
        <f t="shared" si="89"/>
        <v>25361.440000000002</v>
      </c>
    </row>
    <row r="5705" spans="1:5" x14ac:dyDescent="0.25">
      <c r="A5705" s="323" t="s">
        <v>1738</v>
      </c>
      <c r="B5705" s="323" t="s">
        <v>805</v>
      </c>
      <c r="C5705" s="323">
        <v>45000</v>
      </c>
      <c r="D5705" s="323">
        <v>32</v>
      </c>
      <c r="E5705" s="324">
        <f t="shared" si="89"/>
        <v>7803.52</v>
      </c>
    </row>
    <row r="5706" spans="1:5" x14ac:dyDescent="0.25">
      <c r="A5706" s="323" t="s">
        <v>1747</v>
      </c>
      <c r="B5706" s="323" t="s">
        <v>805</v>
      </c>
      <c r="C5706" s="323">
        <v>45000</v>
      </c>
      <c r="D5706" s="323">
        <v>100</v>
      </c>
      <c r="E5706" s="324">
        <f t="shared" si="89"/>
        <v>24386</v>
      </c>
    </row>
    <row r="5707" spans="1:5" x14ac:dyDescent="0.25">
      <c r="A5707" s="323" t="s">
        <v>1759</v>
      </c>
      <c r="B5707" s="323" t="s">
        <v>805</v>
      </c>
      <c r="C5707" s="323">
        <v>45000</v>
      </c>
      <c r="D5707" s="323">
        <v>113</v>
      </c>
      <c r="E5707" s="324">
        <f t="shared" si="89"/>
        <v>27556.18</v>
      </c>
    </row>
    <row r="5708" spans="1:5" x14ac:dyDescent="0.25">
      <c r="A5708" s="323" t="s">
        <v>1858</v>
      </c>
      <c r="B5708" s="323" t="s">
        <v>805</v>
      </c>
      <c r="C5708" s="323">
        <v>45000</v>
      </c>
      <c r="D5708" s="323">
        <v>137</v>
      </c>
      <c r="E5708" s="324">
        <f t="shared" si="89"/>
        <v>33408.82</v>
      </c>
    </row>
    <row r="5709" spans="1:5" x14ac:dyDescent="0.25">
      <c r="A5709" s="323" t="s">
        <v>2133</v>
      </c>
      <c r="B5709" s="323" t="s">
        <v>805</v>
      </c>
      <c r="C5709" s="323">
        <v>45000</v>
      </c>
      <c r="D5709" s="323">
        <v>184</v>
      </c>
      <c r="E5709" s="324">
        <f t="shared" si="89"/>
        <v>44870.240000000005</v>
      </c>
    </row>
    <row r="5710" spans="1:5" x14ac:dyDescent="0.25">
      <c r="A5710" s="323" t="s">
        <v>2278</v>
      </c>
      <c r="B5710" s="323" t="s">
        <v>805</v>
      </c>
      <c r="C5710" s="323">
        <v>45000</v>
      </c>
      <c r="D5710" s="323">
        <v>61</v>
      </c>
      <c r="E5710" s="324">
        <f t="shared" si="89"/>
        <v>14875.460000000001</v>
      </c>
    </row>
    <row r="5711" spans="1:5" x14ac:dyDescent="0.25">
      <c r="A5711" s="323" t="s">
        <v>2365</v>
      </c>
      <c r="B5711" s="323" t="s">
        <v>805</v>
      </c>
      <c r="C5711" s="323">
        <v>45000</v>
      </c>
      <c r="D5711" s="323">
        <v>155</v>
      </c>
      <c r="E5711" s="324">
        <f t="shared" si="89"/>
        <v>37798.300000000003</v>
      </c>
    </row>
    <row r="5712" spans="1:5" x14ac:dyDescent="0.25">
      <c r="A5712" s="323" t="s">
        <v>2405</v>
      </c>
      <c r="B5712" s="323" t="s">
        <v>805</v>
      </c>
      <c r="C5712" s="323">
        <v>45000</v>
      </c>
      <c r="D5712" s="323">
        <v>131</v>
      </c>
      <c r="E5712" s="324">
        <f t="shared" si="89"/>
        <v>31945.660000000003</v>
      </c>
    </row>
    <row r="5713" spans="1:5" x14ac:dyDescent="0.25">
      <c r="A5713" s="323" t="s">
        <v>2412</v>
      </c>
      <c r="B5713" s="323" t="s">
        <v>805</v>
      </c>
      <c r="C5713" s="323">
        <v>45000</v>
      </c>
      <c r="D5713" s="323">
        <v>168</v>
      </c>
      <c r="E5713" s="324">
        <f t="shared" si="89"/>
        <v>40968.480000000003</v>
      </c>
    </row>
    <row r="5714" spans="1:5" x14ac:dyDescent="0.25">
      <c r="A5714" s="323" t="s">
        <v>2498</v>
      </c>
      <c r="B5714" s="323" t="s">
        <v>805</v>
      </c>
      <c r="C5714" s="323">
        <v>45000</v>
      </c>
      <c r="D5714" s="323">
        <v>45</v>
      </c>
      <c r="E5714" s="324">
        <f t="shared" si="89"/>
        <v>10973.7</v>
      </c>
    </row>
    <row r="5715" spans="1:5" x14ac:dyDescent="0.25">
      <c r="A5715" s="323" t="s">
        <v>2769</v>
      </c>
      <c r="B5715" s="323" t="s">
        <v>805</v>
      </c>
      <c r="C5715" s="323">
        <v>45000</v>
      </c>
      <c r="D5715" s="323">
        <v>32</v>
      </c>
      <c r="E5715" s="324">
        <f t="shared" si="89"/>
        <v>7803.52</v>
      </c>
    </row>
    <row r="5716" spans="1:5" x14ac:dyDescent="0.25">
      <c r="A5716" s="323" t="s">
        <v>2783</v>
      </c>
      <c r="B5716" s="323" t="s">
        <v>805</v>
      </c>
      <c r="C5716" s="323">
        <v>45000</v>
      </c>
      <c r="D5716" s="323">
        <v>119</v>
      </c>
      <c r="E5716" s="324">
        <f t="shared" si="89"/>
        <v>29019.34</v>
      </c>
    </row>
    <row r="5717" spans="1:5" x14ac:dyDescent="0.25">
      <c r="A5717" s="323" t="s">
        <v>2784</v>
      </c>
      <c r="B5717" s="323" t="s">
        <v>805</v>
      </c>
      <c r="C5717" s="323">
        <v>45000</v>
      </c>
      <c r="D5717" s="323">
        <v>359</v>
      </c>
      <c r="E5717" s="324">
        <f t="shared" si="89"/>
        <v>87545.74</v>
      </c>
    </row>
    <row r="5718" spans="1:5" x14ac:dyDescent="0.25">
      <c r="A5718" s="323" t="s">
        <v>2841</v>
      </c>
      <c r="B5718" s="323" t="s">
        <v>805</v>
      </c>
      <c r="C5718" s="323">
        <v>45000</v>
      </c>
      <c r="D5718" s="323">
        <v>59</v>
      </c>
      <c r="E5718" s="324">
        <f t="shared" si="89"/>
        <v>14387.740000000002</v>
      </c>
    </row>
    <row r="5719" spans="1:5" x14ac:dyDescent="0.25">
      <c r="A5719" s="323" t="s">
        <v>3154</v>
      </c>
      <c r="B5719" s="323" t="s">
        <v>805</v>
      </c>
      <c r="C5719" s="323">
        <v>45000</v>
      </c>
      <c r="D5719" s="323">
        <v>39</v>
      </c>
      <c r="E5719" s="324">
        <f t="shared" si="89"/>
        <v>9510.5400000000009</v>
      </c>
    </row>
    <row r="5720" spans="1:5" x14ac:dyDescent="0.25">
      <c r="A5720" s="323" t="s">
        <v>3155</v>
      </c>
      <c r="B5720" s="323" t="s">
        <v>805</v>
      </c>
      <c r="C5720" s="323">
        <v>45000</v>
      </c>
      <c r="D5720" s="323">
        <v>160</v>
      </c>
      <c r="E5720" s="324">
        <f t="shared" si="89"/>
        <v>39017.600000000006</v>
      </c>
    </row>
    <row r="5721" spans="1:5" x14ac:dyDescent="0.25">
      <c r="A5721" s="323" t="s">
        <v>3220</v>
      </c>
      <c r="B5721" s="323" t="s">
        <v>805</v>
      </c>
      <c r="C5721" s="323">
        <v>45000</v>
      </c>
      <c r="D5721" s="323">
        <v>199</v>
      </c>
      <c r="E5721" s="324">
        <f t="shared" si="89"/>
        <v>48528.14</v>
      </c>
    </row>
    <row r="5722" spans="1:5" x14ac:dyDescent="0.25">
      <c r="A5722" s="323" t="s">
        <v>3265</v>
      </c>
      <c r="B5722" s="323" t="s">
        <v>805</v>
      </c>
      <c r="C5722" s="323">
        <v>45000</v>
      </c>
      <c r="D5722" s="323">
        <v>46</v>
      </c>
      <c r="E5722" s="324">
        <f t="shared" si="89"/>
        <v>11217.560000000001</v>
      </c>
    </row>
    <row r="5723" spans="1:5" x14ac:dyDescent="0.25">
      <c r="A5723" s="323" t="s">
        <v>3504</v>
      </c>
      <c r="B5723" s="323" t="s">
        <v>805</v>
      </c>
      <c r="C5723" s="323">
        <v>45000</v>
      </c>
      <c r="D5723" s="323">
        <v>279</v>
      </c>
      <c r="E5723" s="324">
        <f t="shared" si="89"/>
        <v>68036.94</v>
      </c>
    </row>
    <row r="5724" spans="1:5" x14ac:dyDescent="0.25">
      <c r="A5724" s="323" t="s">
        <v>3963</v>
      </c>
      <c r="B5724" s="323" t="s">
        <v>805</v>
      </c>
      <c r="C5724" s="323">
        <v>45000</v>
      </c>
      <c r="D5724" s="323">
        <v>220</v>
      </c>
      <c r="E5724" s="324">
        <f t="shared" si="89"/>
        <v>53649.200000000004</v>
      </c>
    </row>
    <row r="5725" spans="1:5" x14ac:dyDescent="0.25">
      <c r="A5725" s="323" t="s">
        <v>3999</v>
      </c>
      <c r="B5725" s="323" t="s">
        <v>805</v>
      </c>
      <c r="C5725" s="323">
        <v>45000</v>
      </c>
      <c r="D5725" s="323">
        <v>115</v>
      </c>
      <c r="E5725" s="324">
        <f t="shared" si="89"/>
        <v>28043.9</v>
      </c>
    </row>
    <row r="5726" spans="1:5" x14ac:dyDescent="0.25">
      <c r="A5726" s="323" t="s">
        <v>4125</v>
      </c>
      <c r="B5726" s="323" t="s">
        <v>805</v>
      </c>
      <c r="C5726" s="323">
        <v>45000</v>
      </c>
      <c r="D5726" s="323">
        <v>157</v>
      </c>
      <c r="E5726" s="324">
        <f t="shared" si="89"/>
        <v>38286.020000000004</v>
      </c>
    </row>
    <row r="5727" spans="1:5" x14ac:dyDescent="0.25">
      <c r="A5727" s="323" t="s">
        <v>5229</v>
      </c>
      <c r="B5727" s="323" t="s">
        <v>805</v>
      </c>
      <c r="C5727" s="323">
        <v>45000</v>
      </c>
      <c r="D5727" s="323">
        <v>392</v>
      </c>
      <c r="E5727" s="324">
        <f t="shared" si="89"/>
        <v>95593.12000000001</v>
      </c>
    </row>
    <row r="5728" spans="1:5" x14ac:dyDescent="0.25">
      <c r="A5728" s="323" t="s">
        <v>6786</v>
      </c>
      <c r="B5728" s="323" t="s">
        <v>805</v>
      </c>
      <c r="C5728" s="323">
        <v>45000</v>
      </c>
      <c r="D5728" s="323">
        <v>173</v>
      </c>
      <c r="E5728" s="324">
        <f t="shared" si="89"/>
        <v>42187.78</v>
      </c>
    </row>
    <row r="5729" spans="1:5" x14ac:dyDescent="0.25">
      <c r="A5729" s="323" t="s">
        <v>6898</v>
      </c>
      <c r="B5729" s="323" t="s">
        <v>805</v>
      </c>
      <c r="C5729" s="323">
        <v>45000</v>
      </c>
      <c r="D5729" s="323">
        <v>190</v>
      </c>
      <c r="E5729" s="324">
        <f t="shared" si="89"/>
        <v>46333.4</v>
      </c>
    </row>
    <row r="5730" spans="1:5" x14ac:dyDescent="0.25">
      <c r="A5730" s="323" t="s">
        <v>2747</v>
      </c>
      <c r="B5730" s="323" t="s">
        <v>805</v>
      </c>
      <c r="C5730" s="323">
        <v>45059</v>
      </c>
      <c r="D5730" s="323">
        <v>267</v>
      </c>
      <c r="E5730" s="324">
        <f t="shared" si="89"/>
        <v>65110.62</v>
      </c>
    </row>
    <row r="5731" spans="1:5" x14ac:dyDescent="0.25">
      <c r="A5731" s="323" t="s">
        <v>1641</v>
      </c>
      <c r="B5731" s="323" t="s">
        <v>805</v>
      </c>
      <c r="C5731" s="323">
        <v>45189</v>
      </c>
      <c r="D5731" s="323">
        <v>220</v>
      </c>
      <c r="E5731" s="324">
        <f t="shared" si="89"/>
        <v>53649.200000000004</v>
      </c>
    </row>
    <row r="5732" spans="1:5" x14ac:dyDescent="0.25">
      <c r="A5732" s="323" t="s">
        <v>5205</v>
      </c>
      <c r="B5732" s="323" t="s">
        <v>805</v>
      </c>
      <c r="C5732" s="323">
        <v>45722</v>
      </c>
      <c r="D5732" s="323">
        <v>251</v>
      </c>
      <c r="E5732" s="324">
        <f t="shared" si="89"/>
        <v>61208.86</v>
      </c>
    </row>
    <row r="5733" spans="1:5" x14ac:dyDescent="0.25">
      <c r="A5733" s="323" t="s">
        <v>7359</v>
      </c>
      <c r="B5733" s="323" t="s">
        <v>805</v>
      </c>
      <c r="C5733" s="323">
        <v>45722</v>
      </c>
      <c r="D5733" s="323">
        <v>268</v>
      </c>
      <c r="E5733" s="324">
        <f t="shared" si="89"/>
        <v>65354.48</v>
      </c>
    </row>
    <row r="5734" spans="1:5" x14ac:dyDescent="0.25">
      <c r="A5734" s="323" t="s">
        <v>1650</v>
      </c>
      <c r="B5734" s="323" t="s">
        <v>805</v>
      </c>
      <c r="C5734" s="323">
        <v>45774</v>
      </c>
      <c r="D5734" s="323">
        <v>124</v>
      </c>
      <c r="E5734" s="324">
        <f t="shared" si="89"/>
        <v>30238.640000000003</v>
      </c>
    </row>
    <row r="5735" spans="1:5" x14ac:dyDescent="0.25">
      <c r="A5735" s="323" t="s">
        <v>4402</v>
      </c>
      <c r="B5735" s="323" t="s">
        <v>805</v>
      </c>
      <c r="C5735" s="323">
        <v>45917</v>
      </c>
      <c r="D5735" s="323">
        <v>463</v>
      </c>
      <c r="E5735" s="324">
        <f t="shared" si="89"/>
        <v>112907.18000000001</v>
      </c>
    </row>
    <row r="5736" spans="1:5" x14ac:dyDescent="0.25">
      <c r="A5736" s="323" t="s">
        <v>4818</v>
      </c>
      <c r="B5736" s="323" t="s">
        <v>805</v>
      </c>
      <c r="C5736" s="323">
        <v>45917</v>
      </c>
      <c r="D5736" s="323">
        <v>217</v>
      </c>
      <c r="E5736" s="324">
        <f t="shared" si="89"/>
        <v>52917.62</v>
      </c>
    </row>
    <row r="5737" spans="1:5" x14ac:dyDescent="0.25">
      <c r="A5737" s="323" t="s">
        <v>4864</v>
      </c>
      <c r="B5737" s="323" t="s">
        <v>805</v>
      </c>
      <c r="C5737" s="323">
        <v>45917</v>
      </c>
      <c r="D5737" s="323">
        <v>176</v>
      </c>
      <c r="E5737" s="324">
        <f t="shared" si="89"/>
        <v>42919.360000000001</v>
      </c>
    </row>
    <row r="5738" spans="1:5" x14ac:dyDescent="0.25">
      <c r="A5738" s="323" t="s">
        <v>4902</v>
      </c>
      <c r="B5738" s="323" t="s">
        <v>805</v>
      </c>
      <c r="C5738" s="323">
        <v>45917</v>
      </c>
      <c r="D5738" s="323">
        <v>184</v>
      </c>
      <c r="E5738" s="324">
        <f t="shared" si="89"/>
        <v>44870.240000000005</v>
      </c>
    </row>
    <row r="5739" spans="1:5" x14ac:dyDescent="0.25">
      <c r="A5739" s="323" t="s">
        <v>5206</v>
      </c>
      <c r="B5739" s="323" t="s">
        <v>805</v>
      </c>
      <c r="C5739" s="323">
        <v>45917</v>
      </c>
      <c r="D5739" s="323">
        <v>316</v>
      </c>
      <c r="E5739" s="324">
        <f t="shared" si="89"/>
        <v>77059.760000000009</v>
      </c>
    </row>
    <row r="5740" spans="1:5" x14ac:dyDescent="0.25">
      <c r="A5740" s="323" t="s">
        <v>6888</v>
      </c>
      <c r="B5740" s="323" t="s">
        <v>805</v>
      </c>
      <c r="C5740" s="323">
        <v>45917</v>
      </c>
      <c r="D5740" s="323">
        <v>225</v>
      </c>
      <c r="E5740" s="324">
        <f t="shared" si="89"/>
        <v>54868.5</v>
      </c>
    </row>
    <row r="5741" spans="1:5" x14ac:dyDescent="0.25">
      <c r="A5741" s="323" t="s">
        <v>7010</v>
      </c>
      <c r="B5741" s="323" t="s">
        <v>816</v>
      </c>
      <c r="C5741" s="323">
        <v>45917</v>
      </c>
      <c r="D5741" s="323">
        <v>105</v>
      </c>
      <c r="E5741" s="324">
        <f t="shared" si="89"/>
        <v>38407.950000000004</v>
      </c>
    </row>
    <row r="5742" spans="1:5" x14ac:dyDescent="0.25">
      <c r="A5742" s="323" t="s">
        <v>7501</v>
      </c>
      <c r="B5742" s="323" t="s">
        <v>805</v>
      </c>
      <c r="C5742" s="323">
        <v>45917</v>
      </c>
      <c r="D5742" s="323">
        <v>278</v>
      </c>
      <c r="E5742" s="324">
        <f t="shared" si="89"/>
        <v>67793.08</v>
      </c>
    </row>
    <row r="5743" spans="1:5" x14ac:dyDescent="0.25">
      <c r="A5743" s="323" t="s">
        <v>1501</v>
      </c>
      <c r="B5743" s="323" t="s">
        <v>805</v>
      </c>
      <c r="C5743" s="323">
        <v>45969</v>
      </c>
      <c r="D5743" s="323">
        <v>56</v>
      </c>
      <c r="E5743" s="324">
        <f t="shared" si="89"/>
        <v>13656.16</v>
      </c>
    </row>
    <row r="5744" spans="1:5" x14ac:dyDescent="0.25">
      <c r="A5744" s="323" t="s">
        <v>1627</v>
      </c>
      <c r="B5744" s="323" t="s">
        <v>805</v>
      </c>
      <c r="C5744" s="323">
        <v>45969</v>
      </c>
      <c r="D5744" s="323">
        <v>128</v>
      </c>
      <c r="E5744" s="324">
        <f t="shared" si="89"/>
        <v>31214.080000000002</v>
      </c>
    </row>
    <row r="5745" spans="1:5" x14ac:dyDescent="0.25">
      <c r="A5745" s="323" t="s">
        <v>1652</v>
      </c>
      <c r="B5745" s="323" t="s">
        <v>805</v>
      </c>
      <c r="C5745" s="323">
        <v>45969</v>
      </c>
      <c r="D5745" s="323">
        <v>157</v>
      </c>
      <c r="E5745" s="324">
        <f t="shared" si="89"/>
        <v>38286.020000000004</v>
      </c>
    </row>
    <row r="5746" spans="1:5" x14ac:dyDescent="0.25">
      <c r="A5746" s="323" t="s">
        <v>2016</v>
      </c>
      <c r="B5746" s="323" t="s">
        <v>805</v>
      </c>
      <c r="C5746" s="323">
        <v>45969</v>
      </c>
      <c r="D5746" s="323">
        <v>86</v>
      </c>
      <c r="E5746" s="324">
        <f t="shared" si="89"/>
        <v>20971.960000000003</v>
      </c>
    </row>
    <row r="5747" spans="1:5" x14ac:dyDescent="0.25">
      <c r="A5747" s="323" t="s">
        <v>2754</v>
      </c>
      <c r="B5747" s="323" t="s">
        <v>805</v>
      </c>
      <c r="C5747" s="323">
        <v>45969</v>
      </c>
      <c r="D5747" s="323">
        <v>216</v>
      </c>
      <c r="E5747" s="324">
        <f t="shared" si="89"/>
        <v>52673.760000000002</v>
      </c>
    </row>
    <row r="5748" spans="1:5" x14ac:dyDescent="0.25">
      <c r="A5748" s="323" t="s">
        <v>2756</v>
      </c>
      <c r="B5748" s="323" t="s">
        <v>805</v>
      </c>
      <c r="C5748" s="323">
        <v>46021</v>
      </c>
      <c r="D5748" s="323">
        <v>213</v>
      </c>
      <c r="E5748" s="324">
        <f t="shared" si="89"/>
        <v>51942.18</v>
      </c>
    </row>
    <row r="5749" spans="1:5" x14ac:dyDescent="0.25">
      <c r="A5749" s="323" t="s">
        <v>3260</v>
      </c>
      <c r="B5749" s="323" t="s">
        <v>805</v>
      </c>
      <c r="C5749" s="323">
        <v>46060</v>
      </c>
      <c r="D5749" s="323">
        <v>193</v>
      </c>
      <c r="E5749" s="324">
        <f t="shared" si="89"/>
        <v>47064.98</v>
      </c>
    </row>
    <row r="5750" spans="1:5" x14ac:dyDescent="0.25">
      <c r="A5750" s="323" t="s">
        <v>1268</v>
      </c>
      <c r="B5750" s="323" t="s">
        <v>805</v>
      </c>
      <c r="C5750" s="323">
        <v>46152</v>
      </c>
      <c r="D5750" s="323">
        <v>240</v>
      </c>
      <c r="E5750" s="324">
        <f t="shared" si="89"/>
        <v>58526.400000000001</v>
      </c>
    </row>
    <row r="5751" spans="1:5" x14ac:dyDescent="0.25">
      <c r="A5751" s="323" t="s">
        <v>2284</v>
      </c>
      <c r="B5751" s="323" t="s">
        <v>805</v>
      </c>
      <c r="C5751" s="323">
        <v>46243</v>
      </c>
      <c r="D5751" s="323">
        <v>240</v>
      </c>
      <c r="E5751" s="324">
        <f t="shared" si="89"/>
        <v>58526.400000000001</v>
      </c>
    </row>
    <row r="5752" spans="1:5" x14ac:dyDescent="0.25">
      <c r="A5752" s="323" t="s">
        <v>1804</v>
      </c>
      <c r="B5752" s="323" t="s">
        <v>805</v>
      </c>
      <c r="C5752" s="323">
        <v>46385</v>
      </c>
      <c r="D5752" s="323">
        <v>413</v>
      </c>
      <c r="E5752" s="324">
        <f t="shared" si="89"/>
        <v>100714.18000000001</v>
      </c>
    </row>
    <row r="5753" spans="1:5" x14ac:dyDescent="0.25">
      <c r="A5753" s="323" t="s">
        <v>4180</v>
      </c>
      <c r="B5753" s="323" t="s">
        <v>805</v>
      </c>
      <c r="C5753" s="323">
        <v>46385</v>
      </c>
      <c r="D5753" s="323">
        <v>224</v>
      </c>
      <c r="E5753" s="324">
        <f t="shared" si="89"/>
        <v>54624.639999999999</v>
      </c>
    </row>
    <row r="5754" spans="1:5" x14ac:dyDescent="0.25">
      <c r="A5754" s="323" t="s">
        <v>4293</v>
      </c>
      <c r="B5754" s="323" t="s">
        <v>805</v>
      </c>
      <c r="C5754" s="323">
        <v>46385</v>
      </c>
      <c r="D5754" s="323">
        <v>307</v>
      </c>
      <c r="E5754" s="324">
        <f t="shared" si="89"/>
        <v>74865.02</v>
      </c>
    </row>
    <row r="5755" spans="1:5" x14ac:dyDescent="0.25">
      <c r="A5755" s="323" t="s">
        <v>4307</v>
      </c>
      <c r="B5755" s="323" t="s">
        <v>805</v>
      </c>
      <c r="C5755" s="323">
        <v>46385</v>
      </c>
      <c r="D5755" s="323">
        <v>164</v>
      </c>
      <c r="E5755" s="324">
        <f t="shared" si="89"/>
        <v>39993.040000000001</v>
      </c>
    </row>
    <row r="5756" spans="1:5" x14ac:dyDescent="0.25">
      <c r="A5756" s="323" t="s">
        <v>4403</v>
      </c>
      <c r="B5756" s="323" t="s">
        <v>805</v>
      </c>
      <c r="C5756" s="323">
        <v>46385</v>
      </c>
      <c r="D5756" s="323">
        <v>304</v>
      </c>
      <c r="E5756" s="324">
        <f t="shared" si="89"/>
        <v>74133.440000000002</v>
      </c>
    </row>
    <row r="5757" spans="1:5" x14ac:dyDescent="0.25">
      <c r="A5757" s="323" t="s">
        <v>4754</v>
      </c>
      <c r="B5757" s="323" t="s">
        <v>805</v>
      </c>
      <c r="C5757" s="323">
        <v>46385</v>
      </c>
      <c r="D5757" s="323">
        <v>274</v>
      </c>
      <c r="E5757" s="324">
        <f t="shared" si="89"/>
        <v>66817.64</v>
      </c>
    </row>
    <row r="5758" spans="1:5" x14ac:dyDescent="0.25">
      <c r="A5758" s="323" t="s">
        <v>2759</v>
      </c>
      <c r="B5758" s="323" t="s">
        <v>805</v>
      </c>
      <c r="C5758" s="323">
        <v>46697</v>
      </c>
      <c r="D5758" s="323">
        <v>169</v>
      </c>
      <c r="E5758" s="324">
        <f t="shared" si="89"/>
        <v>41212.340000000004</v>
      </c>
    </row>
    <row r="5759" spans="1:5" x14ac:dyDescent="0.25">
      <c r="A5759" s="323" t="s">
        <v>2760</v>
      </c>
      <c r="B5759" s="323" t="s">
        <v>805</v>
      </c>
      <c r="C5759" s="323">
        <v>46723</v>
      </c>
      <c r="D5759" s="323">
        <v>190</v>
      </c>
      <c r="E5759" s="324">
        <f t="shared" si="89"/>
        <v>46333.4</v>
      </c>
    </row>
    <row r="5760" spans="1:5" x14ac:dyDescent="0.25">
      <c r="A5760" s="323" t="s">
        <v>3263</v>
      </c>
      <c r="B5760" s="323" t="s">
        <v>805</v>
      </c>
      <c r="C5760" s="323">
        <v>46723</v>
      </c>
      <c r="D5760" s="323">
        <v>369</v>
      </c>
      <c r="E5760" s="324">
        <f t="shared" si="89"/>
        <v>89984.340000000011</v>
      </c>
    </row>
    <row r="5761" spans="1:5" x14ac:dyDescent="0.25">
      <c r="A5761" s="323" t="s">
        <v>1296</v>
      </c>
      <c r="B5761" s="323" t="s">
        <v>805</v>
      </c>
      <c r="C5761" s="323">
        <v>46724</v>
      </c>
      <c r="D5761" s="323">
        <v>80</v>
      </c>
      <c r="E5761" s="324">
        <f t="shared" si="89"/>
        <v>19508.800000000003</v>
      </c>
    </row>
    <row r="5762" spans="1:5" x14ac:dyDescent="0.25">
      <c r="A5762" s="323" t="s">
        <v>1815</v>
      </c>
      <c r="B5762" s="323" t="s">
        <v>805</v>
      </c>
      <c r="C5762" s="323">
        <v>46724</v>
      </c>
      <c r="D5762" s="323">
        <v>134</v>
      </c>
      <c r="E5762" s="324">
        <f t="shared" ref="E5762:E5825" si="90">D5762*IF(B5762=$G$9,WerkdrukbedragPerLeerlingBo,IF(B5762=$G$10,WerkdrukbedragPerLeerlingSbo,IF(B5762=$G$11,WerkdrukbedragPerLeerlingSo,IF(B5762=$G$12,WerkdrukbedragPerLeerlingVso,0))))</f>
        <v>32677.24</v>
      </c>
    </row>
    <row r="5763" spans="1:5" x14ac:dyDescent="0.25">
      <c r="A5763" s="323" t="s">
        <v>2525</v>
      </c>
      <c r="B5763" s="323" t="s">
        <v>805</v>
      </c>
      <c r="C5763" s="323">
        <v>46724</v>
      </c>
      <c r="D5763" s="323">
        <v>90</v>
      </c>
      <c r="E5763" s="324">
        <f t="shared" si="90"/>
        <v>21947.4</v>
      </c>
    </row>
    <row r="5764" spans="1:5" x14ac:dyDescent="0.25">
      <c r="A5764" s="323" t="s">
        <v>2556</v>
      </c>
      <c r="B5764" s="323" t="s">
        <v>805</v>
      </c>
      <c r="C5764" s="323">
        <v>46724</v>
      </c>
      <c r="D5764" s="323">
        <v>75</v>
      </c>
      <c r="E5764" s="324">
        <f t="shared" si="90"/>
        <v>18289.5</v>
      </c>
    </row>
    <row r="5765" spans="1:5" x14ac:dyDescent="0.25">
      <c r="A5765" s="323" t="s">
        <v>3123</v>
      </c>
      <c r="B5765" s="323" t="s">
        <v>805</v>
      </c>
      <c r="C5765" s="323">
        <v>46724</v>
      </c>
      <c r="D5765" s="323">
        <v>168</v>
      </c>
      <c r="E5765" s="324">
        <f t="shared" si="90"/>
        <v>40968.480000000003</v>
      </c>
    </row>
    <row r="5766" spans="1:5" x14ac:dyDescent="0.25">
      <c r="A5766" s="323" t="s">
        <v>3184</v>
      </c>
      <c r="B5766" s="323" t="s">
        <v>805</v>
      </c>
      <c r="C5766" s="323">
        <v>46724</v>
      </c>
      <c r="D5766" s="323">
        <v>91</v>
      </c>
      <c r="E5766" s="324">
        <f t="shared" si="90"/>
        <v>22191.260000000002</v>
      </c>
    </row>
    <row r="5767" spans="1:5" x14ac:dyDescent="0.25">
      <c r="A5767" s="323" t="s">
        <v>3478</v>
      </c>
      <c r="B5767" s="323" t="s">
        <v>805</v>
      </c>
      <c r="C5767" s="323">
        <v>46724</v>
      </c>
      <c r="D5767" s="323">
        <v>191</v>
      </c>
      <c r="E5767" s="324">
        <f t="shared" si="90"/>
        <v>46577.26</v>
      </c>
    </row>
    <row r="5768" spans="1:5" x14ac:dyDescent="0.25">
      <c r="A5768" s="323" t="s">
        <v>3951</v>
      </c>
      <c r="B5768" s="323" t="s">
        <v>805</v>
      </c>
      <c r="C5768" s="323">
        <v>46724</v>
      </c>
      <c r="D5768" s="323">
        <v>342</v>
      </c>
      <c r="E5768" s="324">
        <f t="shared" si="90"/>
        <v>83400.12000000001</v>
      </c>
    </row>
    <row r="5769" spans="1:5" x14ac:dyDescent="0.25">
      <c r="A5769" s="323" t="s">
        <v>4115</v>
      </c>
      <c r="B5769" s="323" t="s">
        <v>805</v>
      </c>
      <c r="C5769" s="323">
        <v>46724</v>
      </c>
      <c r="D5769" s="323">
        <v>300</v>
      </c>
      <c r="E5769" s="324">
        <f t="shared" si="90"/>
        <v>73158</v>
      </c>
    </row>
    <row r="5770" spans="1:5" x14ac:dyDescent="0.25">
      <c r="A5770" s="323" t="s">
        <v>5136</v>
      </c>
      <c r="B5770" s="323" t="s">
        <v>816</v>
      </c>
      <c r="C5770" s="323">
        <v>46724</v>
      </c>
      <c r="D5770" s="323">
        <v>77</v>
      </c>
      <c r="E5770" s="324">
        <f t="shared" si="90"/>
        <v>28165.83</v>
      </c>
    </row>
    <row r="5771" spans="1:5" x14ac:dyDescent="0.25">
      <c r="A5771" s="323" t="s">
        <v>2048</v>
      </c>
      <c r="B5771" s="323" t="s">
        <v>805</v>
      </c>
      <c r="C5771" s="323">
        <v>46879</v>
      </c>
      <c r="D5771" s="323">
        <v>1815</v>
      </c>
      <c r="E5771" s="324">
        <f t="shared" si="90"/>
        <v>442605.9</v>
      </c>
    </row>
    <row r="5772" spans="1:5" x14ac:dyDescent="0.25">
      <c r="A5772" s="323" t="s">
        <v>1147</v>
      </c>
      <c r="B5772" s="323" t="s">
        <v>805</v>
      </c>
      <c r="C5772" s="323">
        <v>47100</v>
      </c>
      <c r="D5772" s="323">
        <v>288</v>
      </c>
      <c r="E5772" s="324">
        <f t="shared" si="90"/>
        <v>70231.680000000008</v>
      </c>
    </row>
    <row r="5773" spans="1:5" x14ac:dyDescent="0.25">
      <c r="A5773" s="323" t="s">
        <v>1820</v>
      </c>
      <c r="B5773" s="323" t="s">
        <v>805</v>
      </c>
      <c r="C5773" s="323">
        <v>47100</v>
      </c>
      <c r="D5773" s="323">
        <v>288</v>
      </c>
      <c r="E5773" s="324">
        <f t="shared" si="90"/>
        <v>70231.680000000008</v>
      </c>
    </row>
    <row r="5774" spans="1:5" x14ac:dyDescent="0.25">
      <c r="A5774" s="323" t="s">
        <v>4295</v>
      </c>
      <c r="B5774" s="323" t="s">
        <v>805</v>
      </c>
      <c r="C5774" s="323">
        <v>47100</v>
      </c>
      <c r="D5774" s="323">
        <v>507</v>
      </c>
      <c r="E5774" s="324">
        <f t="shared" si="90"/>
        <v>123637.02</v>
      </c>
    </row>
    <row r="5775" spans="1:5" x14ac:dyDescent="0.25">
      <c r="A5775" s="323" t="s">
        <v>4404</v>
      </c>
      <c r="B5775" s="323" t="s">
        <v>805</v>
      </c>
      <c r="C5775" s="323">
        <v>47100</v>
      </c>
      <c r="D5775" s="323">
        <v>220</v>
      </c>
      <c r="E5775" s="324">
        <f t="shared" si="90"/>
        <v>53649.200000000004</v>
      </c>
    </row>
    <row r="5776" spans="1:5" x14ac:dyDescent="0.25">
      <c r="A5776" s="323" t="s">
        <v>4511</v>
      </c>
      <c r="B5776" s="323" t="s">
        <v>805</v>
      </c>
      <c r="C5776" s="323">
        <v>47100</v>
      </c>
      <c r="D5776" s="323">
        <v>342</v>
      </c>
      <c r="E5776" s="324">
        <f t="shared" si="90"/>
        <v>83400.12000000001</v>
      </c>
    </row>
    <row r="5777" spans="1:5" x14ac:dyDescent="0.25">
      <c r="A5777" s="323" t="s">
        <v>4609</v>
      </c>
      <c r="B5777" s="323" t="s">
        <v>805</v>
      </c>
      <c r="C5777" s="323">
        <v>47100</v>
      </c>
      <c r="D5777" s="323">
        <v>224</v>
      </c>
      <c r="E5777" s="324">
        <f t="shared" si="90"/>
        <v>54624.639999999999</v>
      </c>
    </row>
    <row r="5778" spans="1:5" x14ac:dyDescent="0.25">
      <c r="A5778" s="323" t="s">
        <v>4691</v>
      </c>
      <c r="B5778" s="323" t="s">
        <v>805</v>
      </c>
      <c r="C5778" s="323">
        <v>47100</v>
      </c>
      <c r="D5778" s="323">
        <v>454</v>
      </c>
      <c r="E5778" s="324">
        <f t="shared" si="90"/>
        <v>110712.44</v>
      </c>
    </row>
    <row r="5779" spans="1:5" x14ac:dyDescent="0.25">
      <c r="A5779" s="323" t="s">
        <v>4819</v>
      </c>
      <c r="B5779" s="323" t="s">
        <v>805</v>
      </c>
      <c r="C5779" s="323">
        <v>47100</v>
      </c>
      <c r="D5779" s="323">
        <v>216</v>
      </c>
      <c r="E5779" s="324">
        <f t="shared" si="90"/>
        <v>52673.760000000002</v>
      </c>
    </row>
    <row r="5780" spans="1:5" x14ac:dyDescent="0.25">
      <c r="A5780" s="323" t="s">
        <v>4819</v>
      </c>
      <c r="B5780" s="323" t="s">
        <v>805</v>
      </c>
      <c r="C5780" s="323">
        <v>47100</v>
      </c>
      <c r="D5780" s="323">
        <v>175</v>
      </c>
      <c r="E5780" s="324">
        <f t="shared" si="90"/>
        <v>42675.5</v>
      </c>
    </row>
    <row r="5781" spans="1:5" x14ac:dyDescent="0.25">
      <c r="A5781" s="323" t="s">
        <v>4903</v>
      </c>
      <c r="B5781" s="323" t="s">
        <v>805</v>
      </c>
      <c r="C5781" s="323">
        <v>47100</v>
      </c>
      <c r="D5781" s="323">
        <v>177</v>
      </c>
      <c r="E5781" s="324">
        <f t="shared" si="90"/>
        <v>43163.22</v>
      </c>
    </row>
    <row r="5782" spans="1:5" x14ac:dyDescent="0.25">
      <c r="A5782" s="323" t="s">
        <v>4955</v>
      </c>
      <c r="B5782" s="323" t="s">
        <v>805</v>
      </c>
      <c r="C5782" s="323">
        <v>47100</v>
      </c>
      <c r="D5782" s="323">
        <v>215</v>
      </c>
      <c r="E5782" s="324">
        <f t="shared" si="90"/>
        <v>52429.9</v>
      </c>
    </row>
    <row r="5783" spans="1:5" x14ac:dyDescent="0.25">
      <c r="A5783" s="323" t="s">
        <v>4990</v>
      </c>
      <c r="B5783" s="323" t="s">
        <v>805</v>
      </c>
      <c r="C5783" s="323">
        <v>47100</v>
      </c>
      <c r="D5783" s="323">
        <v>259</v>
      </c>
      <c r="E5783" s="324">
        <f t="shared" si="90"/>
        <v>63159.740000000005</v>
      </c>
    </row>
    <row r="5784" spans="1:5" x14ac:dyDescent="0.25">
      <c r="A5784" s="323" t="s">
        <v>5062</v>
      </c>
      <c r="B5784" s="323" t="s">
        <v>805</v>
      </c>
      <c r="C5784" s="323">
        <v>47100</v>
      </c>
      <c r="D5784" s="323">
        <v>390</v>
      </c>
      <c r="E5784" s="324">
        <f t="shared" si="90"/>
        <v>95105.400000000009</v>
      </c>
    </row>
    <row r="5785" spans="1:5" x14ac:dyDescent="0.25">
      <c r="A5785" s="323" t="s">
        <v>6494</v>
      </c>
      <c r="B5785" s="323" t="s">
        <v>805</v>
      </c>
      <c r="C5785" s="323">
        <v>47322</v>
      </c>
      <c r="D5785" s="323">
        <v>210</v>
      </c>
      <c r="E5785" s="324">
        <f t="shared" si="90"/>
        <v>51210.600000000006</v>
      </c>
    </row>
    <row r="5786" spans="1:5" x14ac:dyDescent="0.25">
      <c r="A5786" s="323" t="s">
        <v>6494</v>
      </c>
      <c r="B5786" s="323" t="s">
        <v>805</v>
      </c>
      <c r="C5786" s="323">
        <v>47322</v>
      </c>
      <c r="D5786" s="323">
        <v>221</v>
      </c>
      <c r="E5786" s="324">
        <f t="shared" si="90"/>
        <v>53893.060000000005</v>
      </c>
    </row>
    <row r="5787" spans="1:5" x14ac:dyDescent="0.25">
      <c r="A5787" s="323" t="s">
        <v>6530</v>
      </c>
      <c r="B5787" s="323" t="s">
        <v>805</v>
      </c>
      <c r="C5787" s="323">
        <v>47322</v>
      </c>
      <c r="D5787" s="323">
        <v>485</v>
      </c>
      <c r="E5787" s="324">
        <f t="shared" si="90"/>
        <v>118272.1</v>
      </c>
    </row>
    <row r="5788" spans="1:5" x14ac:dyDescent="0.25">
      <c r="A5788" s="323" t="s">
        <v>5207</v>
      </c>
      <c r="B5788" s="323" t="s">
        <v>805</v>
      </c>
      <c r="C5788" s="323">
        <v>47438</v>
      </c>
      <c r="D5788" s="323">
        <v>68</v>
      </c>
      <c r="E5788" s="324">
        <f t="shared" si="90"/>
        <v>16582.48</v>
      </c>
    </row>
    <row r="5789" spans="1:5" x14ac:dyDescent="0.25">
      <c r="A5789" s="323" t="s">
        <v>1636</v>
      </c>
      <c r="B5789" s="323" t="s">
        <v>805</v>
      </c>
      <c r="C5789" s="323">
        <v>47595</v>
      </c>
      <c r="D5789" s="323">
        <v>239</v>
      </c>
      <c r="E5789" s="324">
        <f t="shared" si="90"/>
        <v>58282.54</v>
      </c>
    </row>
    <row r="5790" spans="1:5" x14ac:dyDescent="0.25">
      <c r="A5790" s="323" t="s">
        <v>2085</v>
      </c>
      <c r="B5790" s="323" t="s">
        <v>816</v>
      </c>
      <c r="C5790" s="323">
        <v>47595</v>
      </c>
      <c r="D5790" s="323">
        <v>116</v>
      </c>
      <c r="E5790" s="324">
        <f t="shared" si="90"/>
        <v>42431.64</v>
      </c>
    </row>
    <row r="5791" spans="1:5" x14ac:dyDescent="0.25">
      <c r="A5791" s="323" t="s">
        <v>3228</v>
      </c>
      <c r="B5791" s="323" t="s">
        <v>805</v>
      </c>
      <c r="C5791" s="323">
        <v>47595</v>
      </c>
      <c r="D5791" s="323">
        <v>219</v>
      </c>
      <c r="E5791" s="324">
        <f t="shared" si="90"/>
        <v>53405.340000000004</v>
      </c>
    </row>
    <row r="5792" spans="1:5" x14ac:dyDescent="0.25">
      <c r="A5792" s="323" t="s">
        <v>3355</v>
      </c>
      <c r="B5792" s="323" t="s">
        <v>805</v>
      </c>
      <c r="C5792" s="323">
        <v>47595</v>
      </c>
      <c r="D5792" s="323">
        <v>359</v>
      </c>
      <c r="E5792" s="324">
        <f t="shared" si="90"/>
        <v>87545.74</v>
      </c>
    </row>
    <row r="5793" spans="1:5" x14ac:dyDescent="0.25">
      <c r="A5793" s="323" t="s">
        <v>3554</v>
      </c>
      <c r="B5793" s="323" t="s">
        <v>805</v>
      </c>
      <c r="C5793" s="323">
        <v>47595</v>
      </c>
      <c r="D5793" s="323">
        <v>305</v>
      </c>
      <c r="E5793" s="324">
        <f t="shared" si="90"/>
        <v>74377.3</v>
      </c>
    </row>
    <row r="5794" spans="1:5" x14ac:dyDescent="0.25">
      <c r="A5794" s="323" t="s">
        <v>3628</v>
      </c>
      <c r="B5794" s="323" t="s">
        <v>805</v>
      </c>
      <c r="C5794" s="323">
        <v>47595</v>
      </c>
      <c r="D5794" s="323">
        <v>344</v>
      </c>
      <c r="E5794" s="324">
        <f t="shared" si="90"/>
        <v>83887.840000000011</v>
      </c>
    </row>
    <row r="5795" spans="1:5" x14ac:dyDescent="0.25">
      <c r="A5795" s="323" t="s">
        <v>3813</v>
      </c>
      <c r="B5795" s="323" t="s">
        <v>805</v>
      </c>
      <c r="C5795" s="323">
        <v>47595</v>
      </c>
      <c r="D5795" s="323">
        <v>394</v>
      </c>
      <c r="E5795" s="324">
        <f t="shared" si="90"/>
        <v>96080.840000000011</v>
      </c>
    </row>
    <row r="5796" spans="1:5" x14ac:dyDescent="0.25">
      <c r="A5796" s="323" t="s">
        <v>3870</v>
      </c>
      <c r="B5796" s="323" t="s">
        <v>805</v>
      </c>
      <c r="C5796" s="323">
        <v>47595</v>
      </c>
      <c r="D5796" s="323">
        <v>489</v>
      </c>
      <c r="E5796" s="324">
        <f t="shared" si="90"/>
        <v>119247.54000000001</v>
      </c>
    </row>
    <row r="5797" spans="1:5" x14ac:dyDescent="0.25">
      <c r="A5797" s="323" t="s">
        <v>3870</v>
      </c>
      <c r="B5797" s="323" t="s">
        <v>805</v>
      </c>
      <c r="C5797" s="323">
        <v>47595</v>
      </c>
      <c r="D5797" s="323">
        <v>109</v>
      </c>
      <c r="E5797" s="324">
        <f t="shared" si="90"/>
        <v>26580.74</v>
      </c>
    </row>
    <row r="5798" spans="1:5" x14ac:dyDescent="0.25">
      <c r="A5798" s="323" t="s">
        <v>4364</v>
      </c>
      <c r="B5798" s="323" t="s">
        <v>805</v>
      </c>
      <c r="C5798" s="323">
        <v>47595</v>
      </c>
      <c r="D5798" s="323">
        <v>256</v>
      </c>
      <c r="E5798" s="324">
        <f t="shared" si="90"/>
        <v>62428.160000000003</v>
      </c>
    </row>
    <row r="5799" spans="1:5" x14ac:dyDescent="0.25">
      <c r="A5799" s="323" t="s">
        <v>4470</v>
      </c>
      <c r="B5799" s="323" t="s">
        <v>805</v>
      </c>
      <c r="C5799" s="323">
        <v>47595</v>
      </c>
      <c r="D5799" s="323">
        <v>310</v>
      </c>
      <c r="E5799" s="324">
        <f t="shared" si="90"/>
        <v>75596.600000000006</v>
      </c>
    </row>
    <row r="5800" spans="1:5" x14ac:dyDescent="0.25">
      <c r="A5800" s="323" t="s">
        <v>4578</v>
      </c>
      <c r="B5800" s="323" t="s">
        <v>805</v>
      </c>
      <c r="C5800" s="323">
        <v>47595</v>
      </c>
      <c r="D5800" s="323">
        <v>397</v>
      </c>
      <c r="E5800" s="324">
        <f t="shared" si="90"/>
        <v>96812.42</v>
      </c>
    </row>
    <row r="5801" spans="1:5" x14ac:dyDescent="0.25">
      <c r="A5801" s="323" t="s">
        <v>4724</v>
      </c>
      <c r="B5801" s="323" t="s">
        <v>805</v>
      </c>
      <c r="C5801" s="323">
        <v>47595</v>
      </c>
      <c r="D5801" s="323">
        <v>227</v>
      </c>
      <c r="E5801" s="324">
        <f t="shared" si="90"/>
        <v>55356.22</v>
      </c>
    </row>
    <row r="5802" spans="1:5" x14ac:dyDescent="0.25">
      <c r="A5802" s="323" t="s">
        <v>4796</v>
      </c>
      <c r="B5802" s="323" t="s">
        <v>805</v>
      </c>
      <c r="C5802" s="323">
        <v>47595</v>
      </c>
      <c r="D5802" s="323">
        <v>267</v>
      </c>
      <c r="E5802" s="324">
        <f t="shared" si="90"/>
        <v>65110.62</v>
      </c>
    </row>
    <row r="5803" spans="1:5" x14ac:dyDescent="0.25">
      <c r="A5803" s="323" t="s">
        <v>4847</v>
      </c>
      <c r="B5803" s="323" t="s">
        <v>805</v>
      </c>
      <c r="C5803" s="323">
        <v>47595</v>
      </c>
      <c r="D5803" s="323">
        <v>217</v>
      </c>
      <c r="E5803" s="324">
        <f t="shared" si="90"/>
        <v>52917.62</v>
      </c>
    </row>
    <row r="5804" spans="1:5" x14ac:dyDescent="0.25">
      <c r="A5804" s="323" t="s">
        <v>4941</v>
      </c>
      <c r="B5804" s="323" t="s">
        <v>805</v>
      </c>
      <c r="C5804" s="323">
        <v>47595</v>
      </c>
      <c r="D5804" s="323">
        <v>167</v>
      </c>
      <c r="E5804" s="324">
        <f t="shared" si="90"/>
        <v>40724.620000000003</v>
      </c>
    </row>
    <row r="5805" spans="1:5" x14ac:dyDescent="0.25">
      <c r="A5805" s="323" t="s">
        <v>4941</v>
      </c>
      <c r="B5805" s="323" t="s">
        <v>805</v>
      </c>
      <c r="C5805" s="323">
        <v>47595</v>
      </c>
      <c r="D5805" s="323">
        <v>284</v>
      </c>
      <c r="E5805" s="324">
        <f t="shared" si="90"/>
        <v>69256.240000000005</v>
      </c>
    </row>
    <row r="5806" spans="1:5" x14ac:dyDescent="0.25">
      <c r="A5806" s="323" t="s">
        <v>5016</v>
      </c>
      <c r="B5806" s="323" t="s">
        <v>805</v>
      </c>
      <c r="C5806" s="323">
        <v>47595</v>
      </c>
      <c r="D5806" s="323">
        <v>213</v>
      </c>
      <c r="E5806" s="324">
        <f t="shared" si="90"/>
        <v>51942.18</v>
      </c>
    </row>
    <row r="5807" spans="1:5" x14ac:dyDescent="0.25">
      <c r="A5807" s="323" t="s">
        <v>5053</v>
      </c>
      <c r="B5807" s="323" t="s">
        <v>805</v>
      </c>
      <c r="C5807" s="323">
        <v>47595</v>
      </c>
      <c r="D5807" s="323">
        <v>224</v>
      </c>
      <c r="E5807" s="324">
        <f t="shared" si="90"/>
        <v>54624.639999999999</v>
      </c>
    </row>
    <row r="5808" spans="1:5" x14ac:dyDescent="0.25">
      <c r="A5808" s="323" t="s">
        <v>5075</v>
      </c>
      <c r="B5808" s="323" t="s">
        <v>805</v>
      </c>
      <c r="C5808" s="323">
        <v>47595</v>
      </c>
      <c r="D5808" s="323">
        <v>269</v>
      </c>
      <c r="E5808" s="324">
        <f t="shared" si="90"/>
        <v>65598.34</v>
      </c>
    </row>
    <row r="5809" spans="1:5" x14ac:dyDescent="0.25">
      <c r="A5809" s="323" t="s">
        <v>5145</v>
      </c>
      <c r="B5809" s="323" t="s">
        <v>816</v>
      </c>
      <c r="C5809" s="323">
        <v>47595</v>
      </c>
      <c r="D5809" s="323">
        <v>104</v>
      </c>
      <c r="E5809" s="324">
        <f t="shared" si="90"/>
        <v>38042.160000000003</v>
      </c>
    </row>
    <row r="5810" spans="1:5" x14ac:dyDescent="0.25">
      <c r="A5810" s="323" t="s">
        <v>5684</v>
      </c>
      <c r="B5810" s="323" t="s">
        <v>805</v>
      </c>
      <c r="C5810" s="323">
        <v>47595</v>
      </c>
      <c r="D5810" s="323">
        <v>265</v>
      </c>
      <c r="E5810" s="324">
        <f t="shared" si="90"/>
        <v>64622.9</v>
      </c>
    </row>
    <row r="5811" spans="1:5" x14ac:dyDescent="0.25">
      <c r="A5811" s="323" t="s">
        <v>5703</v>
      </c>
      <c r="B5811" s="323" t="s">
        <v>805</v>
      </c>
      <c r="C5811" s="323">
        <v>47595</v>
      </c>
      <c r="D5811" s="323">
        <v>463</v>
      </c>
      <c r="E5811" s="324">
        <f t="shared" si="90"/>
        <v>112907.18000000001</v>
      </c>
    </row>
    <row r="5812" spans="1:5" x14ac:dyDescent="0.25">
      <c r="A5812" s="323" t="s">
        <v>5714</v>
      </c>
      <c r="B5812" s="323" t="s">
        <v>805</v>
      </c>
      <c r="C5812" s="323">
        <v>47595</v>
      </c>
      <c r="D5812" s="323">
        <v>210</v>
      </c>
      <c r="E5812" s="324">
        <f t="shared" si="90"/>
        <v>51210.600000000006</v>
      </c>
    </row>
    <row r="5813" spans="1:5" x14ac:dyDescent="0.25">
      <c r="A5813" s="323" t="s">
        <v>5723</v>
      </c>
      <c r="B5813" s="323" t="s">
        <v>805</v>
      </c>
      <c r="C5813" s="323">
        <v>47595</v>
      </c>
      <c r="D5813" s="323">
        <v>226</v>
      </c>
      <c r="E5813" s="324">
        <f t="shared" si="90"/>
        <v>55112.36</v>
      </c>
    </row>
    <row r="5814" spans="1:5" x14ac:dyDescent="0.25">
      <c r="A5814" s="323" t="s">
        <v>6624</v>
      </c>
      <c r="B5814" s="323" t="s">
        <v>809</v>
      </c>
      <c r="C5814" s="323">
        <v>47595</v>
      </c>
      <c r="D5814" s="323">
        <v>178</v>
      </c>
      <c r="E5814" s="324">
        <f t="shared" si="90"/>
        <v>86814.16</v>
      </c>
    </row>
    <row r="5815" spans="1:5" x14ac:dyDescent="0.25">
      <c r="A5815" s="323" t="s">
        <v>1666</v>
      </c>
      <c r="B5815" s="323" t="s">
        <v>805</v>
      </c>
      <c r="C5815" s="323">
        <v>47659</v>
      </c>
      <c r="D5815" s="323">
        <v>214</v>
      </c>
      <c r="E5815" s="324">
        <f t="shared" si="90"/>
        <v>52186.04</v>
      </c>
    </row>
    <row r="5816" spans="1:5" x14ac:dyDescent="0.25">
      <c r="A5816" s="323" t="s">
        <v>1667</v>
      </c>
      <c r="B5816" s="323" t="s">
        <v>805</v>
      </c>
      <c r="C5816" s="323">
        <v>47685</v>
      </c>
      <c r="D5816" s="323">
        <v>138</v>
      </c>
      <c r="E5816" s="324">
        <f t="shared" si="90"/>
        <v>33652.68</v>
      </c>
    </row>
    <row r="5817" spans="1:5" x14ac:dyDescent="0.25">
      <c r="A5817" s="323" t="s">
        <v>2765</v>
      </c>
      <c r="B5817" s="323" t="s">
        <v>805</v>
      </c>
      <c r="C5817" s="323">
        <v>47867</v>
      </c>
      <c r="D5817" s="323">
        <v>252</v>
      </c>
      <c r="E5817" s="324">
        <f t="shared" si="90"/>
        <v>61452.72</v>
      </c>
    </row>
    <row r="5818" spans="1:5" x14ac:dyDescent="0.25">
      <c r="A5818" s="323" t="s">
        <v>3264</v>
      </c>
      <c r="B5818" s="323" t="s">
        <v>805</v>
      </c>
      <c r="C5818" s="323">
        <v>47867</v>
      </c>
      <c r="D5818" s="323">
        <v>234</v>
      </c>
      <c r="E5818" s="324">
        <f t="shared" si="90"/>
        <v>57063.240000000005</v>
      </c>
    </row>
    <row r="5819" spans="1:5" x14ac:dyDescent="0.25">
      <c r="A5819" s="323" t="s">
        <v>899</v>
      </c>
      <c r="B5819" s="323" t="s">
        <v>816</v>
      </c>
      <c r="C5819" s="323">
        <v>47920</v>
      </c>
      <c r="D5819" s="323">
        <v>80</v>
      </c>
      <c r="E5819" s="324">
        <f t="shared" si="90"/>
        <v>29263.200000000001</v>
      </c>
    </row>
    <row r="5820" spans="1:5" x14ac:dyDescent="0.25">
      <c r="A5820" s="323" t="s">
        <v>1213</v>
      </c>
      <c r="B5820" s="323" t="s">
        <v>805</v>
      </c>
      <c r="C5820" s="323">
        <v>47920</v>
      </c>
      <c r="D5820" s="323">
        <v>78</v>
      </c>
      <c r="E5820" s="324">
        <f t="shared" si="90"/>
        <v>19021.080000000002</v>
      </c>
    </row>
    <row r="5821" spans="1:5" x14ac:dyDescent="0.25">
      <c r="A5821" s="323" t="s">
        <v>1214</v>
      </c>
      <c r="B5821" s="323" t="s">
        <v>805</v>
      </c>
      <c r="C5821" s="323">
        <v>47920</v>
      </c>
      <c r="D5821" s="323">
        <v>208</v>
      </c>
      <c r="E5821" s="324">
        <f t="shared" si="90"/>
        <v>50722.880000000005</v>
      </c>
    </row>
    <row r="5822" spans="1:5" x14ac:dyDescent="0.25">
      <c r="A5822" s="323" t="s">
        <v>1215</v>
      </c>
      <c r="B5822" s="323" t="s">
        <v>805</v>
      </c>
      <c r="C5822" s="323">
        <v>47920</v>
      </c>
      <c r="D5822" s="323">
        <v>165</v>
      </c>
      <c r="E5822" s="324">
        <f t="shared" si="90"/>
        <v>40236.9</v>
      </c>
    </row>
    <row r="5823" spans="1:5" x14ac:dyDescent="0.25">
      <c r="A5823" s="323" t="s">
        <v>1302</v>
      </c>
      <c r="B5823" s="323" t="s">
        <v>805</v>
      </c>
      <c r="C5823" s="323">
        <v>47920</v>
      </c>
      <c r="D5823" s="323">
        <v>104</v>
      </c>
      <c r="E5823" s="324">
        <f t="shared" si="90"/>
        <v>25361.440000000002</v>
      </c>
    </row>
    <row r="5824" spans="1:5" x14ac:dyDescent="0.25">
      <c r="A5824" s="323" t="s">
        <v>1303</v>
      </c>
      <c r="B5824" s="323" t="s">
        <v>805</v>
      </c>
      <c r="C5824" s="323">
        <v>47920</v>
      </c>
      <c r="D5824" s="323">
        <v>175</v>
      </c>
      <c r="E5824" s="324">
        <f t="shared" si="90"/>
        <v>42675.5</v>
      </c>
    </row>
    <row r="5825" spans="1:5" x14ac:dyDescent="0.25">
      <c r="A5825" s="323" t="s">
        <v>1304</v>
      </c>
      <c r="B5825" s="323" t="s">
        <v>805</v>
      </c>
      <c r="C5825" s="323">
        <v>47920</v>
      </c>
      <c r="D5825" s="323">
        <v>184</v>
      </c>
      <c r="E5825" s="324">
        <f t="shared" si="90"/>
        <v>44870.240000000005</v>
      </c>
    </row>
    <row r="5826" spans="1:5" x14ac:dyDescent="0.25">
      <c r="A5826" s="323" t="s">
        <v>1305</v>
      </c>
      <c r="B5826" s="323" t="s">
        <v>805</v>
      </c>
      <c r="C5826" s="323">
        <v>47920</v>
      </c>
      <c r="D5826" s="323">
        <v>149</v>
      </c>
      <c r="E5826" s="324">
        <f t="shared" ref="E5826:E5889" si="91">D5826*IF(B5826=$G$9,WerkdrukbedragPerLeerlingBo,IF(B5826=$G$10,WerkdrukbedragPerLeerlingSbo,IF(B5826=$G$11,WerkdrukbedragPerLeerlingSo,IF(B5826=$G$12,WerkdrukbedragPerLeerlingVso,0))))</f>
        <v>36335.14</v>
      </c>
    </row>
    <row r="5827" spans="1:5" x14ac:dyDescent="0.25">
      <c r="A5827" s="323" t="s">
        <v>1306</v>
      </c>
      <c r="B5827" s="323" t="s">
        <v>805</v>
      </c>
      <c r="C5827" s="323">
        <v>47920</v>
      </c>
      <c r="D5827" s="323">
        <v>340</v>
      </c>
      <c r="E5827" s="324">
        <f t="shared" si="91"/>
        <v>82912.400000000009</v>
      </c>
    </row>
    <row r="5828" spans="1:5" x14ac:dyDescent="0.25">
      <c r="A5828" s="323" t="s">
        <v>1369</v>
      </c>
      <c r="B5828" s="323" t="s">
        <v>805</v>
      </c>
      <c r="C5828" s="323">
        <v>47920</v>
      </c>
      <c r="D5828" s="323">
        <v>152</v>
      </c>
      <c r="E5828" s="324">
        <f t="shared" si="91"/>
        <v>37066.720000000001</v>
      </c>
    </row>
    <row r="5829" spans="1:5" x14ac:dyDescent="0.25">
      <c r="A5829" s="323" t="s">
        <v>1769</v>
      </c>
      <c r="B5829" s="323" t="s">
        <v>805</v>
      </c>
      <c r="C5829" s="323">
        <v>47920</v>
      </c>
      <c r="D5829" s="323">
        <v>153</v>
      </c>
      <c r="E5829" s="324">
        <f t="shared" si="91"/>
        <v>37310.58</v>
      </c>
    </row>
    <row r="5830" spans="1:5" x14ac:dyDescent="0.25">
      <c r="A5830" s="323" t="s">
        <v>1790</v>
      </c>
      <c r="B5830" s="323" t="s">
        <v>805</v>
      </c>
      <c r="C5830" s="323">
        <v>47920</v>
      </c>
      <c r="D5830" s="323">
        <v>107</v>
      </c>
      <c r="E5830" s="324">
        <f t="shared" si="91"/>
        <v>26093.02</v>
      </c>
    </row>
    <row r="5831" spans="1:5" x14ac:dyDescent="0.25">
      <c r="A5831" s="323" t="s">
        <v>2302</v>
      </c>
      <c r="B5831" s="323" t="s">
        <v>805</v>
      </c>
      <c r="C5831" s="323">
        <v>47920</v>
      </c>
      <c r="D5831" s="323">
        <v>362</v>
      </c>
      <c r="E5831" s="324">
        <f t="shared" si="91"/>
        <v>88277.32</v>
      </c>
    </row>
    <row r="5832" spans="1:5" x14ac:dyDescent="0.25">
      <c r="A5832" s="323" t="s">
        <v>2335</v>
      </c>
      <c r="B5832" s="323" t="s">
        <v>805</v>
      </c>
      <c r="C5832" s="323">
        <v>47920</v>
      </c>
      <c r="D5832" s="323">
        <v>122</v>
      </c>
      <c r="E5832" s="324">
        <f t="shared" si="91"/>
        <v>29750.920000000002</v>
      </c>
    </row>
    <row r="5833" spans="1:5" x14ac:dyDescent="0.25">
      <c r="A5833" s="323" t="s">
        <v>2437</v>
      </c>
      <c r="B5833" s="323" t="s">
        <v>805</v>
      </c>
      <c r="C5833" s="323">
        <v>47920</v>
      </c>
      <c r="D5833" s="323">
        <v>50</v>
      </c>
      <c r="E5833" s="324">
        <f t="shared" si="91"/>
        <v>12193</v>
      </c>
    </row>
    <row r="5834" spans="1:5" x14ac:dyDescent="0.25">
      <c r="A5834" s="323" t="s">
        <v>3484</v>
      </c>
      <c r="B5834" s="323" t="s">
        <v>805</v>
      </c>
      <c r="C5834" s="323">
        <v>47920</v>
      </c>
      <c r="D5834" s="323">
        <v>225</v>
      </c>
      <c r="E5834" s="324">
        <f t="shared" si="91"/>
        <v>54868.5</v>
      </c>
    </row>
    <row r="5835" spans="1:5" x14ac:dyDescent="0.25">
      <c r="A5835" s="323" t="s">
        <v>4172</v>
      </c>
      <c r="B5835" s="323" t="s">
        <v>805</v>
      </c>
      <c r="C5835" s="323">
        <v>47920</v>
      </c>
      <c r="D5835" s="323">
        <v>239</v>
      </c>
      <c r="E5835" s="324">
        <f t="shared" si="91"/>
        <v>58282.54</v>
      </c>
    </row>
    <row r="5836" spans="1:5" x14ac:dyDescent="0.25">
      <c r="A5836" s="323" t="s">
        <v>4303</v>
      </c>
      <c r="B5836" s="323" t="s">
        <v>805</v>
      </c>
      <c r="C5836" s="323">
        <v>47920</v>
      </c>
      <c r="D5836" s="323">
        <v>89</v>
      </c>
      <c r="E5836" s="324">
        <f t="shared" si="91"/>
        <v>21703.54</v>
      </c>
    </row>
    <row r="5837" spans="1:5" x14ac:dyDescent="0.25">
      <c r="A5837" s="323" t="s">
        <v>4412</v>
      </c>
      <c r="B5837" s="323" t="s">
        <v>805</v>
      </c>
      <c r="C5837" s="323">
        <v>47920</v>
      </c>
      <c r="D5837" s="323">
        <v>151</v>
      </c>
      <c r="E5837" s="324">
        <f t="shared" si="91"/>
        <v>36822.86</v>
      </c>
    </row>
    <row r="5838" spans="1:5" x14ac:dyDescent="0.25">
      <c r="A5838" s="323" t="s">
        <v>2766</v>
      </c>
      <c r="B5838" s="323" t="s">
        <v>805</v>
      </c>
      <c r="C5838" s="323">
        <v>47932</v>
      </c>
      <c r="D5838" s="323">
        <v>236</v>
      </c>
      <c r="E5838" s="324">
        <f t="shared" si="91"/>
        <v>57550.960000000006</v>
      </c>
    </row>
    <row r="5839" spans="1:5" x14ac:dyDescent="0.25">
      <c r="A5839" s="323" t="s">
        <v>5208</v>
      </c>
      <c r="B5839" s="323" t="s">
        <v>805</v>
      </c>
      <c r="C5839" s="323">
        <v>47945</v>
      </c>
      <c r="D5839" s="323">
        <v>69</v>
      </c>
      <c r="E5839" s="324">
        <f t="shared" si="91"/>
        <v>16826.34</v>
      </c>
    </row>
    <row r="5840" spans="1:5" x14ac:dyDescent="0.25">
      <c r="A5840" s="323" t="s">
        <v>972</v>
      </c>
      <c r="B5840" s="323" t="s">
        <v>816</v>
      </c>
      <c r="C5840" s="323">
        <v>47959</v>
      </c>
      <c r="D5840" s="323">
        <v>31</v>
      </c>
      <c r="E5840" s="324">
        <f t="shared" si="91"/>
        <v>11339.49</v>
      </c>
    </row>
    <row r="5841" spans="1:5" x14ac:dyDescent="0.25">
      <c r="A5841" s="323" t="s">
        <v>1308</v>
      </c>
      <c r="B5841" s="323" t="s">
        <v>805</v>
      </c>
      <c r="C5841" s="323">
        <v>47959</v>
      </c>
      <c r="D5841" s="323">
        <v>140</v>
      </c>
      <c r="E5841" s="324">
        <f t="shared" si="91"/>
        <v>34140.400000000001</v>
      </c>
    </row>
    <row r="5842" spans="1:5" x14ac:dyDescent="0.25">
      <c r="A5842" s="323" t="s">
        <v>1309</v>
      </c>
      <c r="B5842" s="323" t="s">
        <v>805</v>
      </c>
      <c r="C5842" s="323">
        <v>47959</v>
      </c>
      <c r="D5842" s="323">
        <v>149</v>
      </c>
      <c r="E5842" s="324">
        <f t="shared" si="91"/>
        <v>36335.14</v>
      </c>
    </row>
    <row r="5843" spans="1:5" x14ac:dyDescent="0.25">
      <c r="A5843" s="323" t="s">
        <v>1321</v>
      </c>
      <c r="B5843" s="323" t="s">
        <v>805</v>
      </c>
      <c r="C5843" s="323">
        <v>47959</v>
      </c>
      <c r="D5843" s="323">
        <v>229</v>
      </c>
      <c r="E5843" s="324">
        <f t="shared" si="91"/>
        <v>55843.94</v>
      </c>
    </row>
    <row r="5844" spans="1:5" x14ac:dyDescent="0.25">
      <c r="A5844" s="323" t="s">
        <v>1323</v>
      </c>
      <c r="B5844" s="323" t="s">
        <v>805</v>
      </c>
      <c r="C5844" s="323">
        <v>47959</v>
      </c>
      <c r="D5844" s="323">
        <v>64</v>
      </c>
      <c r="E5844" s="324">
        <f t="shared" si="91"/>
        <v>15607.04</v>
      </c>
    </row>
    <row r="5845" spans="1:5" x14ac:dyDescent="0.25">
      <c r="A5845" s="323" t="s">
        <v>1725</v>
      </c>
      <c r="B5845" s="323" t="s">
        <v>805</v>
      </c>
      <c r="C5845" s="323">
        <v>47959</v>
      </c>
      <c r="D5845" s="323">
        <v>128</v>
      </c>
      <c r="E5845" s="324">
        <f t="shared" si="91"/>
        <v>31214.080000000002</v>
      </c>
    </row>
    <row r="5846" spans="1:5" x14ac:dyDescent="0.25">
      <c r="A5846" s="323" t="s">
        <v>2111</v>
      </c>
      <c r="B5846" s="323" t="s">
        <v>805</v>
      </c>
      <c r="C5846" s="323">
        <v>47959</v>
      </c>
      <c r="D5846" s="323">
        <v>159</v>
      </c>
      <c r="E5846" s="324">
        <f t="shared" si="91"/>
        <v>38773.740000000005</v>
      </c>
    </row>
    <row r="5847" spans="1:5" x14ac:dyDescent="0.25">
      <c r="A5847" s="323" t="s">
        <v>2573</v>
      </c>
      <c r="B5847" s="323" t="s">
        <v>805</v>
      </c>
      <c r="C5847" s="323">
        <v>47959</v>
      </c>
      <c r="D5847" s="323">
        <v>60</v>
      </c>
      <c r="E5847" s="324">
        <f t="shared" si="91"/>
        <v>14631.6</v>
      </c>
    </row>
    <row r="5848" spans="1:5" x14ac:dyDescent="0.25">
      <c r="A5848" s="323" t="s">
        <v>3785</v>
      </c>
      <c r="B5848" s="323" t="s">
        <v>805</v>
      </c>
      <c r="C5848" s="323">
        <v>47959</v>
      </c>
      <c r="D5848" s="323">
        <v>120</v>
      </c>
      <c r="E5848" s="324">
        <f t="shared" si="91"/>
        <v>29263.200000000001</v>
      </c>
    </row>
    <row r="5849" spans="1:5" x14ac:dyDescent="0.25">
      <c r="A5849" s="323" t="s">
        <v>3976</v>
      </c>
      <c r="B5849" s="323" t="s">
        <v>805</v>
      </c>
      <c r="C5849" s="323">
        <v>47959</v>
      </c>
      <c r="D5849" s="323">
        <v>263</v>
      </c>
      <c r="E5849" s="324">
        <f t="shared" si="91"/>
        <v>64135.18</v>
      </c>
    </row>
    <row r="5850" spans="1:5" x14ac:dyDescent="0.25">
      <c r="A5850" s="323" t="s">
        <v>4266</v>
      </c>
      <c r="B5850" s="323" t="s">
        <v>805</v>
      </c>
      <c r="C5850" s="323">
        <v>47959</v>
      </c>
      <c r="D5850" s="323">
        <v>192</v>
      </c>
      <c r="E5850" s="324">
        <f t="shared" si="91"/>
        <v>46821.120000000003</v>
      </c>
    </row>
    <row r="5851" spans="1:5" x14ac:dyDescent="0.25">
      <c r="A5851" s="323" t="s">
        <v>4374</v>
      </c>
      <c r="B5851" s="323" t="s">
        <v>805</v>
      </c>
      <c r="C5851" s="323">
        <v>47959</v>
      </c>
      <c r="D5851" s="323">
        <v>106</v>
      </c>
      <c r="E5851" s="324">
        <f t="shared" si="91"/>
        <v>25849.16</v>
      </c>
    </row>
    <row r="5852" spans="1:5" x14ac:dyDescent="0.25">
      <c r="A5852" s="323" t="s">
        <v>2497</v>
      </c>
      <c r="B5852" s="323" t="s">
        <v>805</v>
      </c>
      <c r="C5852" s="323">
        <v>48101</v>
      </c>
      <c r="D5852" s="323">
        <v>169</v>
      </c>
      <c r="E5852" s="324">
        <f t="shared" si="91"/>
        <v>41212.340000000004</v>
      </c>
    </row>
    <row r="5853" spans="1:5" x14ac:dyDescent="0.25">
      <c r="A5853" s="323" t="s">
        <v>3136</v>
      </c>
      <c r="B5853" s="323" t="s">
        <v>805</v>
      </c>
      <c r="C5853" s="323">
        <v>48101</v>
      </c>
      <c r="D5853" s="323">
        <v>655</v>
      </c>
      <c r="E5853" s="324">
        <f t="shared" si="91"/>
        <v>159728.30000000002</v>
      </c>
    </row>
    <row r="5854" spans="1:5" x14ac:dyDescent="0.25">
      <c r="A5854" s="323" t="s">
        <v>3248</v>
      </c>
      <c r="B5854" s="323" t="s">
        <v>805</v>
      </c>
      <c r="C5854" s="323">
        <v>48101</v>
      </c>
      <c r="D5854" s="323">
        <v>534</v>
      </c>
      <c r="E5854" s="324">
        <f t="shared" si="91"/>
        <v>130221.24</v>
      </c>
    </row>
    <row r="5855" spans="1:5" x14ac:dyDescent="0.25">
      <c r="A5855" s="323" t="s">
        <v>3488</v>
      </c>
      <c r="B5855" s="323" t="s">
        <v>805</v>
      </c>
      <c r="C5855" s="323">
        <v>48101</v>
      </c>
      <c r="D5855" s="323">
        <v>255</v>
      </c>
      <c r="E5855" s="324">
        <f t="shared" si="91"/>
        <v>62184.3</v>
      </c>
    </row>
    <row r="5856" spans="1:5" x14ac:dyDescent="0.25">
      <c r="A5856" s="323" t="s">
        <v>3570</v>
      </c>
      <c r="B5856" s="323" t="s">
        <v>805</v>
      </c>
      <c r="C5856" s="323">
        <v>48101</v>
      </c>
      <c r="D5856" s="323">
        <v>404</v>
      </c>
      <c r="E5856" s="324">
        <f t="shared" si="91"/>
        <v>98519.44</v>
      </c>
    </row>
    <row r="5857" spans="1:5" x14ac:dyDescent="0.25">
      <c r="A5857" s="323" t="s">
        <v>3577</v>
      </c>
      <c r="B5857" s="323" t="s">
        <v>805</v>
      </c>
      <c r="C5857" s="323">
        <v>48101</v>
      </c>
      <c r="D5857" s="323">
        <v>269</v>
      </c>
      <c r="E5857" s="324">
        <f t="shared" si="91"/>
        <v>65598.34</v>
      </c>
    </row>
    <row r="5858" spans="1:5" x14ac:dyDescent="0.25">
      <c r="A5858" s="323" t="s">
        <v>4018</v>
      </c>
      <c r="B5858" s="323" t="s">
        <v>805</v>
      </c>
      <c r="C5858" s="323">
        <v>48101</v>
      </c>
      <c r="D5858" s="323">
        <v>127</v>
      </c>
      <c r="E5858" s="324">
        <f t="shared" si="91"/>
        <v>30970.22</v>
      </c>
    </row>
    <row r="5859" spans="1:5" x14ac:dyDescent="0.25">
      <c r="A5859" s="323" t="s">
        <v>4109</v>
      </c>
      <c r="B5859" s="323" t="s">
        <v>805</v>
      </c>
      <c r="C5859" s="323">
        <v>48101</v>
      </c>
      <c r="D5859" s="323">
        <v>601</v>
      </c>
      <c r="E5859" s="324">
        <f t="shared" si="91"/>
        <v>146559.86000000002</v>
      </c>
    </row>
    <row r="5860" spans="1:5" x14ac:dyDescent="0.25">
      <c r="A5860" s="323" t="s">
        <v>4165</v>
      </c>
      <c r="B5860" s="323" t="s">
        <v>805</v>
      </c>
      <c r="C5860" s="323">
        <v>48101</v>
      </c>
      <c r="D5860" s="323">
        <v>210</v>
      </c>
      <c r="E5860" s="324">
        <f t="shared" si="91"/>
        <v>51210.600000000006</v>
      </c>
    </row>
    <row r="5861" spans="1:5" x14ac:dyDescent="0.25">
      <c r="A5861" s="323" t="s">
        <v>4296</v>
      </c>
      <c r="B5861" s="323" t="s">
        <v>805</v>
      </c>
      <c r="C5861" s="323">
        <v>48101</v>
      </c>
      <c r="D5861" s="323">
        <v>252</v>
      </c>
      <c r="E5861" s="324">
        <f t="shared" si="91"/>
        <v>61452.72</v>
      </c>
    </row>
    <row r="5862" spans="1:5" x14ac:dyDescent="0.25">
      <c r="A5862" s="323" t="s">
        <v>4513</v>
      </c>
      <c r="B5862" s="323" t="s">
        <v>805</v>
      </c>
      <c r="C5862" s="323">
        <v>48101</v>
      </c>
      <c r="D5862" s="323">
        <v>267</v>
      </c>
      <c r="E5862" s="324">
        <f t="shared" si="91"/>
        <v>65110.62</v>
      </c>
    </row>
    <row r="5863" spans="1:5" x14ac:dyDescent="0.25">
      <c r="A5863" s="323" t="s">
        <v>5847</v>
      </c>
      <c r="B5863" s="323" t="s">
        <v>805</v>
      </c>
      <c r="C5863" s="323">
        <v>48101</v>
      </c>
      <c r="D5863" s="323">
        <v>327</v>
      </c>
      <c r="E5863" s="324">
        <f t="shared" si="91"/>
        <v>79742.22</v>
      </c>
    </row>
    <row r="5864" spans="1:5" x14ac:dyDescent="0.25">
      <c r="A5864" s="323" t="s">
        <v>5868</v>
      </c>
      <c r="B5864" s="323" t="s">
        <v>805</v>
      </c>
      <c r="C5864" s="323">
        <v>48101</v>
      </c>
      <c r="D5864" s="323">
        <v>224</v>
      </c>
      <c r="E5864" s="324">
        <f t="shared" si="91"/>
        <v>54624.639999999999</v>
      </c>
    </row>
    <row r="5865" spans="1:5" x14ac:dyDescent="0.25">
      <c r="A5865" s="323" t="s">
        <v>6901</v>
      </c>
      <c r="B5865" s="323" t="s">
        <v>805</v>
      </c>
      <c r="C5865" s="323">
        <v>48101</v>
      </c>
      <c r="D5865" s="323">
        <v>271</v>
      </c>
      <c r="E5865" s="324">
        <f t="shared" si="91"/>
        <v>66086.06</v>
      </c>
    </row>
    <row r="5866" spans="1:5" x14ac:dyDescent="0.25">
      <c r="A5866" s="323" t="s">
        <v>7015</v>
      </c>
      <c r="B5866" s="323" t="s">
        <v>805</v>
      </c>
      <c r="C5866" s="323">
        <v>48101</v>
      </c>
      <c r="D5866" s="323">
        <v>437</v>
      </c>
      <c r="E5866" s="324">
        <f t="shared" si="91"/>
        <v>106566.82</v>
      </c>
    </row>
    <row r="5867" spans="1:5" x14ac:dyDescent="0.25">
      <c r="A5867" s="323" t="s">
        <v>7127</v>
      </c>
      <c r="B5867" s="323" t="s">
        <v>805</v>
      </c>
      <c r="C5867" s="323">
        <v>48101</v>
      </c>
      <c r="D5867" s="323">
        <v>139</v>
      </c>
      <c r="E5867" s="324">
        <f t="shared" si="91"/>
        <v>33896.54</v>
      </c>
    </row>
    <row r="5868" spans="1:5" x14ac:dyDescent="0.25">
      <c r="A5868" s="323" t="s">
        <v>7168</v>
      </c>
      <c r="B5868" s="323" t="s">
        <v>805</v>
      </c>
      <c r="C5868" s="323">
        <v>48101</v>
      </c>
      <c r="D5868" s="323">
        <v>265</v>
      </c>
      <c r="E5868" s="324">
        <f t="shared" si="91"/>
        <v>64622.9</v>
      </c>
    </row>
    <row r="5869" spans="1:5" x14ac:dyDescent="0.25">
      <c r="A5869" s="323" t="s">
        <v>7212</v>
      </c>
      <c r="B5869" s="323" t="s">
        <v>805</v>
      </c>
      <c r="C5869" s="323">
        <v>48101</v>
      </c>
      <c r="D5869" s="323">
        <v>335</v>
      </c>
      <c r="E5869" s="324">
        <f t="shared" si="91"/>
        <v>81693.100000000006</v>
      </c>
    </row>
    <row r="5870" spans="1:5" x14ac:dyDescent="0.25">
      <c r="A5870" s="323" t="s">
        <v>7303</v>
      </c>
      <c r="B5870" s="323" t="s">
        <v>805</v>
      </c>
      <c r="C5870" s="323">
        <v>48101</v>
      </c>
      <c r="D5870" s="323">
        <v>281</v>
      </c>
      <c r="E5870" s="324">
        <f t="shared" si="91"/>
        <v>68524.66</v>
      </c>
    </row>
    <row r="5871" spans="1:5" x14ac:dyDescent="0.25">
      <c r="A5871" s="323" t="s">
        <v>7346</v>
      </c>
      <c r="B5871" s="323" t="s">
        <v>805</v>
      </c>
      <c r="C5871" s="323">
        <v>48101</v>
      </c>
      <c r="D5871" s="323">
        <v>357</v>
      </c>
      <c r="E5871" s="324">
        <f t="shared" si="91"/>
        <v>87058.02</v>
      </c>
    </row>
    <row r="5872" spans="1:5" x14ac:dyDescent="0.25">
      <c r="A5872" s="323" t="s">
        <v>831</v>
      </c>
      <c r="B5872" s="323" t="s">
        <v>805</v>
      </c>
      <c r="C5872" s="323">
        <v>48348</v>
      </c>
      <c r="D5872" s="323">
        <v>180</v>
      </c>
      <c r="E5872" s="324">
        <f t="shared" si="91"/>
        <v>43894.8</v>
      </c>
    </row>
    <row r="5873" spans="1:5" x14ac:dyDescent="0.25">
      <c r="A5873" s="323" t="s">
        <v>1074</v>
      </c>
      <c r="B5873" s="323" t="s">
        <v>805</v>
      </c>
      <c r="C5873" s="323">
        <v>48348</v>
      </c>
      <c r="D5873" s="323">
        <v>57</v>
      </c>
      <c r="E5873" s="324">
        <f t="shared" si="91"/>
        <v>13900.02</v>
      </c>
    </row>
    <row r="5874" spans="1:5" x14ac:dyDescent="0.25">
      <c r="A5874" s="323" t="s">
        <v>1150</v>
      </c>
      <c r="B5874" s="323" t="s">
        <v>805</v>
      </c>
      <c r="C5874" s="323">
        <v>48348</v>
      </c>
      <c r="D5874" s="323">
        <v>97</v>
      </c>
      <c r="E5874" s="324">
        <f t="shared" si="91"/>
        <v>23654.420000000002</v>
      </c>
    </row>
    <row r="5875" spans="1:5" x14ac:dyDescent="0.25">
      <c r="A5875" s="323" t="s">
        <v>1219</v>
      </c>
      <c r="B5875" s="323" t="s">
        <v>805</v>
      </c>
      <c r="C5875" s="323">
        <v>48348</v>
      </c>
      <c r="D5875" s="323">
        <v>149</v>
      </c>
      <c r="E5875" s="324">
        <f t="shared" si="91"/>
        <v>36335.14</v>
      </c>
    </row>
    <row r="5876" spans="1:5" x14ac:dyDescent="0.25">
      <c r="A5876" s="323" t="s">
        <v>1423</v>
      </c>
      <c r="B5876" s="323" t="s">
        <v>805</v>
      </c>
      <c r="C5876" s="323">
        <v>48348</v>
      </c>
      <c r="D5876" s="323">
        <v>84</v>
      </c>
      <c r="E5876" s="324">
        <f t="shared" si="91"/>
        <v>20484.240000000002</v>
      </c>
    </row>
    <row r="5877" spans="1:5" x14ac:dyDescent="0.25">
      <c r="A5877" s="323" t="s">
        <v>1657</v>
      </c>
      <c r="B5877" s="323" t="s">
        <v>805</v>
      </c>
      <c r="C5877" s="323">
        <v>48348</v>
      </c>
      <c r="D5877" s="323">
        <v>141</v>
      </c>
      <c r="E5877" s="324">
        <f t="shared" si="91"/>
        <v>34384.26</v>
      </c>
    </row>
    <row r="5878" spans="1:5" x14ac:dyDescent="0.25">
      <c r="A5878" s="323" t="s">
        <v>1795</v>
      </c>
      <c r="B5878" s="323" t="s">
        <v>805</v>
      </c>
      <c r="C5878" s="323">
        <v>48348</v>
      </c>
      <c r="D5878" s="323">
        <v>541</v>
      </c>
      <c r="E5878" s="324">
        <f t="shared" si="91"/>
        <v>131928.26</v>
      </c>
    </row>
    <row r="5879" spans="1:5" x14ac:dyDescent="0.25">
      <c r="A5879" s="323" t="s">
        <v>1836</v>
      </c>
      <c r="B5879" s="323" t="s">
        <v>805</v>
      </c>
      <c r="C5879" s="323">
        <v>48348</v>
      </c>
      <c r="D5879" s="323">
        <v>195</v>
      </c>
      <c r="E5879" s="324">
        <f t="shared" si="91"/>
        <v>47552.700000000004</v>
      </c>
    </row>
    <row r="5880" spans="1:5" x14ac:dyDescent="0.25">
      <c r="A5880" s="323" t="s">
        <v>2455</v>
      </c>
      <c r="B5880" s="323" t="s">
        <v>805</v>
      </c>
      <c r="C5880" s="323">
        <v>48348</v>
      </c>
      <c r="D5880" s="323">
        <v>60</v>
      </c>
      <c r="E5880" s="324">
        <f t="shared" si="91"/>
        <v>14631.6</v>
      </c>
    </row>
    <row r="5881" spans="1:5" x14ac:dyDescent="0.25">
      <c r="A5881" s="323" t="s">
        <v>2460</v>
      </c>
      <c r="B5881" s="323" t="s">
        <v>805</v>
      </c>
      <c r="C5881" s="323">
        <v>48348</v>
      </c>
      <c r="D5881" s="323">
        <v>44</v>
      </c>
      <c r="E5881" s="324">
        <f t="shared" si="91"/>
        <v>10729.84</v>
      </c>
    </row>
    <row r="5882" spans="1:5" x14ac:dyDescent="0.25">
      <c r="A5882" s="323" t="s">
        <v>2480</v>
      </c>
      <c r="B5882" s="323" t="s">
        <v>805</v>
      </c>
      <c r="C5882" s="323">
        <v>48348</v>
      </c>
      <c r="D5882" s="323">
        <v>46</v>
      </c>
      <c r="E5882" s="324">
        <f t="shared" si="91"/>
        <v>11217.560000000001</v>
      </c>
    </row>
    <row r="5883" spans="1:5" x14ac:dyDescent="0.25">
      <c r="A5883" s="323" t="s">
        <v>2481</v>
      </c>
      <c r="B5883" s="323" t="s">
        <v>805</v>
      </c>
      <c r="C5883" s="323">
        <v>48348</v>
      </c>
      <c r="D5883" s="323">
        <v>81</v>
      </c>
      <c r="E5883" s="324">
        <f t="shared" si="91"/>
        <v>19752.66</v>
      </c>
    </row>
    <row r="5884" spans="1:5" x14ac:dyDescent="0.25">
      <c r="A5884" s="323" t="s">
        <v>2489</v>
      </c>
      <c r="B5884" s="323" t="s">
        <v>805</v>
      </c>
      <c r="C5884" s="323">
        <v>48348</v>
      </c>
      <c r="D5884" s="323">
        <v>111</v>
      </c>
      <c r="E5884" s="324">
        <f t="shared" si="91"/>
        <v>27068.460000000003</v>
      </c>
    </row>
    <row r="5885" spans="1:5" x14ac:dyDescent="0.25">
      <c r="A5885" s="323" t="s">
        <v>2798</v>
      </c>
      <c r="B5885" s="323" t="s">
        <v>805</v>
      </c>
      <c r="C5885" s="323">
        <v>48348</v>
      </c>
      <c r="D5885" s="323">
        <v>191</v>
      </c>
      <c r="E5885" s="324">
        <f t="shared" si="91"/>
        <v>46577.26</v>
      </c>
    </row>
    <row r="5886" spans="1:5" x14ac:dyDescent="0.25">
      <c r="A5886" s="323" t="s">
        <v>2808</v>
      </c>
      <c r="B5886" s="323" t="s">
        <v>805</v>
      </c>
      <c r="C5886" s="323">
        <v>48348</v>
      </c>
      <c r="D5886" s="323">
        <v>49</v>
      </c>
      <c r="E5886" s="324">
        <f t="shared" si="91"/>
        <v>11949.140000000001</v>
      </c>
    </row>
    <row r="5887" spans="1:5" x14ac:dyDescent="0.25">
      <c r="A5887" s="323" t="s">
        <v>2814</v>
      </c>
      <c r="B5887" s="323" t="s">
        <v>805</v>
      </c>
      <c r="C5887" s="323">
        <v>48348</v>
      </c>
      <c r="D5887" s="323">
        <v>137</v>
      </c>
      <c r="E5887" s="324">
        <f t="shared" si="91"/>
        <v>33408.82</v>
      </c>
    </row>
    <row r="5888" spans="1:5" x14ac:dyDescent="0.25">
      <c r="A5888" s="323" t="s">
        <v>2847</v>
      </c>
      <c r="B5888" s="323" t="s">
        <v>805</v>
      </c>
      <c r="C5888" s="323">
        <v>48348</v>
      </c>
      <c r="D5888" s="323">
        <v>223</v>
      </c>
      <c r="E5888" s="324">
        <f t="shared" si="91"/>
        <v>54380.780000000006</v>
      </c>
    </row>
    <row r="5889" spans="1:5" x14ac:dyDescent="0.25">
      <c r="A5889" s="323" t="s">
        <v>2865</v>
      </c>
      <c r="B5889" s="323" t="s">
        <v>805</v>
      </c>
      <c r="C5889" s="323">
        <v>48348</v>
      </c>
      <c r="D5889" s="323">
        <v>385</v>
      </c>
      <c r="E5889" s="324">
        <f t="shared" si="91"/>
        <v>93886.1</v>
      </c>
    </row>
    <row r="5890" spans="1:5" x14ac:dyDescent="0.25">
      <c r="A5890" s="323" t="s">
        <v>3161</v>
      </c>
      <c r="B5890" s="323" t="s">
        <v>805</v>
      </c>
      <c r="C5890" s="323">
        <v>48348</v>
      </c>
      <c r="D5890" s="323">
        <v>94</v>
      </c>
      <c r="E5890" s="324">
        <f t="shared" ref="E5890:E5953" si="92">D5890*IF(B5890=$G$9,WerkdrukbedragPerLeerlingBo,IF(B5890=$G$10,WerkdrukbedragPerLeerlingSbo,IF(B5890=$G$11,WerkdrukbedragPerLeerlingSo,IF(B5890=$G$12,WerkdrukbedragPerLeerlingVso,0))))</f>
        <v>22922.84</v>
      </c>
    </row>
    <row r="5891" spans="1:5" x14ac:dyDescent="0.25">
      <c r="A5891" s="323" t="s">
        <v>3164</v>
      </c>
      <c r="B5891" s="323" t="s">
        <v>805</v>
      </c>
      <c r="C5891" s="323">
        <v>48348</v>
      </c>
      <c r="D5891" s="323">
        <v>108</v>
      </c>
      <c r="E5891" s="324">
        <f t="shared" si="92"/>
        <v>26336.880000000001</v>
      </c>
    </row>
    <row r="5892" spans="1:5" x14ac:dyDescent="0.25">
      <c r="A5892" s="323" t="s">
        <v>3266</v>
      </c>
      <c r="B5892" s="323" t="s">
        <v>805</v>
      </c>
      <c r="C5892" s="323">
        <v>48348</v>
      </c>
      <c r="D5892" s="323">
        <v>114</v>
      </c>
      <c r="E5892" s="324">
        <f t="shared" si="92"/>
        <v>27800.04</v>
      </c>
    </row>
    <row r="5893" spans="1:5" x14ac:dyDescent="0.25">
      <c r="A5893" s="323" t="s">
        <v>3295</v>
      </c>
      <c r="B5893" s="323" t="s">
        <v>805</v>
      </c>
      <c r="C5893" s="323">
        <v>48348</v>
      </c>
      <c r="D5893" s="323">
        <v>138</v>
      </c>
      <c r="E5893" s="324">
        <f t="shared" si="92"/>
        <v>33652.68</v>
      </c>
    </row>
    <row r="5894" spans="1:5" x14ac:dyDescent="0.25">
      <c r="A5894" s="323" t="s">
        <v>3298</v>
      </c>
      <c r="B5894" s="323" t="s">
        <v>805</v>
      </c>
      <c r="C5894" s="323">
        <v>48348</v>
      </c>
      <c r="D5894" s="323">
        <v>225</v>
      </c>
      <c r="E5894" s="324">
        <f t="shared" si="92"/>
        <v>54868.5</v>
      </c>
    </row>
    <row r="5895" spans="1:5" x14ac:dyDescent="0.25">
      <c r="A5895" s="323" t="s">
        <v>3602</v>
      </c>
      <c r="B5895" s="323" t="s">
        <v>805</v>
      </c>
      <c r="C5895" s="323">
        <v>48348</v>
      </c>
      <c r="D5895" s="323">
        <v>83</v>
      </c>
      <c r="E5895" s="324">
        <f t="shared" si="92"/>
        <v>20240.38</v>
      </c>
    </row>
    <row r="5896" spans="1:5" x14ac:dyDescent="0.25">
      <c r="A5896" s="323" t="s">
        <v>3828</v>
      </c>
      <c r="B5896" s="323" t="s">
        <v>805</v>
      </c>
      <c r="C5896" s="323">
        <v>48348</v>
      </c>
      <c r="D5896" s="323">
        <v>199</v>
      </c>
      <c r="E5896" s="324">
        <f t="shared" si="92"/>
        <v>48528.14</v>
      </c>
    </row>
    <row r="5897" spans="1:5" x14ac:dyDescent="0.25">
      <c r="A5897" s="323" t="s">
        <v>3954</v>
      </c>
      <c r="B5897" s="323" t="s">
        <v>805</v>
      </c>
      <c r="C5897" s="323">
        <v>48348</v>
      </c>
      <c r="D5897" s="323">
        <v>333</v>
      </c>
      <c r="E5897" s="324">
        <f t="shared" si="92"/>
        <v>81205.38</v>
      </c>
    </row>
    <row r="5898" spans="1:5" x14ac:dyDescent="0.25">
      <c r="A5898" s="323" t="s">
        <v>4019</v>
      </c>
      <c r="B5898" s="323" t="s">
        <v>805</v>
      </c>
      <c r="C5898" s="323">
        <v>48348</v>
      </c>
      <c r="D5898" s="323">
        <v>86</v>
      </c>
      <c r="E5898" s="324">
        <f t="shared" si="92"/>
        <v>20971.960000000003</v>
      </c>
    </row>
    <row r="5899" spans="1:5" x14ac:dyDescent="0.25">
      <c r="A5899" s="323" t="s">
        <v>4119</v>
      </c>
      <c r="B5899" s="323" t="s">
        <v>805</v>
      </c>
      <c r="C5899" s="323">
        <v>48348</v>
      </c>
      <c r="D5899" s="323">
        <v>45</v>
      </c>
      <c r="E5899" s="324">
        <f t="shared" si="92"/>
        <v>10973.7</v>
      </c>
    </row>
    <row r="5900" spans="1:5" x14ac:dyDescent="0.25">
      <c r="A5900" s="323" t="s">
        <v>5139</v>
      </c>
      <c r="B5900" s="323" t="s">
        <v>816</v>
      </c>
      <c r="C5900" s="323">
        <v>48348</v>
      </c>
      <c r="D5900" s="323">
        <v>161</v>
      </c>
      <c r="E5900" s="324">
        <f t="shared" si="92"/>
        <v>58892.19</v>
      </c>
    </row>
    <row r="5901" spans="1:5" x14ac:dyDescent="0.25">
      <c r="A5901" s="323" t="s">
        <v>5679</v>
      </c>
      <c r="B5901" s="323" t="s">
        <v>805</v>
      </c>
      <c r="C5901" s="323">
        <v>48348</v>
      </c>
      <c r="D5901" s="323">
        <v>192</v>
      </c>
      <c r="E5901" s="324">
        <f t="shared" si="92"/>
        <v>46821.120000000003</v>
      </c>
    </row>
    <row r="5902" spans="1:5" x14ac:dyDescent="0.25">
      <c r="A5902" s="323" t="s">
        <v>6595</v>
      </c>
      <c r="B5902" s="323" t="s">
        <v>816</v>
      </c>
      <c r="C5902" s="323">
        <v>48348</v>
      </c>
      <c r="D5902" s="323">
        <v>95</v>
      </c>
      <c r="E5902" s="324">
        <f t="shared" si="92"/>
        <v>34750.050000000003</v>
      </c>
    </row>
    <row r="5903" spans="1:5" x14ac:dyDescent="0.25">
      <c r="A5903" s="323" t="s">
        <v>3486</v>
      </c>
      <c r="B5903" s="323" t="s">
        <v>805</v>
      </c>
      <c r="C5903" s="323">
        <v>48622</v>
      </c>
      <c r="D5903" s="323">
        <v>304</v>
      </c>
      <c r="E5903" s="324">
        <f t="shared" si="92"/>
        <v>74133.440000000002</v>
      </c>
    </row>
    <row r="5904" spans="1:5" x14ac:dyDescent="0.25">
      <c r="A5904" s="323" t="s">
        <v>895</v>
      </c>
      <c r="B5904" s="323" t="s">
        <v>809</v>
      </c>
      <c r="C5904" s="323">
        <v>48856</v>
      </c>
      <c r="D5904" s="323">
        <v>29</v>
      </c>
      <c r="E5904" s="324">
        <f t="shared" si="92"/>
        <v>14143.880000000001</v>
      </c>
    </row>
    <row r="5905" spans="1:5" x14ac:dyDescent="0.25">
      <c r="A5905" s="323" t="s">
        <v>895</v>
      </c>
      <c r="B5905" s="323" t="s">
        <v>803</v>
      </c>
      <c r="C5905" s="323">
        <v>48856</v>
      </c>
      <c r="D5905" s="323">
        <v>36</v>
      </c>
      <c r="E5905" s="324">
        <f t="shared" si="92"/>
        <v>17557.920000000002</v>
      </c>
    </row>
    <row r="5906" spans="1:5" x14ac:dyDescent="0.25">
      <c r="A5906" s="323" t="s">
        <v>1677</v>
      </c>
      <c r="B5906" s="323" t="s">
        <v>805</v>
      </c>
      <c r="C5906" s="323">
        <v>48933</v>
      </c>
      <c r="D5906" s="323">
        <v>217</v>
      </c>
      <c r="E5906" s="324">
        <f t="shared" si="92"/>
        <v>52917.62</v>
      </c>
    </row>
    <row r="5907" spans="1:5" x14ac:dyDescent="0.25">
      <c r="A5907" s="323" t="s">
        <v>2773</v>
      </c>
      <c r="B5907" s="323" t="s">
        <v>805</v>
      </c>
      <c r="C5907" s="323">
        <v>49180</v>
      </c>
      <c r="D5907" s="323">
        <v>215</v>
      </c>
      <c r="E5907" s="324">
        <f t="shared" si="92"/>
        <v>52429.9</v>
      </c>
    </row>
    <row r="5908" spans="1:5" x14ac:dyDescent="0.25">
      <c r="A5908" s="323" t="s">
        <v>1338</v>
      </c>
      <c r="B5908" s="323" t="s">
        <v>805</v>
      </c>
      <c r="C5908" s="323">
        <v>49844</v>
      </c>
      <c r="D5908" s="323">
        <v>188</v>
      </c>
      <c r="E5908" s="324">
        <f t="shared" si="92"/>
        <v>45845.68</v>
      </c>
    </row>
    <row r="5909" spans="1:5" x14ac:dyDescent="0.25">
      <c r="A5909" s="323" t="s">
        <v>2312</v>
      </c>
      <c r="B5909" s="323" t="s">
        <v>805</v>
      </c>
      <c r="C5909" s="323">
        <v>49844</v>
      </c>
      <c r="D5909" s="323">
        <v>194</v>
      </c>
      <c r="E5909" s="324">
        <f t="shared" si="92"/>
        <v>47308.840000000004</v>
      </c>
    </row>
    <row r="5910" spans="1:5" x14ac:dyDescent="0.25">
      <c r="A5910" s="323" t="s">
        <v>7288</v>
      </c>
      <c r="B5910" s="323" t="s">
        <v>805</v>
      </c>
      <c r="C5910" s="323">
        <v>49844</v>
      </c>
      <c r="D5910" s="323">
        <v>291</v>
      </c>
      <c r="E5910" s="324">
        <f t="shared" si="92"/>
        <v>70963.260000000009</v>
      </c>
    </row>
    <row r="5911" spans="1:5" x14ac:dyDescent="0.25">
      <c r="A5911" s="323" t="s">
        <v>6087</v>
      </c>
      <c r="B5911" s="323" t="s">
        <v>805</v>
      </c>
      <c r="C5911" s="323">
        <v>49960</v>
      </c>
      <c r="D5911" s="323">
        <v>155</v>
      </c>
      <c r="E5911" s="324">
        <f t="shared" si="92"/>
        <v>37798.300000000003</v>
      </c>
    </row>
    <row r="5912" spans="1:5" x14ac:dyDescent="0.25">
      <c r="A5912" s="323" t="s">
        <v>6118</v>
      </c>
      <c r="B5912" s="323" t="s">
        <v>805</v>
      </c>
      <c r="C5912" s="323">
        <v>49960</v>
      </c>
      <c r="D5912" s="323">
        <v>205</v>
      </c>
      <c r="E5912" s="324">
        <f t="shared" si="92"/>
        <v>49991.3</v>
      </c>
    </row>
    <row r="5913" spans="1:5" x14ac:dyDescent="0.25">
      <c r="A5913" s="323" t="s">
        <v>6142</v>
      </c>
      <c r="B5913" s="323" t="s">
        <v>805</v>
      </c>
      <c r="C5913" s="323">
        <v>49960</v>
      </c>
      <c r="D5913" s="323">
        <v>216</v>
      </c>
      <c r="E5913" s="324">
        <f t="shared" si="92"/>
        <v>52673.760000000002</v>
      </c>
    </row>
    <row r="5914" spans="1:5" x14ac:dyDescent="0.25">
      <c r="A5914" s="323" t="s">
        <v>6953</v>
      </c>
      <c r="B5914" s="323" t="s">
        <v>805</v>
      </c>
      <c r="C5914" s="323">
        <v>49960</v>
      </c>
      <c r="D5914" s="323">
        <v>168</v>
      </c>
      <c r="E5914" s="324">
        <f t="shared" si="92"/>
        <v>40968.480000000003</v>
      </c>
    </row>
    <row r="5915" spans="1:5" x14ac:dyDescent="0.25">
      <c r="A5915" s="323" t="s">
        <v>1344</v>
      </c>
      <c r="B5915" s="323" t="s">
        <v>805</v>
      </c>
      <c r="C5915" s="323">
        <v>50104</v>
      </c>
      <c r="D5915" s="323">
        <v>300</v>
      </c>
      <c r="E5915" s="324">
        <f t="shared" si="92"/>
        <v>73158</v>
      </c>
    </row>
    <row r="5916" spans="1:5" x14ac:dyDescent="0.25">
      <c r="A5916" s="323" t="s">
        <v>1141</v>
      </c>
      <c r="B5916" s="323" t="s">
        <v>805</v>
      </c>
      <c r="C5916" s="323">
        <v>50129</v>
      </c>
      <c r="D5916" s="323">
        <v>283</v>
      </c>
      <c r="E5916" s="324">
        <f t="shared" si="92"/>
        <v>69012.38</v>
      </c>
    </row>
    <row r="5917" spans="1:5" x14ac:dyDescent="0.25">
      <c r="A5917" s="323" t="s">
        <v>1683</v>
      </c>
      <c r="B5917" s="323" t="s">
        <v>805</v>
      </c>
      <c r="C5917" s="323">
        <v>50129</v>
      </c>
      <c r="D5917" s="323">
        <v>68</v>
      </c>
      <c r="E5917" s="324">
        <f t="shared" si="92"/>
        <v>16582.48</v>
      </c>
    </row>
    <row r="5918" spans="1:5" x14ac:dyDescent="0.25">
      <c r="A5918" s="323" t="s">
        <v>1685</v>
      </c>
      <c r="B5918" s="323" t="s">
        <v>805</v>
      </c>
      <c r="C5918" s="323">
        <v>50129</v>
      </c>
      <c r="D5918" s="323">
        <v>135</v>
      </c>
      <c r="E5918" s="324">
        <f t="shared" si="92"/>
        <v>32921.1</v>
      </c>
    </row>
    <row r="5919" spans="1:5" x14ac:dyDescent="0.25">
      <c r="A5919" s="323" t="s">
        <v>1688</v>
      </c>
      <c r="B5919" s="323" t="s">
        <v>805</v>
      </c>
      <c r="C5919" s="323">
        <v>50129</v>
      </c>
      <c r="D5919" s="323">
        <v>66</v>
      </c>
      <c r="E5919" s="324">
        <f t="shared" si="92"/>
        <v>16094.76</v>
      </c>
    </row>
    <row r="5920" spans="1:5" x14ac:dyDescent="0.25">
      <c r="A5920" s="323" t="s">
        <v>1796</v>
      </c>
      <c r="B5920" s="323" t="s">
        <v>805</v>
      </c>
      <c r="C5920" s="323">
        <v>50129</v>
      </c>
      <c r="D5920" s="323">
        <v>138</v>
      </c>
      <c r="E5920" s="324">
        <f t="shared" si="92"/>
        <v>33652.68</v>
      </c>
    </row>
    <row r="5921" spans="1:5" x14ac:dyDescent="0.25">
      <c r="A5921" s="323" t="s">
        <v>2205</v>
      </c>
      <c r="B5921" s="323" t="s">
        <v>805</v>
      </c>
      <c r="C5921" s="323">
        <v>50129</v>
      </c>
      <c r="D5921" s="323">
        <v>270</v>
      </c>
      <c r="E5921" s="324">
        <f t="shared" si="92"/>
        <v>65842.2</v>
      </c>
    </row>
    <row r="5922" spans="1:5" x14ac:dyDescent="0.25">
      <c r="A5922" s="323" t="s">
        <v>2397</v>
      </c>
      <c r="B5922" s="323" t="s">
        <v>805</v>
      </c>
      <c r="C5922" s="323">
        <v>50129</v>
      </c>
      <c r="D5922" s="323">
        <v>82</v>
      </c>
      <c r="E5922" s="324">
        <f t="shared" si="92"/>
        <v>19996.52</v>
      </c>
    </row>
    <row r="5923" spans="1:5" x14ac:dyDescent="0.25">
      <c r="A5923" s="323" t="s">
        <v>2562</v>
      </c>
      <c r="B5923" s="323" t="s">
        <v>805</v>
      </c>
      <c r="C5923" s="323">
        <v>50129</v>
      </c>
      <c r="D5923" s="323">
        <v>55</v>
      </c>
      <c r="E5923" s="324">
        <f t="shared" si="92"/>
        <v>13412.300000000001</v>
      </c>
    </row>
    <row r="5924" spans="1:5" x14ac:dyDescent="0.25">
      <c r="A5924" s="323" t="s">
        <v>2776</v>
      </c>
      <c r="B5924" s="323" t="s">
        <v>805</v>
      </c>
      <c r="C5924" s="323">
        <v>50129</v>
      </c>
      <c r="D5924" s="323">
        <v>255</v>
      </c>
      <c r="E5924" s="324">
        <f t="shared" si="92"/>
        <v>62184.3</v>
      </c>
    </row>
    <row r="5925" spans="1:5" x14ac:dyDescent="0.25">
      <c r="A5925" s="323" t="s">
        <v>935</v>
      </c>
      <c r="B5925" s="323" t="s">
        <v>809</v>
      </c>
      <c r="C5925" s="323">
        <v>50143</v>
      </c>
      <c r="D5925" s="323">
        <v>73</v>
      </c>
      <c r="E5925" s="324">
        <f t="shared" si="92"/>
        <v>35603.560000000005</v>
      </c>
    </row>
    <row r="5926" spans="1:5" x14ac:dyDescent="0.25">
      <c r="A5926" s="323" t="s">
        <v>935</v>
      </c>
      <c r="B5926" s="323" t="s">
        <v>803</v>
      </c>
      <c r="C5926" s="323">
        <v>50143</v>
      </c>
      <c r="D5926" s="323">
        <v>44</v>
      </c>
      <c r="E5926" s="324">
        <f t="shared" si="92"/>
        <v>21459.68</v>
      </c>
    </row>
    <row r="5927" spans="1:5" x14ac:dyDescent="0.25">
      <c r="A5927" s="323" t="s">
        <v>1346</v>
      </c>
      <c r="B5927" s="323" t="s">
        <v>809</v>
      </c>
      <c r="C5927" s="323">
        <v>50143</v>
      </c>
      <c r="D5927" s="323">
        <v>10</v>
      </c>
      <c r="E5927" s="324">
        <f t="shared" si="92"/>
        <v>4877.2000000000007</v>
      </c>
    </row>
    <row r="5928" spans="1:5" x14ac:dyDescent="0.25">
      <c r="A5928" s="323" t="s">
        <v>1346</v>
      </c>
      <c r="B5928" s="323" t="s">
        <v>803</v>
      </c>
      <c r="C5928" s="323">
        <v>50143</v>
      </c>
      <c r="D5928" s="323">
        <v>63</v>
      </c>
      <c r="E5928" s="324">
        <f t="shared" si="92"/>
        <v>30726.36</v>
      </c>
    </row>
    <row r="5929" spans="1:5" x14ac:dyDescent="0.25">
      <c r="A5929" s="323" t="s">
        <v>1346</v>
      </c>
      <c r="B5929" s="323" t="s">
        <v>803</v>
      </c>
      <c r="C5929" s="323">
        <v>50143</v>
      </c>
      <c r="D5929" s="323">
        <v>111</v>
      </c>
      <c r="E5929" s="324">
        <f t="shared" si="92"/>
        <v>54136.920000000006</v>
      </c>
    </row>
    <row r="5930" spans="1:5" x14ac:dyDescent="0.25">
      <c r="A5930" s="323" t="s">
        <v>6739</v>
      </c>
      <c r="B5930" s="323" t="s">
        <v>803</v>
      </c>
      <c r="C5930" s="323">
        <v>50143</v>
      </c>
      <c r="D5930" s="323">
        <v>119</v>
      </c>
      <c r="E5930" s="324">
        <f t="shared" si="92"/>
        <v>58038.68</v>
      </c>
    </row>
    <row r="5931" spans="1:5" x14ac:dyDescent="0.25">
      <c r="A5931" s="323" t="s">
        <v>6739</v>
      </c>
      <c r="B5931" s="323" t="s">
        <v>809</v>
      </c>
      <c r="C5931" s="323">
        <v>50143</v>
      </c>
      <c r="D5931" s="323">
        <v>92</v>
      </c>
      <c r="E5931" s="324">
        <f t="shared" si="92"/>
        <v>44870.240000000005</v>
      </c>
    </row>
    <row r="5932" spans="1:5" x14ac:dyDescent="0.25">
      <c r="A5932" s="323" t="s">
        <v>3138</v>
      </c>
      <c r="B5932" s="323" t="s">
        <v>805</v>
      </c>
      <c r="C5932" s="323">
        <v>50195</v>
      </c>
      <c r="D5932" s="323">
        <v>573</v>
      </c>
      <c r="E5932" s="324">
        <f t="shared" si="92"/>
        <v>139731.78</v>
      </c>
    </row>
    <row r="5933" spans="1:5" x14ac:dyDescent="0.25">
      <c r="A5933" s="323" t="s">
        <v>3492</v>
      </c>
      <c r="B5933" s="323" t="s">
        <v>805</v>
      </c>
      <c r="C5933" s="323">
        <v>50195</v>
      </c>
      <c r="D5933" s="323">
        <v>198</v>
      </c>
      <c r="E5933" s="324">
        <f t="shared" si="92"/>
        <v>48284.280000000006</v>
      </c>
    </row>
    <row r="5934" spans="1:5" x14ac:dyDescent="0.25">
      <c r="A5934" s="323" t="s">
        <v>3752</v>
      </c>
      <c r="B5934" s="323" t="s">
        <v>805</v>
      </c>
      <c r="C5934" s="323">
        <v>50195</v>
      </c>
      <c r="D5934" s="323">
        <v>156</v>
      </c>
      <c r="E5934" s="324">
        <f t="shared" si="92"/>
        <v>38042.160000000003</v>
      </c>
    </row>
    <row r="5935" spans="1:5" x14ac:dyDescent="0.25">
      <c r="A5935" s="323" t="s">
        <v>4117</v>
      </c>
      <c r="B5935" s="323" t="s">
        <v>805</v>
      </c>
      <c r="C5935" s="323">
        <v>50195</v>
      </c>
      <c r="D5935" s="323">
        <v>249</v>
      </c>
      <c r="E5935" s="324">
        <f t="shared" si="92"/>
        <v>60721.140000000007</v>
      </c>
    </row>
    <row r="5936" spans="1:5" x14ac:dyDescent="0.25">
      <c r="A5936" s="323" t="s">
        <v>7423</v>
      </c>
      <c r="B5936" s="323" t="s">
        <v>805</v>
      </c>
      <c r="C5936" s="323">
        <v>50195</v>
      </c>
      <c r="D5936" s="323">
        <v>333</v>
      </c>
      <c r="E5936" s="324">
        <f t="shared" si="92"/>
        <v>81205.38</v>
      </c>
    </row>
    <row r="5937" spans="1:5" x14ac:dyDescent="0.25">
      <c r="A5937" s="323" t="s">
        <v>2320</v>
      </c>
      <c r="B5937" s="323" t="s">
        <v>805</v>
      </c>
      <c r="C5937" s="323">
        <v>50299</v>
      </c>
      <c r="D5937" s="323">
        <v>178</v>
      </c>
      <c r="E5937" s="324">
        <f t="shared" si="92"/>
        <v>43407.08</v>
      </c>
    </row>
    <row r="5938" spans="1:5" x14ac:dyDescent="0.25">
      <c r="A5938" s="323" t="s">
        <v>861</v>
      </c>
      <c r="B5938" s="323" t="s">
        <v>816</v>
      </c>
      <c r="C5938" s="323">
        <v>50819</v>
      </c>
      <c r="D5938" s="323">
        <v>118</v>
      </c>
      <c r="E5938" s="324">
        <f t="shared" si="92"/>
        <v>43163.22</v>
      </c>
    </row>
    <row r="5939" spans="1:5" x14ac:dyDescent="0.25">
      <c r="A5939" s="323" t="s">
        <v>1085</v>
      </c>
      <c r="B5939" s="323" t="s">
        <v>805</v>
      </c>
      <c r="C5939" s="323">
        <v>50819</v>
      </c>
      <c r="D5939" s="323">
        <v>95</v>
      </c>
      <c r="E5939" s="324">
        <f t="shared" si="92"/>
        <v>23166.7</v>
      </c>
    </row>
    <row r="5940" spans="1:5" x14ac:dyDescent="0.25">
      <c r="A5940" s="323" t="s">
        <v>1367</v>
      </c>
      <c r="B5940" s="323" t="s">
        <v>805</v>
      </c>
      <c r="C5940" s="323">
        <v>50819</v>
      </c>
      <c r="D5940" s="323">
        <v>38</v>
      </c>
      <c r="E5940" s="324">
        <f t="shared" si="92"/>
        <v>9266.68</v>
      </c>
    </row>
    <row r="5941" spans="1:5" x14ac:dyDescent="0.25">
      <c r="A5941" s="323" t="s">
        <v>1773</v>
      </c>
      <c r="B5941" s="323" t="s">
        <v>805</v>
      </c>
      <c r="C5941" s="323">
        <v>50819</v>
      </c>
      <c r="D5941" s="323">
        <v>145</v>
      </c>
      <c r="E5941" s="324">
        <f t="shared" si="92"/>
        <v>35359.700000000004</v>
      </c>
    </row>
    <row r="5942" spans="1:5" x14ac:dyDescent="0.25">
      <c r="A5942" s="323" t="s">
        <v>1774</v>
      </c>
      <c r="B5942" s="323" t="s">
        <v>805</v>
      </c>
      <c r="C5942" s="323">
        <v>50819</v>
      </c>
      <c r="D5942" s="323">
        <v>79</v>
      </c>
      <c r="E5942" s="324">
        <f t="shared" si="92"/>
        <v>19264.940000000002</v>
      </c>
    </row>
    <row r="5943" spans="1:5" x14ac:dyDescent="0.25">
      <c r="A5943" s="323" t="s">
        <v>1855</v>
      </c>
      <c r="B5943" s="323" t="s">
        <v>805</v>
      </c>
      <c r="C5943" s="323">
        <v>50819</v>
      </c>
      <c r="D5943" s="323">
        <v>285</v>
      </c>
      <c r="E5943" s="324">
        <f t="shared" si="92"/>
        <v>69500.100000000006</v>
      </c>
    </row>
    <row r="5944" spans="1:5" x14ac:dyDescent="0.25">
      <c r="A5944" s="323" t="s">
        <v>2156</v>
      </c>
      <c r="B5944" s="323" t="s">
        <v>805</v>
      </c>
      <c r="C5944" s="323">
        <v>50819</v>
      </c>
      <c r="D5944" s="323">
        <v>300</v>
      </c>
      <c r="E5944" s="324">
        <f t="shared" si="92"/>
        <v>73158</v>
      </c>
    </row>
    <row r="5945" spans="1:5" x14ac:dyDescent="0.25">
      <c r="A5945" s="323" t="s">
        <v>2462</v>
      </c>
      <c r="B5945" s="323" t="s">
        <v>805</v>
      </c>
      <c r="C5945" s="323">
        <v>50819</v>
      </c>
      <c r="D5945" s="323">
        <v>106</v>
      </c>
      <c r="E5945" s="324">
        <f t="shared" si="92"/>
        <v>25849.16</v>
      </c>
    </row>
    <row r="5946" spans="1:5" x14ac:dyDescent="0.25">
      <c r="A5946" s="323" t="s">
        <v>2598</v>
      </c>
      <c r="B5946" s="323" t="s">
        <v>805</v>
      </c>
      <c r="C5946" s="323">
        <v>50819</v>
      </c>
      <c r="D5946" s="323">
        <v>82</v>
      </c>
      <c r="E5946" s="324">
        <f t="shared" si="92"/>
        <v>19996.52</v>
      </c>
    </row>
    <row r="5947" spans="1:5" x14ac:dyDescent="0.25">
      <c r="A5947" s="323" t="s">
        <v>2614</v>
      </c>
      <c r="B5947" s="323" t="s">
        <v>805</v>
      </c>
      <c r="C5947" s="323">
        <v>50819</v>
      </c>
      <c r="D5947" s="323">
        <v>93</v>
      </c>
      <c r="E5947" s="324">
        <f t="shared" si="92"/>
        <v>22678.98</v>
      </c>
    </row>
    <row r="5948" spans="1:5" x14ac:dyDescent="0.25">
      <c r="A5948" s="323" t="s">
        <v>3140</v>
      </c>
      <c r="B5948" s="323" t="s">
        <v>805</v>
      </c>
      <c r="C5948" s="323">
        <v>50819</v>
      </c>
      <c r="D5948" s="323">
        <v>75</v>
      </c>
      <c r="E5948" s="324">
        <f t="shared" si="92"/>
        <v>18289.5</v>
      </c>
    </row>
    <row r="5949" spans="1:5" x14ac:dyDescent="0.25">
      <c r="A5949" s="323" t="s">
        <v>3280</v>
      </c>
      <c r="B5949" s="323" t="s">
        <v>805</v>
      </c>
      <c r="C5949" s="323">
        <v>50819</v>
      </c>
      <c r="D5949" s="323">
        <v>267</v>
      </c>
      <c r="E5949" s="324">
        <f t="shared" si="92"/>
        <v>65110.62</v>
      </c>
    </row>
    <row r="5950" spans="1:5" x14ac:dyDescent="0.25">
      <c r="A5950" s="323" t="s">
        <v>3318</v>
      </c>
      <c r="B5950" s="323" t="s">
        <v>805</v>
      </c>
      <c r="C5950" s="323">
        <v>50819</v>
      </c>
      <c r="D5950" s="323">
        <v>425</v>
      </c>
      <c r="E5950" s="324">
        <f t="shared" si="92"/>
        <v>103640.5</v>
      </c>
    </row>
    <row r="5951" spans="1:5" x14ac:dyDescent="0.25">
      <c r="A5951" s="323" t="s">
        <v>3493</v>
      </c>
      <c r="B5951" s="323" t="s">
        <v>805</v>
      </c>
      <c r="C5951" s="323">
        <v>50819</v>
      </c>
      <c r="D5951" s="323">
        <v>377</v>
      </c>
      <c r="E5951" s="324">
        <f t="shared" si="92"/>
        <v>91935.22</v>
      </c>
    </row>
    <row r="5952" spans="1:5" x14ac:dyDescent="0.25">
      <c r="A5952" s="323" t="s">
        <v>3843</v>
      </c>
      <c r="B5952" s="323" t="s">
        <v>805</v>
      </c>
      <c r="C5952" s="323">
        <v>50819</v>
      </c>
      <c r="D5952" s="323">
        <v>216</v>
      </c>
      <c r="E5952" s="324">
        <f t="shared" si="92"/>
        <v>52673.760000000002</v>
      </c>
    </row>
    <row r="5953" spans="1:5" x14ac:dyDescent="0.25">
      <c r="A5953" s="323" t="s">
        <v>1265</v>
      </c>
      <c r="B5953" s="323" t="s">
        <v>805</v>
      </c>
      <c r="C5953" s="323">
        <v>50844</v>
      </c>
      <c r="D5953" s="323">
        <v>113</v>
      </c>
      <c r="E5953" s="324">
        <f t="shared" si="92"/>
        <v>27556.18</v>
      </c>
    </row>
    <row r="5954" spans="1:5" x14ac:dyDescent="0.25">
      <c r="A5954" s="323" t="s">
        <v>1270</v>
      </c>
      <c r="B5954" s="323" t="s">
        <v>805</v>
      </c>
      <c r="C5954" s="323">
        <v>50844</v>
      </c>
      <c r="D5954" s="323">
        <v>151</v>
      </c>
      <c r="E5954" s="324">
        <f t="shared" ref="E5954:E6017" si="93">D5954*IF(B5954=$G$9,WerkdrukbedragPerLeerlingBo,IF(B5954=$G$10,WerkdrukbedragPerLeerlingSbo,IF(B5954=$G$11,WerkdrukbedragPerLeerlingSo,IF(B5954=$G$12,WerkdrukbedragPerLeerlingVso,0))))</f>
        <v>36822.86</v>
      </c>
    </row>
    <row r="5955" spans="1:5" x14ac:dyDescent="0.25">
      <c r="A5955" s="323" t="s">
        <v>1279</v>
      </c>
      <c r="B5955" s="323" t="s">
        <v>805</v>
      </c>
      <c r="C5955" s="323">
        <v>50844</v>
      </c>
      <c r="D5955" s="323">
        <v>272</v>
      </c>
      <c r="E5955" s="324">
        <f t="shared" si="93"/>
        <v>66329.919999999998</v>
      </c>
    </row>
    <row r="5956" spans="1:5" x14ac:dyDescent="0.25">
      <c r="A5956" s="323" t="s">
        <v>1728</v>
      </c>
      <c r="B5956" s="323" t="s">
        <v>805</v>
      </c>
      <c r="C5956" s="323">
        <v>50844</v>
      </c>
      <c r="D5956" s="323">
        <v>175</v>
      </c>
      <c r="E5956" s="324">
        <f t="shared" si="93"/>
        <v>42675.5</v>
      </c>
    </row>
    <row r="5957" spans="1:5" x14ac:dyDescent="0.25">
      <c r="A5957" s="323" t="s">
        <v>1754</v>
      </c>
      <c r="B5957" s="323" t="s">
        <v>805</v>
      </c>
      <c r="C5957" s="323">
        <v>50844</v>
      </c>
      <c r="D5957" s="323">
        <v>194</v>
      </c>
      <c r="E5957" s="324">
        <f t="shared" si="93"/>
        <v>47308.840000000004</v>
      </c>
    </row>
    <row r="5958" spans="1:5" x14ac:dyDescent="0.25">
      <c r="A5958" s="323" t="s">
        <v>2563</v>
      </c>
      <c r="B5958" s="323" t="s">
        <v>805</v>
      </c>
      <c r="C5958" s="323">
        <v>50844</v>
      </c>
      <c r="D5958" s="323">
        <v>78</v>
      </c>
      <c r="E5958" s="324">
        <f t="shared" si="93"/>
        <v>19021.080000000002</v>
      </c>
    </row>
    <row r="5959" spans="1:5" x14ac:dyDescent="0.25">
      <c r="A5959" s="323" t="s">
        <v>2822</v>
      </c>
      <c r="B5959" s="323" t="s">
        <v>805</v>
      </c>
      <c r="C5959" s="323">
        <v>50844</v>
      </c>
      <c r="D5959" s="323">
        <v>303</v>
      </c>
      <c r="E5959" s="324">
        <f t="shared" si="93"/>
        <v>73889.58</v>
      </c>
    </row>
    <row r="5960" spans="1:5" x14ac:dyDescent="0.25">
      <c r="A5960" s="323" t="s">
        <v>2876</v>
      </c>
      <c r="B5960" s="323" t="s">
        <v>805</v>
      </c>
      <c r="C5960" s="323">
        <v>50844</v>
      </c>
      <c r="D5960" s="323">
        <v>152</v>
      </c>
      <c r="E5960" s="324">
        <f t="shared" si="93"/>
        <v>37066.720000000001</v>
      </c>
    </row>
    <row r="5961" spans="1:5" x14ac:dyDescent="0.25">
      <c r="A5961" s="323" t="s">
        <v>3830</v>
      </c>
      <c r="B5961" s="323" t="s">
        <v>805</v>
      </c>
      <c r="C5961" s="323">
        <v>50844</v>
      </c>
      <c r="D5961" s="323">
        <v>230</v>
      </c>
      <c r="E5961" s="324">
        <f t="shared" si="93"/>
        <v>56087.8</v>
      </c>
    </row>
    <row r="5962" spans="1:5" x14ac:dyDescent="0.25">
      <c r="A5962" s="323" t="s">
        <v>4407</v>
      </c>
      <c r="B5962" s="323" t="s">
        <v>805</v>
      </c>
      <c r="C5962" s="323">
        <v>50844</v>
      </c>
      <c r="D5962" s="323">
        <v>216</v>
      </c>
      <c r="E5962" s="324">
        <f t="shared" si="93"/>
        <v>52673.760000000002</v>
      </c>
    </row>
    <row r="5963" spans="1:5" x14ac:dyDescent="0.25">
      <c r="A5963" s="323" t="s">
        <v>5202</v>
      </c>
      <c r="B5963" s="323" t="s">
        <v>805</v>
      </c>
      <c r="C5963" s="323">
        <v>50844</v>
      </c>
      <c r="D5963" s="323">
        <v>56</v>
      </c>
      <c r="E5963" s="324">
        <f t="shared" si="93"/>
        <v>13656.16</v>
      </c>
    </row>
    <row r="5964" spans="1:5" x14ac:dyDescent="0.25">
      <c r="A5964" s="323" t="s">
        <v>5203</v>
      </c>
      <c r="B5964" s="323" t="s">
        <v>805</v>
      </c>
      <c r="C5964" s="323">
        <v>50844</v>
      </c>
      <c r="D5964" s="323">
        <v>186</v>
      </c>
      <c r="E5964" s="324">
        <f t="shared" si="93"/>
        <v>45357.96</v>
      </c>
    </row>
    <row r="5965" spans="1:5" x14ac:dyDescent="0.25">
      <c r="A5965" s="323" t="s">
        <v>5272</v>
      </c>
      <c r="B5965" s="323" t="s">
        <v>805</v>
      </c>
      <c r="C5965" s="323">
        <v>50844</v>
      </c>
      <c r="D5965" s="323">
        <v>225</v>
      </c>
      <c r="E5965" s="324">
        <f t="shared" si="93"/>
        <v>54868.5</v>
      </c>
    </row>
    <row r="5966" spans="1:5" x14ac:dyDescent="0.25">
      <c r="A5966" s="323" t="s">
        <v>7229</v>
      </c>
      <c r="B5966" s="323" t="s">
        <v>805</v>
      </c>
      <c r="C5966" s="323">
        <v>50844</v>
      </c>
      <c r="D5966" s="323">
        <v>368</v>
      </c>
      <c r="E5966" s="324">
        <f t="shared" si="93"/>
        <v>89740.48000000001</v>
      </c>
    </row>
    <row r="5967" spans="1:5" x14ac:dyDescent="0.25">
      <c r="A5967" s="323" t="s">
        <v>841</v>
      </c>
      <c r="B5967" s="323" t="s">
        <v>805</v>
      </c>
      <c r="C5967" s="323">
        <v>50949</v>
      </c>
      <c r="D5967" s="323">
        <v>128</v>
      </c>
      <c r="E5967" s="324">
        <f t="shared" si="93"/>
        <v>31214.080000000002</v>
      </c>
    </row>
    <row r="5968" spans="1:5" x14ac:dyDescent="0.25">
      <c r="A5968" s="323" t="s">
        <v>847</v>
      </c>
      <c r="B5968" s="323" t="s">
        <v>805</v>
      </c>
      <c r="C5968" s="323">
        <v>50949</v>
      </c>
      <c r="D5968" s="323">
        <v>58</v>
      </c>
      <c r="E5968" s="324">
        <f t="shared" si="93"/>
        <v>14143.880000000001</v>
      </c>
    </row>
    <row r="5969" spans="1:5" x14ac:dyDescent="0.25">
      <c r="A5969" s="323" t="s">
        <v>1356</v>
      </c>
      <c r="B5969" s="323" t="s">
        <v>805</v>
      </c>
      <c r="C5969" s="323">
        <v>50949</v>
      </c>
      <c r="D5969" s="323">
        <v>456</v>
      </c>
      <c r="E5969" s="324">
        <f t="shared" si="93"/>
        <v>111200.16</v>
      </c>
    </row>
    <row r="5970" spans="1:5" x14ac:dyDescent="0.25">
      <c r="A5970" s="323" t="s">
        <v>1756</v>
      </c>
      <c r="B5970" s="323" t="s">
        <v>805</v>
      </c>
      <c r="C5970" s="323">
        <v>50949</v>
      </c>
      <c r="D5970" s="323">
        <v>116</v>
      </c>
      <c r="E5970" s="324">
        <f t="shared" si="93"/>
        <v>28287.760000000002</v>
      </c>
    </row>
    <row r="5971" spans="1:5" x14ac:dyDescent="0.25">
      <c r="A5971" s="323" t="s">
        <v>2107</v>
      </c>
      <c r="B5971" s="323" t="s">
        <v>805</v>
      </c>
      <c r="C5971" s="323">
        <v>50949</v>
      </c>
      <c r="D5971" s="323">
        <v>115</v>
      </c>
      <c r="E5971" s="324">
        <f t="shared" si="93"/>
        <v>28043.9</v>
      </c>
    </row>
    <row r="5972" spans="1:5" x14ac:dyDescent="0.25">
      <c r="A5972" s="323" t="s">
        <v>2310</v>
      </c>
      <c r="B5972" s="323" t="s">
        <v>805</v>
      </c>
      <c r="C5972" s="323">
        <v>50949</v>
      </c>
      <c r="D5972" s="323">
        <v>318</v>
      </c>
      <c r="E5972" s="324">
        <f t="shared" si="93"/>
        <v>77547.48000000001</v>
      </c>
    </row>
    <row r="5973" spans="1:5" x14ac:dyDescent="0.25">
      <c r="A5973" s="323" t="s">
        <v>2400</v>
      </c>
      <c r="B5973" s="323" t="s">
        <v>805</v>
      </c>
      <c r="C5973" s="323">
        <v>50949</v>
      </c>
      <c r="D5973" s="323">
        <v>272</v>
      </c>
      <c r="E5973" s="324">
        <f t="shared" si="93"/>
        <v>66329.919999999998</v>
      </c>
    </row>
    <row r="5974" spans="1:5" x14ac:dyDescent="0.25">
      <c r="A5974" s="323" t="s">
        <v>2512</v>
      </c>
      <c r="B5974" s="323" t="s">
        <v>805</v>
      </c>
      <c r="C5974" s="323">
        <v>50949</v>
      </c>
      <c r="D5974" s="323">
        <v>52</v>
      </c>
      <c r="E5974" s="324">
        <f t="shared" si="93"/>
        <v>12680.720000000001</v>
      </c>
    </row>
    <row r="5975" spans="1:5" x14ac:dyDescent="0.25">
      <c r="A5975" s="323" t="s">
        <v>3180</v>
      </c>
      <c r="B5975" s="323" t="s">
        <v>805</v>
      </c>
      <c r="C5975" s="323">
        <v>50949</v>
      </c>
      <c r="D5975" s="323">
        <v>318</v>
      </c>
      <c r="E5975" s="324">
        <f t="shared" si="93"/>
        <v>77547.48000000001</v>
      </c>
    </row>
    <row r="5976" spans="1:5" x14ac:dyDescent="0.25">
      <c r="A5976" s="323" t="s">
        <v>2323</v>
      </c>
      <c r="B5976" s="323" t="s">
        <v>805</v>
      </c>
      <c r="C5976" s="323">
        <v>50988</v>
      </c>
      <c r="D5976" s="323">
        <v>287</v>
      </c>
      <c r="E5976" s="324">
        <f t="shared" si="93"/>
        <v>69987.820000000007</v>
      </c>
    </row>
    <row r="5977" spans="1:5" x14ac:dyDescent="0.25">
      <c r="A5977" s="323" t="s">
        <v>4166</v>
      </c>
      <c r="B5977" s="323" t="s">
        <v>805</v>
      </c>
      <c r="C5977" s="323">
        <v>52131</v>
      </c>
      <c r="D5977" s="323">
        <v>328</v>
      </c>
      <c r="E5977" s="324">
        <f t="shared" si="93"/>
        <v>79986.080000000002</v>
      </c>
    </row>
    <row r="5978" spans="1:5" x14ac:dyDescent="0.25">
      <c r="A5978" s="323" t="s">
        <v>4300</v>
      </c>
      <c r="B5978" s="323" t="s">
        <v>805</v>
      </c>
      <c r="C5978" s="323">
        <v>52131</v>
      </c>
      <c r="D5978" s="323">
        <v>475</v>
      </c>
      <c r="E5978" s="324">
        <f t="shared" si="93"/>
        <v>115833.5</v>
      </c>
    </row>
    <row r="5979" spans="1:5" x14ac:dyDescent="0.25">
      <c r="A5979" s="323" t="s">
        <v>4515</v>
      </c>
      <c r="B5979" s="323" t="s">
        <v>805</v>
      </c>
      <c r="C5979" s="323">
        <v>52131</v>
      </c>
      <c r="D5979" s="323">
        <v>208</v>
      </c>
      <c r="E5979" s="324">
        <f t="shared" si="93"/>
        <v>50722.880000000005</v>
      </c>
    </row>
    <row r="5980" spans="1:5" x14ac:dyDescent="0.25">
      <c r="A5980" s="323" t="s">
        <v>4611</v>
      </c>
      <c r="B5980" s="323" t="s">
        <v>805</v>
      </c>
      <c r="C5980" s="323">
        <v>52131</v>
      </c>
      <c r="D5980" s="323">
        <v>216</v>
      </c>
      <c r="E5980" s="324">
        <f t="shared" si="93"/>
        <v>52673.760000000002</v>
      </c>
    </row>
    <row r="5981" spans="1:5" x14ac:dyDescent="0.25">
      <c r="A5981" s="323" t="s">
        <v>4021</v>
      </c>
      <c r="B5981" s="323" t="s">
        <v>805</v>
      </c>
      <c r="C5981" s="323">
        <v>53015</v>
      </c>
      <c r="D5981" s="323">
        <v>250</v>
      </c>
      <c r="E5981" s="324">
        <f t="shared" si="93"/>
        <v>60965</v>
      </c>
    </row>
    <row r="5982" spans="1:5" x14ac:dyDescent="0.25">
      <c r="A5982" s="323" t="s">
        <v>4168</v>
      </c>
      <c r="B5982" s="323" t="s">
        <v>805</v>
      </c>
      <c r="C5982" s="323">
        <v>53015</v>
      </c>
      <c r="D5982" s="323">
        <v>214</v>
      </c>
      <c r="E5982" s="324">
        <f t="shared" si="93"/>
        <v>52186.04</v>
      </c>
    </row>
    <row r="5983" spans="1:5" x14ac:dyDescent="0.25">
      <c r="A5983" s="323" t="s">
        <v>4409</v>
      </c>
      <c r="B5983" s="323" t="s">
        <v>805</v>
      </c>
      <c r="C5983" s="323">
        <v>53015</v>
      </c>
      <c r="D5983" s="323">
        <v>256</v>
      </c>
      <c r="E5983" s="324">
        <f t="shared" si="93"/>
        <v>62428.160000000003</v>
      </c>
    </row>
    <row r="5984" spans="1:5" x14ac:dyDescent="0.25">
      <c r="A5984" s="323" t="s">
        <v>4517</v>
      </c>
      <c r="B5984" s="323" t="s">
        <v>805</v>
      </c>
      <c r="C5984" s="323">
        <v>53015</v>
      </c>
      <c r="D5984" s="323">
        <v>376</v>
      </c>
      <c r="E5984" s="324">
        <f t="shared" si="93"/>
        <v>91691.36</v>
      </c>
    </row>
    <row r="5985" spans="1:5" x14ac:dyDescent="0.25">
      <c r="A5985" s="323" t="s">
        <v>4613</v>
      </c>
      <c r="B5985" s="323" t="s">
        <v>805</v>
      </c>
      <c r="C5985" s="323">
        <v>53015</v>
      </c>
      <c r="D5985" s="323">
        <v>221</v>
      </c>
      <c r="E5985" s="324">
        <f t="shared" si="93"/>
        <v>53893.060000000005</v>
      </c>
    </row>
    <row r="5986" spans="1:5" x14ac:dyDescent="0.25">
      <c r="A5986" s="323" t="s">
        <v>4693</v>
      </c>
      <c r="B5986" s="323" t="s">
        <v>805</v>
      </c>
      <c r="C5986" s="323">
        <v>53015</v>
      </c>
      <c r="D5986" s="323">
        <v>442</v>
      </c>
      <c r="E5986" s="324">
        <f t="shared" si="93"/>
        <v>107786.12000000001</v>
      </c>
    </row>
    <row r="5987" spans="1:5" x14ac:dyDescent="0.25">
      <c r="A5987" s="323" t="s">
        <v>6796</v>
      </c>
      <c r="B5987" s="323" t="s">
        <v>805</v>
      </c>
      <c r="C5987" s="323">
        <v>53015</v>
      </c>
      <c r="D5987" s="323">
        <v>299</v>
      </c>
      <c r="E5987" s="324">
        <f t="shared" si="93"/>
        <v>72914.14</v>
      </c>
    </row>
    <row r="5988" spans="1:5" x14ac:dyDescent="0.25">
      <c r="A5988" s="323" t="s">
        <v>1691</v>
      </c>
      <c r="B5988" s="323" t="s">
        <v>805</v>
      </c>
      <c r="C5988" s="323">
        <v>53197</v>
      </c>
      <c r="D5988" s="323">
        <v>468</v>
      </c>
      <c r="E5988" s="324">
        <f t="shared" si="93"/>
        <v>114126.48000000001</v>
      </c>
    </row>
    <row r="5989" spans="1:5" x14ac:dyDescent="0.25">
      <c r="A5989" s="323" t="s">
        <v>1692</v>
      </c>
      <c r="B5989" s="323" t="s">
        <v>805</v>
      </c>
      <c r="C5989" s="323">
        <v>53210</v>
      </c>
      <c r="D5989" s="323">
        <v>384</v>
      </c>
      <c r="E5989" s="324">
        <f t="shared" si="93"/>
        <v>93642.240000000005</v>
      </c>
    </row>
    <row r="5990" spans="1:5" x14ac:dyDescent="0.25">
      <c r="A5990" s="323" t="s">
        <v>1693</v>
      </c>
      <c r="B5990" s="323" t="s">
        <v>805</v>
      </c>
      <c r="C5990" s="323">
        <v>53262</v>
      </c>
      <c r="D5990" s="323">
        <v>271</v>
      </c>
      <c r="E5990" s="324">
        <f t="shared" si="93"/>
        <v>66086.06</v>
      </c>
    </row>
    <row r="5991" spans="1:5" x14ac:dyDescent="0.25">
      <c r="A5991" s="323" t="s">
        <v>1362</v>
      </c>
      <c r="B5991" s="323" t="s">
        <v>805</v>
      </c>
      <c r="C5991" s="323">
        <v>53406</v>
      </c>
      <c r="D5991" s="323">
        <v>220</v>
      </c>
      <c r="E5991" s="324">
        <f t="shared" si="93"/>
        <v>53649.200000000004</v>
      </c>
    </row>
    <row r="5992" spans="1:5" x14ac:dyDescent="0.25">
      <c r="A5992" s="323" t="s">
        <v>1794</v>
      </c>
      <c r="B5992" s="323" t="s">
        <v>805</v>
      </c>
      <c r="C5992" s="323">
        <v>53444</v>
      </c>
      <c r="D5992" s="323">
        <v>284</v>
      </c>
      <c r="E5992" s="324">
        <f t="shared" si="93"/>
        <v>69256.240000000005</v>
      </c>
    </row>
    <row r="5993" spans="1:5" x14ac:dyDescent="0.25">
      <c r="A5993" s="323" t="s">
        <v>1695</v>
      </c>
      <c r="B5993" s="323" t="s">
        <v>805</v>
      </c>
      <c r="C5993" s="323">
        <v>53730</v>
      </c>
      <c r="D5993" s="323">
        <v>439</v>
      </c>
      <c r="E5993" s="324">
        <f t="shared" si="93"/>
        <v>107054.54000000001</v>
      </c>
    </row>
    <row r="5994" spans="1:5" x14ac:dyDescent="0.25">
      <c r="A5994" s="323" t="s">
        <v>6088</v>
      </c>
      <c r="B5994" s="323" t="s">
        <v>805</v>
      </c>
      <c r="C5994" s="323">
        <v>53860</v>
      </c>
      <c r="D5994" s="323">
        <v>379</v>
      </c>
      <c r="E5994" s="324">
        <f t="shared" si="93"/>
        <v>92422.94</v>
      </c>
    </row>
    <row r="5995" spans="1:5" x14ac:dyDescent="0.25">
      <c r="A5995" s="323" t="s">
        <v>6164</v>
      </c>
      <c r="B5995" s="323" t="s">
        <v>805</v>
      </c>
      <c r="C5995" s="323">
        <v>53860</v>
      </c>
      <c r="D5995" s="323">
        <v>223</v>
      </c>
      <c r="E5995" s="324">
        <f t="shared" si="93"/>
        <v>54380.780000000006</v>
      </c>
    </row>
    <row r="5996" spans="1:5" x14ac:dyDescent="0.25">
      <c r="A5996" s="323" t="s">
        <v>5819</v>
      </c>
      <c r="B5996" s="323" t="s">
        <v>803</v>
      </c>
      <c r="C5996" s="323">
        <v>54679</v>
      </c>
      <c r="D5996" s="323">
        <v>59</v>
      </c>
      <c r="E5996" s="324">
        <f t="shared" si="93"/>
        <v>28775.480000000003</v>
      </c>
    </row>
    <row r="5997" spans="1:5" x14ac:dyDescent="0.25">
      <c r="A5997" s="323" t="s">
        <v>5819</v>
      </c>
      <c r="B5997" s="323" t="s">
        <v>809</v>
      </c>
      <c r="C5997" s="323">
        <v>54679</v>
      </c>
      <c r="D5997" s="323">
        <v>162</v>
      </c>
      <c r="E5997" s="324">
        <f t="shared" si="93"/>
        <v>79010.64</v>
      </c>
    </row>
    <row r="5998" spans="1:5" x14ac:dyDescent="0.25">
      <c r="A5998" s="323" t="s">
        <v>5819</v>
      </c>
      <c r="B5998" s="323" t="s">
        <v>809</v>
      </c>
      <c r="C5998" s="323">
        <v>54679</v>
      </c>
      <c r="D5998" s="323">
        <v>153</v>
      </c>
      <c r="E5998" s="324">
        <f t="shared" si="93"/>
        <v>74621.16</v>
      </c>
    </row>
    <row r="5999" spans="1:5" x14ac:dyDescent="0.25">
      <c r="A5999" s="323" t="s">
        <v>5819</v>
      </c>
      <c r="B5999" s="323" t="s">
        <v>809</v>
      </c>
      <c r="C5999" s="323">
        <v>54679</v>
      </c>
      <c r="D5999" s="323">
        <v>65</v>
      </c>
      <c r="E5999" s="324">
        <f t="shared" si="93"/>
        <v>31701.800000000003</v>
      </c>
    </row>
    <row r="6000" spans="1:5" x14ac:dyDescent="0.25">
      <c r="A6000" s="323" t="s">
        <v>5819</v>
      </c>
      <c r="B6000" s="323" t="s">
        <v>809</v>
      </c>
      <c r="C6000" s="323">
        <v>54679</v>
      </c>
      <c r="D6000" s="323">
        <v>37</v>
      </c>
      <c r="E6000" s="324">
        <f t="shared" si="93"/>
        <v>18045.64</v>
      </c>
    </row>
    <row r="6001" spans="1:5" x14ac:dyDescent="0.25">
      <c r="A6001" s="323" t="s">
        <v>5819</v>
      </c>
      <c r="B6001" s="323" t="s">
        <v>803</v>
      </c>
      <c r="C6001" s="323">
        <v>54679</v>
      </c>
      <c r="D6001" s="323">
        <v>101</v>
      </c>
      <c r="E6001" s="324">
        <f t="shared" si="93"/>
        <v>49259.72</v>
      </c>
    </row>
    <row r="6002" spans="1:5" x14ac:dyDescent="0.25">
      <c r="A6002" s="323" t="s">
        <v>5819</v>
      </c>
      <c r="B6002" s="323" t="s">
        <v>809</v>
      </c>
      <c r="C6002" s="323">
        <v>54679</v>
      </c>
      <c r="D6002" s="323">
        <v>150</v>
      </c>
      <c r="E6002" s="324">
        <f t="shared" si="93"/>
        <v>73158</v>
      </c>
    </row>
    <row r="6003" spans="1:5" x14ac:dyDescent="0.25">
      <c r="A6003" s="323" t="s">
        <v>5819</v>
      </c>
      <c r="B6003" s="323" t="s">
        <v>809</v>
      </c>
      <c r="C6003" s="323">
        <v>54679</v>
      </c>
      <c r="D6003" s="323">
        <v>136</v>
      </c>
      <c r="E6003" s="324">
        <f t="shared" si="93"/>
        <v>66329.919999999998</v>
      </c>
    </row>
    <row r="6004" spans="1:5" x14ac:dyDescent="0.25">
      <c r="A6004" s="323" t="s">
        <v>5819</v>
      </c>
      <c r="B6004" s="323" t="s">
        <v>809</v>
      </c>
      <c r="C6004" s="323">
        <v>54679</v>
      </c>
      <c r="D6004" s="323">
        <v>190</v>
      </c>
      <c r="E6004" s="324">
        <f t="shared" si="93"/>
        <v>92666.8</v>
      </c>
    </row>
    <row r="6005" spans="1:5" x14ac:dyDescent="0.25">
      <c r="A6005" s="323" t="s">
        <v>5819</v>
      </c>
      <c r="B6005" s="323" t="s">
        <v>809</v>
      </c>
      <c r="C6005" s="323">
        <v>54679</v>
      </c>
      <c r="D6005" s="323">
        <v>173</v>
      </c>
      <c r="E6005" s="324">
        <f t="shared" si="93"/>
        <v>84375.56</v>
      </c>
    </row>
    <row r="6006" spans="1:5" x14ac:dyDescent="0.25">
      <c r="A6006" s="323" t="s">
        <v>5819</v>
      </c>
      <c r="B6006" s="323" t="s">
        <v>809</v>
      </c>
      <c r="C6006" s="323">
        <v>54679</v>
      </c>
      <c r="D6006" s="323">
        <v>72</v>
      </c>
      <c r="E6006" s="324">
        <f t="shared" si="93"/>
        <v>35115.840000000004</v>
      </c>
    </row>
    <row r="6007" spans="1:5" x14ac:dyDescent="0.25">
      <c r="A6007" s="323" t="s">
        <v>5819</v>
      </c>
      <c r="B6007" s="323" t="s">
        <v>809</v>
      </c>
      <c r="C6007" s="323">
        <v>54679</v>
      </c>
      <c r="D6007" s="323">
        <v>137</v>
      </c>
      <c r="E6007" s="324">
        <f t="shared" si="93"/>
        <v>66817.64</v>
      </c>
    </row>
    <row r="6008" spans="1:5" x14ac:dyDescent="0.25">
      <c r="A6008" s="323" t="s">
        <v>5819</v>
      </c>
      <c r="B6008" s="323" t="s">
        <v>809</v>
      </c>
      <c r="C6008" s="323">
        <v>54679</v>
      </c>
      <c r="D6008" s="323">
        <v>65</v>
      </c>
      <c r="E6008" s="324">
        <f t="shared" si="93"/>
        <v>31701.800000000003</v>
      </c>
    </row>
    <row r="6009" spans="1:5" x14ac:dyDescent="0.25">
      <c r="A6009" s="323" t="s">
        <v>5819</v>
      </c>
      <c r="B6009" s="323" t="s">
        <v>809</v>
      </c>
      <c r="C6009" s="323">
        <v>54679</v>
      </c>
      <c r="D6009" s="323">
        <v>265</v>
      </c>
      <c r="E6009" s="324">
        <f t="shared" si="93"/>
        <v>129245.8</v>
      </c>
    </row>
    <row r="6010" spans="1:5" x14ac:dyDescent="0.25">
      <c r="A6010" s="323" t="s">
        <v>5819</v>
      </c>
      <c r="B6010" s="323" t="s">
        <v>809</v>
      </c>
      <c r="C6010" s="323">
        <v>54679</v>
      </c>
      <c r="D6010" s="323">
        <v>83</v>
      </c>
      <c r="E6010" s="324">
        <f t="shared" si="93"/>
        <v>40480.76</v>
      </c>
    </row>
    <row r="6011" spans="1:5" x14ac:dyDescent="0.25">
      <c r="A6011" s="323" t="s">
        <v>5819</v>
      </c>
      <c r="B6011" s="323" t="s">
        <v>803</v>
      </c>
      <c r="C6011" s="323">
        <v>54679</v>
      </c>
      <c r="D6011" s="323">
        <v>80</v>
      </c>
      <c r="E6011" s="324">
        <f t="shared" si="93"/>
        <v>39017.600000000006</v>
      </c>
    </row>
    <row r="6012" spans="1:5" x14ac:dyDescent="0.25">
      <c r="A6012" s="323" t="s">
        <v>5819</v>
      </c>
      <c r="B6012" s="323" t="s">
        <v>809</v>
      </c>
      <c r="C6012" s="323">
        <v>54679</v>
      </c>
      <c r="D6012" s="323">
        <v>29</v>
      </c>
      <c r="E6012" s="324">
        <f t="shared" si="93"/>
        <v>14143.880000000001</v>
      </c>
    </row>
    <row r="6013" spans="1:5" x14ac:dyDescent="0.25">
      <c r="A6013" s="323" t="s">
        <v>5819</v>
      </c>
      <c r="B6013" s="323" t="s">
        <v>803</v>
      </c>
      <c r="C6013" s="323">
        <v>54679</v>
      </c>
      <c r="D6013" s="323">
        <v>29</v>
      </c>
      <c r="E6013" s="324">
        <f t="shared" si="93"/>
        <v>14143.880000000001</v>
      </c>
    </row>
    <row r="6014" spans="1:5" x14ac:dyDescent="0.25">
      <c r="A6014" s="323" t="s">
        <v>5819</v>
      </c>
      <c r="B6014" s="323" t="s">
        <v>809</v>
      </c>
      <c r="C6014" s="323">
        <v>54679</v>
      </c>
      <c r="D6014" s="323">
        <v>38</v>
      </c>
      <c r="E6014" s="324">
        <f t="shared" si="93"/>
        <v>18533.36</v>
      </c>
    </row>
    <row r="6015" spans="1:5" x14ac:dyDescent="0.25">
      <c r="A6015" s="323" t="s">
        <v>5819</v>
      </c>
      <c r="B6015" s="323" t="s">
        <v>803</v>
      </c>
      <c r="C6015" s="323">
        <v>54679</v>
      </c>
      <c r="D6015" s="323">
        <v>21</v>
      </c>
      <c r="E6015" s="324">
        <f t="shared" si="93"/>
        <v>10242.120000000001</v>
      </c>
    </row>
    <row r="6016" spans="1:5" x14ac:dyDescent="0.25">
      <c r="A6016" s="323" t="s">
        <v>5819</v>
      </c>
      <c r="B6016" s="323" t="s">
        <v>803</v>
      </c>
      <c r="C6016" s="323">
        <v>54679</v>
      </c>
      <c r="D6016" s="323">
        <v>102</v>
      </c>
      <c r="E6016" s="324">
        <f t="shared" si="93"/>
        <v>49747.44</v>
      </c>
    </row>
    <row r="6017" spans="1:5" x14ac:dyDescent="0.25">
      <c r="A6017" s="323" t="s">
        <v>5819</v>
      </c>
      <c r="B6017" s="323" t="s">
        <v>803</v>
      </c>
      <c r="C6017" s="323">
        <v>54679</v>
      </c>
      <c r="D6017" s="323">
        <v>75</v>
      </c>
      <c r="E6017" s="324">
        <f t="shared" si="93"/>
        <v>36579</v>
      </c>
    </row>
    <row r="6018" spans="1:5" x14ac:dyDescent="0.25">
      <c r="A6018" s="323" t="s">
        <v>5819</v>
      </c>
      <c r="B6018" s="323" t="s">
        <v>803</v>
      </c>
      <c r="C6018" s="323">
        <v>54679</v>
      </c>
      <c r="D6018" s="323">
        <v>30</v>
      </c>
      <c r="E6018" s="324">
        <f t="shared" ref="E6018:E6081" si="94">D6018*IF(B6018=$G$9,WerkdrukbedragPerLeerlingBo,IF(B6018=$G$10,WerkdrukbedragPerLeerlingSbo,IF(B6018=$G$11,WerkdrukbedragPerLeerlingSo,IF(B6018=$G$12,WerkdrukbedragPerLeerlingVso,0))))</f>
        <v>14631.6</v>
      </c>
    </row>
    <row r="6019" spans="1:5" x14ac:dyDescent="0.25">
      <c r="A6019" s="323" t="s">
        <v>5819</v>
      </c>
      <c r="B6019" s="323" t="s">
        <v>809</v>
      </c>
      <c r="C6019" s="323">
        <v>54679</v>
      </c>
      <c r="D6019" s="323">
        <v>56</v>
      </c>
      <c r="E6019" s="324">
        <f t="shared" si="94"/>
        <v>27312.32</v>
      </c>
    </row>
    <row r="6020" spans="1:5" x14ac:dyDescent="0.25">
      <c r="A6020" s="323" t="s">
        <v>5819</v>
      </c>
      <c r="B6020" s="323" t="s">
        <v>803</v>
      </c>
      <c r="C6020" s="323">
        <v>54679</v>
      </c>
      <c r="D6020" s="323">
        <v>41</v>
      </c>
      <c r="E6020" s="324">
        <f t="shared" si="94"/>
        <v>19996.52</v>
      </c>
    </row>
    <row r="6021" spans="1:5" x14ac:dyDescent="0.25">
      <c r="A6021" s="323" t="s">
        <v>5819</v>
      </c>
      <c r="B6021" s="323" t="s">
        <v>809</v>
      </c>
      <c r="C6021" s="323">
        <v>54679</v>
      </c>
      <c r="D6021" s="323">
        <v>242</v>
      </c>
      <c r="E6021" s="324">
        <f t="shared" si="94"/>
        <v>118028.24</v>
      </c>
    </row>
    <row r="6022" spans="1:5" x14ac:dyDescent="0.25">
      <c r="A6022" s="323" t="s">
        <v>5819</v>
      </c>
      <c r="B6022" s="323" t="s">
        <v>809</v>
      </c>
      <c r="C6022" s="323">
        <v>54679</v>
      </c>
      <c r="D6022" s="323">
        <v>131</v>
      </c>
      <c r="E6022" s="324">
        <f t="shared" si="94"/>
        <v>63891.320000000007</v>
      </c>
    </row>
    <row r="6023" spans="1:5" x14ac:dyDescent="0.25">
      <c r="A6023" s="323" t="s">
        <v>5819</v>
      </c>
      <c r="B6023" s="323" t="s">
        <v>809</v>
      </c>
      <c r="C6023" s="323">
        <v>54679</v>
      </c>
      <c r="D6023" s="323">
        <v>95</v>
      </c>
      <c r="E6023" s="324">
        <f t="shared" si="94"/>
        <v>46333.4</v>
      </c>
    </row>
    <row r="6024" spans="1:5" x14ac:dyDescent="0.25">
      <c r="A6024" s="323" t="s">
        <v>5819</v>
      </c>
      <c r="B6024" s="323" t="s">
        <v>803</v>
      </c>
      <c r="C6024" s="323">
        <v>54679</v>
      </c>
      <c r="D6024" s="323">
        <v>143</v>
      </c>
      <c r="E6024" s="324">
        <f t="shared" si="94"/>
        <v>69743.960000000006</v>
      </c>
    </row>
    <row r="6025" spans="1:5" x14ac:dyDescent="0.25">
      <c r="A6025" s="323" t="s">
        <v>5819</v>
      </c>
      <c r="B6025" s="323" t="s">
        <v>803</v>
      </c>
      <c r="C6025" s="323">
        <v>54679</v>
      </c>
      <c r="D6025" s="323">
        <v>79</v>
      </c>
      <c r="E6025" s="324">
        <f t="shared" si="94"/>
        <v>38529.880000000005</v>
      </c>
    </row>
    <row r="6026" spans="1:5" x14ac:dyDescent="0.25">
      <c r="A6026" s="323" t="s">
        <v>5819</v>
      </c>
      <c r="B6026" s="323" t="s">
        <v>809</v>
      </c>
      <c r="C6026" s="323">
        <v>54679</v>
      </c>
      <c r="D6026" s="323">
        <v>87</v>
      </c>
      <c r="E6026" s="324">
        <f t="shared" si="94"/>
        <v>42431.64</v>
      </c>
    </row>
    <row r="6027" spans="1:5" x14ac:dyDescent="0.25">
      <c r="A6027" s="323" t="s">
        <v>5819</v>
      </c>
      <c r="B6027" s="323" t="s">
        <v>803</v>
      </c>
      <c r="C6027" s="323">
        <v>54679</v>
      </c>
      <c r="D6027" s="323">
        <v>16</v>
      </c>
      <c r="E6027" s="324">
        <f t="shared" si="94"/>
        <v>7803.52</v>
      </c>
    </row>
    <row r="6028" spans="1:5" x14ac:dyDescent="0.25">
      <c r="A6028" s="323" t="s">
        <v>5819</v>
      </c>
      <c r="B6028" s="323" t="s">
        <v>809</v>
      </c>
      <c r="C6028" s="323">
        <v>54679</v>
      </c>
      <c r="D6028" s="323">
        <v>16</v>
      </c>
      <c r="E6028" s="324">
        <f t="shared" si="94"/>
        <v>7803.52</v>
      </c>
    </row>
    <row r="6029" spans="1:5" x14ac:dyDescent="0.25">
      <c r="A6029" s="323" t="s">
        <v>5819</v>
      </c>
      <c r="B6029" s="323" t="s">
        <v>803</v>
      </c>
      <c r="C6029" s="323">
        <v>54679</v>
      </c>
      <c r="D6029" s="323">
        <v>11</v>
      </c>
      <c r="E6029" s="324">
        <f t="shared" si="94"/>
        <v>5364.92</v>
      </c>
    </row>
    <row r="6030" spans="1:5" x14ac:dyDescent="0.25">
      <c r="A6030" s="323" t="s">
        <v>5819</v>
      </c>
      <c r="B6030" s="323" t="s">
        <v>809</v>
      </c>
      <c r="C6030" s="323">
        <v>54679</v>
      </c>
      <c r="D6030" s="323">
        <v>57</v>
      </c>
      <c r="E6030" s="324">
        <f t="shared" si="94"/>
        <v>27800.04</v>
      </c>
    </row>
    <row r="6031" spans="1:5" x14ac:dyDescent="0.25">
      <c r="A6031" s="323" t="s">
        <v>5819</v>
      </c>
      <c r="B6031" s="323" t="s">
        <v>809</v>
      </c>
      <c r="C6031" s="323">
        <v>54679</v>
      </c>
      <c r="D6031" s="323">
        <v>6</v>
      </c>
      <c r="E6031" s="324">
        <f t="shared" si="94"/>
        <v>2926.32</v>
      </c>
    </row>
    <row r="6032" spans="1:5" x14ac:dyDescent="0.25">
      <c r="A6032" s="323" t="s">
        <v>5819</v>
      </c>
      <c r="B6032" s="323" t="s">
        <v>803</v>
      </c>
      <c r="C6032" s="323">
        <v>54679</v>
      </c>
      <c r="D6032" s="323">
        <v>8</v>
      </c>
      <c r="E6032" s="324">
        <f t="shared" si="94"/>
        <v>3901.76</v>
      </c>
    </row>
    <row r="6033" spans="1:5" x14ac:dyDescent="0.25">
      <c r="A6033" s="323" t="s">
        <v>5819</v>
      </c>
      <c r="B6033" s="323" t="s">
        <v>809</v>
      </c>
      <c r="C6033" s="323">
        <v>54679</v>
      </c>
      <c r="D6033" s="323">
        <v>13</v>
      </c>
      <c r="E6033" s="324">
        <f t="shared" si="94"/>
        <v>6340.3600000000006</v>
      </c>
    </row>
    <row r="6034" spans="1:5" x14ac:dyDescent="0.25">
      <c r="A6034" s="323" t="s">
        <v>5819</v>
      </c>
      <c r="B6034" s="323" t="s">
        <v>803</v>
      </c>
      <c r="C6034" s="323">
        <v>54679</v>
      </c>
      <c r="D6034" s="323">
        <v>53</v>
      </c>
      <c r="E6034" s="324">
        <f t="shared" si="94"/>
        <v>25849.16</v>
      </c>
    </row>
    <row r="6035" spans="1:5" x14ac:dyDescent="0.25">
      <c r="A6035" s="323" t="s">
        <v>5819</v>
      </c>
      <c r="B6035" s="323" t="s">
        <v>809</v>
      </c>
      <c r="C6035" s="323">
        <v>54679</v>
      </c>
      <c r="D6035" s="323">
        <v>26</v>
      </c>
      <c r="E6035" s="324">
        <f t="shared" si="94"/>
        <v>12680.720000000001</v>
      </c>
    </row>
    <row r="6036" spans="1:5" x14ac:dyDescent="0.25">
      <c r="A6036" s="323" t="s">
        <v>5819</v>
      </c>
      <c r="B6036" s="323" t="s">
        <v>809</v>
      </c>
      <c r="C6036" s="323">
        <v>54679</v>
      </c>
      <c r="D6036" s="323">
        <v>9</v>
      </c>
      <c r="E6036" s="324">
        <f t="shared" si="94"/>
        <v>4389.4800000000005</v>
      </c>
    </row>
    <row r="6037" spans="1:5" x14ac:dyDescent="0.25">
      <c r="A6037" s="323" t="s">
        <v>1320</v>
      </c>
      <c r="B6037" s="323" t="s">
        <v>805</v>
      </c>
      <c r="C6037" s="323">
        <v>55238</v>
      </c>
      <c r="D6037" s="323">
        <v>60</v>
      </c>
      <c r="E6037" s="324">
        <f t="shared" si="94"/>
        <v>14631.6</v>
      </c>
    </row>
    <row r="6038" spans="1:5" x14ac:dyDescent="0.25">
      <c r="A6038" s="323" t="s">
        <v>1388</v>
      </c>
      <c r="B6038" s="323" t="s">
        <v>805</v>
      </c>
      <c r="C6038" s="323">
        <v>55238</v>
      </c>
      <c r="D6038" s="323">
        <v>228</v>
      </c>
      <c r="E6038" s="324">
        <f t="shared" si="94"/>
        <v>55600.08</v>
      </c>
    </row>
    <row r="6039" spans="1:5" x14ac:dyDescent="0.25">
      <c r="A6039" s="323" t="s">
        <v>1623</v>
      </c>
      <c r="B6039" s="323" t="s">
        <v>805</v>
      </c>
      <c r="C6039" s="323">
        <v>55238</v>
      </c>
      <c r="D6039" s="323">
        <v>226</v>
      </c>
      <c r="E6039" s="324">
        <f t="shared" si="94"/>
        <v>55112.36</v>
      </c>
    </row>
    <row r="6040" spans="1:5" x14ac:dyDescent="0.25">
      <c r="A6040" s="323" t="s">
        <v>1842</v>
      </c>
      <c r="B6040" s="323" t="s">
        <v>805</v>
      </c>
      <c r="C6040" s="323">
        <v>55238</v>
      </c>
      <c r="D6040" s="323">
        <v>260</v>
      </c>
      <c r="E6040" s="324">
        <f t="shared" si="94"/>
        <v>63403.600000000006</v>
      </c>
    </row>
    <row r="6041" spans="1:5" x14ac:dyDescent="0.25">
      <c r="A6041" s="323" t="s">
        <v>2787</v>
      </c>
      <c r="B6041" s="323" t="s">
        <v>805</v>
      </c>
      <c r="C6041" s="323">
        <v>55238</v>
      </c>
      <c r="D6041" s="323">
        <v>285</v>
      </c>
      <c r="E6041" s="324">
        <f t="shared" si="94"/>
        <v>69500.100000000006</v>
      </c>
    </row>
    <row r="6042" spans="1:5" x14ac:dyDescent="0.25">
      <c r="A6042" s="323" t="s">
        <v>2826</v>
      </c>
      <c r="B6042" s="323" t="s">
        <v>805</v>
      </c>
      <c r="C6042" s="323">
        <v>55238</v>
      </c>
      <c r="D6042" s="323">
        <v>210</v>
      </c>
      <c r="E6042" s="324">
        <f t="shared" si="94"/>
        <v>51210.600000000006</v>
      </c>
    </row>
    <row r="6043" spans="1:5" x14ac:dyDescent="0.25">
      <c r="A6043" s="323" t="s">
        <v>2864</v>
      </c>
      <c r="B6043" s="323" t="s">
        <v>805</v>
      </c>
      <c r="C6043" s="323">
        <v>55238</v>
      </c>
      <c r="D6043" s="323">
        <v>218</v>
      </c>
      <c r="E6043" s="324">
        <f t="shared" si="94"/>
        <v>53161.48</v>
      </c>
    </row>
    <row r="6044" spans="1:5" x14ac:dyDescent="0.25">
      <c r="A6044" s="323" t="s">
        <v>3271</v>
      </c>
      <c r="B6044" s="323" t="s">
        <v>805</v>
      </c>
      <c r="C6044" s="323">
        <v>55238</v>
      </c>
      <c r="D6044" s="323">
        <v>164</v>
      </c>
      <c r="E6044" s="324">
        <f t="shared" si="94"/>
        <v>39993.040000000001</v>
      </c>
    </row>
    <row r="6045" spans="1:5" x14ac:dyDescent="0.25">
      <c r="A6045" s="323" t="s">
        <v>3282</v>
      </c>
      <c r="B6045" s="323" t="s">
        <v>805</v>
      </c>
      <c r="C6045" s="323">
        <v>55238</v>
      </c>
      <c r="D6045" s="323">
        <v>206</v>
      </c>
      <c r="E6045" s="324">
        <f t="shared" si="94"/>
        <v>50235.16</v>
      </c>
    </row>
    <row r="6046" spans="1:5" x14ac:dyDescent="0.25">
      <c r="A6046" s="323" t="s">
        <v>3288</v>
      </c>
      <c r="B6046" s="323" t="s">
        <v>805</v>
      </c>
      <c r="C6046" s="323">
        <v>55238</v>
      </c>
      <c r="D6046" s="323">
        <v>202</v>
      </c>
      <c r="E6046" s="324">
        <f t="shared" si="94"/>
        <v>49259.72</v>
      </c>
    </row>
    <row r="6047" spans="1:5" x14ac:dyDescent="0.25">
      <c r="A6047" s="323" t="s">
        <v>3314</v>
      </c>
      <c r="B6047" s="323" t="s">
        <v>805</v>
      </c>
      <c r="C6047" s="323">
        <v>55238</v>
      </c>
      <c r="D6047" s="323">
        <v>385</v>
      </c>
      <c r="E6047" s="324">
        <f t="shared" si="94"/>
        <v>93886.1</v>
      </c>
    </row>
    <row r="6048" spans="1:5" x14ac:dyDescent="0.25">
      <c r="A6048" s="323" t="s">
        <v>3842</v>
      </c>
      <c r="B6048" s="323" t="s">
        <v>805</v>
      </c>
      <c r="C6048" s="323">
        <v>55238</v>
      </c>
      <c r="D6048" s="323">
        <v>288</v>
      </c>
      <c r="E6048" s="324">
        <f t="shared" si="94"/>
        <v>70231.680000000008</v>
      </c>
    </row>
    <row r="6049" spans="1:5" x14ac:dyDescent="0.25">
      <c r="A6049" s="323" t="s">
        <v>3855</v>
      </c>
      <c r="B6049" s="323" t="s">
        <v>805</v>
      </c>
      <c r="C6049" s="323">
        <v>55238</v>
      </c>
      <c r="D6049" s="323">
        <v>283</v>
      </c>
      <c r="E6049" s="324">
        <f t="shared" si="94"/>
        <v>69012.38</v>
      </c>
    </row>
    <row r="6050" spans="1:5" x14ac:dyDescent="0.25">
      <c r="A6050" s="323" t="s">
        <v>4169</v>
      </c>
      <c r="B6050" s="323" t="s">
        <v>805</v>
      </c>
      <c r="C6050" s="323">
        <v>55238</v>
      </c>
      <c r="D6050" s="323">
        <v>137</v>
      </c>
      <c r="E6050" s="324">
        <f t="shared" si="94"/>
        <v>33408.82</v>
      </c>
    </row>
    <row r="6051" spans="1:5" x14ac:dyDescent="0.25">
      <c r="A6051" s="323" t="s">
        <v>4410</v>
      </c>
      <c r="B6051" s="323" t="s">
        <v>805</v>
      </c>
      <c r="C6051" s="323">
        <v>55238</v>
      </c>
      <c r="D6051" s="323">
        <v>215</v>
      </c>
      <c r="E6051" s="324">
        <f t="shared" si="94"/>
        <v>52429.9</v>
      </c>
    </row>
    <row r="6052" spans="1:5" x14ac:dyDescent="0.25">
      <c r="A6052" s="323" t="s">
        <v>5201</v>
      </c>
      <c r="B6052" s="323" t="s">
        <v>805</v>
      </c>
      <c r="C6052" s="323">
        <v>55238</v>
      </c>
      <c r="D6052" s="323">
        <v>311</v>
      </c>
      <c r="E6052" s="324">
        <f t="shared" si="94"/>
        <v>75840.460000000006</v>
      </c>
    </row>
    <row r="6053" spans="1:5" x14ac:dyDescent="0.25">
      <c r="A6053" s="323" t="s">
        <v>5220</v>
      </c>
      <c r="B6053" s="323" t="s">
        <v>805</v>
      </c>
      <c r="C6053" s="323">
        <v>55238</v>
      </c>
      <c r="D6053" s="323">
        <v>193</v>
      </c>
      <c r="E6053" s="324">
        <f t="shared" si="94"/>
        <v>47064.98</v>
      </c>
    </row>
    <row r="6054" spans="1:5" x14ac:dyDescent="0.25">
      <c r="A6054" s="323" t="s">
        <v>5297</v>
      </c>
      <c r="B6054" s="323" t="s">
        <v>805</v>
      </c>
      <c r="C6054" s="323">
        <v>55238</v>
      </c>
      <c r="D6054" s="323">
        <v>165</v>
      </c>
      <c r="E6054" s="324">
        <f t="shared" si="94"/>
        <v>40236.9</v>
      </c>
    </row>
    <row r="6055" spans="1:5" x14ac:dyDescent="0.25">
      <c r="A6055" s="323" t="s">
        <v>5511</v>
      </c>
      <c r="B6055" s="323" t="s">
        <v>805</v>
      </c>
      <c r="C6055" s="323">
        <v>55238</v>
      </c>
      <c r="D6055" s="323">
        <v>114</v>
      </c>
      <c r="E6055" s="324">
        <f t="shared" si="94"/>
        <v>27800.04</v>
      </c>
    </row>
    <row r="6056" spans="1:5" x14ac:dyDescent="0.25">
      <c r="A6056" s="323" t="s">
        <v>894</v>
      </c>
      <c r="B6056" s="323" t="s">
        <v>816</v>
      </c>
      <c r="C6056" s="323">
        <v>55303</v>
      </c>
      <c r="D6056" s="323">
        <v>174</v>
      </c>
      <c r="E6056" s="324">
        <f t="shared" si="94"/>
        <v>63647.460000000006</v>
      </c>
    </row>
    <row r="6057" spans="1:5" x14ac:dyDescent="0.25">
      <c r="A6057" s="323" t="s">
        <v>3272</v>
      </c>
      <c r="B6057" s="323" t="s">
        <v>805</v>
      </c>
      <c r="C6057" s="323">
        <v>55303</v>
      </c>
      <c r="D6057" s="323">
        <v>453</v>
      </c>
      <c r="E6057" s="324">
        <f t="shared" si="94"/>
        <v>110468.58</v>
      </c>
    </row>
    <row r="6058" spans="1:5" x14ac:dyDescent="0.25">
      <c r="A6058" s="323" t="s">
        <v>3582</v>
      </c>
      <c r="B6058" s="323" t="s">
        <v>805</v>
      </c>
      <c r="C6058" s="323">
        <v>55303</v>
      </c>
      <c r="D6058" s="323">
        <v>111</v>
      </c>
      <c r="E6058" s="324">
        <f t="shared" si="94"/>
        <v>27068.460000000003</v>
      </c>
    </row>
    <row r="6059" spans="1:5" x14ac:dyDescent="0.25">
      <c r="A6059" s="323" t="s">
        <v>3736</v>
      </c>
      <c r="B6059" s="323" t="s">
        <v>805</v>
      </c>
      <c r="C6059" s="323">
        <v>55303</v>
      </c>
      <c r="D6059" s="323">
        <v>455</v>
      </c>
      <c r="E6059" s="324">
        <f t="shared" si="94"/>
        <v>110956.3</v>
      </c>
    </row>
    <row r="6060" spans="1:5" x14ac:dyDescent="0.25">
      <c r="A6060" s="323" t="s">
        <v>3848</v>
      </c>
      <c r="B6060" s="323" t="s">
        <v>805</v>
      </c>
      <c r="C6060" s="323">
        <v>55303</v>
      </c>
      <c r="D6060" s="323">
        <v>594</v>
      </c>
      <c r="E6060" s="324">
        <f t="shared" si="94"/>
        <v>144852.84</v>
      </c>
    </row>
    <row r="6061" spans="1:5" x14ac:dyDescent="0.25">
      <c r="A6061" s="323" t="s">
        <v>3942</v>
      </c>
      <c r="B6061" s="323" t="s">
        <v>805</v>
      </c>
      <c r="C6061" s="323">
        <v>55303</v>
      </c>
      <c r="D6061" s="323">
        <v>311</v>
      </c>
      <c r="E6061" s="324">
        <f t="shared" si="94"/>
        <v>75840.460000000006</v>
      </c>
    </row>
    <row r="6062" spans="1:5" x14ac:dyDescent="0.25">
      <c r="A6062" s="323" t="s">
        <v>4022</v>
      </c>
      <c r="B6062" s="323" t="s">
        <v>805</v>
      </c>
      <c r="C6062" s="323">
        <v>55303</v>
      </c>
      <c r="D6062" s="323">
        <v>436</v>
      </c>
      <c r="E6062" s="324">
        <f t="shared" si="94"/>
        <v>106322.96</v>
      </c>
    </row>
    <row r="6063" spans="1:5" x14ac:dyDescent="0.25">
      <c r="A6063" s="323" t="s">
        <v>7502</v>
      </c>
      <c r="B6063" s="323" t="s">
        <v>805</v>
      </c>
      <c r="C6063" s="323">
        <v>55303</v>
      </c>
      <c r="D6063" s="323">
        <v>243</v>
      </c>
      <c r="E6063" s="324">
        <f t="shared" si="94"/>
        <v>59257.98</v>
      </c>
    </row>
    <row r="6064" spans="1:5" x14ac:dyDescent="0.25">
      <c r="A6064" s="323" t="s">
        <v>1605</v>
      </c>
      <c r="B6064" s="323" t="s">
        <v>805</v>
      </c>
      <c r="C6064" s="323">
        <v>57266</v>
      </c>
      <c r="D6064" s="323">
        <v>428</v>
      </c>
      <c r="E6064" s="324">
        <f t="shared" si="94"/>
        <v>104372.08</v>
      </c>
    </row>
    <row r="6065" spans="1:5" x14ac:dyDescent="0.25">
      <c r="A6065" s="323" t="s">
        <v>2732</v>
      </c>
      <c r="B6065" s="323" t="s">
        <v>805</v>
      </c>
      <c r="C6065" s="323">
        <v>57266</v>
      </c>
      <c r="D6065" s="323">
        <v>208</v>
      </c>
      <c r="E6065" s="324">
        <f t="shared" si="94"/>
        <v>50722.880000000005</v>
      </c>
    </row>
    <row r="6066" spans="1:5" x14ac:dyDescent="0.25">
      <c r="A6066" s="323" t="s">
        <v>3321</v>
      </c>
      <c r="B6066" s="323" t="s">
        <v>805</v>
      </c>
      <c r="C6066" s="323">
        <v>57266</v>
      </c>
      <c r="D6066" s="323">
        <v>401</v>
      </c>
      <c r="E6066" s="324">
        <f t="shared" si="94"/>
        <v>97787.86</v>
      </c>
    </row>
    <row r="6067" spans="1:5" x14ac:dyDescent="0.25">
      <c r="A6067" s="323" t="s">
        <v>3565</v>
      </c>
      <c r="B6067" s="323" t="s">
        <v>805</v>
      </c>
      <c r="C6067" s="323">
        <v>57266</v>
      </c>
      <c r="D6067" s="323">
        <v>244</v>
      </c>
      <c r="E6067" s="324">
        <f t="shared" si="94"/>
        <v>59501.840000000004</v>
      </c>
    </row>
    <row r="6068" spans="1:5" x14ac:dyDescent="0.25">
      <c r="A6068" s="323" t="s">
        <v>5864</v>
      </c>
      <c r="B6068" s="323" t="s">
        <v>805</v>
      </c>
      <c r="C6068" s="323">
        <v>57266</v>
      </c>
      <c r="D6068" s="323">
        <v>250</v>
      </c>
      <c r="E6068" s="324">
        <f t="shared" si="94"/>
        <v>60965</v>
      </c>
    </row>
    <row r="6069" spans="1:5" x14ac:dyDescent="0.25">
      <c r="A6069" s="323" t="s">
        <v>5864</v>
      </c>
      <c r="B6069" s="323" t="s">
        <v>805</v>
      </c>
      <c r="C6069" s="323">
        <v>57266</v>
      </c>
      <c r="D6069" s="323">
        <v>197</v>
      </c>
      <c r="E6069" s="324">
        <f t="shared" si="94"/>
        <v>48040.420000000006</v>
      </c>
    </row>
    <row r="6070" spans="1:5" x14ac:dyDescent="0.25">
      <c r="A6070" s="323" t="s">
        <v>5874</v>
      </c>
      <c r="B6070" s="323" t="s">
        <v>805</v>
      </c>
      <c r="C6070" s="323">
        <v>57266</v>
      </c>
      <c r="D6070" s="323">
        <v>190</v>
      </c>
      <c r="E6070" s="324">
        <f t="shared" si="94"/>
        <v>46333.4</v>
      </c>
    </row>
    <row r="6071" spans="1:5" x14ac:dyDescent="0.25">
      <c r="A6071" s="323" t="s">
        <v>5890</v>
      </c>
      <c r="B6071" s="323" t="s">
        <v>805</v>
      </c>
      <c r="C6071" s="323">
        <v>57266</v>
      </c>
      <c r="D6071" s="323">
        <v>282</v>
      </c>
      <c r="E6071" s="324">
        <f t="shared" si="94"/>
        <v>68768.52</v>
      </c>
    </row>
    <row r="6072" spans="1:5" x14ac:dyDescent="0.25">
      <c r="A6072" s="323" t="s">
        <v>5904</v>
      </c>
      <c r="B6072" s="323" t="s">
        <v>805</v>
      </c>
      <c r="C6072" s="323">
        <v>57266</v>
      </c>
      <c r="D6072" s="323">
        <v>171</v>
      </c>
      <c r="E6072" s="324">
        <f t="shared" si="94"/>
        <v>41700.060000000005</v>
      </c>
    </row>
    <row r="6073" spans="1:5" x14ac:dyDescent="0.25">
      <c r="A6073" s="323" t="s">
        <v>5930</v>
      </c>
      <c r="B6073" s="323" t="s">
        <v>805</v>
      </c>
      <c r="C6073" s="323">
        <v>57266</v>
      </c>
      <c r="D6073" s="323">
        <v>185</v>
      </c>
      <c r="E6073" s="324">
        <f t="shared" si="94"/>
        <v>45114.100000000006</v>
      </c>
    </row>
    <row r="6074" spans="1:5" x14ac:dyDescent="0.25">
      <c r="A6074" s="323" t="s">
        <v>6666</v>
      </c>
      <c r="B6074" s="323" t="s">
        <v>805</v>
      </c>
      <c r="C6074" s="323">
        <v>57266</v>
      </c>
      <c r="D6074" s="323">
        <v>241</v>
      </c>
      <c r="E6074" s="324">
        <f t="shared" si="94"/>
        <v>58770.26</v>
      </c>
    </row>
    <row r="6075" spans="1:5" x14ac:dyDescent="0.25">
      <c r="A6075" s="323" t="s">
        <v>6671</v>
      </c>
      <c r="B6075" s="323" t="s">
        <v>805</v>
      </c>
      <c r="C6075" s="323">
        <v>57266</v>
      </c>
      <c r="D6075" s="323">
        <v>296</v>
      </c>
      <c r="E6075" s="324">
        <f t="shared" si="94"/>
        <v>72182.559999999998</v>
      </c>
    </row>
    <row r="6076" spans="1:5" x14ac:dyDescent="0.25">
      <c r="A6076" s="323" t="s">
        <v>6673</v>
      </c>
      <c r="B6076" s="323" t="s">
        <v>805</v>
      </c>
      <c r="C6076" s="323">
        <v>57266</v>
      </c>
      <c r="D6076" s="323">
        <v>804</v>
      </c>
      <c r="E6076" s="324">
        <f t="shared" si="94"/>
        <v>196063.44</v>
      </c>
    </row>
    <row r="6077" spans="1:5" x14ac:dyDescent="0.25">
      <c r="A6077" s="323" t="s">
        <v>6674</v>
      </c>
      <c r="B6077" s="323" t="s">
        <v>805</v>
      </c>
      <c r="C6077" s="323">
        <v>57266</v>
      </c>
      <c r="D6077" s="323">
        <v>139</v>
      </c>
      <c r="E6077" s="324">
        <f t="shared" si="94"/>
        <v>33896.54</v>
      </c>
    </row>
    <row r="6078" spans="1:5" x14ac:dyDescent="0.25">
      <c r="A6078" s="323" t="s">
        <v>6676</v>
      </c>
      <c r="B6078" s="323" t="s">
        <v>805</v>
      </c>
      <c r="C6078" s="323">
        <v>57266</v>
      </c>
      <c r="D6078" s="323">
        <v>188</v>
      </c>
      <c r="E6078" s="324">
        <f t="shared" si="94"/>
        <v>45845.68</v>
      </c>
    </row>
    <row r="6079" spans="1:5" x14ac:dyDescent="0.25">
      <c r="A6079" s="323" t="s">
        <v>2336</v>
      </c>
      <c r="B6079" s="323" t="s">
        <v>805</v>
      </c>
      <c r="C6079" s="323">
        <v>57969</v>
      </c>
      <c r="D6079" s="323">
        <v>238</v>
      </c>
      <c r="E6079" s="324">
        <f t="shared" si="94"/>
        <v>58038.68</v>
      </c>
    </row>
    <row r="6080" spans="1:5" x14ac:dyDescent="0.25">
      <c r="A6080" s="323" t="s">
        <v>2291</v>
      </c>
      <c r="B6080" s="323" t="s">
        <v>805</v>
      </c>
      <c r="C6080" s="323">
        <v>58761</v>
      </c>
      <c r="D6080" s="323">
        <v>181</v>
      </c>
      <c r="E6080" s="324">
        <f t="shared" si="94"/>
        <v>44138.66</v>
      </c>
    </row>
    <row r="6081" spans="1:5" x14ac:dyDescent="0.25">
      <c r="A6081" s="323" t="s">
        <v>5342</v>
      </c>
      <c r="B6081" s="323" t="s">
        <v>816</v>
      </c>
      <c r="C6081" s="323">
        <v>58761</v>
      </c>
      <c r="D6081" s="323">
        <v>182</v>
      </c>
      <c r="E6081" s="324">
        <f t="shared" si="94"/>
        <v>66573.78</v>
      </c>
    </row>
    <row r="6082" spans="1:5" x14ac:dyDescent="0.25">
      <c r="A6082" s="323" t="s">
        <v>6422</v>
      </c>
      <c r="B6082" s="323" t="s">
        <v>805</v>
      </c>
      <c r="C6082" s="323">
        <v>58761</v>
      </c>
      <c r="D6082" s="323">
        <v>302</v>
      </c>
      <c r="E6082" s="324">
        <f t="shared" ref="E6082:E6145" si="95">D6082*IF(B6082=$G$9,WerkdrukbedragPerLeerlingBo,IF(B6082=$G$10,WerkdrukbedragPerLeerlingSbo,IF(B6082=$G$11,WerkdrukbedragPerLeerlingSo,IF(B6082=$G$12,WerkdrukbedragPerLeerlingVso,0))))</f>
        <v>73645.72</v>
      </c>
    </row>
    <row r="6083" spans="1:5" x14ac:dyDescent="0.25">
      <c r="A6083" s="323" t="s">
        <v>6429</v>
      </c>
      <c r="B6083" s="323" t="s">
        <v>805</v>
      </c>
      <c r="C6083" s="323">
        <v>58761</v>
      </c>
      <c r="D6083" s="323">
        <v>159</v>
      </c>
      <c r="E6083" s="324">
        <f t="shared" si="95"/>
        <v>38773.740000000005</v>
      </c>
    </row>
    <row r="6084" spans="1:5" x14ac:dyDescent="0.25">
      <c r="A6084" s="323" t="s">
        <v>6436</v>
      </c>
      <c r="B6084" s="323" t="s">
        <v>805</v>
      </c>
      <c r="C6084" s="323">
        <v>58761</v>
      </c>
      <c r="D6084" s="323">
        <v>190</v>
      </c>
      <c r="E6084" s="324">
        <f t="shared" si="95"/>
        <v>46333.4</v>
      </c>
    </row>
    <row r="6085" spans="1:5" x14ac:dyDescent="0.25">
      <c r="A6085" s="323" t="s">
        <v>6440</v>
      </c>
      <c r="B6085" s="323" t="s">
        <v>805</v>
      </c>
      <c r="C6085" s="323">
        <v>58761</v>
      </c>
      <c r="D6085" s="323">
        <v>127</v>
      </c>
      <c r="E6085" s="324">
        <f t="shared" si="95"/>
        <v>30970.22</v>
      </c>
    </row>
    <row r="6086" spans="1:5" x14ac:dyDescent="0.25">
      <c r="A6086" s="323" t="s">
        <v>6445</v>
      </c>
      <c r="B6086" s="323" t="s">
        <v>805</v>
      </c>
      <c r="C6086" s="323">
        <v>58761</v>
      </c>
      <c r="D6086" s="323">
        <v>153</v>
      </c>
      <c r="E6086" s="324">
        <f t="shared" si="95"/>
        <v>37310.58</v>
      </c>
    </row>
    <row r="6087" spans="1:5" x14ac:dyDescent="0.25">
      <c r="A6087" s="323" t="s">
        <v>6448</v>
      </c>
      <c r="B6087" s="323" t="s">
        <v>805</v>
      </c>
      <c r="C6087" s="323">
        <v>58761</v>
      </c>
      <c r="D6087" s="323">
        <v>424</v>
      </c>
      <c r="E6087" s="324">
        <f t="shared" si="95"/>
        <v>103396.64</v>
      </c>
    </row>
    <row r="6088" spans="1:5" x14ac:dyDescent="0.25">
      <c r="A6088" s="323" t="s">
        <v>6449</v>
      </c>
      <c r="B6088" s="323" t="s">
        <v>805</v>
      </c>
      <c r="C6088" s="323">
        <v>58761</v>
      </c>
      <c r="D6088" s="323">
        <v>287</v>
      </c>
      <c r="E6088" s="324">
        <f t="shared" si="95"/>
        <v>69987.820000000007</v>
      </c>
    </row>
    <row r="6089" spans="1:5" x14ac:dyDescent="0.25">
      <c r="A6089" s="323" t="s">
        <v>6450</v>
      </c>
      <c r="B6089" s="323" t="s">
        <v>805</v>
      </c>
      <c r="C6089" s="323">
        <v>58761</v>
      </c>
      <c r="D6089" s="323">
        <v>119</v>
      </c>
      <c r="E6089" s="324">
        <f t="shared" si="95"/>
        <v>29019.34</v>
      </c>
    </row>
    <row r="6090" spans="1:5" x14ac:dyDescent="0.25">
      <c r="A6090" s="323" t="s">
        <v>6451</v>
      </c>
      <c r="B6090" s="323" t="s">
        <v>805</v>
      </c>
      <c r="C6090" s="323">
        <v>58761</v>
      </c>
      <c r="D6090" s="323">
        <v>231</v>
      </c>
      <c r="E6090" s="324">
        <f t="shared" si="95"/>
        <v>56331.66</v>
      </c>
    </row>
    <row r="6091" spans="1:5" x14ac:dyDescent="0.25">
      <c r="A6091" s="323" t="s">
        <v>6451</v>
      </c>
      <c r="B6091" s="323" t="s">
        <v>805</v>
      </c>
      <c r="C6091" s="323">
        <v>58761</v>
      </c>
      <c r="D6091" s="323">
        <v>93</v>
      </c>
      <c r="E6091" s="324">
        <f t="shared" si="95"/>
        <v>22678.98</v>
      </c>
    </row>
    <row r="6092" spans="1:5" x14ac:dyDescent="0.25">
      <c r="A6092" s="323" t="s">
        <v>6454</v>
      </c>
      <c r="B6092" s="323" t="s">
        <v>805</v>
      </c>
      <c r="C6092" s="323">
        <v>58761</v>
      </c>
      <c r="D6092" s="323">
        <v>161</v>
      </c>
      <c r="E6092" s="324">
        <f t="shared" si="95"/>
        <v>39261.46</v>
      </c>
    </row>
    <row r="6093" spans="1:5" x14ac:dyDescent="0.25">
      <c r="A6093" s="323" t="s">
        <v>6457</v>
      </c>
      <c r="B6093" s="323" t="s">
        <v>805</v>
      </c>
      <c r="C6093" s="323">
        <v>58761</v>
      </c>
      <c r="D6093" s="323">
        <v>130</v>
      </c>
      <c r="E6093" s="324">
        <f t="shared" si="95"/>
        <v>31701.800000000003</v>
      </c>
    </row>
    <row r="6094" spans="1:5" x14ac:dyDescent="0.25">
      <c r="A6094" s="323" t="s">
        <v>6459</v>
      </c>
      <c r="B6094" s="323" t="s">
        <v>805</v>
      </c>
      <c r="C6094" s="323">
        <v>58761</v>
      </c>
      <c r="D6094" s="323">
        <v>537</v>
      </c>
      <c r="E6094" s="324">
        <f t="shared" si="95"/>
        <v>130952.82</v>
      </c>
    </row>
    <row r="6095" spans="1:5" x14ac:dyDescent="0.25">
      <c r="A6095" s="323" t="s">
        <v>6463</v>
      </c>
      <c r="B6095" s="323" t="s">
        <v>805</v>
      </c>
      <c r="C6095" s="323">
        <v>58761</v>
      </c>
      <c r="D6095" s="323">
        <v>208</v>
      </c>
      <c r="E6095" s="324">
        <f t="shared" si="95"/>
        <v>50722.880000000005</v>
      </c>
    </row>
    <row r="6096" spans="1:5" x14ac:dyDescent="0.25">
      <c r="A6096" s="323" t="s">
        <v>6466</v>
      </c>
      <c r="B6096" s="323" t="s">
        <v>805</v>
      </c>
      <c r="C6096" s="323">
        <v>58761</v>
      </c>
      <c r="D6096" s="323">
        <v>134</v>
      </c>
      <c r="E6096" s="324">
        <f t="shared" si="95"/>
        <v>32677.24</v>
      </c>
    </row>
    <row r="6097" spans="1:5" x14ac:dyDescent="0.25">
      <c r="A6097" s="323" t="s">
        <v>7154</v>
      </c>
      <c r="B6097" s="323" t="s">
        <v>805</v>
      </c>
      <c r="C6097" s="323">
        <v>58761</v>
      </c>
      <c r="D6097" s="323">
        <v>417</v>
      </c>
      <c r="E6097" s="324">
        <f t="shared" si="95"/>
        <v>101689.62000000001</v>
      </c>
    </row>
    <row r="6098" spans="1:5" x14ac:dyDescent="0.25">
      <c r="A6098" s="323" t="s">
        <v>2793</v>
      </c>
      <c r="B6098" s="323" t="s">
        <v>805</v>
      </c>
      <c r="C6098" s="323">
        <v>58826</v>
      </c>
      <c r="D6098" s="323">
        <v>230</v>
      </c>
      <c r="E6098" s="324">
        <f t="shared" si="95"/>
        <v>56087.8</v>
      </c>
    </row>
    <row r="6099" spans="1:5" x14ac:dyDescent="0.25">
      <c r="A6099" s="323" t="s">
        <v>2338</v>
      </c>
      <c r="B6099" s="323" t="s">
        <v>805</v>
      </c>
      <c r="C6099" s="323">
        <v>59451</v>
      </c>
      <c r="D6099" s="323">
        <v>211</v>
      </c>
      <c r="E6099" s="324">
        <f t="shared" si="95"/>
        <v>51454.460000000006</v>
      </c>
    </row>
    <row r="6100" spans="1:5" x14ac:dyDescent="0.25">
      <c r="A6100" s="323" t="s">
        <v>1371</v>
      </c>
      <c r="B6100" s="323" t="s">
        <v>805</v>
      </c>
      <c r="C6100" s="323">
        <v>59516</v>
      </c>
      <c r="D6100" s="323">
        <v>90</v>
      </c>
      <c r="E6100" s="324">
        <f t="shared" si="95"/>
        <v>21947.4</v>
      </c>
    </row>
    <row r="6101" spans="1:5" x14ac:dyDescent="0.25">
      <c r="A6101" s="323" t="s">
        <v>1562</v>
      </c>
      <c r="B6101" s="323" t="s">
        <v>805</v>
      </c>
      <c r="C6101" s="323">
        <v>59555</v>
      </c>
      <c r="D6101" s="323">
        <v>268</v>
      </c>
      <c r="E6101" s="324">
        <f t="shared" si="95"/>
        <v>65354.48</v>
      </c>
    </row>
    <row r="6102" spans="1:5" x14ac:dyDescent="0.25">
      <c r="A6102" s="323" t="s">
        <v>3496</v>
      </c>
      <c r="B6102" s="323" t="s">
        <v>805</v>
      </c>
      <c r="C6102" s="323">
        <v>59555</v>
      </c>
      <c r="D6102" s="323">
        <v>352</v>
      </c>
      <c r="E6102" s="324">
        <f t="shared" si="95"/>
        <v>85838.720000000001</v>
      </c>
    </row>
    <row r="6103" spans="1:5" x14ac:dyDescent="0.25">
      <c r="A6103" s="323" t="s">
        <v>7242</v>
      </c>
      <c r="B6103" s="323" t="s">
        <v>805</v>
      </c>
      <c r="C6103" s="323">
        <v>59555</v>
      </c>
      <c r="D6103" s="323">
        <v>446</v>
      </c>
      <c r="E6103" s="324">
        <f t="shared" si="95"/>
        <v>108761.56000000001</v>
      </c>
    </row>
    <row r="6104" spans="1:5" x14ac:dyDescent="0.25">
      <c r="A6104" s="323" t="s">
        <v>1372</v>
      </c>
      <c r="B6104" s="323" t="s">
        <v>805</v>
      </c>
      <c r="C6104" s="323">
        <v>59750</v>
      </c>
      <c r="D6104" s="323">
        <v>138</v>
      </c>
      <c r="E6104" s="324">
        <f t="shared" si="95"/>
        <v>33652.68</v>
      </c>
    </row>
    <row r="6105" spans="1:5" x14ac:dyDescent="0.25">
      <c r="A6105" s="323" t="s">
        <v>1374</v>
      </c>
      <c r="B6105" s="323" t="s">
        <v>805</v>
      </c>
      <c r="C6105" s="323">
        <v>59919</v>
      </c>
      <c r="D6105" s="323">
        <v>265</v>
      </c>
      <c r="E6105" s="324">
        <f t="shared" si="95"/>
        <v>64622.9</v>
      </c>
    </row>
    <row r="6106" spans="1:5" x14ac:dyDescent="0.25">
      <c r="A6106" s="323" t="s">
        <v>2341</v>
      </c>
      <c r="B6106" s="323" t="s">
        <v>805</v>
      </c>
      <c r="C6106" s="323">
        <v>59984</v>
      </c>
      <c r="D6106" s="323">
        <v>225</v>
      </c>
      <c r="E6106" s="324">
        <f t="shared" si="95"/>
        <v>54868.5</v>
      </c>
    </row>
    <row r="6107" spans="1:5" x14ac:dyDescent="0.25">
      <c r="A6107" s="323" t="s">
        <v>1726</v>
      </c>
      <c r="B6107" s="323" t="s">
        <v>805</v>
      </c>
      <c r="C6107" s="323">
        <v>60061</v>
      </c>
      <c r="D6107" s="323">
        <v>356</v>
      </c>
      <c r="E6107" s="324">
        <f t="shared" si="95"/>
        <v>86814.16</v>
      </c>
    </row>
    <row r="6108" spans="1:5" x14ac:dyDescent="0.25">
      <c r="A6108" s="323" t="s">
        <v>1376</v>
      </c>
      <c r="B6108" s="323" t="s">
        <v>805</v>
      </c>
      <c r="C6108" s="323">
        <v>60322</v>
      </c>
      <c r="D6108" s="323">
        <v>75</v>
      </c>
      <c r="E6108" s="324">
        <f t="shared" si="95"/>
        <v>18289.5</v>
      </c>
    </row>
    <row r="6109" spans="1:5" x14ac:dyDescent="0.25">
      <c r="A6109" s="323" t="s">
        <v>2352</v>
      </c>
      <c r="B6109" s="323" t="s">
        <v>805</v>
      </c>
      <c r="C6109" s="323">
        <v>60686</v>
      </c>
      <c r="D6109" s="323">
        <v>84</v>
      </c>
      <c r="E6109" s="324">
        <f t="shared" si="95"/>
        <v>20484.240000000002</v>
      </c>
    </row>
    <row r="6110" spans="1:5" x14ac:dyDescent="0.25">
      <c r="A6110" s="323" t="s">
        <v>1377</v>
      </c>
      <c r="B6110" s="323" t="s">
        <v>805</v>
      </c>
      <c r="C6110" s="323">
        <v>60790</v>
      </c>
      <c r="D6110" s="323">
        <v>106</v>
      </c>
      <c r="E6110" s="324">
        <f t="shared" si="95"/>
        <v>25849.16</v>
      </c>
    </row>
    <row r="6111" spans="1:5" x14ac:dyDescent="0.25">
      <c r="A6111" s="323" t="s">
        <v>2356</v>
      </c>
      <c r="B6111" s="323" t="s">
        <v>805</v>
      </c>
      <c r="C6111" s="323">
        <v>60803</v>
      </c>
      <c r="D6111" s="323">
        <v>309</v>
      </c>
      <c r="E6111" s="324">
        <f t="shared" si="95"/>
        <v>75352.740000000005</v>
      </c>
    </row>
    <row r="6112" spans="1:5" x14ac:dyDescent="0.25">
      <c r="A6112" s="323" t="s">
        <v>2357</v>
      </c>
      <c r="B6112" s="323" t="s">
        <v>805</v>
      </c>
      <c r="C6112" s="323">
        <v>60829</v>
      </c>
      <c r="D6112" s="323">
        <v>107</v>
      </c>
      <c r="E6112" s="324">
        <f t="shared" si="95"/>
        <v>26093.02</v>
      </c>
    </row>
    <row r="6113" spans="1:5" x14ac:dyDescent="0.25">
      <c r="A6113" s="323" t="s">
        <v>4979</v>
      </c>
      <c r="B6113" s="323" t="s">
        <v>816</v>
      </c>
      <c r="C6113" s="323">
        <v>60985</v>
      </c>
      <c r="D6113" s="323">
        <v>55</v>
      </c>
      <c r="E6113" s="324">
        <f t="shared" si="95"/>
        <v>20118.45</v>
      </c>
    </row>
    <row r="6114" spans="1:5" x14ac:dyDescent="0.25">
      <c r="A6114" s="323" t="s">
        <v>5076</v>
      </c>
      <c r="B6114" s="323" t="s">
        <v>805</v>
      </c>
      <c r="C6114" s="323">
        <v>60985</v>
      </c>
      <c r="D6114" s="323">
        <v>84</v>
      </c>
      <c r="E6114" s="324">
        <f t="shared" si="95"/>
        <v>20484.240000000002</v>
      </c>
    </row>
    <row r="6115" spans="1:5" x14ac:dyDescent="0.25">
      <c r="A6115" s="323" t="s">
        <v>5257</v>
      </c>
      <c r="B6115" s="323" t="s">
        <v>805</v>
      </c>
      <c r="C6115" s="323">
        <v>60985</v>
      </c>
      <c r="D6115" s="323">
        <v>207</v>
      </c>
      <c r="E6115" s="324">
        <f t="shared" si="95"/>
        <v>50479.020000000004</v>
      </c>
    </row>
    <row r="6116" spans="1:5" x14ac:dyDescent="0.25">
      <c r="A6116" s="323" t="s">
        <v>5294</v>
      </c>
      <c r="B6116" s="323" t="s">
        <v>805</v>
      </c>
      <c r="C6116" s="323">
        <v>60985</v>
      </c>
      <c r="D6116" s="323">
        <v>113</v>
      </c>
      <c r="E6116" s="324">
        <f t="shared" si="95"/>
        <v>27556.18</v>
      </c>
    </row>
    <row r="6117" spans="1:5" x14ac:dyDescent="0.25">
      <c r="A6117" s="323" t="s">
        <v>5332</v>
      </c>
      <c r="B6117" s="323" t="s">
        <v>805</v>
      </c>
      <c r="C6117" s="323">
        <v>60985</v>
      </c>
      <c r="D6117" s="323">
        <v>326</v>
      </c>
      <c r="E6117" s="324">
        <f t="shared" si="95"/>
        <v>79498.36</v>
      </c>
    </row>
    <row r="6118" spans="1:5" x14ac:dyDescent="0.25">
      <c r="A6118" s="323" t="s">
        <v>5385</v>
      </c>
      <c r="B6118" s="323" t="s">
        <v>805</v>
      </c>
      <c r="C6118" s="323">
        <v>60985</v>
      </c>
      <c r="D6118" s="323">
        <v>189</v>
      </c>
      <c r="E6118" s="324">
        <f t="shared" si="95"/>
        <v>46089.54</v>
      </c>
    </row>
    <row r="6119" spans="1:5" x14ac:dyDescent="0.25">
      <c r="A6119" s="323" t="s">
        <v>5408</v>
      </c>
      <c r="B6119" s="323" t="s">
        <v>805</v>
      </c>
      <c r="C6119" s="323">
        <v>60985</v>
      </c>
      <c r="D6119" s="323">
        <v>207</v>
      </c>
      <c r="E6119" s="324">
        <f t="shared" si="95"/>
        <v>50479.020000000004</v>
      </c>
    </row>
    <row r="6120" spans="1:5" x14ac:dyDescent="0.25">
      <c r="A6120" s="323" t="s">
        <v>5431</v>
      </c>
      <c r="B6120" s="323" t="s">
        <v>805</v>
      </c>
      <c r="C6120" s="323">
        <v>60985</v>
      </c>
      <c r="D6120" s="323">
        <v>153</v>
      </c>
      <c r="E6120" s="324">
        <f t="shared" si="95"/>
        <v>37310.58</v>
      </c>
    </row>
    <row r="6121" spans="1:5" x14ac:dyDescent="0.25">
      <c r="A6121" s="323" t="s">
        <v>3326</v>
      </c>
      <c r="B6121" s="323" t="s">
        <v>805</v>
      </c>
      <c r="C6121" s="323">
        <v>60997</v>
      </c>
      <c r="D6121" s="323">
        <v>149</v>
      </c>
      <c r="E6121" s="324">
        <f t="shared" si="95"/>
        <v>36335.14</v>
      </c>
    </row>
    <row r="6122" spans="1:5" x14ac:dyDescent="0.25">
      <c r="A6122" s="323" t="s">
        <v>5370</v>
      </c>
      <c r="B6122" s="323" t="s">
        <v>805</v>
      </c>
      <c r="C6122" s="323">
        <v>60997</v>
      </c>
      <c r="D6122" s="323">
        <v>463</v>
      </c>
      <c r="E6122" s="324">
        <f t="shared" si="95"/>
        <v>112907.18000000001</v>
      </c>
    </row>
    <row r="6123" spans="1:5" x14ac:dyDescent="0.25">
      <c r="A6123" s="323" t="s">
        <v>5476</v>
      </c>
      <c r="B6123" s="323" t="s">
        <v>805</v>
      </c>
      <c r="C6123" s="323">
        <v>60997</v>
      </c>
      <c r="D6123" s="323">
        <v>279</v>
      </c>
      <c r="E6123" s="324">
        <f t="shared" si="95"/>
        <v>68036.94</v>
      </c>
    </row>
    <row r="6124" spans="1:5" x14ac:dyDescent="0.25">
      <c r="A6124" s="323" t="s">
        <v>5476</v>
      </c>
      <c r="B6124" s="323" t="s">
        <v>805</v>
      </c>
      <c r="C6124" s="323">
        <v>60997</v>
      </c>
      <c r="D6124" s="323">
        <v>301</v>
      </c>
      <c r="E6124" s="324">
        <f t="shared" si="95"/>
        <v>73401.86</v>
      </c>
    </row>
    <row r="6125" spans="1:5" x14ac:dyDescent="0.25">
      <c r="A6125" s="323" t="s">
        <v>5518</v>
      </c>
      <c r="B6125" s="323" t="s">
        <v>805</v>
      </c>
      <c r="C6125" s="323">
        <v>60997</v>
      </c>
      <c r="D6125" s="323">
        <v>232</v>
      </c>
      <c r="E6125" s="324">
        <f t="shared" si="95"/>
        <v>56575.520000000004</v>
      </c>
    </row>
    <row r="6126" spans="1:5" x14ac:dyDescent="0.25">
      <c r="A6126" s="323" t="s">
        <v>5536</v>
      </c>
      <c r="B6126" s="323" t="s">
        <v>805</v>
      </c>
      <c r="C6126" s="323">
        <v>60997</v>
      </c>
      <c r="D6126" s="323">
        <v>359</v>
      </c>
      <c r="E6126" s="324">
        <f t="shared" si="95"/>
        <v>87545.74</v>
      </c>
    </row>
    <row r="6127" spans="1:5" x14ac:dyDescent="0.25">
      <c r="A6127" s="323" t="s">
        <v>5556</v>
      </c>
      <c r="B6127" s="323" t="s">
        <v>805</v>
      </c>
      <c r="C6127" s="323">
        <v>60997</v>
      </c>
      <c r="D6127" s="323">
        <v>196</v>
      </c>
      <c r="E6127" s="324">
        <f t="shared" si="95"/>
        <v>47796.560000000005</v>
      </c>
    </row>
    <row r="6128" spans="1:5" x14ac:dyDescent="0.25">
      <c r="A6128" s="323" t="s">
        <v>5566</v>
      </c>
      <c r="B6128" s="323" t="s">
        <v>805</v>
      </c>
      <c r="C6128" s="323">
        <v>60997</v>
      </c>
      <c r="D6128" s="323">
        <v>281</v>
      </c>
      <c r="E6128" s="324">
        <f t="shared" si="95"/>
        <v>68524.66</v>
      </c>
    </row>
    <row r="6129" spans="1:5" x14ac:dyDescent="0.25">
      <c r="A6129" s="323" t="s">
        <v>5599</v>
      </c>
      <c r="B6129" s="323" t="s">
        <v>805</v>
      </c>
      <c r="C6129" s="323">
        <v>60997</v>
      </c>
      <c r="D6129" s="323">
        <v>154</v>
      </c>
      <c r="E6129" s="324">
        <f t="shared" si="95"/>
        <v>37554.44</v>
      </c>
    </row>
    <row r="6130" spans="1:5" x14ac:dyDescent="0.25">
      <c r="A6130" s="323" t="s">
        <v>5608</v>
      </c>
      <c r="B6130" s="323" t="s">
        <v>805</v>
      </c>
      <c r="C6130" s="323">
        <v>60997</v>
      </c>
      <c r="D6130" s="323">
        <v>332</v>
      </c>
      <c r="E6130" s="324">
        <f t="shared" si="95"/>
        <v>80961.52</v>
      </c>
    </row>
    <row r="6131" spans="1:5" x14ac:dyDescent="0.25">
      <c r="A6131" s="323" t="s">
        <v>5623</v>
      </c>
      <c r="B6131" s="323" t="s">
        <v>805</v>
      </c>
      <c r="C6131" s="323">
        <v>60997</v>
      </c>
      <c r="D6131" s="323">
        <v>236</v>
      </c>
      <c r="E6131" s="324">
        <f t="shared" si="95"/>
        <v>57550.960000000006</v>
      </c>
    </row>
    <row r="6132" spans="1:5" x14ac:dyDescent="0.25">
      <c r="A6132" s="323" t="s">
        <v>5641</v>
      </c>
      <c r="B6132" s="323" t="s">
        <v>805</v>
      </c>
      <c r="C6132" s="323">
        <v>60997</v>
      </c>
      <c r="D6132" s="323">
        <v>261</v>
      </c>
      <c r="E6132" s="324">
        <f t="shared" si="95"/>
        <v>63647.460000000006</v>
      </c>
    </row>
    <row r="6133" spans="1:5" x14ac:dyDescent="0.25">
      <c r="A6133" s="323" t="s">
        <v>6596</v>
      </c>
      <c r="B6133" s="323" t="s">
        <v>816</v>
      </c>
      <c r="C6133" s="323">
        <v>60997</v>
      </c>
      <c r="D6133" s="323">
        <v>165</v>
      </c>
      <c r="E6133" s="324">
        <f t="shared" si="95"/>
        <v>60355.350000000006</v>
      </c>
    </row>
    <row r="6134" spans="1:5" x14ac:dyDescent="0.25">
      <c r="A6134" s="323" t="s">
        <v>6821</v>
      </c>
      <c r="B6134" s="323" t="s">
        <v>805</v>
      </c>
      <c r="C6134" s="323">
        <v>60997</v>
      </c>
      <c r="D6134" s="323">
        <v>193</v>
      </c>
      <c r="E6134" s="324">
        <f t="shared" si="95"/>
        <v>47064.98</v>
      </c>
    </row>
    <row r="6135" spans="1:5" x14ac:dyDescent="0.25">
      <c r="A6135" s="323" t="s">
        <v>7468</v>
      </c>
      <c r="B6135" s="323" t="s">
        <v>805</v>
      </c>
      <c r="C6135" s="323">
        <v>60997</v>
      </c>
      <c r="D6135" s="323">
        <v>298</v>
      </c>
      <c r="E6135" s="324">
        <f t="shared" si="95"/>
        <v>72670.28</v>
      </c>
    </row>
    <row r="6136" spans="1:5" x14ac:dyDescent="0.25">
      <c r="A6136" s="323" t="s">
        <v>3147</v>
      </c>
      <c r="B6136" s="323" t="s">
        <v>805</v>
      </c>
      <c r="C6136" s="323">
        <v>61661</v>
      </c>
      <c r="D6136" s="323">
        <v>152</v>
      </c>
      <c r="E6136" s="324">
        <f t="shared" si="95"/>
        <v>37066.720000000001</v>
      </c>
    </row>
    <row r="6137" spans="1:5" x14ac:dyDescent="0.25">
      <c r="A6137" s="323" t="s">
        <v>930</v>
      </c>
      <c r="B6137" s="323" t="s">
        <v>816</v>
      </c>
      <c r="C6137" s="323">
        <v>61751</v>
      </c>
      <c r="D6137" s="323">
        <v>99</v>
      </c>
      <c r="E6137" s="324">
        <f t="shared" si="95"/>
        <v>36213.21</v>
      </c>
    </row>
    <row r="6138" spans="1:5" x14ac:dyDescent="0.25">
      <c r="A6138" s="323" t="s">
        <v>1544</v>
      </c>
      <c r="B6138" s="323" t="s">
        <v>805</v>
      </c>
      <c r="C6138" s="323">
        <v>61751</v>
      </c>
      <c r="D6138" s="323">
        <v>52</v>
      </c>
      <c r="E6138" s="324">
        <f t="shared" si="95"/>
        <v>12680.720000000001</v>
      </c>
    </row>
    <row r="6139" spans="1:5" x14ac:dyDescent="0.25">
      <c r="A6139" s="323" t="s">
        <v>3528</v>
      </c>
      <c r="B6139" s="323" t="s">
        <v>805</v>
      </c>
      <c r="C6139" s="323">
        <v>61751</v>
      </c>
      <c r="D6139" s="323">
        <v>257</v>
      </c>
      <c r="E6139" s="324">
        <f t="shared" si="95"/>
        <v>62672.020000000004</v>
      </c>
    </row>
    <row r="6140" spans="1:5" x14ac:dyDescent="0.25">
      <c r="A6140" s="323" t="s">
        <v>3563</v>
      </c>
      <c r="B6140" s="323" t="s">
        <v>805</v>
      </c>
      <c r="C6140" s="323">
        <v>61751</v>
      </c>
      <c r="D6140" s="323">
        <v>322</v>
      </c>
      <c r="E6140" s="324">
        <f t="shared" si="95"/>
        <v>78522.92</v>
      </c>
    </row>
    <row r="6141" spans="1:5" x14ac:dyDescent="0.25">
      <c r="A6141" s="323" t="s">
        <v>3789</v>
      </c>
      <c r="B6141" s="323" t="s">
        <v>805</v>
      </c>
      <c r="C6141" s="323">
        <v>61751</v>
      </c>
      <c r="D6141" s="323">
        <v>205</v>
      </c>
      <c r="E6141" s="324">
        <f t="shared" si="95"/>
        <v>49991.3</v>
      </c>
    </row>
    <row r="6142" spans="1:5" x14ac:dyDescent="0.25">
      <c r="A6142" s="323" t="s">
        <v>4411</v>
      </c>
      <c r="B6142" s="323" t="s">
        <v>805</v>
      </c>
      <c r="C6142" s="323">
        <v>61751</v>
      </c>
      <c r="D6142" s="323">
        <v>116</v>
      </c>
      <c r="E6142" s="324">
        <f t="shared" si="95"/>
        <v>28287.760000000002</v>
      </c>
    </row>
    <row r="6143" spans="1:5" x14ac:dyDescent="0.25">
      <c r="A6143" s="323" t="s">
        <v>4520</v>
      </c>
      <c r="B6143" s="323" t="s">
        <v>805</v>
      </c>
      <c r="C6143" s="323">
        <v>61751</v>
      </c>
      <c r="D6143" s="323">
        <v>86</v>
      </c>
      <c r="E6143" s="324">
        <f t="shared" si="95"/>
        <v>20971.960000000003</v>
      </c>
    </row>
    <row r="6144" spans="1:5" x14ac:dyDescent="0.25">
      <c r="A6144" s="323" t="s">
        <v>4616</v>
      </c>
      <c r="B6144" s="323" t="s">
        <v>805</v>
      </c>
      <c r="C6144" s="323">
        <v>61751</v>
      </c>
      <c r="D6144" s="323">
        <v>255</v>
      </c>
      <c r="E6144" s="324">
        <f t="shared" si="95"/>
        <v>62184.3</v>
      </c>
    </row>
    <row r="6145" spans="1:5" x14ac:dyDescent="0.25">
      <c r="A6145" s="323" t="s">
        <v>4694</v>
      </c>
      <c r="B6145" s="323" t="s">
        <v>805</v>
      </c>
      <c r="C6145" s="323">
        <v>61751</v>
      </c>
      <c r="D6145" s="323">
        <v>143</v>
      </c>
      <c r="E6145" s="324">
        <f t="shared" si="95"/>
        <v>34871.980000000003</v>
      </c>
    </row>
    <row r="6146" spans="1:5" x14ac:dyDescent="0.25">
      <c r="A6146" s="323" t="s">
        <v>4821</v>
      </c>
      <c r="B6146" s="323" t="s">
        <v>805</v>
      </c>
      <c r="C6146" s="323">
        <v>61751</v>
      </c>
      <c r="D6146" s="323">
        <v>97</v>
      </c>
      <c r="E6146" s="324">
        <f t="shared" ref="E6146:E6209" si="96">D6146*IF(B6146=$G$9,WerkdrukbedragPerLeerlingBo,IF(B6146=$G$10,WerkdrukbedragPerLeerlingSbo,IF(B6146=$G$11,WerkdrukbedragPerLeerlingSo,IF(B6146=$G$12,WerkdrukbedragPerLeerlingVso,0))))</f>
        <v>23654.420000000002</v>
      </c>
    </row>
    <row r="6147" spans="1:5" x14ac:dyDescent="0.25">
      <c r="A6147" s="323" t="s">
        <v>4866</v>
      </c>
      <c r="B6147" s="323" t="s">
        <v>805</v>
      </c>
      <c r="C6147" s="323">
        <v>61751</v>
      </c>
      <c r="D6147" s="323">
        <v>57</v>
      </c>
      <c r="E6147" s="324">
        <f t="shared" si="96"/>
        <v>13900.02</v>
      </c>
    </row>
    <row r="6148" spans="1:5" x14ac:dyDescent="0.25">
      <c r="A6148" s="323" t="s">
        <v>6847</v>
      </c>
      <c r="B6148" s="323" t="s">
        <v>805</v>
      </c>
      <c r="C6148" s="323">
        <v>61751</v>
      </c>
      <c r="D6148" s="323">
        <v>334</v>
      </c>
      <c r="E6148" s="324">
        <f t="shared" si="96"/>
        <v>81449.240000000005</v>
      </c>
    </row>
    <row r="6149" spans="1:5" x14ac:dyDescent="0.25">
      <c r="A6149" s="323" t="s">
        <v>904</v>
      </c>
      <c r="B6149" s="323" t="s">
        <v>816</v>
      </c>
      <c r="C6149" s="323">
        <v>61778</v>
      </c>
      <c r="D6149" s="323">
        <v>105</v>
      </c>
      <c r="E6149" s="324">
        <f t="shared" si="96"/>
        <v>38407.950000000004</v>
      </c>
    </row>
    <row r="6150" spans="1:5" x14ac:dyDescent="0.25">
      <c r="A6150" s="323" t="s">
        <v>1737</v>
      </c>
      <c r="B6150" s="323" t="s">
        <v>805</v>
      </c>
      <c r="C6150" s="323">
        <v>61829</v>
      </c>
      <c r="D6150" s="323">
        <v>463</v>
      </c>
      <c r="E6150" s="324">
        <f t="shared" si="96"/>
        <v>112907.18000000001</v>
      </c>
    </row>
    <row r="6151" spans="1:5" x14ac:dyDescent="0.25">
      <c r="A6151" s="323" t="s">
        <v>2382</v>
      </c>
      <c r="B6151" s="323" t="s">
        <v>805</v>
      </c>
      <c r="C6151" s="323">
        <v>61960</v>
      </c>
      <c r="D6151" s="323">
        <v>255</v>
      </c>
      <c r="E6151" s="324">
        <f t="shared" si="96"/>
        <v>62184.3</v>
      </c>
    </row>
    <row r="6152" spans="1:5" x14ac:dyDescent="0.25">
      <c r="A6152" s="323" t="s">
        <v>2443</v>
      </c>
      <c r="B6152" s="323" t="s">
        <v>805</v>
      </c>
      <c r="C6152" s="323">
        <v>61960</v>
      </c>
      <c r="D6152" s="323">
        <v>169</v>
      </c>
      <c r="E6152" s="324">
        <f t="shared" si="96"/>
        <v>41212.340000000004</v>
      </c>
    </row>
    <row r="6153" spans="1:5" x14ac:dyDescent="0.25">
      <c r="A6153" s="323" t="s">
        <v>2491</v>
      </c>
      <c r="B6153" s="323" t="s">
        <v>805</v>
      </c>
      <c r="C6153" s="323">
        <v>61960</v>
      </c>
      <c r="D6153" s="323">
        <v>289</v>
      </c>
      <c r="E6153" s="324">
        <f t="shared" si="96"/>
        <v>70475.540000000008</v>
      </c>
    </row>
    <row r="6154" spans="1:5" x14ac:dyDescent="0.25">
      <c r="A6154" s="323" t="s">
        <v>2981</v>
      </c>
      <c r="B6154" s="323" t="s">
        <v>805</v>
      </c>
      <c r="C6154" s="323">
        <v>61960</v>
      </c>
      <c r="D6154" s="323">
        <v>221</v>
      </c>
      <c r="E6154" s="324">
        <f t="shared" si="96"/>
        <v>53893.060000000005</v>
      </c>
    </row>
    <row r="6155" spans="1:5" x14ac:dyDescent="0.25">
      <c r="A6155" s="323" t="s">
        <v>2981</v>
      </c>
      <c r="B6155" s="323" t="s">
        <v>805</v>
      </c>
      <c r="C6155" s="323">
        <v>61960</v>
      </c>
      <c r="D6155" s="323">
        <v>156</v>
      </c>
      <c r="E6155" s="324">
        <f t="shared" si="96"/>
        <v>38042.160000000003</v>
      </c>
    </row>
    <row r="6156" spans="1:5" x14ac:dyDescent="0.25">
      <c r="A6156" s="323" t="s">
        <v>3364</v>
      </c>
      <c r="B6156" s="323" t="s">
        <v>805</v>
      </c>
      <c r="C6156" s="323">
        <v>61960</v>
      </c>
      <c r="D6156" s="323">
        <v>496</v>
      </c>
      <c r="E6156" s="324">
        <f t="shared" si="96"/>
        <v>120954.56000000001</v>
      </c>
    </row>
    <row r="6157" spans="1:5" x14ac:dyDescent="0.25">
      <c r="A6157" s="323" t="s">
        <v>7106</v>
      </c>
      <c r="B6157" s="323" t="s">
        <v>805</v>
      </c>
      <c r="C6157" s="323">
        <v>61960</v>
      </c>
      <c r="D6157" s="323">
        <v>270</v>
      </c>
      <c r="E6157" s="324">
        <f t="shared" si="96"/>
        <v>65842.2</v>
      </c>
    </row>
    <row r="6158" spans="1:5" x14ac:dyDescent="0.25">
      <c r="A6158" s="323" t="s">
        <v>808</v>
      </c>
      <c r="B6158" s="323" t="s">
        <v>809</v>
      </c>
      <c r="C6158" s="323">
        <v>62077</v>
      </c>
      <c r="D6158" s="323">
        <v>87</v>
      </c>
      <c r="E6158" s="324">
        <f t="shared" si="96"/>
        <v>42431.64</v>
      </c>
    </row>
    <row r="6159" spans="1:5" x14ac:dyDescent="0.25">
      <c r="A6159" s="323" t="s">
        <v>808</v>
      </c>
      <c r="B6159" s="323" t="s">
        <v>809</v>
      </c>
      <c r="C6159" s="323">
        <v>62077</v>
      </c>
      <c r="D6159" s="323">
        <v>29</v>
      </c>
      <c r="E6159" s="324">
        <f t="shared" si="96"/>
        <v>14143.880000000001</v>
      </c>
    </row>
    <row r="6160" spans="1:5" x14ac:dyDescent="0.25">
      <c r="A6160" s="323" t="s">
        <v>905</v>
      </c>
      <c r="B6160" s="323" t="s">
        <v>809</v>
      </c>
      <c r="C6160" s="323">
        <v>62077</v>
      </c>
      <c r="D6160" s="323">
        <v>172</v>
      </c>
      <c r="E6160" s="324">
        <f t="shared" si="96"/>
        <v>83887.840000000011</v>
      </c>
    </row>
    <row r="6161" spans="1:5" x14ac:dyDescent="0.25">
      <c r="A6161" s="323" t="s">
        <v>905</v>
      </c>
      <c r="B6161" s="323" t="s">
        <v>809</v>
      </c>
      <c r="C6161" s="323">
        <v>62077</v>
      </c>
      <c r="D6161" s="323">
        <v>116</v>
      </c>
      <c r="E6161" s="324">
        <f t="shared" si="96"/>
        <v>56575.520000000004</v>
      </c>
    </row>
    <row r="6162" spans="1:5" x14ac:dyDescent="0.25">
      <c r="A6162" s="323" t="s">
        <v>905</v>
      </c>
      <c r="B6162" s="323" t="s">
        <v>809</v>
      </c>
      <c r="C6162" s="323">
        <v>62077</v>
      </c>
      <c r="D6162" s="323">
        <v>7</v>
      </c>
      <c r="E6162" s="324">
        <f t="shared" si="96"/>
        <v>3414.04</v>
      </c>
    </row>
    <row r="6163" spans="1:5" x14ac:dyDescent="0.25">
      <c r="A6163" s="323" t="s">
        <v>905</v>
      </c>
      <c r="B6163" s="323" t="s">
        <v>809</v>
      </c>
      <c r="C6163" s="323">
        <v>62077</v>
      </c>
      <c r="D6163" s="323">
        <v>54</v>
      </c>
      <c r="E6163" s="324">
        <f t="shared" si="96"/>
        <v>26336.880000000001</v>
      </c>
    </row>
    <row r="6164" spans="1:5" x14ac:dyDescent="0.25">
      <c r="A6164" s="323" t="s">
        <v>909</v>
      </c>
      <c r="B6164" s="323" t="s">
        <v>803</v>
      </c>
      <c r="C6164" s="323">
        <v>62077</v>
      </c>
      <c r="D6164" s="323">
        <v>112</v>
      </c>
      <c r="E6164" s="324">
        <f t="shared" si="96"/>
        <v>54624.639999999999</v>
      </c>
    </row>
    <row r="6165" spans="1:5" x14ac:dyDescent="0.25">
      <c r="A6165" s="323" t="s">
        <v>909</v>
      </c>
      <c r="B6165" s="323" t="s">
        <v>803</v>
      </c>
      <c r="C6165" s="323">
        <v>62077</v>
      </c>
      <c r="D6165" s="323">
        <v>82</v>
      </c>
      <c r="E6165" s="324">
        <f t="shared" si="96"/>
        <v>39993.040000000001</v>
      </c>
    </row>
    <row r="6166" spans="1:5" x14ac:dyDescent="0.25">
      <c r="A6166" s="323" t="s">
        <v>909</v>
      </c>
      <c r="B6166" s="323" t="s">
        <v>803</v>
      </c>
      <c r="C6166" s="323">
        <v>62077</v>
      </c>
      <c r="D6166" s="323">
        <v>130</v>
      </c>
      <c r="E6166" s="324">
        <f t="shared" si="96"/>
        <v>63403.600000000006</v>
      </c>
    </row>
    <row r="6167" spans="1:5" x14ac:dyDescent="0.25">
      <c r="A6167" s="323" t="s">
        <v>909</v>
      </c>
      <c r="B6167" s="323" t="s">
        <v>803</v>
      </c>
      <c r="C6167" s="323">
        <v>62077</v>
      </c>
      <c r="D6167" s="323">
        <v>113</v>
      </c>
      <c r="E6167" s="324">
        <f t="shared" si="96"/>
        <v>55112.36</v>
      </c>
    </row>
    <row r="6168" spans="1:5" x14ac:dyDescent="0.25">
      <c r="A6168" s="323" t="s">
        <v>909</v>
      </c>
      <c r="B6168" s="323" t="s">
        <v>803</v>
      </c>
      <c r="C6168" s="323">
        <v>62077</v>
      </c>
      <c r="D6168" s="323">
        <v>44</v>
      </c>
      <c r="E6168" s="324">
        <f t="shared" si="96"/>
        <v>21459.68</v>
      </c>
    </row>
    <row r="6169" spans="1:5" x14ac:dyDescent="0.25">
      <c r="A6169" s="323" t="s">
        <v>1282</v>
      </c>
      <c r="B6169" s="323" t="s">
        <v>816</v>
      </c>
      <c r="C6169" s="323">
        <v>62077</v>
      </c>
      <c r="D6169" s="323">
        <v>139</v>
      </c>
      <c r="E6169" s="324">
        <f t="shared" si="96"/>
        <v>50844.810000000005</v>
      </c>
    </row>
    <row r="6170" spans="1:5" x14ac:dyDescent="0.25">
      <c r="A6170" s="323" t="s">
        <v>1381</v>
      </c>
      <c r="B6170" s="323" t="s">
        <v>809</v>
      </c>
      <c r="C6170" s="323">
        <v>62077</v>
      </c>
      <c r="D6170" s="323">
        <v>91</v>
      </c>
      <c r="E6170" s="324">
        <f t="shared" si="96"/>
        <v>44382.520000000004</v>
      </c>
    </row>
    <row r="6171" spans="1:5" x14ac:dyDescent="0.25">
      <c r="A6171" s="323" t="s">
        <v>1381</v>
      </c>
      <c r="B6171" s="323" t="s">
        <v>809</v>
      </c>
      <c r="C6171" s="323">
        <v>62077</v>
      </c>
      <c r="D6171" s="323">
        <v>108</v>
      </c>
      <c r="E6171" s="324">
        <f t="shared" si="96"/>
        <v>52673.760000000002</v>
      </c>
    </row>
    <row r="6172" spans="1:5" x14ac:dyDescent="0.25">
      <c r="A6172" s="323" t="s">
        <v>2090</v>
      </c>
      <c r="B6172" s="323" t="s">
        <v>803</v>
      </c>
      <c r="C6172" s="323">
        <v>62077</v>
      </c>
      <c r="D6172" s="323">
        <v>133</v>
      </c>
      <c r="E6172" s="324">
        <f t="shared" si="96"/>
        <v>64866.76</v>
      </c>
    </row>
    <row r="6173" spans="1:5" x14ac:dyDescent="0.25">
      <c r="A6173" s="323" t="s">
        <v>2090</v>
      </c>
      <c r="B6173" s="323" t="s">
        <v>803</v>
      </c>
      <c r="C6173" s="323">
        <v>62077</v>
      </c>
      <c r="D6173" s="323">
        <v>205</v>
      </c>
      <c r="E6173" s="324">
        <f t="shared" si="96"/>
        <v>99982.6</v>
      </c>
    </row>
    <row r="6174" spans="1:5" x14ac:dyDescent="0.25">
      <c r="A6174" s="323" t="s">
        <v>2090</v>
      </c>
      <c r="B6174" s="323" t="s">
        <v>803</v>
      </c>
      <c r="C6174" s="323">
        <v>62077</v>
      </c>
      <c r="D6174" s="323">
        <v>13</v>
      </c>
      <c r="E6174" s="324">
        <f t="shared" si="96"/>
        <v>6340.3600000000006</v>
      </c>
    </row>
    <row r="6175" spans="1:5" x14ac:dyDescent="0.25">
      <c r="A6175" s="323" t="s">
        <v>2090</v>
      </c>
      <c r="B6175" s="323" t="s">
        <v>803</v>
      </c>
      <c r="C6175" s="323">
        <v>62077</v>
      </c>
      <c r="D6175" s="323">
        <v>5</v>
      </c>
      <c r="E6175" s="324">
        <f t="shared" si="96"/>
        <v>2438.6000000000004</v>
      </c>
    </row>
    <row r="6176" spans="1:5" x14ac:dyDescent="0.25">
      <c r="A6176" s="323" t="s">
        <v>2090</v>
      </c>
      <c r="B6176" s="323" t="s">
        <v>803</v>
      </c>
      <c r="C6176" s="323">
        <v>62077</v>
      </c>
      <c r="D6176" s="323">
        <v>65</v>
      </c>
      <c r="E6176" s="324">
        <f t="shared" si="96"/>
        <v>31701.800000000003</v>
      </c>
    </row>
    <row r="6177" spans="1:5" x14ac:dyDescent="0.25">
      <c r="A6177" s="323" t="s">
        <v>2090</v>
      </c>
      <c r="B6177" s="323" t="s">
        <v>809</v>
      </c>
      <c r="C6177" s="323">
        <v>62077</v>
      </c>
      <c r="D6177" s="323">
        <v>27</v>
      </c>
      <c r="E6177" s="324">
        <f t="shared" si="96"/>
        <v>13168.44</v>
      </c>
    </row>
    <row r="6178" spans="1:5" x14ac:dyDescent="0.25">
      <c r="A6178" s="323" t="s">
        <v>2090</v>
      </c>
      <c r="B6178" s="323" t="s">
        <v>803</v>
      </c>
      <c r="C6178" s="323">
        <v>62077</v>
      </c>
      <c r="D6178" s="323">
        <v>33</v>
      </c>
      <c r="E6178" s="324">
        <f t="shared" si="96"/>
        <v>16094.76</v>
      </c>
    </row>
    <row r="6179" spans="1:5" x14ac:dyDescent="0.25">
      <c r="A6179" s="323" t="s">
        <v>2090</v>
      </c>
      <c r="B6179" s="323" t="s">
        <v>803</v>
      </c>
      <c r="C6179" s="323">
        <v>62077</v>
      </c>
      <c r="D6179" s="323">
        <v>82</v>
      </c>
      <c r="E6179" s="324">
        <f t="shared" si="96"/>
        <v>39993.040000000001</v>
      </c>
    </row>
    <row r="6180" spans="1:5" x14ac:dyDescent="0.25">
      <c r="A6180" s="323" t="s">
        <v>2090</v>
      </c>
      <c r="B6180" s="323" t="s">
        <v>803</v>
      </c>
      <c r="C6180" s="323">
        <v>62077</v>
      </c>
      <c r="D6180" s="323">
        <v>4</v>
      </c>
      <c r="E6180" s="324">
        <f t="shared" si="96"/>
        <v>1950.88</v>
      </c>
    </row>
    <row r="6181" spans="1:5" x14ac:dyDescent="0.25">
      <c r="A6181" s="323" t="s">
        <v>2090</v>
      </c>
      <c r="B6181" s="323" t="s">
        <v>803</v>
      </c>
      <c r="C6181" s="323">
        <v>62077</v>
      </c>
      <c r="D6181" s="323">
        <v>11</v>
      </c>
      <c r="E6181" s="324">
        <f t="shared" si="96"/>
        <v>5364.92</v>
      </c>
    </row>
    <row r="6182" spans="1:5" x14ac:dyDescent="0.25">
      <c r="A6182" s="323" t="s">
        <v>2090</v>
      </c>
      <c r="B6182" s="323" t="s">
        <v>809</v>
      </c>
      <c r="C6182" s="323">
        <v>62077</v>
      </c>
      <c r="D6182" s="323">
        <v>7</v>
      </c>
      <c r="E6182" s="324">
        <f t="shared" si="96"/>
        <v>3414.04</v>
      </c>
    </row>
    <row r="6183" spans="1:5" x14ac:dyDescent="0.25">
      <c r="A6183" s="323" t="s">
        <v>2090</v>
      </c>
      <c r="B6183" s="323" t="s">
        <v>803</v>
      </c>
      <c r="C6183" s="323">
        <v>62077</v>
      </c>
      <c r="D6183" s="323">
        <v>8</v>
      </c>
      <c r="E6183" s="324">
        <f t="shared" si="96"/>
        <v>3901.76</v>
      </c>
    </row>
    <row r="6184" spans="1:5" x14ac:dyDescent="0.25">
      <c r="A6184" s="323" t="s">
        <v>906</v>
      </c>
      <c r="B6184" s="323" t="s">
        <v>809</v>
      </c>
      <c r="C6184" s="323">
        <v>62129</v>
      </c>
      <c r="D6184" s="323">
        <v>214</v>
      </c>
      <c r="E6184" s="324">
        <f t="shared" si="96"/>
        <v>104372.08</v>
      </c>
    </row>
    <row r="6185" spans="1:5" x14ac:dyDescent="0.25">
      <c r="A6185" s="323" t="s">
        <v>906</v>
      </c>
      <c r="B6185" s="323" t="s">
        <v>803</v>
      </c>
      <c r="C6185" s="323">
        <v>62129</v>
      </c>
      <c r="D6185" s="323">
        <v>19</v>
      </c>
      <c r="E6185" s="324">
        <f t="shared" si="96"/>
        <v>9266.68</v>
      </c>
    </row>
    <row r="6186" spans="1:5" x14ac:dyDescent="0.25">
      <c r="A6186" s="323" t="s">
        <v>906</v>
      </c>
      <c r="B6186" s="323" t="s">
        <v>809</v>
      </c>
      <c r="C6186" s="323">
        <v>62129</v>
      </c>
      <c r="D6186" s="323">
        <v>23</v>
      </c>
      <c r="E6186" s="324">
        <f t="shared" si="96"/>
        <v>11217.560000000001</v>
      </c>
    </row>
    <row r="6187" spans="1:5" x14ac:dyDescent="0.25">
      <c r="A6187" s="323" t="s">
        <v>2976</v>
      </c>
      <c r="B6187" s="323" t="s">
        <v>816</v>
      </c>
      <c r="C6187" s="323">
        <v>62129</v>
      </c>
      <c r="D6187" s="323">
        <v>47</v>
      </c>
      <c r="E6187" s="324">
        <f t="shared" si="96"/>
        <v>17192.13</v>
      </c>
    </row>
    <row r="6188" spans="1:5" x14ac:dyDescent="0.25">
      <c r="A6188" s="323" t="s">
        <v>907</v>
      </c>
      <c r="B6188" s="323" t="s">
        <v>816</v>
      </c>
      <c r="C6188" s="323">
        <v>62181</v>
      </c>
      <c r="D6188" s="323">
        <v>166</v>
      </c>
      <c r="E6188" s="324">
        <f t="shared" si="96"/>
        <v>60721.140000000007</v>
      </c>
    </row>
    <row r="6189" spans="1:5" x14ac:dyDescent="0.25">
      <c r="A6189" s="323" t="s">
        <v>2385</v>
      </c>
      <c r="B6189" s="323" t="s">
        <v>809</v>
      </c>
      <c r="C6189" s="323">
        <v>62181</v>
      </c>
      <c r="D6189" s="323">
        <v>81</v>
      </c>
      <c r="E6189" s="324">
        <f t="shared" si="96"/>
        <v>39505.32</v>
      </c>
    </row>
    <row r="6190" spans="1:5" x14ac:dyDescent="0.25">
      <c r="A6190" s="323" t="s">
        <v>2385</v>
      </c>
      <c r="B6190" s="323" t="s">
        <v>803</v>
      </c>
      <c r="C6190" s="323">
        <v>62181</v>
      </c>
      <c r="D6190" s="323">
        <v>108</v>
      </c>
      <c r="E6190" s="324">
        <f t="shared" si="96"/>
        <v>52673.760000000002</v>
      </c>
    </row>
    <row r="6191" spans="1:5" x14ac:dyDescent="0.25">
      <c r="A6191" s="323" t="s">
        <v>2386</v>
      </c>
      <c r="B6191" s="323" t="s">
        <v>805</v>
      </c>
      <c r="C6191" s="323">
        <v>62571</v>
      </c>
      <c r="D6191" s="323">
        <v>88</v>
      </c>
      <c r="E6191" s="324">
        <f t="shared" si="96"/>
        <v>21459.68</v>
      </c>
    </row>
    <row r="6192" spans="1:5" x14ac:dyDescent="0.25">
      <c r="A6192" s="323" t="s">
        <v>2387</v>
      </c>
      <c r="B6192" s="323" t="s">
        <v>805</v>
      </c>
      <c r="C6192" s="323">
        <v>62584</v>
      </c>
      <c r="D6192" s="323">
        <v>446</v>
      </c>
      <c r="E6192" s="324">
        <f t="shared" si="96"/>
        <v>108761.56000000001</v>
      </c>
    </row>
    <row r="6193" spans="1:5" x14ac:dyDescent="0.25">
      <c r="A6193" s="323" t="s">
        <v>1389</v>
      </c>
      <c r="B6193" s="323" t="s">
        <v>809</v>
      </c>
      <c r="C6193" s="323">
        <v>62662</v>
      </c>
      <c r="D6193" s="323">
        <v>204</v>
      </c>
      <c r="E6193" s="324">
        <f t="shared" si="96"/>
        <v>99494.88</v>
      </c>
    </row>
    <row r="6194" spans="1:5" x14ac:dyDescent="0.25">
      <c r="A6194" s="323" t="s">
        <v>1511</v>
      </c>
      <c r="B6194" s="323" t="s">
        <v>805</v>
      </c>
      <c r="C6194" s="323">
        <v>62662</v>
      </c>
      <c r="D6194" s="323">
        <v>220</v>
      </c>
      <c r="E6194" s="324">
        <f t="shared" si="96"/>
        <v>53649.200000000004</v>
      </c>
    </row>
    <row r="6195" spans="1:5" x14ac:dyDescent="0.25">
      <c r="A6195" s="323" t="s">
        <v>2343</v>
      </c>
      <c r="B6195" s="323" t="s">
        <v>805</v>
      </c>
      <c r="C6195" s="323">
        <v>62662</v>
      </c>
      <c r="D6195" s="323">
        <v>299</v>
      </c>
      <c r="E6195" s="324">
        <f t="shared" si="96"/>
        <v>72914.14</v>
      </c>
    </row>
    <row r="6196" spans="1:5" x14ac:dyDescent="0.25">
      <c r="A6196" s="323" t="s">
        <v>3521</v>
      </c>
      <c r="B6196" s="323" t="s">
        <v>805</v>
      </c>
      <c r="C6196" s="323">
        <v>62662</v>
      </c>
      <c r="D6196" s="323">
        <v>226</v>
      </c>
      <c r="E6196" s="324">
        <f t="shared" si="96"/>
        <v>55112.36</v>
      </c>
    </row>
    <row r="6197" spans="1:5" x14ac:dyDescent="0.25">
      <c r="A6197" s="323" t="s">
        <v>5128</v>
      </c>
      <c r="B6197" s="323" t="s">
        <v>803</v>
      </c>
      <c r="C6197" s="323">
        <v>62662</v>
      </c>
      <c r="D6197" s="323">
        <v>296</v>
      </c>
      <c r="E6197" s="324">
        <f t="shared" si="96"/>
        <v>144365.12</v>
      </c>
    </row>
    <row r="6198" spans="1:5" x14ac:dyDescent="0.25">
      <c r="A6198" s="323" t="s">
        <v>5661</v>
      </c>
      <c r="B6198" s="323" t="s">
        <v>816</v>
      </c>
      <c r="C6198" s="323">
        <v>62662</v>
      </c>
      <c r="D6198" s="323">
        <v>134</v>
      </c>
      <c r="E6198" s="324">
        <f t="shared" si="96"/>
        <v>49015.86</v>
      </c>
    </row>
    <row r="6199" spans="1:5" x14ac:dyDescent="0.25">
      <c r="A6199" s="323" t="s">
        <v>5905</v>
      </c>
      <c r="B6199" s="323" t="s">
        <v>805</v>
      </c>
      <c r="C6199" s="323">
        <v>62662</v>
      </c>
      <c r="D6199" s="323">
        <v>183</v>
      </c>
      <c r="E6199" s="324">
        <f t="shared" si="96"/>
        <v>44626.380000000005</v>
      </c>
    </row>
    <row r="6200" spans="1:5" x14ac:dyDescent="0.25">
      <c r="A6200" s="323" t="s">
        <v>5921</v>
      </c>
      <c r="B6200" s="323" t="s">
        <v>805</v>
      </c>
      <c r="C6200" s="323">
        <v>62662</v>
      </c>
      <c r="D6200" s="323">
        <v>259</v>
      </c>
      <c r="E6200" s="324">
        <f t="shared" si="96"/>
        <v>63159.740000000005</v>
      </c>
    </row>
    <row r="6201" spans="1:5" x14ac:dyDescent="0.25">
      <c r="A6201" s="323" t="s">
        <v>5956</v>
      </c>
      <c r="B6201" s="323" t="s">
        <v>805</v>
      </c>
      <c r="C6201" s="323">
        <v>62662</v>
      </c>
      <c r="D6201" s="323">
        <v>162</v>
      </c>
      <c r="E6201" s="324">
        <f t="shared" si="96"/>
        <v>39505.32</v>
      </c>
    </row>
    <row r="6202" spans="1:5" x14ac:dyDescent="0.25">
      <c r="A6202" s="323" t="s">
        <v>5962</v>
      </c>
      <c r="B6202" s="323" t="s">
        <v>805</v>
      </c>
      <c r="C6202" s="323">
        <v>62662</v>
      </c>
      <c r="D6202" s="323">
        <v>153</v>
      </c>
      <c r="E6202" s="324">
        <f t="shared" si="96"/>
        <v>37310.58</v>
      </c>
    </row>
    <row r="6203" spans="1:5" x14ac:dyDescent="0.25">
      <c r="A6203" s="323" t="s">
        <v>5975</v>
      </c>
      <c r="B6203" s="323" t="s">
        <v>805</v>
      </c>
      <c r="C6203" s="323">
        <v>62662</v>
      </c>
      <c r="D6203" s="323">
        <v>199</v>
      </c>
      <c r="E6203" s="324">
        <f t="shared" si="96"/>
        <v>48528.14</v>
      </c>
    </row>
    <row r="6204" spans="1:5" x14ac:dyDescent="0.25">
      <c r="A6204" s="323" t="s">
        <v>5980</v>
      </c>
      <c r="B6204" s="323" t="s">
        <v>805</v>
      </c>
      <c r="C6204" s="323">
        <v>62662</v>
      </c>
      <c r="D6204" s="323">
        <v>359</v>
      </c>
      <c r="E6204" s="324">
        <f t="shared" si="96"/>
        <v>87545.74</v>
      </c>
    </row>
    <row r="6205" spans="1:5" x14ac:dyDescent="0.25">
      <c r="A6205" s="323" t="s">
        <v>5992</v>
      </c>
      <c r="B6205" s="323" t="s">
        <v>805</v>
      </c>
      <c r="C6205" s="323">
        <v>62662</v>
      </c>
      <c r="D6205" s="323">
        <v>418</v>
      </c>
      <c r="E6205" s="324">
        <f t="shared" si="96"/>
        <v>101933.48000000001</v>
      </c>
    </row>
    <row r="6206" spans="1:5" x14ac:dyDescent="0.25">
      <c r="A6206" s="323" t="s">
        <v>6001</v>
      </c>
      <c r="B6206" s="323" t="s">
        <v>805</v>
      </c>
      <c r="C6206" s="323">
        <v>62662</v>
      </c>
      <c r="D6206" s="323">
        <v>222</v>
      </c>
      <c r="E6206" s="324">
        <f t="shared" si="96"/>
        <v>54136.920000000006</v>
      </c>
    </row>
    <row r="6207" spans="1:5" x14ac:dyDescent="0.25">
      <c r="A6207" s="323" t="s">
        <v>6004</v>
      </c>
      <c r="B6207" s="323" t="s">
        <v>805</v>
      </c>
      <c r="C6207" s="323">
        <v>62662</v>
      </c>
      <c r="D6207" s="323">
        <v>144</v>
      </c>
      <c r="E6207" s="324">
        <f t="shared" si="96"/>
        <v>35115.840000000004</v>
      </c>
    </row>
    <row r="6208" spans="1:5" x14ac:dyDescent="0.25">
      <c r="A6208" s="323" t="s">
        <v>6008</v>
      </c>
      <c r="B6208" s="323" t="s">
        <v>805</v>
      </c>
      <c r="C6208" s="323">
        <v>62662</v>
      </c>
      <c r="D6208" s="323">
        <v>290</v>
      </c>
      <c r="E6208" s="324">
        <f t="shared" si="96"/>
        <v>70719.400000000009</v>
      </c>
    </row>
    <row r="6209" spans="1:5" x14ac:dyDescent="0.25">
      <c r="A6209" s="323" t="s">
        <v>6012</v>
      </c>
      <c r="B6209" s="323" t="s">
        <v>805</v>
      </c>
      <c r="C6209" s="323">
        <v>62662</v>
      </c>
      <c r="D6209" s="323">
        <v>247</v>
      </c>
      <c r="E6209" s="324">
        <f t="shared" si="96"/>
        <v>60233.420000000006</v>
      </c>
    </row>
    <row r="6210" spans="1:5" x14ac:dyDescent="0.25">
      <c r="A6210" s="323" t="s">
        <v>6021</v>
      </c>
      <c r="B6210" s="323" t="s">
        <v>805</v>
      </c>
      <c r="C6210" s="323">
        <v>62662</v>
      </c>
      <c r="D6210" s="323">
        <v>445</v>
      </c>
      <c r="E6210" s="324">
        <f t="shared" ref="E6210:E6273" si="97">D6210*IF(B6210=$G$9,WerkdrukbedragPerLeerlingBo,IF(B6210=$G$10,WerkdrukbedragPerLeerlingSbo,IF(B6210=$G$11,WerkdrukbedragPerLeerlingSo,IF(B6210=$G$12,WerkdrukbedragPerLeerlingVso,0))))</f>
        <v>108517.70000000001</v>
      </c>
    </row>
    <row r="6211" spans="1:5" x14ac:dyDescent="0.25">
      <c r="A6211" s="323" t="s">
        <v>6021</v>
      </c>
      <c r="B6211" s="323" t="s">
        <v>805</v>
      </c>
      <c r="C6211" s="323">
        <v>62662</v>
      </c>
      <c r="D6211" s="323">
        <v>165</v>
      </c>
      <c r="E6211" s="324">
        <f t="shared" si="97"/>
        <v>40236.9</v>
      </c>
    </row>
    <row r="6212" spans="1:5" x14ac:dyDescent="0.25">
      <c r="A6212" s="323" t="s">
        <v>6025</v>
      </c>
      <c r="B6212" s="323" t="s">
        <v>805</v>
      </c>
      <c r="C6212" s="323">
        <v>62662</v>
      </c>
      <c r="D6212" s="323">
        <v>120</v>
      </c>
      <c r="E6212" s="324">
        <f t="shared" si="97"/>
        <v>29263.200000000001</v>
      </c>
    </row>
    <row r="6213" spans="1:5" x14ac:dyDescent="0.25">
      <c r="A6213" s="323" t="s">
        <v>6029</v>
      </c>
      <c r="B6213" s="323" t="s">
        <v>805</v>
      </c>
      <c r="C6213" s="323">
        <v>62662</v>
      </c>
      <c r="D6213" s="323">
        <v>201</v>
      </c>
      <c r="E6213" s="324">
        <f t="shared" si="97"/>
        <v>49015.86</v>
      </c>
    </row>
    <row r="6214" spans="1:5" x14ac:dyDescent="0.25">
      <c r="A6214" s="323" t="s">
        <v>7223</v>
      </c>
      <c r="B6214" s="323" t="s">
        <v>805</v>
      </c>
      <c r="C6214" s="323">
        <v>62662</v>
      </c>
      <c r="D6214" s="323">
        <v>601</v>
      </c>
      <c r="E6214" s="324">
        <f t="shared" si="97"/>
        <v>146559.86000000002</v>
      </c>
    </row>
    <row r="6215" spans="1:5" x14ac:dyDescent="0.25">
      <c r="A6215" s="323" t="s">
        <v>7225</v>
      </c>
      <c r="B6215" s="323" t="s">
        <v>805</v>
      </c>
      <c r="C6215" s="323">
        <v>62662</v>
      </c>
      <c r="D6215" s="323">
        <v>342</v>
      </c>
      <c r="E6215" s="324">
        <f t="shared" si="97"/>
        <v>83400.12000000001</v>
      </c>
    </row>
    <row r="6216" spans="1:5" x14ac:dyDescent="0.25">
      <c r="A6216" s="323" t="s">
        <v>7325</v>
      </c>
      <c r="B6216" s="323" t="s">
        <v>805</v>
      </c>
      <c r="C6216" s="323">
        <v>62662</v>
      </c>
      <c r="D6216" s="323">
        <v>397</v>
      </c>
      <c r="E6216" s="324">
        <f t="shared" si="97"/>
        <v>96812.42</v>
      </c>
    </row>
    <row r="6217" spans="1:5" x14ac:dyDescent="0.25">
      <c r="A6217" s="323" t="s">
        <v>7326</v>
      </c>
      <c r="B6217" s="323" t="s">
        <v>805</v>
      </c>
      <c r="C6217" s="323">
        <v>62662</v>
      </c>
      <c r="D6217" s="323">
        <v>545</v>
      </c>
      <c r="E6217" s="324">
        <f t="shared" si="97"/>
        <v>132903.70000000001</v>
      </c>
    </row>
    <row r="6218" spans="1:5" x14ac:dyDescent="0.25">
      <c r="A6218" s="323" t="s">
        <v>7408</v>
      </c>
      <c r="B6218" s="323" t="s">
        <v>805</v>
      </c>
      <c r="C6218" s="323">
        <v>62662</v>
      </c>
      <c r="D6218" s="323">
        <v>647</v>
      </c>
      <c r="E6218" s="324">
        <f t="shared" si="97"/>
        <v>157777.42000000001</v>
      </c>
    </row>
    <row r="6219" spans="1:5" x14ac:dyDescent="0.25">
      <c r="A6219" s="323" t="s">
        <v>7439</v>
      </c>
      <c r="B6219" s="323" t="s">
        <v>805</v>
      </c>
      <c r="C6219" s="323">
        <v>62662</v>
      </c>
      <c r="D6219" s="323">
        <v>358</v>
      </c>
      <c r="E6219" s="324">
        <f t="shared" si="97"/>
        <v>87301.88</v>
      </c>
    </row>
    <row r="6220" spans="1:5" x14ac:dyDescent="0.25">
      <c r="A6220" s="323" t="s">
        <v>7485</v>
      </c>
      <c r="B6220" s="323" t="s">
        <v>805</v>
      </c>
      <c r="C6220" s="323">
        <v>62662</v>
      </c>
      <c r="D6220" s="323">
        <v>6</v>
      </c>
      <c r="E6220" s="324">
        <f t="shared" si="97"/>
        <v>1463.16</v>
      </c>
    </row>
    <row r="6221" spans="1:5" x14ac:dyDescent="0.25">
      <c r="A6221" s="323" t="s">
        <v>5212</v>
      </c>
      <c r="B6221" s="323" t="s">
        <v>805</v>
      </c>
      <c r="C6221" s="323">
        <v>62778</v>
      </c>
      <c r="D6221" s="323">
        <v>250</v>
      </c>
      <c r="E6221" s="324">
        <f t="shared" si="97"/>
        <v>60965</v>
      </c>
    </row>
    <row r="6222" spans="1:5" x14ac:dyDescent="0.25">
      <c r="A6222" s="323" t="s">
        <v>1380</v>
      </c>
      <c r="B6222" s="323" t="s">
        <v>805</v>
      </c>
      <c r="C6222" s="323">
        <v>62818</v>
      </c>
      <c r="D6222" s="323">
        <v>232</v>
      </c>
      <c r="E6222" s="324">
        <f t="shared" si="97"/>
        <v>56575.520000000004</v>
      </c>
    </row>
    <row r="6223" spans="1:5" x14ac:dyDescent="0.25">
      <c r="A6223" s="323" t="s">
        <v>2391</v>
      </c>
      <c r="B6223" s="323" t="s">
        <v>805</v>
      </c>
      <c r="C6223" s="323">
        <v>63039</v>
      </c>
      <c r="D6223" s="323">
        <v>251</v>
      </c>
      <c r="E6223" s="324">
        <f t="shared" si="97"/>
        <v>61208.86</v>
      </c>
    </row>
    <row r="6224" spans="1:5" x14ac:dyDescent="0.25">
      <c r="A6224" s="323" t="s">
        <v>2393</v>
      </c>
      <c r="B6224" s="323" t="s">
        <v>805</v>
      </c>
      <c r="C6224" s="323">
        <v>63091</v>
      </c>
      <c r="D6224" s="323">
        <v>106</v>
      </c>
      <c r="E6224" s="324">
        <f t="shared" si="97"/>
        <v>25849.16</v>
      </c>
    </row>
    <row r="6225" spans="1:5" x14ac:dyDescent="0.25">
      <c r="A6225" s="323" t="s">
        <v>5213</v>
      </c>
      <c r="B6225" s="323" t="s">
        <v>805</v>
      </c>
      <c r="C6225" s="323">
        <v>64169</v>
      </c>
      <c r="D6225" s="323">
        <v>160</v>
      </c>
      <c r="E6225" s="324">
        <f t="shared" si="97"/>
        <v>39017.600000000006</v>
      </c>
    </row>
    <row r="6226" spans="1:5" x14ac:dyDescent="0.25">
      <c r="A6226" s="323" t="s">
        <v>5835</v>
      </c>
      <c r="B6226" s="323" t="s">
        <v>805</v>
      </c>
      <c r="C6226" s="323">
        <v>65287</v>
      </c>
      <c r="D6226" s="323">
        <v>171</v>
      </c>
      <c r="E6226" s="324">
        <f t="shared" si="97"/>
        <v>41700.060000000005</v>
      </c>
    </row>
    <row r="6227" spans="1:5" x14ac:dyDescent="0.25">
      <c r="A6227" s="323" t="s">
        <v>5846</v>
      </c>
      <c r="B6227" s="323" t="s">
        <v>805</v>
      </c>
      <c r="C6227" s="323">
        <v>65287</v>
      </c>
      <c r="D6227" s="323">
        <v>397</v>
      </c>
      <c r="E6227" s="324">
        <f t="shared" si="97"/>
        <v>96812.42</v>
      </c>
    </row>
    <row r="6228" spans="1:5" x14ac:dyDescent="0.25">
      <c r="A6228" s="323" t="s">
        <v>5858</v>
      </c>
      <c r="B6228" s="323" t="s">
        <v>805</v>
      </c>
      <c r="C6228" s="323">
        <v>65287</v>
      </c>
      <c r="D6228" s="323">
        <v>189</v>
      </c>
      <c r="E6228" s="324">
        <f t="shared" si="97"/>
        <v>46089.54</v>
      </c>
    </row>
    <row r="6229" spans="1:5" x14ac:dyDescent="0.25">
      <c r="A6229" s="323" t="s">
        <v>5895</v>
      </c>
      <c r="B6229" s="323" t="s">
        <v>805</v>
      </c>
      <c r="C6229" s="323">
        <v>65287</v>
      </c>
      <c r="D6229" s="323">
        <v>88</v>
      </c>
      <c r="E6229" s="324">
        <f t="shared" si="97"/>
        <v>21459.68</v>
      </c>
    </row>
    <row r="6230" spans="1:5" x14ac:dyDescent="0.25">
      <c r="A6230" s="323" t="s">
        <v>5911</v>
      </c>
      <c r="B6230" s="323" t="s">
        <v>805</v>
      </c>
      <c r="C6230" s="323">
        <v>65287</v>
      </c>
      <c r="D6230" s="323">
        <v>744</v>
      </c>
      <c r="E6230" s="324">
        <f t="shared" si="97"/>
        <v>181431.84</v>
      </c>
    </row>
    <row r="6231" spans="1:5" x14ac:dyDescent="0.25">
      <c r="A6231" s="323" t="s">
        <v>5928</v>
      </c>
      <c r="B6231" s="323" t="s">
        <v>805</v>
      </c>
      <c r="C6231" s="323">
        <v>65287</v>
      </c>
      <c r="D6231" s="323">
        <v>183</v>
      </c>
      <c r="E6231" s="324">
        <f t="shared" si="97"/>
        <v>44626.380000000005</v>
      </c>
    </row>
    <row r="6232" spans="1:5" x14ac:dyDescent="0.25">
      <c r="A6232" s="323" t="s">
        <v>5933</v>
      </c>
      <c r="B6232" s="323" t="s">
        <v>805</v>
      </c>
      <c r="C6232" s="323">
        <v>65287</v>
      </c>
      <c r="D6232" s="323">
        <v>367</v>
      </c>
      <c r="E6232" s="324">
        <f t="shared" si="97"/>
        <v>89496.62000000001</v>
      </c>
    </row>
    <row r="6233" spans="1:5" x14ac:dyDescent="0.25">
      <c r="A6233" s="323" t="s">
        <v>5961</v>
      </c>
      <c r="B6233" s="323" t="s">
        <v>805</v>
      </c>
      <c r="C6233" s="323">
        <v>65287</v>
      </c>
      <c r="D6233" s="323">
        <v>449</v>
      </c>
      <c r="E6233" s="324">
        <f t="shared" si="97"/>
        <v>109493.14</v>
      </c>
    </row>
    <row r="6234" spans="1:5" x14ac:dyDescent="0.25">
      <c r="A6234" s="323" t="s">
        <v>5966</v>
      </c>
      <c r="B6234" s="323" t="s">
        <v>805</v>
      </c>
      <c r="C6234" s="323">
        <v>65287</v>
      </c>
      <c r="D6234" s="323">
        <v>454</v>
      </c>
      <c r="E6234" s="324">
        <f t="shared" si="97"/>
        <v>110712.44</v>
      </c>
    </row>
    <row r="6235" spans="1:5" x14ac:dyDescent="0.25">
      <c r="A6235" s="323" t="s">
        <v>6928</v>
      </c>
      <c r="B6235" s="323" t="s">
        <v>816</v>
      </c>
      <c r="C6235" s="323">
        <v>65287</v>
      </c>
      <c r="D6235" s="323">
        <v>212</v>
      </c>
      <c r="E6235" s="324">
        <f t="shared" si="97"/>
        <v>77547.48000000001</v>
      </c>
    </row>
    <row r="6236" spans="1:5" x14ac:dyDescent="0.25">
      <c r="A6236" s="323" t="s">
        <v>6973</v>
      </c>
      <c r="B6236" s="323" t="s">
        <v>805</v>
      </c>
      <c r="C6236" s="323">
        <v>65287</v>
      </c>
      <c r="D6236" s="323">
        <v>531</v>
      </c>
      <c r="E6236" s="324">
        <f t="shared" si="97"/>
        <v>129489.66</v>
      </c>
    </row>
    <row r="6237" spans="1:5" x14ac:dyDescent="0.25">
      <c r="A6237" s="323" t="s">
        <v>7440</v>
      </c>
      <c r="B6237" s="323" t="s">
        <v>805</v>
      </c>
      <c r="C6237" s="323">
        <v>65287</v>
      </c>
      <c r="D6237" s="323">
        <v>341</v>
      </c>
      <c r="E6237" s="324">
        <f t="shared" si="97"/>
        <v>83156.260000000009</v>
      </c>
    </row>
    <row r="6238" spans="1:5" x14ac:dyDescent="0.25">
      <c r="A6238" s="323" t="s">
        <v>5836</v>
      </c>
      <c r="B6238" s="323" t="s">
        <v>805</v>
      </c>
      <c r="C6238" s="323">
        <v>65430</v>
      </c>
      <c r="D6238" s="323">
        <v>228</v>
      </c>
      <c r="E6238" s="324">
        <f t="shared" si="97"/>
        <v>55600.08</v>
      </c>
    </row>
    <row r="6239" spans="1:5" x14ac:dyDescent="0.25">
      <c r="A6239" s="323" t="s">
        <v>6608</v>
      </c>
      <c r="B6239" s="323" t="s">
        <v>805</v>
      </c>
      <c r="C6239" s="323">
        <v>65430</v>
      </c>
      <c r="D6239" s="323">
        <v>250</v>
      </c>
      <c r="E6239" s="324">
        <f t="shared" si="97"/>
        <v>60965</v>
      </c>
    </row>
    <row r="6240" spans="1:5" x14ac:dyDescent="0.25">
      <c r="A6240" s="323" t="s">
        <v>6610</v>
      </c>
      <c r="B6240" s="323" t="s">
        <v>805</v>
      </c>
      <c r="C6240" s="323">
        <v>65430</v>
      </c>
      <c r="D6240" s="323">
        <v>229</v>
      </c>
      <c r="E6240" s="324">
        <f t="shared" si="97"/>
        <v>55843.94</v>
      </c>
    </row>
    <row r="6241" spans="1:5" x14ac:dyDescent="0.25">
      <c r="A6241" s="323" t="s">
        <v>6612</v>
      </c>
      <c r="B6241" s="323" t="s">
        <v>805</v>
      </c>
      <c r="C6241" s="323">
        <v>65430</v>
      </c>
      <c r="D6241" s="323">
        <v>201</v>
      </c>
      <c r="E6241" s="324">
        <f t="shared" si="97"/>
        <v>49015.86</v>
      </c>
    </row>
    <row r="6242" spans="1:5" x14ac:dyDescent="0.25">
      <c r="A6242" s="323" t="s">
        <v>6614</v>
      </c>
      <c r="B6242" s="323" t="s">
        <v>805</v>
      </c>
      <c r="C6242" s="323">
        <v>65430</v>
      </c>
      <c r="D6242" s="323">
        <v>227</v>
      </c>
      <c r="E6242" s="324">
        <f t="shared" si="97"/>
        <v>55356.22</v>
      </c>
    </row>
    <row r="6243" spans="1:5" x14ac:dyDescent="0.25">
      <c r="A6243" s="323" t="s">
        <v>6616</v>
      </c>
      <c r="B6243" s="323" t="s">
        <v>805</v>
      </c>
      <c r="C6243" s="323">
        <v>65430</v>
      </c>
      <c r="D6243" s="323">
        <v>158</v>
      </c>
      <c r="E6243" s="324">
        <f t="shared" si="97"/>
        <v>38529.880000000005</v>
      </c>
    </row>
    <row r="6244" spans="1:5" x14ac:dyDescent="0.25">
      <c r="A6244" s="323" t="s">
        <v>5691</v>
      </c>
      <c r="B6244" s="323" t="s">
        <v>805</v>
      </c>
      <c r="C6244" s="323">
        <v>65768</v>
      </c>
      <c r="D6244" s="323">
        <v>140</v>
      </c>
      <c r="E6244" s="324">
        <f t="shared" si="97"/>
        <v>34140.400000000001</v>
      </c>
    </row>
    <row r="6245" spans="1:5" x14ac:dyDescent="0.25">
      <c r="A6245" s="323" t="s">
        <v>1368</v>
      </c>
      <c r="B6245" s="323" t="s">
        <v>805</v>
      </c>
      <c r="C6245" s="323">
        <v>68329</v>
      </c>
      <c r="D6245" s="323">
        <v>207</v>
      </c>
      <c r="E6245" s="324">
        <f t="shared" si="97"/>
        <v>50479.020000000004</v>
      </c>
    </row>
    <row r="6246" spans="1:5" x14ac:dyDescent="0.25">
      <c r="A6246" s="323" t="s">
        <v>1771</v>
      </c>
      <c r="B6246" s="323" t="s">
        <v>805</v>
      </c>
      <c r="C6246" s="323">
        <v>68329</v>
      </c>
      <c r="D6246" s="323">
        <v>228</v>
      </c>
      <c r="E6246" s="324">
        <f t="shared" si="97"/>
        <v>55600.08</v>
      </c>
    </row>
    <row r="6247" spans="1:5" x14ac:dyDescent="0.25">
      <c r="A6247" s="323" t="s">
        <v>2334</v>
      </c>
      <c r="B6247" s="323" t="s">
        <v>805</v>
      </c>
      <c r="C6247" s="323">
        <v>68329</v>
      </c>
      <c r="D6247" s="323">
        <v>219</v>
      </c>
      <c r="E6247" s="324">
        <f t="shared" si="97"/>
        <v>53405.340000000004</v>
      </c>
    </row>
    <row r="6248" spans="1:5" x14ac:dyDescent="0.25">
      <c r="A6248" s="323" t="s">
        <v>1146</v>
      </c>
      <c r="B6248" s="323" t="s">
        <v>805</v>
      </c>
      <c r="C6248" s="323">
        <v>68836</v>
      </c>
      <c r="D6248" s="323">
        <v>248</v>
      </c>
      <c r="E6248" s="324">
        <f t="shared" si="97"/>
        <v>60477.280000000006</v>
      </c>
    </row>
    <row r="6249" spans="1:5" x14ac:dyDescent="0.25">
      <c r="A6249" s="323" t="s">
        <v>1173</v>
      </c>
      <c r="B6249" s="323" t="s">
        <v>805</v>
      </c>
      <c r="C6249" s="323">
        <v>68836</v>
      </c>
      <c r="D6249" s="323">
        <v>189</v>
      </c>
      <c r="E6249" s="324">
        <f t="shared" si="97"/>
        <v>46089.54</v>
      </c>
    </row>
    <row r="6250" spans="1:5" x14ac:dyDescent="0.25">
      <c r="A6250" s="323" t="s">
        <v>1229</v>
      </c>
      <c r="B6250" s="323" t="s">
        <v>805</v>
      </c>
      <c r="C6250" s="323">
        <v>68836</v>
      </c>
      <c r="D6250" s="323">
        <v>99</v>
      </c>
      <c r="E6250" s="324">
        <f t="shared" si="97"/>
        <v>24142.140000000003</v>
      </c>
    </row>
    <row r="6251" spans="1:5" x14ac:dyDescent="0.25">
      <c r="A6251" s="323" t="s">
        <v>1293</v>
      </c>
      <c r="B6251" s="323" t="s">
        <v>805</v>
      </c>
      <c r="C6251" s="323">
        <v>68836</v>
      </c>
      <c r="D6251" s="323">
        <v>258</v>
      </c>
      <c r="E6251" s="324">
        <f t="shared" si="97"/>
        <v>62915.880000000005</v>
      </c>
    </row>
    <row r="6252" spans="1:5" x14ac:dyDescent="0.25">
      <c r="A6252" s="323" t="s">
        <v>2236</v>
      </c>
      <c r="B6252" s="323" t="s">
        <v>805</v>
      </c>
      <c r="C6252" s="323">
        <v>68836</v>
      </c>
      <c r="D6252" s="323">
        <v>311</v>
      </c>
      <c r="E6252" s="324">
        <f t="shared" si="97"/>
        <v>75840.460000000006</v>
      </c>
    </row>
    <row r="6253" spans="1:5" x14ac:dyDescent="0.25">
      <c r="A6253" s="323" t="s">
        <v>2389</v>
      </c>
      <c r="B6253" s="323" t="s">
        <v>805</v>
      </c>
      <c r="C6253" s="323">
        <v>68836</v>
      </c>
      <c r="D6253" s="323">
        <v>205</v>
      </c>
      <c r="E6253" s="324">
        <f t="shared" si="97"/>
        <v>49991.3</v>
      </c>
    </row>
    <row r="6254" spans="1:5" x14ac:dyDescent="0.25">
      <c r="A6254" s="323" t="s">
        <v>2428</v>
      </c>
      <c r="B6254" s="323" t="s">
        <v>805</v>
      </c>
      <c r="C6254" s="323">
        <v>68836</v>
      </c>
      <c r="D6254" s="323">
        <v>92</v>
      </c>
      <c r="E6254" s="324">
        <f t="shared" si="97"/>
        <v>22435.120000000003</v>
      </c>
    </row>
    <row r="6255" spans="1:5" x14ac:dyDescent="0.25">
      <c r="A6255" s="323" t="s">
        <v>2802</v>
      </c>
      <c r="B6255" s="323" t="s">
        <v>805</v>
      </c>
      <c r="C6255" s="323">
        <v>68836</v>
      </c>
      <c r="D6255" s="323">
        <v>136</v>
      </c>
      <c r="E6255" s="324">
        <f t="shared" si="97"/>
        <v>33164.959999999999</v>
      </c>
    </row>
    <row r="6256" spans="1:5" x14ac:dyDescent="0.25">
      <c r="A6256" s="323" t="s">
        <v>3286</v>
      </c>
      <c r="B6256" s="323" t="s">
        <v>805</v>
      </c>
      <c r="C6256" s="323">
        <v>68836</v>
      </c>
      <c r="D6256" s="323">
        <v>118</v>
      </c>
      <c r="E6256" s="324">
        <f t="shared" si="97"/>
        <v>28775.480000000003</v>
      </c>
    </row>
    <row r="6257" spans="1:5" x14ac:dyDescent="0.25">
      <c r="A6257" s="323" t="s">
        <v>3460</v>
      </c>
      <c r="B6257" s="323" t="s">
        <v>805</v>
      </c>
      <c r="C6257" s="323">
        <v>68836</v>
      </c>
      <c r="D6257" s="323">
        <v>113</v>
      </c>
      <c r="E6257" s="324">
        <f t="shared" si="97"/>
        <v>27556.18</v>
      </c>
    </row>
    <row r="6258" spans="1:5" x14ac:dyDescent="0.25">
      <c r="A6258" s="323" t="s">
        <v>3595</v>
      </c>
      <c r="B6258" s="323" t="s">
        <v>805</v>
      </c>
      <c r="C6258" s="323">
        <v>68836</v>
      </c>
      <c r="D6258" s="323">
        <v>353</v>
      </c>
      <c r="E6258" s="324">
        <f t="shared" si="97"/>
        <v>86082.58</v>
      </c>
    </row>
    <row r="6259" spans="1:5" x14ac:dyDescent="0.25">
      <c r="A6259" s="323" t="s">
        <v>3735</v>
      </c>
      <c r="B6259" s="323" t="s">
        <v>805</v>
      </c>
      <c r="C6259" s="323">
        <v>68836</v>
      </c>
      <c r="D6259" s="323">
        <v>246</v>
      </c>
      <c r="E6259" s="324">
        <f t="shared" si="97"/>
        <v>59989.560000000005</v>
      </c>
    </row>
    <row r="6260" spans="1:5" x14ac:dyDescent="0.25">
      <c r="A6260" s="323" t="s">
        <v>3756</v>
      </c>
      <c r="B6260" s="323" t="s">
        <v>805</v>
      </c>
      <c r="C6260" s="323">
        <v>68836</v>
      </c>
      <c r="D6260" s="323">
        <v>298</v>
      </c>
      <c r="E6260" s="324">
        <f t="shared" si="97"/>
        <v>72670.28</v>
      </c>
    </row>
    <row r="6261" spans="1:5" x14ac:dyDescent="0.25">
      <c r="A6261" s="323" t="s">
        <v>1110</v>
      </c>
      <c r="B6261" s="323" t="s">
        <v>805</v>
      </c>
      <c r="C6261" s="323">
        <v>69447</v>
      </c>
      <c r="D6261" s="323">
        <v>95</v>
      </c>
      <c r="E6261" s="324">
        <f t="shared" si="97"/>
        <v>23166.7</v>
      </c>
    </row>
    <row r="6262" spans="1:5" x14ac:dyDescent="0.25">
      <c r="A6262" s="323" t="s">
        <v>1257</v>
      </c>
      <c r="B6262" s="323" t="s">
        <v>805</v>
      </c>
      <c r="C6262" s="323">
        <v>69447</v>
      </c>
      <c r="D6262" s="323">
        <v>202</v>
      </c>
      <c r="E6262" s="324">
        <f t="shared" si="97"/>
        <v>49259.72</v>
      </c>
    </row>
    <row r="6263" spans="1:5" x14ac:dyDescent="0.25">
      <c r="A6263" s="323" t="s">
        <v>2576</v>
      </c>
      <c r="B6263" s="323" t="s">
        <v>805</v>
      </c>
      <c r="C6263" s="323">
        <v>69447</v>
      </c>
      <c r="D6263" s="323">
        <v>135</v>
      </c>
      <c r="E6263" s="324">
        <f t="shared" si="97"/>
        <v>32921.1</v>
      </c>
    </row>
    <row r="6264" spans="1:5" x14ac:dyDescent="0.25">
      <c r="A6264" s="323" t="s">
        <v>5989</v>
      </c>
      <c r="B6264" s="323" t="s">
        <v>805</v>
      </c>
      <c r="C6264" s="323">
        <v>69447</v>
      </c>
      <c r="D6264" s="323">
        <v>282</v>
      </c>
      <c r="E6264" s="324">
        <f t="shared" si="97"/>
        <v>68768.52</v>
      </c>
    </row>
    <row r="6265" spans="1:5" x14ac:dyDescent="0.25">
      <c r="A6265" s="323" t="s">
        <v>5998</v>
      </c>
      <c r="B6265" s="323" t="s">
        <v>805</v>
      </c>
      <c r="C6265" s="323">
        <v>69447</v>
      </c>
      <c r="D6265" s="323">
        <v>274</v>
      </c>
      <c r="E6265" s="324">
        <f t="shared" si="97"/>
        <v>66817.64</v>
      </c>
    </row>
    <row r="6266" spans="1:5" x14ac:dyDescent="0.25">
      <c r="A6266" s="323" t="s">
        <v>6609</v>
      </c>
      <c r="B6266" s="323" t="s">
        <v>805</v>
      </c>
      <c r="C6266" s="323">
        <v>69447</v>
      </c>
      <c r="D6266" s="323">
        <v>540</v>
      </c>
      <c r="E6266" s="324">
        <f t="shared" si="97"/>
        <v>131684.4</v>
      </c>
    </row>
    <row r="6267" spans="1:5" x14ac:dyDescent="0.25">
      <c r="A6267" s="323" t="s">
        <v>6611</v>
      </c>
      <c r="B6267" s="323" t="s">
        <v>805</v>
      </c>
      <c r="C6267" s="323">
        <v>69447</v>
      </c>
      <c r="D6267" s="323">
        <v>163</v>
      </c>
      <c r="E6267" s="324">
        <f t="shared" si="97"/>
        <v>39749.18</v>
      </c>
    </row>
    <row r="6268" spans="1:5" x14ac:dyDescent="0.25">
      <c r="A6268" s="323" t="s">
        <v>6615</v>
      </c>
      <c r="B6268" s="323" t="s">
        <v>805</v>
      </c>
      <c r="C6268" s="323">
        <v>69447</v>
      </c>
      <c r="D6268" s="323">
        <v>252</v>
      </c>
      <c r="E6268" s="324">
        <f t="shared" si="97"/>
        <v>61452.72</v>
      </c>
    </row>
    <row r="6269" spans="1:5" x14ac:dyDescent="0.25">
      <c r="A6269" s="323" t="s">
        <v>2406</v>
      </c>
      <c r="B6269" s="323" t="s">
        <v>805</v>
      </c>
      <c r="C6269" s="323">
        <v>69643</v>
      </c>
      <c r="D6269" s="323">
        <v>170</v>
      </c>
      <c r="E6269" s="324">
        <f t="shared" si="97"/>
        <v>41456.200000000004</v>
      </c>
    </row>
    <row r="6270" spans="1:5" x14ac:dyDescent="0.25">
      <c r="A6270" s="323" t="s">
        <v>3487</v>
      </c>
      <c r="B6270" s="323" t="s">
        <v>805</v>
      </c>
      <c r="C6270" s="323">
        <v>69669</v>
      </c>
      <c r="D6270" s="323">
        <v>204</v>
      </c>
      <c r="E6270" s="324">
        <f t="shared" si="97"/>
        <v>49747.44</v>
      </c>
    </row>
    <row r="6271" spans="1:5" x14ac:dyDescent="0.25">
      <c r="A6271" s="323" t="s">
        <v>6040</v>
      </c>
      <c r="B6271" s="323" t="s">
        <v>805</v>
      </c>
      <c r="C6271" s="323">
        <v>69669</v>
      </c>
      <c r="D6271" s="323">
        <v>479</v>
      </c>
      <c r="E6271" s="324">
        <f t="shared" si="97"/>
        <v>116808.94</v>
      </c>
    </row>
    <row r="6272" spans="1:5" x14ac:dyDescent="0.25">
      <c r="A6272" s="323" t="s">
        <v>6047</v>
      </c>
      <c r="B6272" s="323" t="s">
        <v>805</v>
      </c>
      <c r="C6272" s="323">
        <v>69669</v>
      </c>
      <c r="D6272" s="323">
        <v>155</v>
      </c>
      <c r="E6272" s="324">
        <f t="shared" si="97"/>
        <v>37798.300000000003</v>
      </c>
    </row>
    <row r="6273" spans="1:5" x14ac:dyDescent="0.25">
      <c r="A6273" s="323" t="s">
        <v>6050</v>
      </c>
      <c r="B6273" s="323" t="s">
        <v>805</v>
      </c>
      <c r="C6273" s="323">
        <v>69669</v>
      </c>
      <c r="D6273" s="323">
        <v>293</v>
      </c>
      <c r="E6273" s="324">
        <f t="shared" si="97"/>
        <v>71450.98000000001</v>
      </c>
    </row>
    <row r="6274" spans="1:5" x14ac:dyDescent="0.25">
      <c r="A6274" s="323" t="s">
        <v>6110</v>
      </c>
      <c r="B6274" s="323" t="s">
        <v>805</v>
      </c>
      <c r="C6274" s="323">
        <v>69669</v>
      </c>
      <c r="D6274" s="323">
        <v>263</v>
      </c>
      <c r="E6274" s="324">
        <f t="shared" ref="E6274:E6337" si="98">D6274*IF(B6274=$G$9,WerkdrukbedragPerLeerlingBo,IF(B6274=$G$10,WerkdrukbedragPerLeerlingSbo,IF(B6274=$G$11,WerkdrukbedragPerLeerlingSo,IF(B6274=$G$12,WerkdrukbedragPerLeerlingVso,0))))</f>
        <v>64135.18</v>
      </c>
    </row>
    <row r="6275" spans="1:5" x14ac:dyDescent="0.25">
      <c r="A6275" s="323" t="s">
        <v>6157</v>
      </c>
      <c r="B6275" s="323" t="s">
        <v>805</v>
      </c>
      <c r="C6275" s="323">
        <v>69669</v>
      </c>
      <c r="D6275" s="323">
        <v>292</v>
      </c>
      <c r="E6275" s="324">
        <f t="shared" si="98"/>
        <v>71207.12000000001</v>
      </c>
    </row>
    <row r="6276" spans="1:5" x14ac:dyDescent="0.25">
      <c r="A6276" s="323" t="s">
        <v>6202</v>
      </c>
      <c r="B6276" s="323" t="s">
        <v>805</v>
      </c>
      <c r="C6276" s="323">
        <v>69669</v>
      </c>
      <c r="D6276" s="323">
        <v>183</v>
      </c>
      <c r="E6276" s="324">
        <f t="shared" si="98"/>
        <v>44626.380000000005</v>
      </c>
    </row>
    <row r="6277" spans="1:5" x14ac:dyDescent="0.25">
      <c r="A6277" s="323" t="s">
        <v>6221</v>
      </c>
      <c r="B6277" s="323" t="s">
        <v>805</v>
      </c>
      <c r="C6277" s="323">
        <v>69669</v>
      </c>
      <c r="D6277" s="323">
        <v>204</v>
      </c>
      <c r="E6277" s="324">
        <f t="shared" si="98"/>
        <v>49747.44</v>
      </c>
    </row>
    <row r="6278" spans="1:5" x14ac:dyDescent="0.25">
      <c r="A6278" s="323" t="s">
        <v>6239</v>
      </c>
      <c r="B6278" s="323" t="s">
        <v>805</v>
      </c>
      <c r="C6278" s="323">
        <v>69669</v>
      </c>
      <c r="D6278" s="323">
        <v>452</v>
      </c>
      <c r="E6278" s="324">
        <f t="shared" si="98"/>
        <v>110224.72</v>
      </c>
    </row>
    <row r="6279" spans="1:5" x14ac:dyDescent="0.25">
      <c r="A6279" s="323" t="s">
        <v>7424</v>
      </c>
      <c r="B6279" s="323" t="s">
        <v>805</v>
      </c>
      <c r="C6279" s="323">
        <v>69669</v>
      </c>
      <c r="D6279" s="323">
        <v>583</v>
      </c>
      <c r="E6279" s="324">
        <f t="shared" si="98"/>
        <v>142170.38</v>
      </c>
    </row>
    <row r="6280" spans="1:5" x14ac:dyDescent="0.25">
      <c r="A6280" s="323" t="s">
        <v>2411</v>
      </c>
      <c r="B6280" s="323" t="s">
        <v>805</v>
      </c>
      <c r="C6280" s="323">
        <v>69799</v>
      </c>
      <c r="D6280" s="323">
        <v>216</v>
      </c>
      <c r="E6280" s="324">
        <f t="shared" si="98"/>
        <v>52673.760000000002</v>
      </c>
    </row>
    <row r="6281" spans="1:5" x14ac:dyDescent="0.25">
      <c r="A6281" s="323" t="s">
        <v>1545</v>
      </c>
      <c r="B6281" s="323" t="s">
        <v>805</v>
      </c>
      <c r="C6281" s="323">
        <v>69877</v>
      </c>
      <c r="D6281" s="323">
        <v>190</v>
      </c>
      <c r="E6281" s="324">
        <f t="shared" si="98"/>
        <v>46333.4</v>
      </c>
    </row>
    <row r="6282" spans="1:5" x14ac:dyDescent="0.25">
      <c r="A6282" s="323" t="s">
        <v>1553</v>
      </c>
      <c r="B6282" s="323" t="s">
        <v>805</v>
      </c>
      <c r="C6282" s="323">
        <v>69877</v>
      </c>
      <c r="D6282" s="323">
        <v>97</v>
      </c>
      <c r="E6282" s="324">
        <f t="shared" si="98"/>
        <v>23654.420000000002</v>
      </c>
    </row>
    <row r="6283" spans="1:5" x14ac:dyDescent="0.25">
      <c r="A6283" s="323" t="s">
        <v>2392</v>
      </c>
      <c r="B6283" s="323" t="s">
        <v>805</v>
      </c>
      <c r="C6283" s="323">
        <v>69877</v>
      </c>
      <c r="D6283" s="323">
        <v>84</v>
      </c>
      <c r="E6283" s="324">
        <f t="shared" si="98"/>
        <v>20484.240000000002</v>
      </c>
    </row>
    <row r="6284" spans="1:5" x14ac:dyDescent="0.25">
      <c r="A6284" s="323" t="s">
        <v>3771</v>
      </c>
      <c r="B6284" s="323" t="s">
        <v>805</v>
      </c>
      <c r="C6284" s="323">
        <v>69877</v>
      </c>
      <c r="D6284" s="323">
        <v>117</v>
      </c>
      <c r="E6284" s="324">
        <f t="shared" si="98"/>
        <v>28531.620000000003</v>
      </c>
    </row>
    <row r="6285" spans="1:5" x14ac:dyDescent="0.25">
      <c r="A6285" s="323" t="s">
        <v>5461</v>
      </c>
      <c r="B6285" s="323" t="s">
        <v>805</v>
      </c>
      <c r="C6285" s="323">
        <v>69877</v>
      </c>
      <c r="D6285" s="323">
        <v>308</v>
      </c>
      <c r="E6285" s="324">
        <f t="shared" si="98"/>
        <v>75108.88</v>
      </c>
    </row>
    <row r="6286" spans="1:5" x14ac:dyDescent="0.25">
      <c r="A6286" s="323" t="s">
        <v>5488</v>
      </c>
      <c r="B6286" s="323" t="s">
        <v>805</v>
      </c>
      <c r="C6286" s="323">
        <v>69877</v>
      </c>
      <c r="D6286" s="323">
        <v>175</v>
      </c>
      <c r="E6286" s="324">
        <f t="shared" si="98"/>
        <v>42675.5</v>
      </c>
    </row>
    <row r="6287" spans="1:5" x14ac:dyDescent="0.25">
      <c r="A6287" s="323" t="s">
        <v>5509</v>
      </c>
      <c r="B6287" s="323" t="s">
        <v>805</v>
      </c>
      <c r="C6287" s="323">
        <v>69877</v>
      </c>
      <c r="D6287" s="323">
        <v>495</v>
      </c>
      <c r="E6287" s="324">
        <f t="shared" si="98"/>
        <v>120710.70000000001</v>
      </c>
    </row>
    <row r="6288" spans="1:5" x14ac:dyDescent="0.25">
      <c r="A6288" s="323" t="s">
        <v>5527</v>
      </c>
      <c r="B6288" s="323" t="s">
        <v>805</v>
      </c>
      <c r="C6288" s="323">
        <v>69877</v>
      </c>
      <c r="D6288" s="323">
        <v>306</v>
      </c>
      <c r="E6288" s="324">
        <f t="shared" si="98"/>
        <v>74621.16</v>
      </c>
    </row>
    <row r="6289" spans="1:5" x14ac:dyDescent="0.25">
      <c r="A6289" s="323" t="s">
        <v>5545</v>
      </c>
      <c r="B6289" s="323" t="s">
        <v>805</v>
      </c>
      <c r="C6289" s="323">
        <v>69877</v>
      </c>
      <c r="D6289" s="323">
        <v>108</v>
      </c>
      <c r="E6289" s="324">
        <f t="shared" si="98"/>
        <v>26336.880000000001</v>
      </c>
    </row>
    <row r="6290" spans="1:5" x14ac:dyDescent="0.25">
      <c r="A6290" s="323" t="s">
        <v>5558</v>
      </c>
      <c r="B6290" s="323" t="s">
        <v>805</v>
      </c>
      <c r="C6290" s="323">
        <v>69877</v>
      </c>
      <c r="D6290" s="323">
        <v>265</v>
      </c>
      <c r="E6290" s="324">
        <f t="shared" si="98"/>
        <v>64622.9</v>
      </c>
    </row>
    <row r="6291" spans="1:5" x14ac:dyDescent="0.25">
      <c r="A6291" s="323" t="s">
        <v>5572</v>
      </c>
      <c r="B6291" s="323" t="s">
        <v>805</v>
      </c>
      <c r="C6291" s="323">
        <v>69877</v>
      </c>
      <c r="D6291" s="323">
        <v>151</v>
      </c>
      <c r="E6291" s="324">
        <f t="shared" si="98"/>
        <v>36822.86</v>
      </c>
    </row>
    <row r="6292" spans="1:5" x14ac:dyDescent="0.25">
      <c r="A6292" s="323" t="s">
        <v>6833</v>
      </c>
      <c r="B6292" s="323" t="s">
        <v>805</v>
      </c>
      <c r="C6292" s="323">
        <v>69877</v>
      </c>
      <c r="D6292" s="323">
        <v>231</v>
      </c>
      <c r="E6292" s="324">
        <f t="shared" si="98"/>
        <v>56331.66</v>
      </c>
    </row>
    <row r="6293" spans="1:5" x14ac:dyDescent="0.25">
      <c r="A6293" s="323" t="s">
        <v>7416</v>
      </c>
      <c r="B6293" s="323" t="s">
        <v>805</v>
      </c>
      <c r="C6293" s="323">
        <v>69877</v>
      </c>
      <c r="D6293" s="323">
        <v>173</v>
      </c>
      <c r="E6293" s="324">
        <f t="shared" si="98"/>
        <v>42187.78</v>
      </c>
    </row>
    <row r="6294" spans="1:5" x14ac:dyDescent="0.25">
      <c r="A6294" s="323" t="s">
        <v>927</v>
      </c>
      <c r="B6294" s="323" t="s">
        <v>816</v>
      </c>
      <c r="C6294" s="323">
        <v>70002</v>
      </c>
      <c r="D6294" s="323">
        <v>190</v>
      </c>
      <c r="E6294" s="324">
        <f t="shared" si="98"/>
        <v>69500.100000000006</v>
      </c>
    </row>
    <row r="6295" spans="1:5" x14ac:dyDescent="0.25">
      <c r="A6295" s="323" t="s">
        <v>1264</v>
      </c>
      <c r="B6295" s="323" t="s">
        <v>805</v>
      </c>
      <c r="C6295" s="323">
        <v>70002</v>
      </c>
      <c r="D6295" s="323">
        <v>183</v>
      </c>
      <c r="E6295" s="324">
        <f t="shared" si="98"/>
        <v>44626.380000000005</v>
      </c>
    </row>
    <row r="6296" spans="1:5" x14ac:dyDescent="0.25">
      <c r="A6296" s="323" t="s">
        <v>1277</v>
      </c>
      <c r="B6296" s="323" t="s">
        <v>805</v>
      </c>
      <c r="C6296" s="323">
        <v>70002</v>
      </c>
      <c r="D6296" s="323">
        <v>162</v>
      </c>
      <c r="E6296" s="324">
        <f t="shared" si="98"/>
        <v>39505.32</v>
      </c>
    </row>
    <row r="6297" spans="1:5" x14ac:dyDescent="0.25">
      <c r="A6297" s="323" t="s">
        <v>1289</v>
      </c>
      <c r="B6297" s="323" t="s">
        <v>805</v>
      </c>
      <c r="C6297" s="323">
        <v>70002</v>
      </c>
      <c r="D6297" s="323">
        <v>328</v>
      </c>
      <c r="E6297" s="324">
        <f t="shared" si="98"/>
        <v>79986.080000000002</v>
      </c>
    </row>
    <row r="6298" spans="1:5" x14ac:dyDescent="0.25">
      <c r="A6298" s="323" t="s">
        <v>1364</v>
      </c>
      <c r="B6298" s="323" t="s">
        <v>805</v>
      </c>
      <c r="C6298" s="323">
        <v>70002</v>
      </c>
      <c r="D6298" s="323">
        <v>200</v>
      </c>
      <c r="E6298" s="324">
        <f t="shared" si="98"/>
        <v>48772</v>
      </c>
    </row>
    <row r="6299" spans="1:5" x14ac:dyDescent="0.25">
      <c r="A6299" s="323" t="s">
        <v>1722</v>
      </c>
      <c r="B6299" s="323" t="s">
        <v>805</v>
      </c>
      <c r="C6299" s="323">
        <v>70002</v>
      </c>
      <c r="D6299" s="323">
        <v>192</v>
      </c>
      <c r="E6299" s="324">
        <f t="shared" si="98"/>
        <v>46821.120000000003</v>
      </c>
    </row>
    <row r="6300" spans="1:5" x14ac:dyDescent="0.25">
      <c r="A6300" s="323" t="s">
        <v>2281</v>
      </c>
      <c r="B6300" s="323" t="s">
        <v>805</v>
      </c>
      <c r="C6300" s="323">
        <v>70002</v>
      </c>
      <c r="D6300" s="323">
        <v>235</v>
      </c>
      <c r="E6300" s="324">
        <f t="shared" si="98"/>
        <v>57307.100000000006</v>
      </c>
    </row>
    <row r="6301" spans="1:5" x14ac:dyDescent="0.25">
      <c r="A6301" s="323" t="s">
        <v>2800</v>
      </c>
      <c r="B6301" s="323" t="s">
        <v>805</v>
      </c>
      <c r="C6301" s="323">
        <v>70002</v>
      </c>
      <c r="D6301" s="323">
        <v>220</v>
      </c>
      <c r="E6301" s="324">
        <f t="shared" si="98"/>
        <v>53649.200000000004</v>
      </c>
    </row>
    <row r="6302" spans="1:5" x14ac:dyDescent="0.25">
      <c r="A6302" s="323" t="s">
        <v>3269</v>
      </c>
      <c r="B6302" s="323" t="s">
        <v>805</v>
      </c>
      <c r="C6302" s="323">
        <v>70002</v>
      </c>
      <c r="D6302" s="323">
        <v>276</v>
      </c>
      <c r="E6302" s="324">
        <f t="shared" si="98"/>
        <v>67305.36</v>
      </c>
    </row>
    <row r="6303" spans="1:5" x14ac:dyDescent="0.25">
      <c r="A6303" s="323" t="s">
        <v>3832</v>
      </c>
      <c r="B6303" s="323" t="s">
        <v>805</v>
      </c>
      <c r="C6303" s="323">
        <v>70002</v>
      </c>
      <c r="D6303" s="323">
        <v>204</v>
      </c>
      <c r="E6303" s="324">
        <f t="shared" si="98"/>
        <v>49747.44</v>
      </c>
    </row>
    <row r="6304" spans="1:5" x14ac:dyDescent="0.25">
      <c r="A6304" s="323" t="s">
        <v>3861</v>
      </c>
      <c r="B6304" s="323" t="s">
        <v>805</v>
      </c>
      <c r="C6304" s="323">
        <v>70002</v>
      </c>
      <c r="D6304" s="323">
        <v>193</v>
      </c>
      <c r="E6304" s="324">
        <f t="shared" si="98"/>
        <v>47064.98</v>
      </c>
    </row>
    <row r="6305" spans="1:5" x14ac:dyDescent="0.25">
      <c r="A6305" s="323" t="s">
        <v>4036</v>
      </c>
      <c r="B6305" s="323" t="s">
        <v>805</v>
      </c>
      <c r="C6305" s="323">
        <v>70002</v>
      </c>
      <c r="D6305" s="323">
        <v>154</v>
      </c>
      <c r="E6305" s="324">
        <f t="shared" si="98"/>
        <v>37554.44</v>
      </c>
    </row>
    <row r="6306" spans="1:5" x14ac:dyDescent="0.25">
      <c r="A6306" s="323" t="s">
        <v>4181</v>
      </c>
      <c r="B6306" s="323" t="s">
        <v>805</v>
      </c>
      <c r="C6306" s="323">
        <v>70002</v>
      </c>
      <c r="D6306" s="323">
        <v>376</v>
      </c>
      <c r="E6306" s="324">
        <f t="shared" si="98"/>
        <v>91691.36</v>
      </c>
    </row>
    <row r="6307" spans="1:5" x14ac:dyDescent="0.25">
      <c r="A6307" s="323" t="s">
        <v>4308</v>
      </c>
      <c r="B6307" s="323" t="s">
        <v>805</v>
      </c>
      <c r="C6307" s="323">
        <v>70002</v>
      </c>
      <c r="D6307" s="323">
        <v>165</v>
      </c>
      <c r="E6307" s="324">
        <f t="shared" si="98"/>
        <v>40236.9</v>
      </c>
    </row>
    <row r="6308" spans="1:5" x14ac:dyDescent="0.25">
      <c r="A6308" s="323" t="s">
        <v>7116</v>
      </c>
      <c r="B6308" s="323" t="s">
        <v>805</v>
      </c>
      <c r="C6308" s="323">
        <v>70002</v>
      </c>
      <c r="D6308" s="323">
        <v>526</v>
      </c>
      <c r="E6308" s="324">
        <f t="shared" si="98"/>
        <v>128270.36</v>
      </c>
    </row>
    <row r="6309" spans="1:5" x14ac:dyDescent="0.25">
      <c r="A6309" s="323" t="s">
        <v>1382</v>
      </c>
      <c r="B6309" s="323" t="s">
        <v>805</v>
      </c>
      <c r="C6309" s="323">
        <v>70033</v>
      </c>
      <c r="D6309" s="323">
        <v>98</v>
      </c>
      <c r="E6309" s="324">
        <f t="shared" si="98"/>
        <v>23898.280000000002</v>
      </c>
    </row>
    <row r="6310" spans="1:5" x14ac:dyDescent="0.25">
      <c r="A6310" s="323" t="s">
        <v>2342</v>
      </c>
      <c r="B6310" s="323" t="s">
        <v>805</v>
      </c>
      <c r="C6310" s="323">
        <v>70033</v>
      </c>
      <c r="D6310" s="323">
        <v>172</v>
      </c>
      <c r="E6310" s="324">
        <f t="shared" si="98"/>
        <v>41943.920000000006</v>
      </c>
    </row>
    <row r="6311" spans="1:5" x14ac:dyDescent="0.25">
      <c r="A6311" s="323" t="s">
        <v>4672</v>
      </c>
      <c r="B6311" s="323" t="s">
        <v>805</v>
      </c>
      <c r="C6311" s="323">
        <v>70085</v>
      </c>
      <c r="D6311" s="323">
        <v>813</v>
      </c>
      <c r="E6311" s="324">
        <f t="shared" si="98"/>
        <v>198258.18000000002</v>
      </c>
    </row>
    <row r="6312" spans="1:5" x14ac:dyDescent="0.25">
      <c r="A6312" s="323" t="s">
        <v>4801</v>
      </c>
      <c r="B6312" s="323" t="s">
        <v>805</v>
      </c>
      <c r="C6312" s="323">
        <v>70085</v>
      </c>
      <c r="D6312" s="323">
        <v>81</v>
      </c>
      <c r="E6312" s="324">
        <f t="shared" si="98"/>
        <v>19752.66</v>
      </c>
    </row>
    <row r="6313" spans="1:5" x14ac:dyDescent="0.25">
      <c r="A6313" s="323" t="s">
        <v>4850</v>
      </c>
      <c r="B6313" s="323" t="s">
        <v>805</v>
      </c>
      <c r="C6313" s="323">
        <v>70085</v>
      </c>
      <c r="D6313" s="323">
        <v>285</v>
      </c>
      <c r="E6313" s="324">
        <f t="shared" si="98"/>
        <v>69500.100000000006</v>
      </c>
    </row>
    <row r="6314" spans="1:5" x14ac:dyDescent="0.25">
      <c r="A6314" s="323" t="s">
        <v>978</v>
      </c>
      <c r="B6314" s="323" t="s">
        <v>809</v>
      </c>
      <c r="C6314" s="323">
        <v>70176</v>
      </c>
      <c r="D6314" s="323">
        <v>108</v>
      </c>
      <c r="E6314" s="324">
        <f t="shared" si="98"/>
        <v>52673.760000000002</v>
      </c>
    </row>
    <row r="6315" spans="1:5" x14ac:dyDescent="0.25">
      <c r="A6315" s="323" t="s">
        <v>978</v>
      </c>
      <c r="B6315" s="323" t="s">
        <v>803</v>
      </c>
      <c r="C6315" s="323">
        <v>70176</v>
      </c>
      <c r="D6315" s="323">
        <v>98</v>
      </c>
      <c r="E6315" s="324">
        <f t="shared" si="98"/>
        <v>47796.560000000005</v>
      </c>
    </row>
    <row r="6316" spans="1:5" x14ac:dyDescent="0.25">
      <c r="A6316" s="323" t="s">
        <v>1918</v>
      </c>
      <c r="B6316" s="323" t="s">
        <v>805</v>
      </c>
      <c r="C6316" s="323">
        <v>70176</v>
      </c>
      <c r="D6316" s="323">
        <v>256</v>
      </c>
      <c r="E6316" s="324">
        <f t="shared" si="98"/>
        <v>62428.160000000003</v>
      </c>
    </row>
    <row r="6317" spans="1:5" x14ac:dyDescent="0.25">
      <c r="A6317" s="323" t="s">
        <v>2909</v>
      </c>
      <c r="B6317" s="323" t="s">
        <v>805</v>
      </c>
      <c r="C6317" s="323">
        <v>70176</v>
      </c>
      <c r="D6317" s="323">
        <v>224</v>
      </c>
      <c r="E6317" s="324">
        <f t="shared" si="98"/>
        <v>54624.639999999999</v>
      </c>
    </row>
    <row r="6318" spans="1:5" x14ac:dyDescent="0.25">
      <c r="A6318" s="323" t="s">
        <v>5664</v>
      </c>
      <c r="B6318" s="323" t="s">
        <v>816</v>
      </c>
      <c r="C6318" s="323">
        <v>70176</v>
      </c>
      <c r="D6318" s="323">
        <v>97</v>
      </c>
      <c r="E6318" s="324">
        <f t="shared" si="98"/>
        <v>35481.630000000005</v>
      </c>
    </row>
    <row r="6319" spans="1:5" x14ac:dyDescent="0.25">
      <c r="A6319" s="323" t="s">
        <v>5695</v>
      </c>
      <c r="B6319" s="323" t="s">
        <v>805</v>
      </c>
      <c r="C6319" s="323">
        <v>70176</v>
      </c>
      <c r="D6319" s="323">
        <v>268</v>
      </c>
      <c r="E6319" s="324">
        <f t="shared" si="98"/>
        <v>65354.48</v>
      </c>
    </row>
    <row r="6320" spans="1:5" x14ac:dyDescent="0.25">
      <c r="A6320" s="323" t="s">
        <v>5707</v>
      </c>
      <c r="B6320" s="323" t="s">
        <v>805</v>
      </c>
      <c r="C6320" s="323">
        <v>70176</v>
      </c>
      <c r="D6320" s="323">
        <v>415</v>
      </c>
      <c r="E6320" s="324">
        <f t="shared" si="98"/>
        <v>101201.90000000001</v>
      </c>
    </row>
    <row r="6321" spans="1:5" x14ac:dyDescent="0.25">
      <c r="A6321" s="323" t="s">
        <v>5735</v>
      </c>
      <c r="B6321" s="323" t="s">
        <v>805</v>
      </c>
      <c r="C6321" s="323">
        <v>70176</v>
      </c>
      <c r="D6321" s="323">
        <v>323</v>
      </c>
      <c r="E6321" s="324">
        <f t="shared" si="98"/>
        <v>78766.78</v>
      </c>
    </row>
    <row r="6322" spans="1:5" x14ac:dyDescent="0.25">
      <c r="A6322" s="323" t="s">
        <v>5906</v>
      </c>
      <c r="B6322" s="323" t="s">
        <v>805</v>
      </c>
      <c r="C6322" s="323">
        <v>70176</v>
      </c>
      <c r="D6322" s="323">
        <v>400</v>
      </c>
      <c r="E6322" s="324">
        <f t="shared" si="98"/>
        <v>97544</v>
      </c>
    </row>
    <row r="6323" spans="1:5" x14ac:dyDescent="0.25">
      <c r="A6323" s="323" t="s">
        <v>5915</v>
      </c>
      <c r="B6323" s="323" t="s">
        <v>805</v>
      </c>
      <c r="C6323" s="323">
        <v>70176</v>
      </c>
      <c r="D6323" s="323">
        <v>193</v>
      </c>
      <c r="E6323" s="324">
        <f t="shared" si="98"/>
        <v>47064.98</v>
      </c>
    </row>
    <row r="6324" spans="1:5" x14ac:dyDescent="0.25">
      <c r="A6324" s="323" t="s">
        <v>5922</v>
      </c>
      <c r="B6324" s="323" t="s">
        <v>805</v>
      </c>
      <c r="C6324" s="323">
        <v>70176</v>
      </c>
      <c r="D6324" s="323">
        <v>151</v>
      </c>
      <c r="E6324" s="324">
        <f t="shared" si="98"/>
        <v>36822.86</v>
      </c>
    </row>
    <row r="6325" spans="1:5" x14ac:dyDescent="0.25">
      <c r="A6325" s="323" t="s">
        <v>5936</v>
      </c>
      <c r="B6325" s="323" t="s">
        <v>805</v>
      </c>
      <c r="C6325" s="323">
        <v>70176</v>
      </c>
      <c r="D6325" s="323">
        <v>282</v>
      </c>
      <c r="E6325" s="324">
        <f t="shared" si="98"/>
        <v>68768.52</v>
      </c>
    </row>
    <row r="6326" spans="1:5" x14ac:dyDescent="0.25">
      <c r="A6326" s="323" t="s">
        <v>5945</v>
      </c>
      <c r="B6326" s="323" t="s">
        <v>805</v>
      </c>
      <c r="C6326" s="323">
        <v>70176</v>
      </c>
      <c r="D6326" s="323">
        <v>416</v>
      </c>
      <c r="E6326" s="324">
        <f t="shared" si="98"/>
        <v>101445.76000000001</v>
      </c>
    </row>
    <row r="6327" spans="1:5" x14ac:dyDescent="0.25">
      <c r="A6327" s="323" t="s">
        <v>5949</v>
      </c>
      <c r="B6327" s="323" t="s">
        <v>805</v>
      </c>
      <c r="C6327" s="323">
        <v>70176</v>
      </c>
      <c r="D6327" s="323">
        <v>139</v>
      </c>
      <c r="E6327" s="324">
        <f t="shared" si="98"/>
        <v>33896.54</v>
      </c>
    </row>
    <row r="6328" spans="1:5" x14ac:dyDescent="0.25">
      <c r="A6328" s="323" t="s">
        <v>5957</v>
      </c>
      <c r="B6328" s="323" t="s">
        <v>805</v>
      </c>
      <c r="C6328" s="323">
        <v>70176</v>
      </c>
      <c r="D6328" s="323">
        <v>180</v>
      </c>
      <c r="E6328" s="324">
        <f t="shared" si="98"/>
        <v>43894.8</v>
      </c>
    </row>
    <row r="6329" spans="1:5" x14ac:dyDescent="0.25">
      <c r="A6329" s="323" t="s">
        <v>5963</v>
      </c>
      <c r="B6329" s="323" t="s">
        <v>805</v>
      </c>
      <c r="C6329" s="323">
        <v>70176</v>
      </c>
      <c r="D6329" s="323">
        <v>445</v>
      </c>
      <c r="E6329" s="324">
        <f t="shared" si="98"/>
        <v>108517.70000000001</v>
      </c>
    </row>
    <row r="6330" spans="1:5" x14ac:dyDescent="0.25">
      <c r="A6330" s="323" t="s">
        <v>5969</v>
      </c>
      <c r="B6330" s="323" t="s">
        <v>805</v>
      </c>
      <c r="C6330" s="323">
        <v>70176</v>
      </c>
      <c r="D6330" s="323">
        <v>495</v>
      </c>
      <c r="E6330" s="324">
        <f t="shared" si="98"/>
        <v>120710.70000000001</v>
      </c>
    </row>
    <row r="6331" spans="1:5" x14ac:dyDescent="0.25">
      <c r="A6331" s="323" t="s">
        <v>5972</v>
      </c>
      <c r="B6331" s="323" t="s">
        <v>805</v>
      </c>
      <c r="C6331" s="323">
        <v>70176</v>
      </c>
      <c r="D6331" s="323">
        <v>257</v>
      </c>
      <c r="E6331" s="324">
        <f t="shared" si="98"/>
        <v>62672.020000000004</v>
      </c>
    </row>
    <row r="6332" spans="1:5" x14ac:dyDescent="0.25">
      <c r="A6332" s="323" t="s">
        <v>5976</v>
      </c>
      <c r="B6332" s="323" t="s">
        <v>805</v>
      </c>
      <c r="C6332" s="323">
        <v>70176</v>
      </c>
      <c r="D6332" s="323">
        <v>361</v>
      </c>
      <c r="E6332" s="324">
        <f t="shared" si="98"/>
        <v>88033.46</v>
      </c>
    </row>
    <row r="6333" spans="1:5" x14ac:dyDescent="0.25">
      <c r="A6333" s="323" t="s">
        <v>5981</v>
      </c>
      <c r="B6333" s="323" t="s">
        <v>805</v>
      </c>
      <c r="C6333" s="323">
        <v>70176</v>
      </c>
      <c r="D6333" s="323">
        <v>339</v>
      </c>
      <c r="E6333" s="324">
        <f t="shared" si="98"/>
        <v>82668.540000000008</v>
      </c>
    </row>
    <row r="6334" spans="1:5" x14ac:dyDescent="0.25">
      <c r="A6334" s="323" t="s">
        <v>5986</v>
      </c>
      <c r="B6334" s="323" t="s">
        <v>805</v>
      </c>
      <c r="C6334" s="323">
        <v>70176</v>
      </c>
      <c r="D6334" s="323">
        <v>417</v>
      </c>
      <c r="E6334" s="324">
        <f t="shared" si="98"/>
        <v>101689.62000000001</v>
      </c>
    </row>
    <row r="6335" spans="1:5" x14ac:dyDescent="0.25">
      <c r="A6335" s="323" t="s">
        <v>5993</v>
      </c>
      <c r="B6335" s="323" t="s">
        <v>805</v>
      </c>
      <c r="C6335" s="323">
        <v>70176</v>
      </c>
      <c r="D6335" s="323">
        <v>279</v>
      </c>
      <c r="E6335" s="324">
        <f t="shared" si="98"/>
        <v>68036.94</v>
      </c>
    </row>
    <row r="6336" spans="1:5" x14ac:dyDescent="0.25">
      <c r="A6336" s="323" t="s">
        <v>6002</v>
      </c>
      <c r="B6336" s="323" t="s">
        <v>805</v>
      </c>
      <c r="C6336" s="323">
        <v>70176</v>
      </c>
      <c r="D6336" s="323">
        <v>174</v>
      </c>
      <c r="E6336" s="324">
        <f t="shared" si="98"/>
        <v>42431.64</v>
      </c>
    </row>
    <row r="6337" spans="1:5" x14ac:dyDescent="0.25">
      <c r="A6337" s="323" t="s">
        <v>6005</v>
      </c>
      <c r="B6337" s="323" t="s">
        <v>805</v>
      </c>
      <c r="C6337" s="323">
        <v>70176</v>
      </c>
      <c r="D6337" s="323">
        <v>203</v>
      </c>
      <c r="E6337" s="324">
        <f t="shared" si="98"/>
        <v>49503.58</v>
      </c>
    </row>
    <row r="6338" spans="1:5" x14ac:dyDescent="0.25">
      <c r="A6338" s="323" t="s">
        <v>6009</v>
      </c>
      <c r="B6338" s="323" t="s">
        <v>805</v>
      </c>
      <c r="C6338" s="323">
        <v>70176</v>
      </c>
      <c r="D6338" s="323">
        <v>386</v>
      </c>
      <c r="E6338" s="324">
        <f t="shared" ref="E6338:E6401" si="99">D6338*IF(B6338=$G$9,WerkdrukbedragPerLeerlingBo,IF(B6338=$G$10,WerkdrukbedragPerLeerlingSbo,IF(B6338=$G$11,WerkdrukbedragPerLeerlingSo,IF(B6338=$G$12,WerkdrukbedragPerLeerlingVso,0))))</f>
        <v>94129.96</v>
      </c>
    </row>
    <row r="6339" spans="1:5" x14ac:dyDescent="0.25">
      <c r="A6339" s="323" t="s">
        <v>6013</v>
      </c>
      <c r="B6339" s="323" t="s">
        <v>805</v>
      </c>
      <c r="C6339" s="323">
        <v>70176</v>
      </c>
      <c r="D6339" s="323">
        <v>200</v>
      </c>
      <c r="E6339" s="324">
        <f t="shared" si="99"/>
        <v>48772</v>
      </c>
    </row>
    <row r="6340" spans="1:5" x14ac:dyDescent="0.25">
      <c r="A6340" s="323" t="s">
        <v>6017</v>
      </c>
      <c r="B6340" s="323" t="s">
        <v>805</v>
      </c>
      <c r="C6340" s="323">
        <v>70176</v>
      </c>
      <c r="D6340" s="323">
        <v>149</v>
      </c>
      <c r="E6340" s="324">
        <f t="shared" si="99"/>
        <v>36335.14</v>
      </c>
    </row>
    <row r="6341" spans="1:5" x14ac:dyDescent="0.25">
      <c r="A6341" s="323" t="s">
        <v>6022</v>
      </c>
      <c r="B6341" s="323" t="s">
        <v>805</v>
      </c>
      <c r="C6341" s="323">
        <v>70176</v>
      </c>
      <c r="D6341" s="323">
        <v>171</v>
      </c>
      <c r="E6341" s="324">
        <f t="shared" si="99"/>
        <v>41700.060000000005</v>
      </c>
    </row>
    <row r="6342" spans="1:5" x14ac:dyDescent="0.25">
      <c r="A6342" s="323" t="s">
        <v>6026</v>
      </c>
      <c r="B6342" s="323" t="s">
        <v>805</v>
      </c>
      <c r="C6342" s="323">
        <v>70176</v>
      </c>
      <c r="D6342" s="323">
        <v>335</v>
      </c>
      <c r="E6342" s="324">
        <f t="shared" si="99"/>
        <v>81693.100000000006</v>
      </c>
    </row>
    <row r="6343" spans="1:5" x14ac:dyDescent="0.25">
      <c r="A6343" s="323" t="s">
        <v>6333</v>
      </c>
      <c r="B6343" s="323" t="s">
        <v>816</v>
      </c>
      <c r="C6343" s="323">
        <v>70176</v>
      </c>
      <c r="D6343" s="323">
        <v>159</v>
      </c>
      <c r="E6343" s="324">
        <f t="shared" si="99"/>
        <v>58160.61</v>
      </c>
    </row>
    <row r="6344" spans="1:5" x14ac:dyDescent="0.25">
      <c r="A6344" s="323" t="s">
        <v>6406</v>
      </c>
      <c r="B6344" s="323" t="s">
        <v>816</v>
      </c>
      <c r="C6344" s="323">
        <v>70176</v>
      </c>
      <c r="D6344" s="323">
        <v>101</v>
      </c>
      <c r="E6344" s="324">
        <f t="shared" si="99"/>
        <v>36944.79</v>
      </c>
    </row>
    <row r="6345" spans="1:5" x14ac:dyDescent="0.25">
      <c r="A6345" s="323" t="s">
        <v>6513</v>
      </c>
      <c r="B6345" s="323" t="s">
        <v>805</v>
      </c>
      <c r="C6345" s="323">
        <v>70176</v>
      </c>
      <c r="D6345" s="323">
        <v>196</v>
      </c>
      <c r="E6345" s="324">
        <f t="shared" si="99"/>
        <v>47796.560000000005</v>
      </c>
    </row>
    <row r="6346" spans="1:5" x14ac:dyDescent="0.25">
      <c r="A6346" s="323" t="s">
        <v>6546</v>
      </c>
      <c r="B6346" s="323" t="s">
        <v>805</v>
      </c>
      <c r="C6346" s="323">
        <v>70176</v>
      </c>
      <c r="D6346" s="323">
        <v>499</v>
      </c>
      <c r="E6346" s="324">
        <f t="shared" si="99"/>
        <v>121686.14000000001</v>
      </c>
    </row>
    <row r="6347" spans="1:5" x14ac:dyDescent="0.25">
      <c r="A6347" s="323" t="s">
        <v>7167</v>
      </c>
      <c r="B6347" s="323" t="s">
        <v>805</v>
      </c>
      <c r="C6347" s="323">
        <v>70176</v>
      </c>
      <c r="D6347" s="323">
        <v>887</v>
      </c>
      <c r="E6347" s="324">
        <f t="shared" si="99"/>
        <v>216303.82</v>
      </c>
    </row>
    <row r="6348" spans="1:5" x14ac:dyDescent="0.25">
      <c r="A6348" s="323" t="s">
        <v>2417</v>
      </c>
      <c r="B6348" s="323" t="s">
        <v>805</v>
      </c>
      <c r="C6348" s="323">
        <v>70280</v>
      </c>
      <c r="D6348" s="323">
        <v>135</v>
      </c>
      <c r="E6348" s="324">
        <f t="shared" si="99"/>
        <v>32921.1</v>
      </c>
    </row>
    <row r="6349" spans="1:5" x14ac:dyDescent="0.25">
      <c r="A6349" s="323" t="s">
        <v>1384</v>
      </c>
      <c r="B6349" s="323" t="s">
        <v>805</v>
      </c>
      <c r="C6349" s="323">
        <v>70358</v>
      </c>
      <c r="D6349" s="323">
        <v>114</v>
      </c>
      <c r="E6349" s="324">
        <f t="shared" si="99"/>
        <v>27800.04</v>
      </c>
    </row>
    <row r="6350" spans="1:5" x14ac:dyDescent="0.25">
      <c r="A6350" s="323" t="s">
        <v>2423</v>
      </c>
      <c r="B6350" s="323" t="s">
        <v>805</v>
      </c>
      <c r="C6350" s="323">
        <v>70644</v>
      </c>
      <c r="D6350" s="323">
        <v>200</v>
      </c>
      <c r="E6350" s="324">
        <f t="shared" si="99"/>
        <v>48772</v>
      </c>
    </row>
    <row r="6351" spans="1:5" x14ac:dyDescent="0.25">
      <c r="A6351" s="323" t="s">
        <v>858</v>
      </c>
      <c r="B6351" s="323" t="s">
        <v>816</v>
      </c>
      <c r="C6351" s="323">
        <v>71008</v>
      </c>
      <c r="D6351" s="323">
        <v>167</v>
      </c>
      <c r="E6351" s="324">
        <f t="shared" si="99"/>
        <v>61086.93</v>
      </c>
    </row>
    <row r="6352" spans="1:5" x14ac:dyDescent="0.25">
      <c r="A6352" s="323" t="s">
        <v>1192</v>
      </c>
      <c r="B6352" s="323" t="s">
        <v>805</v>
      </c>
      <c r="C6352" s="323">
        <v>71008</v>
      </c>
      <c r="D6352" s="323">
        <v>215</v>
      </c>
      <c r="E6352" s="324">
        <f t="shared" si="99"/>
        <v>52429.9</v>
      </c>
    </row>
    <row r="6353" spans="1:5" x14ac:dyDescent="0.25">
      <c r="A6353" s="323" t="s">
        <v>1598</v>
      </c>
      <c r="B6353" s="323" t="s">
        <v>805</v>
      </c>
      <c r="C6353" s="323">
        <v>71008</v>
      </c>
      <c r="D6353" s="323">
        <v>256</v>
      </c>
      <c r="E6353" s="324">
        <f t="shared" si="99"/>
        <v>62428.160000000003</v>
      </c>
    </row>
    <row r="6354" spans="1:5" x14ac:dyDescent="0.25">
      <c r="A6354" s="323" t="s">
        <v>1770</v>
      </c>
      <c r="B6354" s="323" t="s">
        <v>805</v>
      </c>
      <c r="C6354" s="323">
        <v>71008</v>
      </c>
      <c r="D6354" s="323">
        <v>244</v>
      </c>
      <c r="E6354" s="324">
        <f t="shared" si="99"/>
        <v>59501.840000000004</v>
      </c>
    </row>
    <row r="6355" spans="1:5" x14ac:dyDescent="0.25">
      <c r="A6355" s="323" t="s">
        <v>2242</v>
      </c>
      <c r="B6355" s="323" t="s">
        <v>805</v>
      </c>
      <c r="C6355" s="323">
        <v>71008</v>
      </c>
      <c r="D6355" s="323">
        <v>318</v>
      </c>
      <c r="E6355" s="324">
        <f t="shared" si="99"/>
        <v>77547.48000000001</v>
      </c>
    </row>
    <row r="6356" spans="1:5" x14ac:dyDescent="0.25">
      <c r="A6356" s="323" t="s">
        <v>2728</v>
      </c>
      <c r="B6356" s="323" t="s">
        <v>805</v>
      </c>
      <c r="C6356" s="323">
        <v>71008</v>
      </c>
      <c r="D6356" s="323">
        <v>203</v>
      </c>
      <c r="E6356" s="324">
        <f t="shared" si="99"/>
        <v>49503.58</v>
      </c>
    </row>
    <row r="6357" spans="1:5" x14ac:dyDescent="0.25">
      <c r="A6357" s="323" t="s">
        <v>3307</v>
      </c>
      <c r="B6357" s="323" t="s">
        <v>805</v>
      </c>
      <c r="C6357" s="323">
        <v>71008</v>
      </c>
      <c r="D6357" s="323">
        <v>262</v>
      </c>
      <c r="E6357" s="324">
        <f t="shared" si="99"/>
        <v>63891.320000000007</v>
      </c>
    </row>
    <row r="6358" spans="1:5" x14ac:dyDescent="0.25">
      <c r="A6358" s="323" t="s">
        <v>4126</v>
      </c>
      <c r="B6358" s="323" t="s">
        <v>805</v>
      </c>
      <c r="C6358" s="323">
        <v>71008</v>
      </c>
      <c r="D6358" s="323">
        <v>98</v>
      </c>
      <c r="E6358" s="324">
        <f t="shared" si="99"/>
        <v>23898.280000000002</v>
      </c>
    </row>
    <row r="6359" spans="1:5" x14ac:dyDescent="0.25">
      <c r="A6359" s="323" t="s">
        <v>4370</v>
      </c>
      <c r="B6359" s="323" t="s">
        <v>805</v>
      </c>
      <c r="C6359" s="323">
        <v>71008</v>
      </c>
      <c r="D6359" s="323">
        <v>123</v>
      </c>
      <c r="E6359" s="324">
        <f t="shared" si="99"/>
        <v>29994.780000000002</v>
      </c>
    </row>
    <row r="6360" spans="1:5" x14ac:dyDescent="0.25">
      <c r="A6360" s="323" t="s">
        <v>4666</v>
      </c>
      <c r="B6360" s="323" t="s">
        <v>805</v>
      </c>
      <c r="C6360" s="323">
        <v>71008</v>
      </c>
      <c r="D6360" s="323">
        <v>209</v>
      </c>
      <c r="E6360" s="324">
        <f t="shared" si="99"/>
        <v>50966.740000000005</v>
      </c>
    </row>
    <row r="6361" spans="1:5" x14ac:dyDescent="0.25">
      <c r="A6361" s="323" t="s">
        <v>4797</v>
      </c>
      <c r="B6361" s="323" t="s">
        <v>805</v>
      </c>
      <c r="C6361" s="323">
        <v>71008</v>
      </c>
      <c r="D6361" s="323">
        <v>289</v>
      </c>
      <c r="E6361" s="324">
        <f t="shared" si="99"/>
        <v>70475.540000000008</v>
      </c>
    </row>
    <row r="6362" spans="1:5" x14ac:dyDescent="0.25">
      <c r="A6362" s="323" t="s">
        <v>4848</v>
      </c>
      <c r="B6362" s="323" t="s">
        <v>805</v>
      </c>
      <c r="C6362" s="323">
        <v>71008</v>
      </c>
      <c r="D6362" s="323">
        <v>95</v>
      </c>
      <c r="E6362" s="324">
        <f t="shared" si="99"/>
        <v>23166.7</v>
      </c>
    </row>
    <row r="6363" spans="1:5" x14ac:dyDescent="0.25">
      <c r="A6363" s="323" t="s">
        <v>5705</v>
      </c>
      <c r="B6363" s="323" t="s">
        <v>805</v>
      </c>
      <c r="C6363" s="323">
        <v>71008</v>
      </c>
      <c r="D6363" s="323">
        <v>214</v>
      </c>
      <c r="E6363" s="324">
        <f t="shared" si="99"/>
        <v>52186.04</v>
      </c>
    </row>
    <row r="6364" spans="1:5" x14ac:dyDescent="0.25">
      <c r="A6364" s="323" t="s">
        <v>6838</v>
      </c>
      <c r="B6364" s="323" t="s">
        <v>805</v>
      </c>
      <c r="C6364" s="323">
        <v>71008</v>
      </c>
      <c r="D6364" s="323">
        <v>165</v>
      </c>
      <c r="E6364" s="324">
        <f t="shared" si="99"/>
        <v>40236.9</v>
      </c>
    </row>
    <row r="6365" spans="1:5" x14ac:dyDescent="0.25">
      <c r="A6365" s="323" t="s">
        <v>7005</v>
      </c>
      <c r="B6365" s="323" t="s">
        <v>805</v>
      </c>
      <c r="C6365" s="323">
        <v>71008</v>
      </c>
      <c r="D6365" s="323">
        <v>80</v>
      </c>
      <c r="E6365" s="324">
        <f t="shared" si="99"/>
        <v>19508.800000000003</v>
      </c>
    </row>
    <row r="6366" spans="1:5" x14ac:dyDescent="0.25">
      <c r="A6366" s="323" t="s">
        <v>2430</v>
      </c>
      <c r="B6366" s="323" t="s">
        <v>805</v>
      </c>
      <c r="C6366" s="323">
        <v>71242</v>
      </c>
      <c r="D6366" s="323">
        <v>216</v>
      </c>
      <c r="E6366" s="324">
        <f t="shared" si="99"/>
        <v>52673.760000000002</v>
      </c>
    </row>
    <row r="6367" spans="1:5" x14ac:dyDescent="0.25">
      <c r="A6367" s="323" t="s">
        <v>5988</v>
      </c>
      <c r="B6367" s="323" t="s">
        <v>809</v>
      </c>
      <c r="C6367" s="323">
        <v>71371</v>
      </c>
      <c r="D6367" s="323">
        <v>101</v>
      </c>
      <c r="E6367" s="324">
        <f t="shared" si="99"/>
        <v>49259.72</v>
      </c>
    </row>
    <row r="6368" spans="1:5" x14ac:dyDescent="0.25">
      <c r="A6368" s="323" t="s">
        <v>5988</v>
      </c>
      <c r="B6368" s="323" t="s">
        <v>803</v>
      </c>
      <c r="C6368" s="323">
        <v>71371</v>
      </c>
      <c r="D6368" s="323">
        <v>113</v>
      </c>
      <c r="E6368" s="324">
        <f t="shared" si="99"/>
        <v>55112.36</v>
      </c>
    </row>
    <row r="6369" spans="1:5" x14ac:dyDescent="0.25">
      <c r="A6369" s="323" t="s">
        <v>2432</v>
      </c>
      <c r="B6369" s="323" t="s">
        <v>805</v>
      </c>
      <c r="C6369" s="323">
        <v>71463</v>
      </c>
      <c r="D6369" s="323">
        <v>86</v>
      </c>
      <c r="E6369" s="324">
        <f t="shared" si="99"/>
        <v>20971.960000000003</v>
      </c>
    </row>
    <row r="6370" spans="1:5" x14ac:dyDescent="0.25">
      <c r="A6370" s="323" t="s">
        <v>890</v>
      </c>
      <c r="B6370" s="323" t="s">
        <v>816</v>
      </c>
      <c r="C6370" s="323">
        <v>71488</v>
      </c>
      <c r="D6370" s="323">
        <v>134</v>
      </c>
      <c r="E6370" s="324">
        <f t="shared" si="99"/>
        <v>49015.86</v>
      </c>
    </row>
    <row r="6371" spans="1:5" x14ac:dyDescent="0.25">
      <c r="A6371" s="323" t="s">
        <v>1266</v>
      </c>
      <c r="B6371" s="323" t="s">
        <v>805</v>
      </c>
      <c r="C6371" s="323">
        <v>71488</v>
      </c>
      <c r="D6371" s="323">
        <v>273</v>
      </c>
      <c r="E6371" s="324">
        <f t="shared" si="99"/>
        <v>66573.78</v>
      </c>
    </row>
    <row r="6372" spans="1:5" x14ac:dyDescent="0.25">
      <c r="A6372" s="323" t="s">
        <v>1673</v>
      </c>
      <c r="B6372" s="323" t="s">
        <v>805</v>
      </c>
      <c r="C6372" s="323">
        <v>71488</v>
      </c>
      <c r="D6372" s="323">
        <v>502</v>
      </c>
      <c r="E6372" s="324">
        <f t="shared" si="99"/>
        <v>122417.72</v>
      </c>
    </row>
    <row r="6373" spans="1:5" x14ac:dyDescent="0.25">
      <c r="A6373" s="323" t="s">
        <v>2257</v>
      </c>
      <c r="B6373" s="323" t="s">
        <v>805</v>
      </c>
      <c r="C6373" s="323">
        <v>71488</v>
      </c>
      <c r="D6373" s="323">
        <v>193</v>
      </c>
      <c r="E6373" s="324">
        <f t="shared" si="99"/>
        <v>47064.98</v>
      </c>
    </row>
    <row r="6374" spans="1:5" x14ac:dyDescent="0.25">
      <c r="A6374" s="323" t="s">
        <v>2282</v>
      </c>
      <c r="B6374" s="323" t="s">
        <v>805</v>
      </c>
      <c r="C6374" s="323">
        <v>71488</v>
      </c>
      <c r="D6374" s="323">
        <v>189</v>
      </c>
      <c r="E6374" s="324">
        <f t="shared" si="99"/>
        <v>46089.54</v>
      </c>
    </row>
    <row r="6375" spans="1:5" x14ac:dyDescent="0.25">
      <c r="A6375" s="323" t="s">
        <v>2524</v>
      </c>
      <c r="B6375" s="323" t="s">
        <v>805</v>
      </c>
      <c r="C6375" s="323">
        <v>71488</v>
      </c>
      <c r="D6375" s="323">
        <v>428</v>
      </c>
      <c r="E6375" s="324">
        <f t="shared" si="99"/>
        <v>104372.08</v>
      </c>
    </row>
    <row r="6376" spans="1:5" x14ac:dyDescent="0.25">
      <c r="A6376" s="323" t="s">
        <v>5221</v>
      </c>
      <c r="B6376" s="323" t="s">
        <v>805</v>
      </c>
      <c r="C6376" s="323">
        <v>71488</v>
      </c>
      <c r="D6376" s="323">
        <v>351</v>
      </c>
      <c r="E6376" s="324">
        <f t="shared" si="99"/>
        <v>85594.86</v>
      </c>
    </row>
    <row r="6377" spans="1:5" x14ac:dyDescent="0.25">
      <c r="A6377" s="323" t="s">
        <v>5276</v>
      </c>
      <c r="B6377" s="323" t="s">
        <v>805</v>
      </c>
      <c r="C6377" s="323">
        <v>71488</v>
      </c>
      <c r="D6377" s="323">
        <v>240</v>
      </c>
      <c r="E6377" s="324">
        <f t="shared" si="99"/>
        <v>58526.400000000001</v>
      </c>
    </row>
    <row r="6378" spans="1:5" x14ac:dyDescent="0.25">
      <c r="A6378" s="323" t="s">
        <v>5343</v>
      </c>
      <c r="B6378" s="323" t="s">
        <v>805</v>
      </c>
      <c r="C6378" s="323">
        <v>71488</v>
      </c>
      <c r="D6378" s="323">
        <v>352</v>
      </c>
      <c r="E6378" s="324">
        <f t="shared" si="99"/>
        <v>85838.720000000001</v>
      </c>
    </row>
    <row r="6379" spans="1:5" x14ac:dyDescent="0.25">
      <c r="A6379" s="323" t="s">
        <v>5371</v>
      </c>
      <c r="B6379" s="323" t="s">
        <v>805</v>
      </c>
      <c r="C6379" s="323">
        <v>71488</v>
      </c>
      <c r="D6379" s="323">
        <v>245</v>
      </c>
      <c r="E6379" s="324">
        <f t="shared" si="99"/>
        <v>59745.700000000004</v>
      </c>
    </row>
    <row r="6380" spans="1:5" x14ac:dyDescent="0.25">
      <c r="A6380" s="323" t="s">
        <v>5418</v>
      </c>
      <c r="B6380" s="323" t="s">
        <v>805</v>
      </c>
      <c r="C6380" s="323">
        <v>71488</v>
      </c>
      <c r="D6380" s="323">
        <v>296</v>
      </c>
      <c r="E6380" s="324">
        <f t="shared" si="99"/>
        <v>72182.559999999998</v>
      </c>
    </row>
    <row r="6381" spans="1:5" x14ac:dyDescent="0.25">
      <c r="A6381" s="323" t="s">
        <v>5477</v>
      </c>
      <c r="B6381" s="323" t="s">
        <v>805</v>
      </c>
      <c r="C6381" s="323">
        <v>71488</v>
      </c>
      <c r="D6381" s="323">
        <v>205</v>
      </c>
      <c r="E6381" s="324">
        <f t="shared" si="99"/>
        <v>49991.3</v>
      </c>
    </row>
    <row r="6382" spans="1:5" x14ac:dyDescent="0.25">
      <c r="A6382" s="323" t="s">
        <v>6804</v>
      </c>
      <c r="B6382" s="323" t="s">
        <v>805</v>
      </c>
      <c r="C6382" s="323">
        <v>71488</v>
      </c>
      <c r="D6382" s="323">
        <v>136</v>
      </c>
      <c r="E6382" s="324">
        <f t="shared" si="99"/>
        <v>33164.959999999999</v>
      </c>
    </row>
    <row r="6383" spans="1:5" x14ac:dyDescent="0.25">
      <c r="A6383" s="323" t="s">
        <v>6950</v>
      </c>
      <c r="B6383" s="323" t="s">
        <v>805</v>
      </c>
      <c r="C6383" s="323">
        <v>71488</v>
      </c>
      <c r="D6383" s="323">
        <v>215</v>
      </c>
      <c r="E6383" s="324">
        <f t="shared" si="99"/>
        <v>52429.9</v>
      </c>
    </row>
    <row r="6384" spans="1:5" x14ac:dyDescent="0.25">
      <c r="A6384" s="323" t="s">
        <v>7245</v>
      </c>
      <c r="B6384" s="323" t="s">
        <v>805</v>
      </c>
      <c r="C6384" s="323">
        <v>71488</v>
      </c>
      <c r="D6384" s="323">
        <v>543</v>
      </c>
      <c r="E6384" s="324">
        <f t="shared" si="99"/>
        <v>132415.98000000001</v>
      </c>
    </row>
    <row r="6385" spans="1:5" x14ac:dyDescent="0.25">
      <c r="A6385" s="323" t="s">
        <v>7261</v>
      </c>
      <c r="B6385" s="323" t="s">
        <v>805</v>
      </c>
      <c r="C6385" s="323">
        <v>71488</v>
      </c>
      <c r="D6385" s="323">
        <v>755</v>
      </c>
      <c r="E6385" s="324">
        <f t="shared" si="99"/>
        <v>184114.30000000002</v>
      </c>
    </row>
    <row r="6386" spans="1:5" x14ac:dyDescent="0.25">
      <c r="A6386" s="323" t="s">
        <v>7380</v>
      </c>
      <c r="B6386" s="323" t="s">
        <v>805</v>
      </c>
      <c r="C6386" s="323">
        <v>71488</v>
      </c>
      <c r="D6386" s="323">
        <v>212</v>
      </c>
      <c r="E6386" s="324">
        <f t="shared" si="99"/>
        <v>51698.32</v>
      </c>
    </row>
    <row r="6387" spans="1:5" x14ac:dyDescent="0.25">
      <c r="A6387" s="323" t="s">
        <v>2434</v>
      </c>
      <c r="B6387" s="323" t="s">
        <v>805</v>
      </c>
      <c r="C6387" s="323">
        <v>71502</v>
      </c>
      <c r="D6387" s="323">
        <v>230</v>
      </c>
      <c r="E6387" s="324">
        <f t="shared" si="99"/>
        <v>56087.8</v>
      </c>
    </row>
    <row r="6388" spans="1:5" x14ac:dyDescent="0.25">
      <c r="A6388" s="323" t="s">
        <v>2435</v>
      </c>
      <c r="B6388" s="323" t="s">
        <v>805</v>
      </c>
      <c r="C6388" s="323">
        <v>71515</v>
      </c>
      <c r="D6388" s="323">
        <v>126</v>
      </c>
      <c r="E6388" s="324">
        <f t="shared" si="99"/>
        <v>30726.36</v>
      </c>
    </row>
    <row r="6389" spans="1:5" x14ac:dyDescent="0.25">
      <c r="A6389" s="323" t="s">
        <v>1354</v>
      </c>
      <c r="B6389" s="323" t="s">
        <v>805</v>
      </c>
      <c r="C6389" s="323">
        <v>71749</v>
      </c>
      <c r="D6389" s="323">
        <v>287</v>
      </c>
      <c r="E6389" s="324">
        <f t="shared" si="99"/>
        <v>69987.820000000007</v>
      </c>
    </row>
    <row r="6390" spans="1:5" x14ac:dyDescent="0.25">
      <c r="A6390" s="323" t="s">
        <v>1816</v>
      </c>
      <c r="B6390" s="323" t="s">
        <v>805</v>
      </c>
      <c r="C6390" s="323">
        <v>71749</v>
      </c>
      <c r="D6390" s="323">
        <v>60</v>
      </c>
      <c r="E6390" s="324">
        <f t="shared" si="99"/>
        <v>14631.6</v>
      </c>
    </row>
    <row r="6391" spans="1:5" x14ac:dyDescent="0.25">
      <c r="A6391" s="323" t="s">
        <v>1824</v>
      </c>
      <c r="B6391" s="323" t="s">
        <v>805</v>
      </c>
      <c r="C6391" s="323">
        <v>71749</v>
      </c>
      <c r="D6391" s="323">
        <v>51</v>
      </c>
      <c r="E6391" s="324">
        <f t="shared" si="99"/>
        <v>12436.86</v>
      </c>
    </row>
    <row r="6392" spans="1:5" x14ac:dyDescent="0.25">
      <c r="A6392" s="323" t="s">
        <v>1825</v>
      </c>
      <c r="B6392" s="323" t="s">
        <v>805</v>
      </c>
      <c r="C6392" s="323">
        <v>71749</v>
      </c>
      <c r="D6392" s="323">
        <v>89</v>
      </c>
      <c r="E6392" s="324">
        <f t="shared" si="99"/>
        <v>21703.54</v>
      </c>
    </row>
    <row r="6393" spans="1:5" x14ac:dyDescent="0.25">
      <c r="A6393" s="323" t="s">
        <v>2329</v>
      </c>
      <c r="B6393" s="323" t="s">
        <v>805</v>
      </c>
      <c r="C6393" s="323">
        <v>71749</v>
      </c>
      <c r="D6393" s="323">
        <v>114</v>
      </c>
      <c r="E6393" s="324">
        <f t="shared" si="99"/>
        <v>27800.04</v>
      </c>
    </row>
    <row r="6394" spans="1:5" x14ac:dyDescent="0.25">
      <c r="A6394" s="323" t="s">
        <v>2441</v>
      </c>
      <c r="B6394" s="323" t="s">
        <v>805</v>
      </c>
      <c r="C6394" s="323">
        <v>71749</v>
      </c>
      <c r="D6394" s="323">
        <v>142</v>
      </c>
      <c r="E6394" s="324">
        <f t="shared" si="99"/>
        <v>34628.120000000003</v>
      </c>
    </row>
    <row r="6395" spans="1:5" x14ac:dyDescent="0.25">
      <c r="A6395" s="323" t="s">
        <v>2583</v>
      </c>
      <c r="B6395" s="323" t="s">
        <v>805</v>
      </c>
      <c r="C6395" s="323">
        <v>71749</v>
      </c>
      <c r="D6395" s="323">
        <v>57</v>
      </c>
      <c r="E6395" s="324">
        <f t="shared" si="99"/>
        <v>13900.02</v>
      </c>
    </row>
    <row r="6396" spans="1:5" x14ac:dyDescent="0.25">
      <c r="A6396" s="323" t="s">
        <v>3187</v>
      </c>
      <c r="B6396" s="323" t="s">
        <v>805</v>
      </c>
      <c r="C6396" s="323">
        <v>71749</v>
      </c>
      <c r="D6396" s="323">
        <v>111</v>
      </c>
      <c r="E6396" s="324">
        <f t="shared" si="99"/>
        <v>27068.460000000003</v>
      </c>
    </row>
    <row r="6397" spans="1:5" x14ac:dyDescent="0.25">
      <c r="A6397" s="323" t="s">
        <v>3285</v>
      </c>
      <c r="B6397" s="323" t="s">
        <v>805</v>
      </c>
      <c r="C6397" s="323">
        <v>71749</v>
      </c>
      <c r="D6397" s="323">
        <v>200</v>
      </c>
      <c r="E6397" s="324">
        <f t="shared" si="99"/>
        <v>48772</v>
      </c>
    </row>
    <row r="6398" spans="1:5" x14ac:dyDescent="0.25">
      <c r="A6398" s="323" t="s">
        <v>5167</v>
      </c>
      <c r="B6398" s="323" t="s">
        <v>805</v>
      </c>
      <c r="C6398" s="323">
        <v>71749</v>
      </c>
      <c r="D6398" s="323">
        <v>333</v>
      </c>
      <c r="E6398" s="324">
        <f t="shared" si="99"/>
        <v>81205.38</v>
      </c>
    </row>
    <row r="6399" spans="1:5" x14ac:dyDescent="0.25">
      <c r="A6399" s="323" t="s">
        <v>969</v>
      </c>
      <c r="B6399" s="323" t="s">
        <v>816</v>
      </c>
      <c r="C6399" s="323">
        <v>71956</v>
      </c>
      <c r="D6399" s="323">
        <v>247</v>
      </c>
      <c r="E6399" s="324">
        <f t="shared" si="99"/>
        <v>90350.13</v>
      </c>
    </row>
    <row r="6400" spans="1:5" x14ac:dyDescent="0.25">
      <c r="A6400" s="323" t="s">
        <v>1287</v>
      </c>
      <c r="B6400" s="323" t="s">
        <v>805</v>
      </c>
      <c r="C6400" s="323">
        <v>71956</v>
      </c>
      <c r="D6400" s="323">
        <v>143</v>
      </c>
      <c r="E6400" s="324">
        <f t="shared" si="99"/>
        <v>34871.980000000003</v>
      </c>
    </row>
    <row r="6401" spans="1:5" x14ac:dyDescent="0.25">
      <c r="A6401" s="323" t="s">
        <v>1624</v>
      </c>
      <c r="B6401" s="323" t="s">
        <v>805</v>
      </c>
      <c r="C6401" s="323">
        <v>71956</v>
      </c>
      <c r="D6401" s="323">
        <v>192</v>
      </c>
      <c r="E6401" s="324">
        <f t="shared" si="99"/>
        <v>46821.120000000003</v>
      </c>
    </row>
    <row r="6402" spans="1:5" x14ac:dyDescent="0.25">
      <c r="A6402" s="323" t="s">
        <v>1689</v>
      </c>
      <c r="B6402" s="323" t="s">
        <v>805</v>
      </c>
      <c r="C6402" s="323">
        <v>71956</v>
      </c>
      <c r="D6402" s="323">
        <v>361</v>
      </c>
      <c r="E6402" s="324">
        <f t="shared" ref="E6402:E6465" si="100">D6402*IF(B6402=$G$9,WerkdrukbedragPerLeerlingBo,IF(B6402=$G$10,WerkdrukbedragPerLeerlingSbo,IF(B6402=$G$11,WerkdrukbedragPerLeerlingSo,IF(B6402=$G$12,WerkdrukbedragPerLeerlingVso,0))))</f>
        <v>88033.46</v>
      </c>
    </row>
    <row r="6403" spans="1:5" x14ac:dyDescent="0.25">
      <c r="A6403" s="323" t="s">
        <v>2507</v>
      </c>
      <c r="B6403" s="323" t="s">
        <v>805</v>
      </c>
      <c r="C6403" s="323">
        <v>71956</v>
      </c>
      <c r="D6403" s="323">
        <v>203</v>
      </c>
      <c r="E6403" s="324">
        <f t="shared" si="100"/>
        <v>49503.58</v>
      </c>
    </row>
    <row r="6404" spans="1:5" x14ac:dyDescent="0.25">
      <c r="A6404" s="323" t="s">
        <v>2833</v>
      </c>
      <c r="B6404" s="323" t="s">
        <v>805</v>
      </c>
      <c r="C6404" s="323">
        <v>71956</v>
      </c>
      <c r="D6404" s="323">
        <v>245</v>
      </c>
      <c r="E6404" s="324">
        <f t="shared" si="100"/>
        <v>59745.700000000004</v>
      </c>
    </row>
    <row r="6405" spans="1:5" x14ac:dyDescent="0.25">
      <c r="A6405" s="323" t="s">
        <v>3116</v>
      </c>
      <c r="B6405" s="323" t="s">
        <v>805</v>
      </c>
      <c r="C6405" s="323">
        <v>71956</v>
      </c>
      <c r="D6405" s="323">
        <v>132</v>
      </c>
      <c r="E6405" s="324">
        <f t="shared" si="100"/>
        <v>32189.52</v>
      </c>
    </row>
    <row r="6406" spans="1:5" x14ac:dyDescent="0.25">
      <c r="A6406" s="323" t="s">
        <v>3291</v>
      </c>
      <c r="B6406" s="323" t="s">
        <v>805</v>
      </c>
      <c r="C6406" s="323">
        <v>71956</v>
      </c>
      <c r="D6406" s="323">
        <v>350</v>
      </c>
      <c r="E6406" s="324">
        <f t="shared" si="100"/>
        <v>85351</v>
      </c>
    </row>
    <row r="6407" spans="1:5" x14ac:dyDescent="0.25">
      <c r="A6407" s="323" t="s">
        <v>5175</v>
      </c>
      <c r="B6407" s="323" t="s">
        <v>805</v>
      </c>
      <c r="C6407" s="323">
        <v>71956</v>
      </c>
      <c r="D6407" s="323">
        <v>144</v>
      </c>
      <c r="E6407" s="324">
        <f t="shared" si="100"/>
        <v>35115.840000000004</v>
      </c>
    </row>
    <row r="6408" spans="1:5" x14ac:dyDescent="0.25">
      <c r="A6408" s="323" t="s">
        <v>1390</v>
      </c>
      <c r="B6408" s="323" t="s">
        <v>805</v>
      </c>
      <c r="C6408" s="323">
        <v>72087</v>
      </c>
      <c r="D6408" s="323">
        <v>580</v>
      </c>
      <c r="E6408" s="324">
        <f t="shared" si="100"/>
        <v>141438.80000000002</v>
      </c>
    </row>
    <row r="6409" spans="1:5" x14ac:dyDescent="0.25">
      <c r="A6409" s="323" t="s">
        <v>2445</v>
      </c>
      <c r="B6409" s="323" t="s">
        <v>805</v>
      </c>
      <c r="C6409" s="323">
        <v>72100</v>
      </c>
      <c r="D6409" s="323">
        <v>445</v>
      </c>
      <c r="E6409" s="324">
        <f t="shared" si="100"/>
        <v>108517.70000000001</v>
      </c>
    </row>
    <row r="6410" spans="1:5" x14ac:dyDescent="0.25">
      <c r="A6410" s="323" t="s">
        <v>5222</v>
      </c>
      <c r="B6410" s="323" t="s">
        <v>805</v>
      </c>
      <c r="C6410" s="323">
        <v>72242</v>
      </c>
      <c r="D6410" s="323">
        <v>222</v>
      </c>
      <c r="E6410" s="324">
        <f t="shared" si="100"/>
        <v>54136.920000000006</v>
      </c>
    </row>
    <row r="6411" spans="1:5" x14ac:dyDescent="0.25">
      <c r="A6411" s="323" t="s">
        <v>2450</v>
      </c>
      <c r="B6411" s="323" t="s">
        <v>805</v>
      </c>
      <c r="C6411" s="323">
        <v>72386</v>
      </c>
      <c r="D6411" s="323">
        <v>138</v>
      </c>
      <c r="E6411" s="324">
        <f t="shared" si="100"/>
        <v>33652.68</v>
      </c>
    </row>
    <row r="6412" spans="1:5" x14ac:dyDescent="0.25">
      <c r="A6412" s="323" t="s">
        <v>914</v>
      </c>
      <c r="B6412" s="323" t="s">
        <v>816</v>
      </c>
      <c r="C6412" s="323">
        <v>72464</v>
      </c>
      <c r="D6412" s="323">
        <v>107</v>
      </c>
      <c r="E6412" s="324">
        <f t="shared" si="100"/>
        <v>39139.53</v>
      </c>
    </row>
    <row r="6413" spans="1:5" x14ac:dyDescent="0.25">
      <c r="A6413" s="323" t="s">
        <v>1005</v>
      </c>
      <c r="B6413" s="323" t="s">
        <v>809</v>
      </c>
      <c r="C6413" s="323">
        <v>72464</v>
      </c>
      <c r="D6413" s="323">
        <v>80</v>
      </c>
      <c r="E6413" s="324">
        <f t="shared" si="100"/>
        <v>39017.600000000006</v>
      </c>
    </row>
    <row r="6414" spans="1:5" x14ac:dyDescent="0.25">
      <c r="A6414" s="323" t="s">
        <v>1005</v>
      </c>
      <c r="B6414" s="323" t="s">
        <v>803</v>
      </c>
      <c r="C6414" s="323">
        <v>72464</v>
      </c>
      <c r="D6414" s="323">
        <v>148</v>
      </c>
      <c r="E6414" s="324">
        <f t="shared" si="100"/>
        <v>72182.559999999998</v>
      </c>
    </row>
    <row r="6415" spans="1:5" x14ac:dyDescent="0.25">
      <c r="A6415" s="323" t="s">
        <v>992</v>
      </c>
      <c r="B6415" s="323" t="s">
        <v>816</v>
      </c>
      <c r="C6415" s="323">
        <v>72853</v>
      </c>
      <c r="D6415" s="323">
        <v>93</v>
      </c>
      <c r="E6415" s="324">
        <f t="shared" si="100"/>
        <v>34018.47</v>
      </c>
    </row>
    <row r="6416" spans="1:5" x14ac:dyDescent="0.25">
      <c r="A6416" s="323" t="s">
        <v>4175</v>
      </c>
      <c r="B6416" s="323" t="s">
        <v>805</v>
      </c>
      <c r="C6416" s="323">
        <v>72853</v>
      </c>
      <c r="D6416" s="323">
        <v>192</v>
      </c>
      <c r="E6416" s="324">
        <f t="shared" si="100"/>
        <v>46821.120000000003</v>
      </c>
    </row>
    <row r="6417" spans="1:5" x14ac:dyDescent="0.25">
      <c r="A6417" s="323" t="s">
        <v>4414</v>
      </c>
      <c r="B6417" s="323" t="s">
        <v>805</v>
      </c>
      <c r="C6417" s="323">
        <v>72853</v>
      </c>
      <c r="D6417" s="323">
        <v>193</v>
      </c>
      <c r="E6417" s="324">
        <f t="shared" si="100"/>
        <v>47064.98</v>
      </c>
    </row>
    <row r="6418" spans="1:5" x14ac:dyDescent="0.25">
      <c r="A6418" s="323" t="s">
        <v>4521</v>
      </c>
      <c r="B6418" s="323" t="s">
        <v>805</v>
      </c>
      <c r="C6418" s="323">
        <v>72853</v>
      </c>
      <c r="D6418" s="323">
        <v>393</v>
      </c>
      <c r="E6418" s="324">
        <f t="shared" si="100"/>
        <v>95836.98000000001</v>
      </c>
    </row>
    <row r="6419" spans="1:5" x14ac:dyDescent="0.25">
      <c r="A6419" s="323" t="s">
        <v>4695</v>
      </c>
      <c r="B6419" s="323" t="s">
        <v>805</v>
      </c>
      <c r="C6419" s="323">
        <v>72853</v>
      </c>
      <c r="D6419" s="323">
        <v>212</v>
      </c>
      <c r="E6419" s="324">
        <f t="shared" si="100"/>
        <v>51698.32</v>
      </c>
    </row>
    <row r="6420" spans="1:5" x14ac:dyDescent="0.25">
      <c r="A6420" s="323" t="s">
        <v>4758</v>
      </c>
      <c r="B6420" s="323" t="s">
        <v>805</v>
      </c>
      <c r="C6420" s="323">
        <v>72853</v>
      </c>
      <c r="D6420" s="323">
        <v>190</v>
      </c>
      <c r="E6420" s="324">
        <f t="shared" si="100"/>
        <v>46333.4</v>
      </c>
    </row>
    <row r="6421" spans="1:5" x14ac:dyDescent="0.25">
      <c r="A6421" s="323" t="s">
        <v>4822</v>
      </c>
      <c r="B6421" s="323" t="s">
        <v>805</v>
      </c>
      <c r="C6421" s="323">
        <v>72853</v>
      </c>
      <c r="D6421" s="323">
        <v>213</v>
      </c>
      <c r="E6421" s="324">
        <f t="shared" si="100"/>
        <v>51942.18</v>
      </c>
    </row>
    <row r="6422" spans="1:5" x14ac:dyDescent="0.25">
      <c r="A6422" s="323" t="s">
        <v>4907</v>
      </c>
      <c r="B6422" s="323" t="s">
        <v>805</v>
      </c>
      <c r="C6422" s="323">
        <v>72853</v>
      </c>
      <c r="D6422" s="323">
        <v>214</v>
      </c>
      <c r="E6422" s="324">
        <f t="shared" si="100"/>
        <v>52186.04</v>
      </c>
    </row>
    <row r="6423" spans="1:5" x14ac:dyDescent="0.25">
      <c r="A6423" s="323" t="s">
        <v>7277</v>
      </c>
      <c r="B6423" s="323" t="s">
        <v>805</v>
      </c>
      <c r="C6423" s="323">
        <v>72853</v>
      </c>
      <c r="D6423" s="323">
        <v>226</v>
      </c>
      <c r="E6423" s="324">
        <f t="shared" si="100"/>
        <v>55112.36</v>
      </c>
    </row>
    <row r="6424" spans="1:5" x14ac:dyDescent="0.25">
      <c r="A6424" s="323" t="s">
        <v>5133</v>
      </c>
      <c r="B6424" s="323" t="s">
        <v>809</v>
      </c>
      <c r="C6424" s="323">
        <v>72905</v>
      </c>
      <c r="D6424" s="323">
        <v>99</v>
      </c>
      <c r="E6424" s="324">
        <f t="shared" si="100"/>
        <v>48284.280000000006</v>
      </c>
    </row>
    <row r="6425" spans="1:5" x14ac:dyDescent="0.25">
      <c r="A6425" s="323" t="s">
        <v>5133</v>
      </c>
      <c r="B6425" s="323" t="s">
        <v>803</v>
      </c>
      <c r="C6425" s="323">
        <v>72905</v>
      </c>
      <c r="D6425" s="323">
        <v>105</v>
      </c>
      <c r="E6425" s="324">
        <f t="shared" si="100"/>
        <v>51210.600000000006</v>
      </c>
    </row>
    <row r="6426" spans="1:5" x14ac:dyDescent="0.25">
      <c r="A6426" s="323" t="s">
        <v>5666</v>
      </c>
      <c r="B6426" s="323" t="s">
        <v>809</v>
      </c>
      <c r="C6426" s="323">
        <v>72905</v>
      </c>
      <c r="D6426" s="323">
        <v>100</v>
      </c>
      <c r="E6426" s="324">
        <f t="shared" si="100"/>
        <v>48772</v>
      </c>
    </row>
    <row r="6427" spans="1:5" x14ac:dyDescent="0.25">
      <c r="A6427" s="323" t="s">
        <v>5666</v>
      </c>
      <c r="B6427" s="323" t="s">
        <v>803</v>
      </c>
      <c r="C6427" s="323">
        <v>72905</v>
      </c>
      <c r="D6427" s="323">
        <v>64</v>
      </c>
      <c r="E6427" s="324">
        <f t="shared" si="100"/>
        <v>31214.080000000002</v>
      </c>
    </row>
    <row r="6428" spans="1:5" x14ac:dyDescent="0.25">
      <c r="A6428" s="323" t="s">
        <v>6408</v>
      </c>
      <c r="B6428" s="323" t="s">
        <v>809</v>
      </c>
      <c r="C6428" s="323">
        <v>72905</v>
      </c>
      <c r="D6428" s="323">
        <v>111</v>
      </c>
      <c r="E6428" s="324">
        <f t="shared" si="100"/>
        <v>54136.920000000006</v>
      </c>
    </row>
    <row r="6429" spans="1:5" x14ac:dyDescent="0.25">
      <c r="A6429" s="323" t="s">
        <v>6408</v>
      </c>
      <c r="B6429" s="323" t="s">
        <v>803</v>
      </c>
      <c r="C6429" s="323">
        <v>72905</v>
      </c>
      <c r="D6429" s="323">
        <v>134</v>
      </c>
      <c r="E6429" s="324">
        <f t="shared" si="100"/>
        <v>65354.48</v>
      </c>
    </row>
    <row r="6430" spans="1:5" x14ac:dyDescent="0.25">
      <c r="A6430" s="323" t="s">
        <v>6408</v>
      </c>
      <c r="B6430" s="323" t="s">
        <v>803</v>
      </c>
      <c r="C6430" s="323">
        <v>72905</v>
      </c>
      <c r="D6430" s="323">
        <v>13</v>
      </c>
      <c r="E6430" s="324">
        <f t="shared" si="100"/>
        <v>6340.3600000000006</v>
      </c>
    </row>
    <row r="6431" spans="1:5" x14ac:dyDescent="0.25">
      <c r="A6431" s="323" t="s">
        <v>916</v>
      </c>
      <c r="B6431" s="323" t="s">
        <v>809</v>
      </c>
      <c r="C6431" s="323">
        <v>73114</v>
      </c>
      <c r="D6431" s="323">
        <v>123</v>
      </c>
      <c r="E6431" s="324">
        <f t="shared" si="100"/>
        <v>59989.560000000005</v>
      </c>
    </row>
    <row r="6432" spans="1:5" x14ac:dyDescent="0.25">
      <c r="A6432" s="323" t="s">
        <v>916</v>
      </c>
      <c r="B6432" s="323" t="s">
        <v>803</v>
      </c>
      <c r="C6432" s="323">
        <v>73114</v>
      </c>
      <c r="D6432" s="323">
        <v>174</v>
      </c>
      <c r="E6432" s="324">
        <f t="shared" si="100"/>
        <v>84863.28</v>
      </c>
    </row>
    <row r="6433" spans="1:5" x14ac:dyDescent="0.25">
      <c r="A6433" s="323" t="s">
        <v>944</v>
      </c>
      <c r="B6433" s="323" t="s">
        <v>803</v>
      </c>
      <c r="C6433" s="323">
        <v>73114</v>
      </c>
      <c r="D6433" s="323">
        <v>182</v>
      </c>
      <c r="E6433" s="324">
        <f t="shared" si="100"/>
        <v>88765.040000000008</v>
      </c>
    </row>
    <row r="6434" spans="1:5" x14ac:dyDescent="0.25">
      <c r="A6434" s="323" t="s">
        <v>1392</v>
      </c>
      <c r="B6434" s="323" t="s">
        <v>816</v>
      </c>
      <c r="C6434" s="323">
        <v>73114</v>
      </c>
      <c r="D6434" s="323">
        <v>192</v>
      </c>
      <c r="E6434" s="324">
        <f t="shared" si="100"/>
        <v>70231.680000000008</v>
      </c>
    </row>
    <row r="6435" spans="1:5" x14ac:dyDescent="0.25">
      <c r="A6435" s="323" t="s">
        <v>3510</v>
      </c>
      <c r="B6435" s="323" t="s">
        <v>816</v>
      </c>
      <c r="C6435" s="323">
        <v>73114</v>
      </c>
      <c r="D6435" s="323">
        <v>353</v>
      </c>
      <c r="E6435" s="324">
        <f t="shared" si="100"/>
        <v>129123.87000000001</v>
      </c>
    </row>
    <row r="6436" spans="1:5" x14ac:dyDescent="0.25">
      <c r="A6436" s="323" t="s">
        <v>4264</v>
      </c>
      <c r="B6436" s="323" t="s">
        <v>816</v>
      </c>
      <c r="C6436" s="323">
        <v>73114</v>
      </c>
      <c r="D6436" s="323">
        <v>153</v>
      </c>
      <c r="E6436" s="324">
        <f t="shared" si="100"/>
        <v>55965.87</v>
      </c>
    </row>
    <row r="6437" spans="1:5" x14ac:dyDescent="0.25">
      <c r="A6437" s="323" t="s">
        <v>6943</v>
      </c>
      <c r="B6437" s="323" t="s">
        <v>809</v>
      </c>
      <c r="C6437" s="323">
        <v>73114</v>
      </c>
      <c r="D6437" s="323">
        <v>187</v>
      </c>
      <c r="E6437" s="324">
        <f t="shared" si="100"/>
        <v>91203.64</v>
      </c>
    </row>
    <row r="6438" spans="1:5" x14ac:dyDescent="0.25">
      <c r="A6438" s="323" t="s">
        <v>6943</v>
      </c>
      <c r="B6438" s="323" t="s">
        <v>803</v>
      </c>
      <c r="C6438" s="323">
        <v>73114</v>
      </c>
      <c r="D6438" s="323">
        <v>306</v>
      </c>
      <c r="E6438" s="324">
        <f t="shared" si="100"/>
        <v>149242.32</v>
      </c>
    </row>
    <row r="6439" spans="1:5" x14ac:dyDescent="0.25">
      <c r="A6439" s="323" t="s">
        <v>2490</v>
      </c>
      <c r="B6439" s="323" t="s">
        <v>805</v>
      </c>
      <c r="C6439" s="323">
        <v>73191</v>
      </c>
      <c r="D6439" s="323">
        <v>63</v>
      </c>
      <c r="E6439" s="324">
        <f t="shared" si="100"/>
        <v>15363.18</v>
      </c>
    </row>
    <row r="6440" spans="1:5" x14ac:dyDescent="0.25">
      <c r="A6440" s="323" t="s">
        <v>3580</v>
      </c>
      <c r="B6440" s="323" t="s">
        <v>805</v>
      </c>
      <c r="C6440" s="323">
        <v>73191</v>
      </c>
      <c r="D6440" s="323">
        <v>417</v>
      </c>
      <c r="E6440" s="324">
        <f t="shared" si="100"/>
        <v>101689.62000000001</v>
      </c>
    </row>
    <row r="6441" spans="1:5" x14ac:dyDescent="0.25">
      <c r="A6441" s="323" t="s">
        <v>5171</v>
      </c>
      <c r="B6441" s="323" t="s">
        <v>805</v>
      </c>
      <c r="C6441" s="323">
        <v>73191</v>
      </c>
      <c r="D6441" s="323">
        <v>52</v>
      </c>
      <c r="E6441" s="324">
        <f t="shared" si="100"/>
        <v>12680.720000000001</v>
      </c>
    </row>
    <row r="6442" spans="1:5" x14ac:dyDescent="0.25">
      <c r="A6442" s="323" t="s">
        <v>6423</v>
      </c>
      <c r="B6442" s="323" t="s">
        <v>805</v>
      </c>
      <c r="C6442" s="323">
        <v>73191</v>
      </c>
      <c r="D6442" s="323">
        <v>308</v>
      </c>
      <c r="E6442" s="324">
        <f t="shared" si="100"/>
        <v>75108.88</v>
      </c>
    </row>
    <row r="6443" spans="1:5" x14ac:dyDescent="0.25">
      <c r="A6443" s="323" t="s">
        <v>6430</v>
      </c>
      <c r="B6443" s="323" t="s">
        <v>805</v>
      </c>
      <c r="C6443" s="323">
        <v>73191</v>
      </c>
      <c r="D6443" s="323">
        <v>88</v>
      </c>
      <c r="E6443" s="324">
        <f t="shared" si="100"/>
        <v>21459.68</v>
      </c>
    </row>
    <row r="6444" spans="1:5" x14ac:dyDescent="0.25">
      <c r="A6444" s="323" t="s">
        <v>6437</v>
      </c>
      <c r="B6444" s="323" t="s">
        <v>805</v>
      </c>
      <c r="C6444" s="323">
        <v>73191</v>
      </c>
      <c r="D6444" s="323">
        <v>431</v>
      </c>
      <c r="E6444" s="324">
        <f t="shared" si="100"/>
        <v>105103.66</v>
      </c>
    </row>
    <row r="6445" spans="1:5" x14ac:dyDescent="0.25">
      <c r="A6445" s="323" t="s">
        <v>3511</v>
      </c>
      <c r="B6445" s="323" t="s">
        <v>805</v>
      </c>
      <c r="C6445" s="323">
        <v>73283</v>
      </c>
      <c r="D6445" s="323">
        <v>378</v>
      </c>
      <c r="E6445" s="324">
        <f t="shared" si="100"/>
        <v>92179.08</v>
      </c>
    </row>
    <row r="6446" spans="1:5" x14ac:dyDescent="0.25">
      <c r="A6446" s="323" t="s">
        <v>2463</v>
      </c>
      <c r="B6446" s="323" t="s">
        <v>805</v>
      </c>
      <c r="C6446" s="323">
        <v>73556</v>
      </c>
      <c r="D6446" s="323">
        <v>398</v>
      </c>
      <c r="E6446" s="324">
        <f t="shared" si="100"/>
        <v>97056.28</v>
      </c>
    </row>
    <row r="6447" spans="1:5" x14ac:dyDescent="0.25">
      <c r="A6447" s="323" t="s">
        <v>1152</v>
      </c>
      <c r="B6447" s="323" t="s">
        <v>805</v>
      </c>
      <c r="C6447" s="323">
        <v>73712</v>
      </c>
      <c r="D6447" s="323">
        <v>84</v>
      </c>
      <c r="E6447" s="324">
        <f t="shared" si="100"/>
        <v>20484.240000000002</v>
      </c>
    </row>
    <row r="6448" spans="1:5" x14ac:dyDescent="0.25">
      <c r="A6448" s="323" t="s">
        <v>1218</v>
      </c>
      <c r="B6448" s="323" t="s">
        <v>805</v>
      </c>
      <c r="C6448" s="323">
        <v>73712</v>
      </c>
      <c r="D6448" s="323">
        <v>145</v>
      </c>
      <c r="E6448" s="324">
        <f t="shared" si="100"/>
        <v>35359.700000000004</v>
      </c>
    </row>
    <row r="6449" spans="1:5" x14ac:dyDescent="0.25">
      <c r="A6449" s="323" t="s">
        <v>1312</v>
      </c>
      <c r="B6449" s="323" t="s">
        <v>805</v>
      </c>
      <c r="C6449" s="323">
        <v>73712</v>
      </c>
      <c r="D6449" s="323">
        <v>111</v>
      </c>
      <c r="E6449" s="324">
        <f t="shared" si="100"/>
        <v>27068.460000000003</v>
      </c>
    </row>
    <row r="6450" spans="1:5" x14ac:dyDescent="0.25">
      <c r="A6450" s="323" t="s">
        <v>2216</v>
      </c>
      <c r="B6450" s="323" t="s">
        <v>805</v>
      </c>
      <c r="C6450" s="323">
        <v>73712</v>
      </c>
      <c r="D6450" s="323">
        <v>57</v>
      </c>
      <c r="E6450" s="324">
        <f t="shared" si="100"/>
        <v>13900.02</v>
      </c>
    </row>
    <row r="6451" spans="1:5" x14ac:dyDescent="0.25">
      <c r="A6451" s="323" t="s">
        <v>2287</v>
      </c>
      <c r="B6451" s="323" t="s">
        <v>805</v>
      </c>
      <c r="C6451" s="323">
        <v>73712</v>
      </c>
      <c r="D6451" s="323">
        <v>236</v>
      </c>
      <c r="E6451" s="324">
        <f t="shared" si="100"/>
        <v>57550.960000000006</v>
      </c>
    </row>
    <row r="6452" spans="1:5" x14ac:dyDescent="0.25">
      <c r="A6452" s="323" t="s">
        <v>2300</v>
      </c>
      <c r="B6452" s="323" t="s">
        <v>805</v>
      </c>
      <c r="C6452" s="323">
        <v>73712</v>
      </c>
      <c r="D6452" s="323">
        <v>176</v>
      </c>
      <c r="E6452" s="324">
        <f t="shared" si="100"/>
        <v>42919.360000000001</v>
      </c>
    </row>
    <row r="6453" spans="1:5" x14ac:dyDescent="0.25">
      <c r="A6453" s="323" t="s">
        <v>3517</v>
      </c>
      <c r="B6453" s="323" t="s">
        <v>805</v>
      </c>
      <c r="C6453" s="323">
        <v>73712</v>
      </c>
      <c r="D6453" s="323">
        <v>205</v>
      </c>
      <c r="E6453" s="324">
        <f t="shared" si="100"/>
        <v>49991.3</v>
      </c>
    </row>
    <row r="6454" spans="1:5" x14ac:dyDescent="0.25">
      <c r="A6454" s="323" t="s">
        <v>3779</v>
      </c>
      <c r="B6454" s="323" t="s">
        <v>805</v>
      </c>
      <c r="C6454" s="323">
        <v>73712</v>
      </c>
      <c r="D6454" s="323">
        <v>253</v>
      </c>
      <c r="E6454" s="324">
        <f t="shared" si="100"/>
        <v>61696.58</v>
      </c>
    </row>
    <row r="6455" spans="1:5" x14ac:dyDescent="0.25">
      <c r="A6455" s="323" t="s">
        <v>4373</v>
      </c>
      <c r="B6455" s="323" t="s">
        <v>805</v>
      </c>
      <c r="C6455" s="323">
        <v>73712</v>
      </c>
      <c r="D6455" s="323">
        <v>254</v>
      </c>
      <c r="E6455" s="324">
        <f t="shared" si="100"/>
        <v>61940.44</v>
      </c>
    </row>
    <row r="6456" spans="1:5" x14ac:dyDescent="0.25">
      <c r="A6456" s="323" t="s">
        <v>4584</v>
      </c>
      <c r="B6456" s="323" t="s">
        <v>805</v>
      </c>
      <c r="C6456" s="323">
        <v>73712</v>
      </c>
      <c r="D6456" s="323">
        <v>131</v>
      </c>
      <c r="E6456" s="324">
        <f t="shared" si="100"/>
        <v>31945.660000000003</v>
      </c>
    </row>
    <row r="6457" spans="1:5" x14ac:dyDescent="0.25">
      <c r="A6457" s="323" t="s">
        <v>5657</v>
      </c>
      <c r="B6457" s="323" t="s">
        <v>816</v>
      </c>
      <c r="C6457" s="323">
        <v>73712</v>
      </c>
      <c r="D6457" s="323">
        <v>151</v>
      </c>
      <c r="E6457" s="324">
        <f t="shared" si="100"/>
        <v>55234.29</v>
      </c>
    </row>
    <row r="6458" spans="1:5" x14ac:dyDescent="0.25">
      <c r="A6458" s="323" t="s">
        <v>6771</v>
      </c>
      <c r="B6458" s="323" t="s">
        <v>805</v>
      </c>
      <c r="C6458" s="323">
        <v>73712</v>
      </c>
      <c r="D6458" s="323">
        <v>123</v>
      </c>
      <c r="E6458" s="324">
        <f t="shared" si="100"/>
        <v>29994.780000000002</v>
      </c>
    </row>
    <row r="6459" spans="1:5" x14ac:dyDescent="0.25">
      <c r="A6459" s="323" t="s">
        <v>7126</v>
      </c>
      <c r="B6459" s="323" t="s">
        <v>805</v>
      </c>
      <c r="C6459" s="323">
        <v>73712</v>
      </c>
      <c r="D6459" s="323">
        <v>347</v>
      </c>
      <c r="E6459" s="324">
        <f t="shared" si="100"/>
        <v>84619.42</v>
      </c>
    </row>
    <row r="6460" spans="1:5" x14ac:dyDescent="0.25">
      <c r="A6460" s="323" t="s">
        <v>2849</v>
      </c>
      <c r="B6460" s="323" t="s">
        <v>805</v>
      </c>
      <c r="C6460" s="323">
        <v>73724</v>
      </c>
      <c r="D6460" s="323">
        <v>430</v>
      </c>
      <c r="E6460" s="324">
        <f t="shared" si="100"/>
        <v>104859.8</v>
      </c>
    </row>
    <row r="6461" spans="1:5" x14ac:dyDescent="0.25">
      <c r="A6461" s="323" t="s">
        <v>1809</v>
      </c>
      <c r="B6461" s="323" t="s">
        <v>809</v>
      </c>
      <c r="C6461" s="323">
        <v>73906</v>
      </c>
      <c r="D6461" s="323">
        <v>164</v>
      </c>
      <c r="E6461" s="324">
        <f t="shared" si="100"/>
        <v>79986.080000000002</v>
      </c>
    </row>
    <row r="6462" spans="1:5" x14ac:dyDescent="0.25">
      <c r="A6462" s="323" t="s">
        <v>1809</v>
      </c>
      <c r="B6462" s="323" t="s">
        <v>803</v>
      </c>
      <c r="C6462" s="323">
        <v>73906</v>
      </c>
      <c r="D6462" s="323">
        <v>503</v>
      </c>
      <c r="E6462" s="324">
        <f t="shared" si="100"/>
        <v>245323.16</v>
      </c>
    </row>
    <row r="6463" spans="1:5" x14ac:dyDescent="0.25">
      <c r="A6463" s="323" t="s">
        <v>1274</v>
      </c>
      <c r="B6463" s="323" t="s">
        <v>805</v>
      </c>
      <c r="C6463" s="323">
        <v>73919</v>
      </c>
      <c r="D6463" s="323">
        <v>201</v>
      </c>
      <c r="E6463" s="324">
        <f t="shared" si="100"/>
        <v>49015.86</v>
      </c>
    </row>
    <row r="6464" spans="1:5" x14ac:dyDescent="0.25">
      <c r="A6464" s="323" t="s">
        <v>1612</v>
      </c>
      <c r="B6464" s="323" t="s">
        <v>805</v>
      </c>
      <c r="C6464" s="323">
        <v>73919</v>
      </c>
      <c r="D6464" s="323">
        <v>102</v>
      </c>
      <c r="E6464" s="324">
        <f t="shared" si="100"/>
        <v>24873.72</v>
      </c>
    </row>
    <row r="6465" spans="1:5" x14ac:dyDescent="0.25">
      <c r="A6465" s="323" t="s">
        <v>1646</v>
      </c>
      <c r="B6465" s="323" t="s">
        <v>805</v>
      </c>
      <c r="C6465" s="323">
        <v>73919</v>
      </c>
      <c r="D6465" s="323">
        <v>24</v>
      </c>
      <c r="E6465" s="324">
        <f t="shared" si="100"/>
        <v>5852.64</v>
      </c>
    </row>
    <row r="6466" spans="1:5" x14ac:dyDescent="0.25">
      <c r="A6466" s="323" t="s">
        <v>1719</v>
      </c>
      <c r="B6466" s="323" t="s">
        <v>805</v>
      </c>
      <c r="C6466" s="323">
        <v>73919</v>
      </c>
      <c r="D6466" s="323">
        <v>350</v>
      </c>
      <c r="E6466" s="324">
        <f t="shared" ref="E6466:E6529" si="101">D6466*IF(B6466=$G$9,WerkdrukbedragPerLeerlingBo,IF(B6466=$G$10,WerkdrukbedragPerLeerlingSbo,IF(B6466=$G$11,WerkdrukbedragPerLeerlingSo,IF(B6466=$G$12,WerkdrukbedragPerLeerlingVso,0))))</f>
        <v>85351</v>
      </c>
    </row>
    <row r="6467" spans="1:5" x14ac:dyDescent="0.25">
      <c r="A6467" s="323" t="s">
        <v>1720</v>
      </c>
      <c r="B6467" s="323" t="s">
        <v>805</v>
      </c>
      <c r="C6467" s="323">
        <v>73919</v>
      </c>
      <c r="D6467" s="323">
        <v>186</v>
      </c>
      <c r="E6467" s="324">
        <f t="shared" si="101"/>
        <v>45357.96</v>
      </c>
    </row>
    <row r="6468" spans="1:5" x14ac:dyDescent="0.25">
      <c r="A6468" s="323" t="s">
        <v>1752</v>
      </c>
      <c r="B6468" s="323" t="s">
        <v>805</v>
      </c>
      <c r="C6468" s="323">
        <v>73919</v>
      </c>
      <c r="D6468" s="323">
        <v>235</v>
      </c>
      <c r="E6468" s="324">
        <f t="shared" si="101"/>
        <v>57307.100000000006</v>
      </c>
    </row>
    <row r="6469" spans="1:5" x14ac:dyDescent="0.25">
      <c r="A6469" s="323" t="s">
        <v>1782</v>
      </c>
      <c r="B6469" s="323" t="s">
        <v>805</v>
      </c>
      <c r="C6469" s="323">
        <v>73919</v>
      </c>
      <c r="D6469" s="323">
        <v>196</v>
      </c>
      <c r="E6469" s="324">
        <f t="shared" si="101"/>
        <v>47796.560000000005</v>
      </c>
    </row>
    <row r="6470" spans="1:5" x14ac:dyDescent="0.25">
      <c r="A6470" s="323" t="s">
        <v>1837</v>
      </c>
      <c r="B6470" s="323" t="s">
        <v>805</v>
      </c>
      <c r="C6470" s="323">
        <v>73919</v>
      </c>
      <c r="D6470" s="323">
        <v>101</v>
      </c>
      <c r="E6470" s="324">
        <f t="shared" si="101"/>
        <v>24629.86</v>
      </c>
    </row>
    <row r="6471" spans="1:5" x14ac:dyDescent="0.25">
      <c r="A6471" s="323" t="s">
        <v>2420</v>
      </c>
      <c r="B6471" s="323" t="s">
        <v>805</v>
      </c>
      <c r="C6471" s="323">
        <v>73919</v>
      </c>
      <c r="D6471" s="323">
        <v>102</v>
      </c>
      <c r="E6471" s="324">
        <f t="shared" si="101"/>
        <v>24873.72</v>
      </c>
    </row>
    <row r="6472" spans="1:5" x14ac:dyDescent="0.25">
      <c r="A6472" s="323" t="s">
        <v>2801</v>
      </c>
      <c r="B6472" s="323" t="s">
        <v>805</v>
      </c>
      <c r="C6472" s="323">
        <v>73919</v>
      </c>
      <c r="D6472" s="323">
        <v>415</v>
      </c>
      <c r="E6472" s="324">
        <f t="shared" si="101"/>
        <v>101201.90000000001</v>
      </c>
    </row>
    <row r="6473" spans="1:5" x14ac:dyDescent="0.25">
      <c r="A6473" s="323" t="s">
        <v>3130</v>
      </c>
      <c r="B6473" s="323" t="s">
        <v>805</v>
      </c>
      <c r="C6473" s="323">
        <v>73919</v>
      </c>
      <c r="D6473" s="323">
        <v>384</v>
      </c>
      <c r="E6473" s="324">
        <f t="shared" si="101"/>
        <v>93642.240000000005</v>
      </c>
    </row>
    <row r="6474" spans="1:5" x14ac:dyDescent="0.25">
      <c r="A6474" s="323" t="s">
        <v>3302</v>
      </c>
      <c r="B6474" s="323" t="s">
        <v>805</v>
      </c>
      <c r="C6474" s="323">
        <v>73919</v>
      </c>
      <c r="D6474" s="323">
        <v>341</v>
      </c>
      <c r="E6474" s="324">
        <f t="shared" si="101"/>
        <v>83156.260000000009</v>
      </c>
    </row>
    <row r="6475" spans="1:5" x14ac:dyDescent="0.25">
      <c r="A6475" s="323" t="s">
        <v>3523</v>
      </c>
      <c r="B6475" s="323" t="s">
        <v>805</v>
      </c>
      <c r="C6475" s="323">
        <v>73919</v>
      </c>
      <c r="D6475" s="323">
        <v>235</v>
      </c>
      <c r="E6475" s="324">
        <f t="shared" si="101"/>
        <v>57307.100000000006</v>
      </c>
    </row>
    <row r="6476" spans="1:5" x14ac:dyDescent="0.25">
      <c r="A6476" s="323" t="s">
        <v>3605</v>
      </c>
      <c r="B6476" s="323" t="s">
        <v>805</v>
      </c>
      <c r="C6476" s="323">
        <v>73919</v>
      </c>
      <c r="D6476" s="323">
        <v>238</v>
      </c>
      <c r="E6476" s="324">
        <f t="shared" si="101"/>
        <v>58038.68</v>
      </c>
    </row>
    <row r="6477" spans="1:5" x14ac:dyDescent="0.25">
      <c r="A6477" s="323" t="s">
        <v>3838</v>
      </c>
      <c r="B6477" s="323" t="s">
        <v>805</v>
      </c>
      <c r="C6477" s="323">
        <v>73919</v>
      </c>
      <c r="D6477" s="323">
        <v>466</v>
      </c>
      <c r="E6477" s="324">
        <f t="shared" si="101"/>
        <v>113638.76000000001</v>
      </c>
    </row>
    <row r="6478" spans="1:5" x14ac:dyDescent="0.25">
      <c r="A6478" s="323" t="s">
        <v>3850</v>
      </c>
      <c r="B6478" s="323" t="s">
        <v>805</v>
      </c>
      <c r="C6478" s="323">
        <v>73919</v>
      </c>
      <c r="D6478" s="323">
        <v>152</v>
      </c>
      <c r="E6478" s="324">
        <f t="shared" si="101"/>
        <v>37066.720000000001</v>
      </c>
    </row>
    <row r="6479" spans="1:5" x14ac:dyDescent="0.25">
      <c r="A6479" s="323" t="s">
        <v>4025</v>
      </c>
      <c r="B6479" s="323" t="s">
        <v>805</v>
      </c>
      <c r="C6479" s="323">
        <v>73919</v>
      </c>
      <c r="D6479" s="323">
        <v>290</v>
      </c>
      <c r="E6479" s="324">
        <f t="shared" si="101"/>
        <v>70719.400000000009</v>
      </c>
    </row>
    <row r="6480" spans="1:5" x14ac:dyDescent="0.25">
      <c r="A6480" s="323" t="s">
        <v>4186</v>
      </c>
      <c r="B6480" s="323" t="s">
        <v>805</v>
      </c>
      <c r="C6480" s="323">
        <v>73919</v>
      </c>
      <c r="D6480" s="323">
        <v>379</v>
      </c>
      <c r="E6480" s="324">
        <f t="shared" si="101"/>
        <v>92422.94</v>
      </c>
    </row>
    <row r="6481" spans="1:5" x14ac:dyDescent="0.25">
      <c r="A6481" s="323" t="s">
        <v>4301</v>
      </c>
      <c r="B6481" s="323" t="s">
        <v>805</v>
      </c>
      <c r="C6481" s="323">
        <v>73919</v>
      </c>
      <c r="D6481" s="323">
        <v>284</v>
      </c>
      <c r="E6481" s="324">
        <f t="shared" si="101"/>
        <v>69256.240000000005</v>
      </c>
    </row>
    <row r="6482" spans="1:5" x14ac:dyDescent="0.25">
      <c r="A6482" s="323" t="s">
        <v>4519</v>
      </c>
      <c r="B6482" s="323" t="s">
        <v>805</v>
      </c>
      <c r="C6482" s="323">
        <v>73919</v>
      </c>
      <c r="D6482" s="323">
        <v>240</v>
      </c>
      <c r="E6482" s="324">
        <f t="shared" si="101"/>
        <v>58526.400000000001</v>
      </c>
    </row>
    <row r="6483" spans="1:5" x14ac:dyDescent="0.25">
      <c r="A6483" s="323" t="s">
        <v>4615</v>
      </c>
      <c r="B6483" s="323" t="s">
        <v>805</v>
      </c>
      <c r="C6483" s="323">
        <v>73919</v>
      </c>
      <c r="D6483" s="323">
        <v>218</v>
      </c>
      <c r="E6483" s="324">
        <f t="shared" si="101"/>
        <v>53161.48</v>
      </c>
    </row>
    <row r="6484" spans="1:5" x14ac:dyDescent="0.25">
      <c r="A6484" s="323" t="s">
        <v>7081</v>
      </c>
      <c r="B6484" s="323" t="s">
        <v>805</v>
      </c>
      <c r="C6484" s="323">
        <v>73919</v>
      </c>
      <c r="D6484" s="323">
        <v>96</v>
      </c>
      <c r="E6484" s="324">
        <f t="shared" si="101"/>
        <v>23410.560000000001</v>
      </c>
    </row>
    <row r="6485" spans="1:5" x14ac:dyDescent="0.25">
      <c r="A6485" s="323" t="s">
        <v>7134</v>
      </c>
      <c r="B6485" s="323" t="s">
        <v>805</v>
      </c>
      <c r="C6485" s="323">
        <v>73919</v>
      </c>
      <c r="D6485" s="323">
        <v>421</v>
      </c>
      <c r="E6485" s="324">
        <f t="shared" si="101"/>
        <v>102665.06000000001</v>
      </c>
    </row>
    <row r="6486" spans="1:5" x14ac:dyDescent="0.25">
      <c r="A6486" s="323" t="s">
        <v>7210</v>
      </c>
      <c r="B6486" s="323" t="s">
        <v>805</v>
      </c>
      <c r="C6486" s="323">
        <v>73919</v>
      </c>
      <c r="D6486" s="323">
        <v>347</v>
      </c>
      <c r="E6486" s="324">
        <f t="shared" si="101"/>
        <v>84619.42</v>
      </c>
    </row>
    <row r="6487" spans="1:5" x14ac:dyDescent="0.25">
      <c r="A6487" s="323" t="s">
        <v>7247</v>
      </c>
      <c r="B6487" s="323" t="s">
        <v>805</v>
      </c>
      <c r="C6487" s="323">
        <v>73919</v>
      </c>
      <c r="D6487" s="323">
        <v>503</v>
      </c>
      <c r="E6487" s="324">
        <f t="shared" si="101"/>
        <v>122661.58</v>
      </c>
    </row>
    <row r="6488" spans="1:5" x14ac:dyDescent="0.25">
      <c r="A6488" s="323" t="s">
        <v>7258</v>
      </c>
      <c r="B6488" s="323" t="s">
        <v>805</v>
      </c>
      <c r="C6488" s="323">
        <v>73919</v>
      </c>
      <c r="D6488" s="323">
        <v>329</v>
      </c>
      <c r="E6488" s="324">
        <f t="shared" si="101"/>
        <v>80229.94</v>
      </c>
    </row>
    <row r="6489" spans="1:5" x14ac:dyDescent="0.25">
      <c r="A6489" s="323" t="s">
        <v>7417</v>
      </c>
      <c r="B6489" s="323" t="s">
        <v>805</v>
      </c>
      <c r="C6489" s="323">
        <v>73919</v>
      </c>
      <c r="D6489" s="323">
        <v>172</v>
      </c>
      <c r="E6489" s="324">
        <f t="shared" si="101"/>
        <v>41943.920000000006</v>
      </c>
    </row>
    <row r="6490" spans="1:5" x14ac:dyDescent="0.25">
      <c r="A6490" s="323" t="s">
        <v>1117</v>
      </c>
      <c r="B6490" s="323" t="s">
        <v>805</v>
      </c>
      <c r="C6490" s="323">
        <v>74049</v>
      </c>
      <c r="D6490" s="323">
        <v>586</v>
      </c>
      <c r="E6490" s="324">
        <f t="shared" si="101"/>
        <v>142901.96000000002</v>
      </c>
    </row>
    <row r="6491" spans="1:5" x14ac:dyDescent="0.25">
      <c r="A6491" s="323" t="s">
        <v>1642</v>
      </c>
      <c r="B6491" s="323" t="s">
        <v>816</v>
      </c>
      <c r="C6491" s="323">
        <v>74049</v>
      </c>
      <c r="D6491" s="323">
        <v>74</v>
      </c>
      <c r="E6491" s="324">
        <f t="shared" si="101"/>
        <v>27068.460000000003</v>
      </c>
    </row>
    <row r="6492" spans="1:5" x14ac:dyDescent="0.25">
      <c r="A6492" s="323" t="s">
        <v>1833</v>
      </c>
      <c r="B6492" s="323" t="s">
        <v>805</v>
      </c>
      <c r="C6492" s="323">
        <v>74049</v>
      </c>
      <c r="D6492" s="323">
        <v>307</v>
      </c>
      <c r="E6492" s="324">
        <f t="shared" si="101"/>
        <v>74865.02</v>
      </c>
    </row>
    <row r="6493" spans="1:5" x14ac:dyDescent="0.25">
      <c r="A6493" s="323" t="s">
        <v>1834</v>
      </c>
      <c r="B6493" s="323" t="s">
        <v>805</v>
      </c>
      <c r="C6493" s="323">
        <v>74049</v>
      </c>
      <c r="D6493" s="323">
        <v>147</v>
      </c>
      <c r="E6493" s="324">
        <f t="shared" si="101"/>
        <v>35847.420000000006</v>
      </c>
    </row>
    <row r="6494" spans="1:5" x14ac:dyDescent="0.25">
      <c r="A6494" s="323" t="s">
        <v>1861</v>
      </c>
      <c r="B6494" s="323" t="s">
        <v>805</v>
      </c>
      <c r="C6494" s="323">
        <v>74049</v>
      </c>
      <c r="D6494" s="323">
        <v>249</v>
      </c>
      <c r="E6494" s="324">
        <f t="shared" si="101"/>
        <v>60721.140000000007</v>
      </c>
    </row>
    <row r="6495" spans="1:5" x14ac:dyDescent="0.25">
      <c r="A6495" s="323" t="s">
        <v>2271</v>
      </c>
      <c r="B6495" s="323" t="s">
        <v>805</v>
      </c>
      <c r="C6495" s="323">
        <v>74049</v>
      </c>
      <c r="D6495" s="323">
        <v>65</v>
      </c>
      <c r="E6495" s="324">
        <f t="shared" si="101"/>
        <v>15850.900000000001</v>
      </c>
    </row>
    <row r="6496" spans="1:5" x14ac:dyDescent="0.25">
      <c r="A6496" s="323" t="s">
        <v>2843</v>
      </c>
      <c r="B6496" s="323" t="s">
        <v>805</v>
      </c>
      <c r="C6496" s="323">
        <v>74049</v>
      </c>
      <c r="D6496" s="323">
        <v>538</v>
      </c>
      <c r="E6496" s="324">
        <f t="shared" si="101"/>
        <v>131196.68</v>
      </c>
    </row>
    <row r="6497" spans="1:5" x14ac:dyDescent="0.25">
      <c r="A6497" s="323" t="s">
        <v>3114</v>
      </c>
      <c r="B6497" s="323" t="s">
        <v>805</v>
      </c>
      <c r="C6497" s="323">
        <v>74049</v>
      </c>
      <c r="D6497" s="323">
        <v>232</v>
      </c>
      <c r="E6497" s="324">
        <f t="shared" si="101"/>
        <v>56575.520000000004</v>
      </c>
    </row>
    <row r="6498" spans="1:5" x14ac:dyDescent="0.25">
      <c r="A6498" s="323" t="s">
        <v>3513</v>
      </c>
      <c r="B6498" s="323" t="s">
        <v>805</v>
      </c>
      <c r="C6498" s="323">
        <v>74049</v>
      </c>
      <c r="D6498" s="323">
        <v>371</v>
      </c>
      <c r="E6498" s="324">
        <f t="shared" si="101"/>
        <v>90472.060000000012</v>
      </c>
    </row>
    <row r="6499" spans="1:5" x14ac:dyDescent="0.25">
      <c r="A6499" s="323" t="s">
        <v>4309</v>
      </c>
      <c r="B6499" s="323" t="s">
        <v>805</v>
      </c>
      <c r="C6499" s="323">
        <v>74049</v>
      </c>
      <c r="D6499" s="323">
        <v>446</v>
      </c>
      <c r="E6499" s="324">
        <f t="shared" si="101"/>
        <v>108761.56000000001</v>
      </c>
    </row>
    <row r="6500" spans="1:5" x14ac:dyDescent="0.25">
      <c r="A6500" s="323" t="s">
        <v>4524</v>
      </c>
      <c r="B6500" s="323" t="s">
        <v>805</v>
      </c>
      <c r="C6500" s="323">
        <v>74049</v>
      </c>
      <c r="D6500" s="323">
        <v>328</v>
      </c>
      <c r="E6500" s="324">
        <f t="shared" si="101"/>
        <v>79986.080000000002</v>
      </c>
    </row>
    <row r="6501" spans="1:5" x14ac:dyDescent="0.25">
      <c r="A6501" s="323" t="s">
        <v>4619</v>
      </c>
      <c r="B6501" s="323" t="s">
        <v>805</v>
      </c>
      <c r="C6501" s="323">
        <v>74049</v>
      </c>
      <c r="D6501" s="323">
        <v>258</v>
      </c>
      <c r="E6501" s="324">
        <f t="shared" si="101"/>
        <v>62915.880000000005</v>
      </c>
    </row>
    <row r="6502" spans="1:5" x14ac:dyDescent="0.25">
      <c r="A6502" s="323" t="s">
        <v>4908</v>
      </c>
      <c r="B6502" s="323" t="s">
        <v>805</v>
      </c>
      <c r="C6502" s="323">
        <v>74049</v>
      </c>
      <c r="D6502" s="323">
        <v>366</v>
      </c>
      <c r="E6502" s="324">
        <f t="shared" si="101"/>
        <v>89252.760000000009</v>
      </c>
    </row>
    <row r="6503" spans="1:5" x14ac:dyDescent="0.25">
      <c r="A6503" s="323" t="s">
        <v>4957</v>
      </c>
      <c r="B6503" s="323" t="s">
        <v>805</v>
      </c>
      <c r="C6503" s="323">
        <v>74049</v>
      </c>
      <c r="D6503" s="323">
        <v>207</v>
      </c>
      <c r="E6503" s="324">
        <f t="shared" si="101"/>
        <v>50479.020000000004</v>
      </c>
    </row>
    <row r="6504" spans="1:5" x14ac:dyDescent="0.25">
      <c r="A6504" s="323" t="s">
        <v>5134</v>
      </c>
      <c r="B6504" s="323" t="s">
        <v>805</v>
      </c>
      <c r="C6504" s="323">
        <v>74049</v>
      </c>
      <c r="D6504" s="323">
        <v>154</v>
      </c>
      <c r="E6504" s="324">
        <f t="shared" si="101"/>
        <v>37554.44</v>
      </c>
    </row>
    <row r="6505" spans="1:5" x14ac:dyDescent="0.25">
      <c r="A6505" s="323" t="s">
        <v>5313</v>
      </c>
      <c r="B6505" s="323" t="s">
        <v>805</v>
      </c>
      <c r="C6505" s="323">
        <v>74049</v>
      </c>
      <c r="D6505" s="323">
        <v>576</v>
      </c>
      <c r="E6505" s="324">
        <f t="shared" si="101"/>
        <v>140463.36000000002</v>
      </c>
    </row>
    <row r="6506" spans="1:5" x14ac:dyDescent="0.25">
      <c r="A6506" s="323" t="s">
        <v>5344</v>
      </c>
      <c r="B6506" s="323" t="s">
        <v>805</v>
      </c>
      <c r="C6506" s="323">
        <v>74049</v>
      </c>
      <c r="D6506" s="323">
        <v>118</v>
      </c>
      <c r="E6506" s="324">
        <f t="shared" si="101"/>
        <v>28775.480000000003</v>
      </c>
    </row>
    <row r="6507" spans="1:5" x14ac:dyDescent="0.25">
      <c r="A6507" s="323" t="s">
        <v>5392</v>
      </c>
      <c r="B6507" s="323" t="s">
        <v>805</v>
      </c>
      <c r="C6507" s="323">
        <v>74049</v>
      </c>
      <c r="D6507" s="323">
        <v>110</v>
      </c>
      <c r="E6507" s="324">
        <f t="shared" si="101"/>
        <v>26824.600000000002</v>
      </c>
    </row>
    <row r="6508" spans="1:5" x14ac:dyDescent="0.25">
      <c r="A6508" s="323" t="s">
        <v>5693</v>
      </c>
      <c r="B6508" s="323" t="s">
        <v>816</v>
      </c>
      <c r="C6508" s="323">
        <v>74049</v>
      </c>
      <c r="D6508" s="323">
        <v>14</v>
      </c>
      <c r="E6508" s="324">
        <f t="shared" si="101"/>
        <v>5121.0600000000004</v>
      </c>
    </row>
    <row r="6509" spans="1:5" x14ac:dyDescent="0.25">
      <c r="A6509" s="323" t="s">
        <v>7033</v>
      </c>
      <c r="B6509" s="323" t="s">
        <v>805</v>
      </c>
      <c r="C6509" s="323">
        <v>74049</v>
      </c>
      <c r="D6509" s="323">
        <v>322</v>
      </c>
      <c r="E6509" s="324">
        <f t="shared" si="101"/>
        <v>78522.92</v>
      </c>
    </row>
    <row r="6510" spans="1:5" x14ac:dyDescent="0.25">
      <c r="A6510" s="323" t="s">
        <v>7296</v>
      </c>
      <c r="B6510" s="323" t="s">
        <v>805</v>
      </c>
      <c r="C6510" s="323">
        <v>74049</v>
      </c>
      <c r="D6510" s="323">
        <v>130</v>
      </c>
      <c r="E6510" s="324">
        <f t="shared" si="101"/>
        <v>31701.800000000003</v>
      </c>
    </row>
    <row r="6511" spans="1:5" x14ac:dyDescent="0.25">
      <c r="A6511" s="323" t="s">
        <v>7323</v>
      </c>
      <c r="B6511" s="323" t="s">
        <v>805</v>
      </c>
      <c r="C6511" s="323">
        <v>74049</v>
      </c>
      <c r="D6511" s="323">
        <v>265</v>
      </c>
      <c r="E6511" s="324">
        <f t="shared" si="101"/>
        <v>64622.9</v>
      </c>
    </row>
    <row r="6512" spans="1:5" x14ac:dyDescent="0.25">
      <c r="A6512" s="323" t="s">
        <v>7481</v>
      </c>
      <c r="B6512" s="323" t="s">
        <v>805</v>
      </c>
      <c r="C6512" s="323">
        <v>74049</v>
      </c>
      <c r="D6512" s="323">
        <v>50</v>
      </c>
      <c r="E6512" s="324">
        <f t="shared" si="101"/>
        <v>12193</v>
      </c>
    </row>
    <row r="6513" spans="1:5" x14ac:dyDescent="0.25">
      <c r="A6513" s="323" t="s">
        <v>7500</v>
      </c>
      <c r="B6513" s="323" t="s">
        <v>805</v>
      </c>
      <c r="C6513" s="323">
        <v>74049</v>
      </c>
      <c r="D6513" s="323">
        <v>328</v>
      </c>
      <c r="E6513" s="324">
        <f t="shared" si="101"/>
        <v>79986.080000000002</v>
      </c>
    </row>
    <row r="6514" spans="1:5" x14ac:dyDescent="0.25">
      <c r="A6514" s="323" t="s">
        <v>999</v>
      </c>
      <c r="B6514" s="323" t="s">
        <v>809</v>
      </c>
      <c r="C6514" s="323">
        <v>74127</v>
      </c>
      <c r="D6514" s="323">
        <v>153</v>
      </c>
      <c r="E6514" s="324">
        <f t="shared" si="101"/>
        <v>74621.16</v>
      </c>
    </row>
    <row r="6515" spans="1:5" x14ac:dyDescent="0.25">
      <c r="A6515" s="323" t="s">
        <v>999</v>
      </c>
      <c r="B6515" s="323" t="s">
        <v>803</v>
      </c>
      <c r="C6515" s="323">
        <v>74127</v>
      </c>
      <c r="D6515" s="323">
        <v>71</v>
      </c>
      <c r="E6515" s="324">
        <f t="shared" si="101"/>
        <v>34628.120000000003</v>
      </c>
    </row>
    <row r="6516" spans="1:5" x14ac:dyDescent="0.25">
      <c r="A6516" s="323" t="s">
        <v>1295</v>
      </c>
      <c r="B6516" s="323" t="s">
        <v>805</v>
      </c>
      <c r="C6516" s="323">
        <v>74154</v>
      </c>
      <c r="D6516" s="323">
        <v>84</v>
      </c>
      <c r="E6516" s="324">
        <f t="shared" si="101"/>
        <v>20484.240000000002</v>
      </c>
    </row>
    <row r="6517" spans="1:5" x14ac:dyDescent="0.25">
      <c r="A6517" s="323" t="s">
        <v>2469</v>
      </c>
      <c r="B6517" s="323" t="s">
        <v>805</v>
      </c>
      <c r="C6517" s="323">
        <v>74154</v>
      </c>
      <c r="D6517" s="323">
        <v>64</v>
      </c>
      <c r="E6517" s="324">
        <f t="shared" si="101"/>
        <v>15607.04</v>
      </c>
    </row>
    <row r="6518" spans="1:5" x14ac:dyDescent="0.25">
      <c r="A6518" s="323" t="s">
        <v>3148</v>
      </c>
      <c r="B6518" s="323" t="s">
        <v>805</v>
      </c>
      <c r="C6518" s="323">
        <v>74154</v>
      </c>
      <c r="D6518" s="323">
        <v>251</v>
      </c>
      <c r="E6518" s="324">
        <f t="shared" si="101"/>
        <v>61208.86</v>
      </c>
    </row>
    <row r="6519" spans="1:5" x14ac:dyDescent="0.25">
      <c r="A6519" s="323" t="s">
        <v>4981</v>
      </c>
      <c r="B6519" s="323" t="s">
        <v>816</v>
      </c>
      <c r="C6519" s="323">
        <v>74154</v>
      </c>
      <c r="D6519" s="323">
        <v>149</v>
      </c>
      <c r="E6519" s="324">
        <f t="shared" si="101"/>
        <v>54502.710000000006</v>
      </c>
    </row>
    <row r="6520" spans="1:5" x14ac:dyDescent="0.25">
      <c r="A6520" s="323" t="s">
        <v>5629</v>
      </c>
      <c r="B6520" s="323" t="s">
        <v>809</v>
      </c>
      <c r="C6520" s="323">
        <v>74154</v>
      </c>
      <c r="D6520" s="323">
        <v>134</v>
      </c>
      <c r="E6520" s="324">
        <f t="shared" si="101"/>
        <v>65354.48</v>
      </c>
    </row>
    <row r="6521" spans="1:5" x14ac:dyDescent="0.25">
      <c r="A6521" s="323" t="s">
        <v>5629</v>
      </c>
      <c r="B6521" s="323" t="s">
        <v>803</v>
      </c>
      <c r="C6521" s="323">
        <v>74154</v>
      </c>
      <c r="D6521" s="323">
        <v>73</v>
      </c>
      <c r="E6521" s="324">
        <f t="shared" si="101"/>
        <v>35603.560000000005</v>
      </c>
    </row>
    <row r="6522" spans="1:5" x14ac:dyDescent="0.25">
      <c r="A6522" s="323" t="s">
        <v>5629</v>
      </c>
      <c r="B6522" s="323" t="s">
        <v>809</v>
      </c>
      <c r="C6522" s="323">
        <v>74154</v>
      </c>
      <c r="D6522" s="323">
        <v>1</v>
      </c>
      <c r="E6522" s="324">
        <f t="shared" si="101"/>
        <v>487.72</v>
      </c>
    </row>
    <row r="6523" spans="1:5" x14ac:dyDescent="0.25">
      <c r="A6523" s="323" t="s">
        <v>5629</v>
      </c>
      <c r="B6523" s="323" t="s">
        <v>803</v>
      </c>
      <c r="C6523" s="323">
        <v>74154</v>
      </c>
      <c r="D6523" s="323">
        <v>71</v>
      </c>
      <c r="E6523" s="324">
        <f t="shared" si="101"/>
        <v>34628.120000000003</v>
      </c>
    </row>
    <row r="6524" spans="1:5" x14ac:dyDescent="0.25">
      <c r="A6524" s="323" t="s">
        <v>5732</v>
      </c>
      <c r="B6524" s="323" t="s">
        <v>805</v>
      </c>
      <c r="C6524" s="323">
        <v>74154</v>
      </c>
      <c r="D6524" s="323">
        <v>283</v>
      </c>
      <c r="E6524" s="324">
        <f t="shared" si="101"/>
        <v>69012.38</v>
      </c>
    </row>
    <row r="6525" spans="1:5" x14ac:dyDescent="0.25">
      <c r="A6525" s="323" t="s">
        <v>5741</v>
      </c>
      <c r="B6525" s="323" t="s">
        <v>805</v>
      </c>
      <c r="C6525" s="323">
        <v>74154</v>
      </c>
      <c r="D6525" s="323">
        <v>158</v>
      </c>
      <c r="E6525" s="324">
        <f t="shared" si="101"/>
        <v>38529.880000000005</v>
      </c>
    </row>
    <row r="6526" spans="1:5" x14ac:dyDescent="0.25">
      <c r="A6526" s="323" t="s">
        <v>5746</v>
      </c>
      <c r="B6526" s="323" t="s">
        <v>805</v>
      </c>
      <c r="C6526" s="323">
        <v>74154</v>
      </c>
      <c r="D6526" s="323">
        <v>86</v>
      </c>
      <c r="E6526" s="324">
        <f t="shared" si="101"/>
        <v>20971.960000000003</v>
      </c>
    </row>
    <row r="6527" spans="1:5" x14ac:dyDescent="0.25">
      <c r="A6527" s="323" t="s">
        <v>5751</v>
      </c>
      <c r="B6527" s="323" t="s">
        <v>805</v>
      </c>
      <c r="C6527" s="323">
        <v>74154</v>
      </c>
      <c r="D6527" s="323">
        <v>134</v>
      </c>
      <c r="E6527" s="324">
        <f t="shared" si="101"/>
        <v>32677.24</v>
      </c>
    </row>
    <row r="6528" spans="1:5" x14ac:dyDescent="0.25">
      <c r="A6528" s="323" t="s">
        <v>5757</v>
      </c>
      <c r="B6528" s="323" t="s">
        <v>805</v>
      </c>
      <c r="C6528" s="323">
        <v>74154</v>
      </c>
      <c r="D6528" s="323">
        <v>107</v>
      </c>
      <c r="E6528" s="324">
        <f t="shared" si="101"/>
        <v>26093.02</v>
      </c>
    </row>
    <row r="6529" spans="1:5" x14ac:dyDescent="0.25">
      <c r="A6529" s="323" t="s">
        <v>5760</v>
      </c>
      <c r="B6529" s="323" t="s">
        <v>805</v>
      </c>
      <c r="C6529" s="323">
        <v>74154</v>
      </c>
      <c r="D6529" s="323">
        <v>234</v>
      </c>
      <c r="E6529" s="324">
        <f t="shared" si="101"/>
        <v>57063.240000000005</v>
      </c>
    </row>
    <row r="6530" spans="1:5" x14ac:dyDescent="0.25">
      <c r="A6530" s="323" t="s">
        <v>5765</v>
      </c>
      <c r="B6530" s="323" t="s">
        <v>805</v>
      </c>
      <c r="C6530" s="323">
        <v>74154</v>
      </c>
      <c r="D6530" s="323">
        <v>58</v>
      </c>
      <c r="E6530" s="324">
        <f t="shared" ref="E6530:E6593" si="102">D6530*IF(B6530=$G$9,WerkdrukbedragPerLeerlingBo,IF(B6530=$G$10,WerkdrukbedragPerLeerlingSbo,IF(B6530=$G$11,WerkdrukbedragPerLeerlingSo,IF(B6530=$G$12,WerkdrukbedragPerLeerlingVso,0))))</f>
        <v>14143.880000000001</v>
      </c>
    </row>
    <row r="6531" spans="1:5" x14ac:dyDescent="0.25">
      <c r="A6531" s="323" t="s">
        <v>5780</v>
      </c>
      <c r="B6531" s="323" t="s">
        <v>805</v>
      </c>
      <c r="C6531" s="323">
        <v>74154</v>
      </c>
      <c r="D6531" s="323">
        <v>365</v>
      </c>
      <c r="E6531" s="324">
        <f t="shared" si="102"/>
        <v>89008.900000000009</v>
      </c>
    </row>
    <row r="6532" spans="1:5" x14ac:dyDescent="0.25">
      <c r="A6532" s="323" t="s">
        <v>5786</v>
      </c>
      <c r="B6532" s="323" t="s">
        <v>805</v>
      </c>
      <c r="C6532" s="323">
        <v>74154</v>
      </c>
      <c r="D6532" s="323">
        <v>332</v>
      </c>
      <c r="E6532" s="324">
        <f t="shared" si="102"/>
        <v>80961.52</v>
      </c>
    </row>
    <row r="6533" spans="1:5" x14ac:dyDescent="0.25">
      <c r="A6533" s="323" t="s">
        <v>5793</v>
      </c>
      <c r="B6533" s="323" t="s">
        <v>805</v>
      </c>
      <c r="C6533" s="323">
        <v>74154</v>
      </c>
      <c r="D6533" s="323">
        <v>114</v>
      </c>
      <c r="E6533" s="324">
        <f t="shared" si="102"/>
        <v>27800.04</v>
      </c>
    </row>
    <row r="6534" spans="1:5" x14ac:dyDescent="0.25">
      <c r="A6534" s="323" t="s">
        <v>5800</v>
      </c>
      <c r="B6534" s="323" t="s">
        <v>805</v>
      </c>
      <c r="C6534" s="323">
        <v>74154</v>
      </c>
      <c r="D6534" s="323">
        <v>145</v>
      </c>
      <c r="E6534" s="324">
        <f t="shared" si="102"/>
        <v>35359.700000000004</v>
      </c>
    </row>
    <row r="6535" spans="1:5" x14ac:dyDescent="0.25">
      <c r="A6535" s="323" t="s">
        <v>5808</v>
      </c>
      <c r="B6535" s="323" t="s">
        <v>805</v>
      </c>
      <c r="C6535" s="323">
        <v>74154</v>
      </c>
      <c r="D6535" s="323">
        <v>280</v>
      </c>
      <c r="E6535" s="324">
        <f t="shared" si="102"/>
        <v>68280.800000000003</v>
      </c>
    </row>
    <row r="6536" spans="1:5" x14ac:dyDescent="0.25">
      <c r="A6536" s="323" t="s">
        <v>5812</v>
      </c>
      <c r="B6536" s="323" t="s">
        <v>805</v>
      </c>
      <c r="C6536" s="323">
        <v>74154</v>
      </c>
      <c r="D6536" s="323">
        <v>162</v>
      </c>
      <c r="E6536" s="324">
        <f t="shared" si="102"/>
        <v>39505.32</v>
      </c>
    </row>
    <row r="6537" spans="1:5" x14ac:dyDescent="0.25">
      <c r="A6537" s="323" t="s">
        <v>6777</v>
      </c>
      <c r="B6537" s="323" t="s">
        <v>805</v>
      </c>
      <c r="C6537" s="323">
        <v>74154</v>
      </c>
      <c r="D6537" s="323">
        <v>325</v>
      </c>
      <c r="E6537" s="324">
        <f t="shared" si="102"/>
        <v>79254.5</v>
      </c>
    </row>
    <row r="6538" spans="1:5" x14ac:dyDescent="0.25">
      <c r="A6538" s="323" t="s">
        <v>6886</v>
      </c>
      <c r="B6538" s="323" t="s">
        <v>805</v>
      </c>
      <c r="C6538" s="323">
        <v>74154</v>
      </c>
      <c r="D6538" s="323">
        <v>358</v>
      </c>
      <c r="E6538" s="324">
        <f t="shared" si="102"/>
        <v>87301.88</v>
      </c>
    </row>
    <row r="6539" spans="1:5" x14ac:dyDescent="0.25">
      <c r="A6539" s="323" t="s">
        <v>3306</v>
      </c>
      <c r="B6539" s="323" t="s">
        <v>805</v>
      </c>
      <c r="C6539" s="323">
        <v>74426</v>
      </c>
      <c r="D6539" s="323">
        <v>469</v>
      </c>
      <c r="E6539" s="324">
        <f t="shared" si="102"/>
        <v>114370.34000000001</v>
      </c>
    </row>
    <row r="6540" spans="1:5" x14ac:dyDescent="0.25">
      <c r="A6540" s="323" t="s">
        <v>3608</v>
      </c>
      <c r="B6540" s="323" t="s">
        <v>805</v>
      </c>
      <c r="C6540" s="323">
        <v>74426</v>
      </c>
      <c r="D6540" s="323">
        <v>497</v>
      </c>
      <c r="E6540" s="324">
        <f t="shared" si="102"/>
        <v>121198.42000000001</v>
      </c>
    </row>
    <row r="6541" spans="1:5" x14ac:dyDescent="0.25">
      <c r="A6541" s="323" t="s">
        <v>4132</v>
      </c>
      <c r="B6541" s="323" t="s">
        <v>805</v>
      </c>
      <c r="C6541" s="323">
        <v>74492</v>
      </c>
      <c r="D6541" s="323">
        <v>374</v>
      </c>
      <c r="E6541" s="324">
        <f t="shared" si="102"/>
        <v>91203.64</v>
      </c>
    </row>
    <row r="6542" spans="1:5" x14ac:dyDescent="0.25">
      <c r="A6542" s="323" t="s">
        <v>1029</v>
      </c>
      <c r="B6542" s="323" t="s">
        <v>816</v>
      </c>
      <c r="C6542" s="323">
        <v>74531</v>
      </c>
      <c r="D6542" s="323">
        <v>77</v>
      </c>
      <c r="E6542" s="324">
        <f t="shared" si="102"/>
        <v>28165.83</v>
      </c>
    </row>
    <row r="6543" spans="1:5" x14ac:dyDescent="0.25">
      <c r="A6543" s="323" t="s">
        <v>1072</v>
      </c>
      <c r="B6543" s="323" t="s">
        <v>805</v>
      </c>
      <c r="C6543" s="323">
        <v>74531</v>
      </c>
      <c r="D6543" s="323">
        <v>335</v>
      </c>
      <c r="E6543" s="324">
        <f t="shared" si="102"/>
        <v>81693.100000000006</v>
      </c>
    </row>
    <row r="6544" spans="1:5" x14ac:dyDescent="0.25">
      <c r="A6544" s="323" t="s">
        <v>1418</v>
      </c>
      <c r="B6544" s="323" t="s">
        <v>805</v>
      </c>
      <c r="C6544" s="323">
        <v>74531</v>
      </c>
      <c r="D6544" s="323">
        <v>355</v>
      </c>
      <c r="E6544" s="324">
        <f t="shared" si="102"/>
        <v>86570.3</v>
      </c>
    </row>
    <row r="6545" spans="1:5" x14ac:dyDescent="0.25">
      <c r="A6545" s="323" t="s">
        <v>1994</v>
      </c>
      <c r="B6545" s="323" t="s">
        <v>805</v>
      </c>
      <c r="C6545" s="323">
        <v>74531</v>
      </c>
      <c r="D6545" s="323">
        <v>414</v>
      </c>
      <c r="E6545" s="324">
        <f t="shared" si="102"/>
        <v>100958.04000000001</v>
      </c>
    </row>
    <row r="6546" spans="1:5" x14ac:dyDescent="0.25">
      <c r="A6546" s="323" t="s">
        <v>2319</v>
      </c>
      <c r="B6546" s="323" t="s">
        <v>805</v>
      </c>
      <c r="C6546" s="323">
        <v>74531</v>
      </c>
      <c r="D6546" s="323">
        <v>591</v>
      </c>
      <c r="E6546" s="324">
        <f t="shared" si="102"/>
        <v>144121.26</v>
      </c>
    </row>
    <row r="6547" spans="1:5" x14ac:dyDescent="0.25">
      <c r="A6547" s="323" t="s">
        <v>2395</v>
      </c>
      <c r="B6547" s="323" t="s">
        <v>816</v>
      </c>
      <c r="C6547" s="323">
        <v>74531</v>
      </c>
      <c r="D6547" s="323">
        <v>35</v>
      </c>
      <c r="E6547" s="324">
        <f t="shared" si="102"/>
        <v>12802.650000000001</v>
      </c>
    </row>
    <row r="6548" spans="1:5" x14ac:dyDescent="0.25">
      <c r="A6548" s="323" t="s">
        <v>2918</v>
      </c>
      <c r="B6548" s="323" t="s">
        <v>805</v>
      </c>
      <c r="C6548" s="323">
        <v>74531</v>
      </c>
      <c r="D6548" s="323">
        <v>365</v>
      </c>
      <c r="E6548" s="324">
        <f t="shared" si="102"/>
        <v>89008.900000000009</v>
      </c>
    </row>
    <row r="6549" spans="1:5" x14ac:dyDescent="0.25">
      <c r="A6549" s="323" t="s">
        <v>2943</v>
      </c>
      <c r="B6549" s="323" t="s">
        <v>805</v>
      </c>
      <c r="C6549" s="323">
        <v>74531</v>
      </c>
      <c r="D6549" s="323">
        <v>74</v>
      </c>
      <c r="E6549" s="324">
        <f t="shared" si="102"/>
        <v>18045.64</v>
      </c>
    </row>
    <row r="6550" spans="1:5" x14ac:dyDescent="0.25">
      <c r="A6550" s="323" t="s">
        <v>3217</v>
      </c>
      <c r="B6550" s="323" t="s">
        <v>805</v>
      </c>
      <c r="C6550" s="323">
        <v>74531</v>
      </c>
      <c r="D6550" s="323">
        <v>296</v>
      </c>
      <c r="E6550" s="324">
        <f t="shared" si="102"/>
        <v>72182.559999999998</v>
      </c>
    </row>
    <row r="6551" spans="1:5" x14ac:dyDescent="0.25">
      <c r="A6551" s="323" t="s">
        <v>3356</v>
      </c>
      <c r="B6551" s="323" t="s">
        <v>805</v>
      </c>
      <c r="C6551" s="323">
        <v>74531</v>
      </c>
      <c r="D6551" s="323">
        <v>290</v>
      </c>
      <c r="E6551" s="324">
        <f t="shared" si="102"/>
        <v>70719.400000000009</v>
      </c>
    </row>
    <row r="6552" spans="1:5" x14ac:dyDescent="0.25">
      <c r="A6552" s="323" t="s">
        <v>3375</v>
      </c>
      <c r="B6552" s="323" t="s">
        <v>816</v>
      </c>
      <c r="C6552" s="323">
        <v>74531</v>
      </c>
      <c r="D6552" s="323">
        <v>91</v>
      </c>
      <c r="E6552" s="324">
        <f t="shared" si="102"/>
        <v>33286.89</v>
      </c>
    </row>
    <row r="6553" spans="1:5" x14ac:dyDescent="0.25">
      <c r="A6553" s="323" t="s">
        <v>3547</v>
      </c>
      <c r="B6553" s="323" t="s">
        <v>805</v>
      </c>
      <c r="C6553" s="323">
        <v>74531</v>
      </c>
      <c r="D6553" s="323">
        <v>156</v>
      </c>
      <c r="E6553" s="324">
        <f t="shared" si="102"/>
        <v>38042.160000000003</v>
      </c>
    </row>
    <row r="6554" spans="1:5" x14ac:dyDescent="0.25">
      <c r="A6554" s="323" t="s">
        <v>3807</v>
      </c>
      <c r="B6554" s="323" t="s">
        <v>805</v>
      </c>
      <c r="C6554" s="323">
        <v>74531</v>
      </c>
      <c r="D6554" s="323">
        <v>268</v>
      </c>
      <c r="E6554" s="324">
        <f t="shared" si="102"/>
        <v>65354.48</v>
      </c>
    </row>
    <row r="6555" spans="1:5" x14ac:dyDescent="0.25">
      <c r="A6555" s="323" t="s">
        <v>3997</v>
      </c>
      <c r="B6555" s="323" t="s">
        <v>805</v>
      </c>
      <c r="C6555" s="323">
        <v>74531</v>
      </c>
      <c r="D6555" s="323">
        <v>244</v>
      </c>
      <c r="E6555" s="324">
        <f t="shared" si="102"/>
        <v>59501.840000000004</v>
      </c>
    </row>
    <row r="6556" spans="1:5" x14ac:dyDescent="0.25">
      <c r="A6556" s="323" t="s">
        <v>4151</v>
      </c>
      <c r="B6556" s="323" t="s">
        <v>805</v>
      </c>
      <c r="C6556" s="323">
        <v>74531</v>
      </c>
      <c r="D6556" s="323">
        <v>284</v>
      </c>
      <c r="E6556" s="324">
        <f t="shared" si="102"/>
        <v>69256.240000000005</v>
      </c>
    </row>
    <row r="6557" spans="1:5" x14ac:dyDescent="0.25">
      <c r="A6557" s="323" t="s">
        <v>4594</v>
      </c>
      <c r="B6557" s="323" t="s">
        <v>805</v>
      </c>
      <c r="C6557" s="323">
        <v>74531</v>
      </c>
      <c r="D6557" s="323">
        <v>151</v>
      </c>
      <c r="E6557" s="324">
        <f t="shared" si="102"/>
        <v>36822.86</v>
      </c>
    </row>
    <row r="6558" spans="1:5" x14ac:dyDescent="0.25">
      <c r="A6558" s="323" t="s">
        <v>4676</v>
      </c>
      <c r="B6558" s="323" t="s">
        <v>805</v>
      </c>
      <c r="C6558" s="323">
        <v>74531</v>
      </c>
      <c r="D6558" s="323">
        <v>108</v>
      </c>
      <c r="E6558" s="324">
        <f t="shared" si="102"/>
        <v>26336.880000000001</v>
      </c>
    </row>
    <row r="6559" spans="1:5" x14ac:dyDescent="0.25">
      <c r="A6559" s="323" t="s">
        <v>4805</v>
      </c>
      <c r="B6559" s="323" t="s">
        <v>805</v>
      </c>
      <c r="C6559" s="323">
        <v>74531</v>
      </c>
      <c r="D6559" s="323">
        <v>183</v>
      </c>
      <c r="E6559" s="324">
        <f t="shared" si="102"/>
        <v>44626.380000000005</v>
      </c>
    </row>
    <row r="6560" spans="1:5" x14ac:dyDescent="0.25">
      <c r="A6560" s="323" t="s">
        <v>4982</v>
      </c>
      <c r="B6560" s="323" t="s">
        <v>805</v>
      </c>
      <c r="C6560" s="323">
        <v>74531</v>
      </c>
      <c r="D6560" s="323">
        <v>463</v>
      </c>
      <c r="E6560" s="324">
        <f t="shared" si="102"/>
        <v>112907.18000000001</v>
      </c>
    </row>
    <row r="6561" spans="1:5" x14ac:dyDescent="0.25">
      <c r="A6561" s="323" t="s">
        <v>5019</v>
      </c>
      <c r="B6561" s="323" t="s">
        <v>805</v>
      </c>
      <c r="C6561" s="323">
        <v>74531</v>
      </c>
      <c r="D6561" s="323">
        <v>33</v>
      </c>
      <c r="E6561" s="324">
        <f t="shared" si="102"/>
        <v>8047.38</v>
      </c>
    </row>
    <row r="6562" spans="1:5" x14ac:dyDescent="0.25">
      <c r="A6562" s="323" t="s">
        <v>5055</v>
      </c>
      <c r="B6562" s="323" t="s">
        <v>805</v>
      </c>
      <c r="C6562" s="323">
        <v>74531</v>
      </c>
      <c r="D6562" s="323">
        <v>339</v>
      </c>
      <c r="E6562" s="324">
        <f t="shared" si="102"/>
        <v>82668.540000000008</v>
      </c>
    </row>
    <row r="6563" spans="1:5" x14ac:dyDescent="0.25">
      <c r="A6563" s="323" t="s">
        <v>5078</v>
      </c>
      <c r="B6563" s="323" t="s">
        <v>805</v>
      </c>
      <c r="C6563" s="323">
        <v>74531</v>
      </c>
      <c r="D6563" s="323">
        <v>179</v>
      </c>
      <c r="E6563" s="324">
        <f t="shared" si="102"/>
        <v>43650.94</v>
      </c>
    </row>
    <row r="6564" spans="1:5" x14ac:dyDescent="0.25">
      <c r="A6564" s="323" t="s">
        <v>5258</v>
      </c>
      <c r="B6564" s="323" t="s">
        <v>805</v>
      </c>
      <c r="C6564" s="323">
        <v>74531</v>
      </c>
      <c r="D6564" s="323">
        <v>152</v>
      </c>
      <c r="E6564" s="324">
        <f t="shared" si="102"/>
        <v>37066.720000000001</v>
      </c>
    </row>
    <row r="6565" spans="1:5" x14ac:dyDescent="0.25">
      <c r="A6565" s="323" t="s">
        <v>7093</v>
      </c>
      <c r="B6565" s="323" t="s">
        <v>805</v>
      </c>
      <c r="C6565" s="323">
        <v>74531</v>
      </c>
      <c r="D6565" s="323">
        <v>695</v>
      </c>
      <c r="E6565" s="324">
        <f t="shared" si="102"/>
        <v>169482.7</v>
      </c>
    </row>
    <row r="6566" spans="1:5" x14ac:dyDescent="0.25">
      <c r="A6566" s="323" t="s">
        <v>7308</v>
      </c>
      <c r="B6566" s="323" t="s">
        <v>805</v>
      </c>
      <c r="C6566" s="323">
        <v>74531</v>
      </c>
      <c r="D6566" s="323">
        <v>740</v>
      </c>
      <c r="E6566" s="324">
        <f t="shared" si="102"/>
        <v>180456.40000000002</v>
      </c>
    </row>
    <row r="6567" spans="1:5" x14ac:dyDescent="0.25">
      <c r="A6567" s="323" t="s">
        <v>2479</v>
      </c>
      <c r="B6567" s="323" t="s">
        <v>805</v>
      </c>
      <c r="C6567" s="323">
        <v>74609</v>
      </c>
      <c r="D6567" s="323">
        <v>166</v>
      </c>
      <c r="E6567" s="324">
        <f t="shared" si="102"/>
        <v>40480.76</v>
      </c>
    </row>
    <row r="6568" spans="1:5" x14ac:dyDescent="0.25">
      <c r="A6568" s="323" t="s">
        <v>5138</v>
      </c>
      <c r="B6568" s="323" t="s">
        <v>809</v>
      </c>
      <c r="C6568" s="323">
        <v>74803</v>
      </c>
      <c r="D6568" s="323">
        <v>152</v>
      </c>
      <c r="E6568" s="324">
        <f t="shared" si="102"/>
        <v>74133.440000000002</v>
      </c>
    </row>
    <row r="6569" spans="1:5" x14ac:dyDescent="0.25">
      <c r="A6569" s="323" t="s">
        <v>5138</v>
      </c>
      <c r="B6569" s="323" t="s">
        <v>803</v>
      </c>
      <c r="C6569" s="323">
        <v>74803</v>
      </c>
      <c r="D6569" s="323">
        <v>169</v>
      </c>
      <c r="E6569" s="324">
        <f t="shared" si="102"/>
        <v>82424.680000000008</v>
      </c>
    </row>
    <row r="6570" spans="1:5" x14ac:dyDescent="0.25">
      <c r="A6570" s="323" t="s">
        <v>3309</v>
      </c>
      <c r="B6570" s="323" t="s">
        <v>805</v>
      </c>
      <c r="C6570" s="323">
        <v>74868</v>
      </c>
      <c r="D6570" s="323">
        <v>494</v>
      </c>
      <c r="E6570" s="324">
        <f t="shared" si="102"/>
        <v>120466.84000000001</v>
      </c>
    </row>
    <row r="6571" spans="1:5" x14ac:dyDescent="0.25">
      <c r="A6571" s="323" t="s">
        <v>3175</v>
      </c>
      <c r="B6571" s="323" t="s">
        <v>805</v>
      </c>
      <c r="C6571" s="323">
        <v>74973</v>
      </c>
      <c r="D6571" s="323">
        <v>393</v>
      </c>
      <c r="E6571" s="324">
        <f t="shared" si="102"/>
        <v>95836.98000000001</v>
      </c>
    </row>
    <row r="6572" spans="1:5" x14ac:dyDescent="0.25">
      <c r="A6572" s="323" t="s">
        <v>2487</v>
      </c>
      <c r="B6572" s="323" t="s">
        <v>805</v>
      </c>
      <c r="C6572" s="323">
        <v>75064</v>
      </c>
      <c r="D6572" s="323">
        <v>364</v>
      </c>
      <c r="E6572" s="324">
        <f t="shared" si="102"/>
        <v>88765.040000000008</v>
      </c>
    </row>
    <row r="6573" spans="1:5" x14ac:dyDescent="0.25">
      <c r="A6573" s="323" t="s">
        <v>1822</v>
      </c>
      <c r="B6573" s="323" t="s">
        <v>805</v>
      </c>
      <c r="C6573" s="323">
        <v>75206</v>
      </c>
      <c r="D6573" s="323">
        <v>414</v>
      </c>
      <c r="E6573" s="324">
        <f t="shared" si="102"/>
        <v>100958.04000000001</v>
      </c>
    </row>
    <row r="6574" spans="1:5" x14ac:dyDescent="0.25">
      <c r="A6574" s="323" t="s">
        <v>1249</v>
      </c>
      <c r="B6574" s="323" t="s">
        <v>805</v>
      </c>
      <c r="C6574" s="323">
        <v>75219</v>
      </c>
      <c r="D6574" s="323">
        <v>78</v>
      </c>
      <c r="E6574" s="324">
        <f t="shared" si="102"/>
        <v>19021.080000000002</v>
      </c>
    </row>
    <row r="6575" spans="1:5" x14ac:dyDescent="0.25">
      <c r="A6575" s="323" t="s">
        <v>1339</v>
      </c>
      <c r="B6575" s="323" t="s">
        <v>805</v>
      </c>
      <c r="C6575" s="323">
        <v>75219</v>
      </c>
      <c r="D6575" s="323">
        <v>286</v>
      </c>
      <c r="E6575" s="324">
        <f t="shared" si="102"/>
        <v>69743.960000000006</v>
      </c>
    </row>
    <row r="6576" spans="1:5" x14ac:dyDescent="0.25">
      <c r="A6576" s="323" t="s">
        <v>1409</v>
      </c>
      <c r="B6576" s="323" t="s">
        <v>805</v>
      </c>
      <c r="C6576" s="323">
        <v>75219</v>
      </c>
      <c r="D6576" s="323">
        <v>103</v>
      </c>
      <c r="E6576" s="324">
        <f t="shared" si="102"/>
        <v>25117.58</v>
      </c>
    </row>
    <row r="6577" spans="1:5" x14ac:dyDescent="0.25">
      <c r="A6577" s="323" t="s">
        <v>1772</v>
      </c>
      <c r="B6577" s="323" t="s">
        <v>805</v>
      </c>
      <c r="C6577" s="323">
        <v>75219</v>
      </c>
      <c r="D6577" s="323">
        <v>160</v>
      </c>
      <c r="E6577" s="324">
        <f t="shared" si="102"/>
        <v>39017.600000000006</v>
      </c>
    </row>
    <row r="6578" spans="1:5" x14ac:dyDescent="0.25">
      <c r="A6578" s="323" t="s">
        <v>1860</v>
      </c>
      <c r="B6578" s="323" t="s">
        <v>805</v>
      </c>
      <c r="C6578" s="323">
        <v>75219</v>
      </c>
      <c r="D6578" s="323">
        <v>34</v>
      </c>
      <c r="E6578" s="324">
        <f t="shared" si="102"/>
        <v>8291.24</v>
      </c>
    </row>
    <row r="6579" spans="1:5" x14ac:dyDescent="0.25">
      <c r="A6579" s="323" t="s">
        <v>2358</v>
      </c>
      <c r="B6579" s="323" t="s">
        <v>805</v>
      </c>
      <c r="C6579" s="323">
        <v>75219</v>
      </c>
      <c r="D6579" s="323">
        <v>213</v>
      </c>
      <c r="E6579" s="324">
        <f t="shared" si="102"/>
        <v>51942.18</v>
      </c>
    </row>
    <row r="6580" spans="1:5" x14ac:dyDescent="0.25">
      <c r="A6580" s="323" t="s">
        <v>2605</v>
      </c>
      <c r="B6580" s="323" t="s">
        <v>805</v>
      </c>
      <c r="C6580" s="323">
        <v>75219</v>
      </c>
      <c r="D6580" s="323">
        <v>196</v>
      </c>
      <c r="E6580" s="324">
        <f t="shared" si="102"/>
        <v>47796.560000000005</v>
      </c>
    </row>
    <row r="6581" spans="1:5" x14ac:dyDescent="0.25">
      <c r="A6581" s="323" t="s">
        <v>3112</v>
      </c>
      <c r="B6581" s="323" t="s">
        <v>805</v>
      </c>
      <c r="C6581" s="323">
        <v>75219</v>
      </c>
      <c r="D6581" s="323">
        <v>106</v>
      </c>
      <c r="E6581" s="324">
        <f t="shared" si="102"/>
        <v>25849.16</v>
      </c>
    </row>
    <row r="6582" spans="1:5" x14ac:dyDescent="0.25">
      <c r="A6582" s="323" t="s">
        <v>3325</v>
      </c>
      <c r="B6582" s="323" t="s">
        <v>805</v>
      </c>
      <c r="C6582" s="323">
        <v>75219</v>
      </c>
      <c r="D6582" s="323">
        <v>340</v>
      </c>
      <c r="E6582" s="324">
        <f t="shared" si="102"/>
        <v>82912.400000000009</v>
      </c>
    </row>
    <row r="6583" spans="1:5" x14ac:dyDescent="0.25">
      <c r="A6583" s="323" t="s">
        <v>3472</v>
      </c>
      <c r="B6583" s="323" t="s">
        <v>805</v>
      </c>
      <c r="C6583" s="323">
        <v>75219</v>
      </c>
      <c r="D6583" s="323">
        <v>297</v>
      </c>
      <c r="E6583" s="324">
        <f t="shared" si="102"/>
        <v>72426.42</v>
      </c>
    </row>
    <row r="6584" spans="1:5" x14ac:dyDescent="0.25">
      <c r="A6584" s="323" t="s">
        <v>3609</v>
      </c>
      <c r="B6584" s="323" t="s">
        <v>805</v>
      </c>
      <c r="C6584" s="323">
        <v>75219</v>
      </c>
      <c r="D6584" s="323">
        <v>142</v>
      </c>
      <c r="E6584" s="324">
        <f t="shared" si="102"/>
        <v>34628.120000000003</v>
      </c>
    </row>
    <row r="6585" spans="1:5" x14ac:dyDescent="0.25">
      <c r="A6585" s="323" t="s">
        <v>3743</v>
      </c>
      <c r="B6585" s="323" t="s">
        <v>805</v>
      </c>
      <c r="C6585" s="323">
        <v>75219</v>
      </c>
      <c r="D6585" s="323">
        <v>145</v>
      </c>
      <c r="E6585" s="324">
        <f t="shared" si="102"/>
        <v>35359.700000000004</v>
      </c>
    </row>
    <row r="6586" spans="1:5" x14ac:dyDescent="0.25">
      <c r="A6586" s="323" t="s">
        <v>3852</v>
      </c>
      <c r="B6586" s="323" t="s">
        <v>805</v>
      </c>
      <c r="C6586" s="323">
        <v>75219</v>
      </c>
      <c r="D6586" s="323">
        <v>279</v>
      </c>
      <c r="E6586" s="324">
        <f t="shared" si="102"/>
        <v>68036.94</v>
      </c>
    </row>
    <row r="6587" spans="1:5" x14ac:dyDescent="0.25">
      <c r="A6587" s="323" t="s">
        <v>3947</v>
      </c>
      <c r="B6587" s="323" t="s">
        <v>805</v>
      </c>
      <c r="C6587" s="323">
        <v>75219</v>
      </c>
      <c r="D6587" s="323">
        <v>62</v>
      </c>
      <c r="E6587" s="324">
        <f t="shared" si="102"/>
        <v>15119.320000000002</v>
      </c>
    </row>
    <row r="6588" spans="1:5" x14ac:dyDescent="0.25">
      <c r="A6588" s="323" t="s">
        <v>4032</v>
      </c>
      <c r="B6588" s="323" t="s">
        <v>805</v>
      </c>
      <c r="C6588" s="323">
        <v>75219</v>
      </c>
      <c r="D6588" s="323">
        <v>395</v>
      </c>
      <c r="E6588" s="324">
        <f t="shared" si="102"/>
        <v>96324.700000000012</v>
      </c>
    </row>
    <row r="6589" spans="1:5" x14ac:dyDescent="0.25">
      <c r="A6589" s="323" t="s">
        <v>4113</v>
      </c>
      <c r="B6589" s="323" t="s">
        <v>805</v>
      </c>
      <c r="C6589" s="323">
        <v>75219</v>
      </c>
      <c r="D6589" s="323">
        <v>65</v>
      </c>
      <c r="E6589" s="324">
        <f t="shared" si="102"/>
        <v>15850.900000000001</v>
      </c>
    </row>
    <row r="6590" spans="1:5" x14ac:dyDescent="0.25">
      <c r="A6590" s="323" t="s">
        <v>4176</v>
      </c>
      <c r="B6590" s="323" t="s">
        <v>805</v>
      </c>
      <c r="C6590" s="323">
        <v>75219</v>
      </c>
      <c r="D6590" s="323">
        <v>198</v>
      </c>
      <c r="E6590" s="324">
        <f t="shared" si="102"/>
        <v>48284.280000000006</v>
      </c>
    </row>
    <row r="6591" spans="1:5" x14ac:dyDescent="0.25">
      <c r="A6591" s="323" t="s">
        <v>4251</v>
      </c>
      <c r="B6591" s="323" t="s">
        <v>805</v>
      </c>
      <c r="C6591" s="323">
        <v>75219</v>
      </c>
      <c r="D6591" s="323">
        <v>40</v>
      </c>
      <c r="E6591" s="324">
        <f t="shared" si="102"/>
        <v>9754.4000000000015</v>
      </c>
    </row>
    <row r="6592" spans="1:5" x14ac:dyDescent="0.25">
      <c r="A6592" s="323" t="s">
        <v>4522</v>
      </c>
      <c r="B6592" s="323" t="s">
        <v>805</v>
      </c>
      <c r="C6592" s="323">
        <v>75219</v>
      </c>
      <c r="D6592" s="323">
        <v>246</v>
      </c>
      <c r="E6592" s="324">
        <f t="shared" si="102"/>
        <v>59989.560000000005</v>
      </c>
    </row>
    <row r="6593" spans="1:5" x14ac:dyDescent="0.25">
      <c r="A6593" s="323" t="s">
        <v>4618</v>
      </c>
      <c r="B6593" s="323" t="s">
        <v>805</v>
      </c>
      <c r="C6593" s="323">
        <v>75219</v>
      </c>
      <c r="D6593" s="323">
        <v>467</v>
      </c>
      <c r="E6593" s="324">
        <f t="shared" si="102"/>
        <v>113882.62000000001</v>
      </c>
    </row>
    <row r="6594" spans="1:5" x14ac:dyDescent="0.25">
      <c r="A6594" s="323" t="s">
        <v>4759</v>
      </c>
      <c r="B6594" s="323" t="s">
        <v>805</v>
      </c>
      <c r="C6594" s="323">
        <v>75219</v>
      </c>
      <c r="D6594" s="323">
        <v>228</v>
      </c>
      <c r="E6594" s="324">
        <f t="shared" ref="E6594:E6657" si="103">D6594*IF(B6594=$G$9,WerkdrukbedragPerLeerlingBo,IF(B6594=$G$10,WerkdrukbedragPerLeerlingSbo,IF(B6594=$G$11,WerkdrukbedragPerLeerlingSo,IF(B6594=$G$12,WerkdrukbedragPerLeerlingVso,0))))</f>
        <v>55600.08</v>
      </c>
    </row>
    <row r="6595" spans="1:5" x14ac:dyDescent="0.25">
      <c r="A6595" s="323" t="s">
        <v>4823</v>
      </c>
      <c r="B6595" s="323" t="s">
        <v>816</v>
      </c>
      <c r="C6595" s="323">
        <v>75219</v>
      </c>
      <c r="D6595" s="323">
        <v>238</v>
      </c>
      <c r="E6595" s="324">
        <f t="shared" si="103"/>
        <v>87058.02</v>
      </c>
    </row>
    <row r="6596" spans="1:5" x14ac:dyDescent="0.25">
      <c r="A6596" s="323" t="s">
        <v>1694</v>
      </c>
      <c r="B6596" s="323" t="s">
        <v>805</v>
      </c>
      <c r="C6596" s="323">
        <v>75375</v>
      </c>
      <c r="D6596" s="323">
        <v>265</v>
      </c>
      <c r="E6596" s="324">
        <f t="shared" si="103"/>
        <v>64622.9</v>
      </c>
    </row>
    <row r="6597" spans="1:5" x14ac:dyDescent="0.25">
      <c r="A6597" s="323" t="s">
        <v>1742</v>
      </c>
      <c r="B6597" s="323" t="s">
        <v>805</v>
      </c>
      <c r="C6597" s="323">
        <v>75375</v>
      </c>
      <c r="D6597" s="323">
        <v>305</v>
      </c>
      <c r="E6597" s="324">
        <f t="shared" si="103"/>
        <v>74377.3</v>
      </c>
    </row>
    <row r="6598" spans="1:5" x14ac:dyDescent="0.25">
      <c r="A6598" s="323" t="s">
        <v>1744</v>
      </c>
      <c r="B6598" s="323" t="s">
        <v>805</v>
      </c>
      <c r="C6598" s="323">
        <v>75375</v>
      </c>
      <c r="D6598" s="323">
        <v>232</v>
      </c>
      <c r="E6598" s="324">
        <f t="shared" si="103"/>
        <v>56575.520000000004</v>
      </c>
    </row>
    <row r="6599" spans="1:5" x14ac:dyDescent="0.25">
      <c r="A6599" s="323" t="s">
        <v>1821</v>
      </c>
      <c r="B6599" s="323" t="s">
        <v>805</v>
      </c>
      <c r="C6599" s="323">
        <v>75375</v>
      </c>
      <c r="D6599" s="323">
        <v>352</v>
      </c>
      <c r="E6599" s="324">
        <f t="shared" si="103"/>
        <v>85838.720000000001</v>
      </c>
    </row>
    <row r="6600" spans="1:5" x14ac:dyDescent="0.25">
      <c r="A6600" s="323" t="s">
        <v>1856</v>
      </c>
      <c r="B6600" s="323" t="s">
        <v>805</v>
      </c>
      <c r="C6600" s="323">
        <v>75375</v>
      </c>
      <c r="D6600" s="323">
        <v>105</v>
      </c>
      <c r="E6600" s="324">
        <f t="shared" si="103"/>
        <v>25605.300000000003</v>
      </c>
    </row>
    <row r="6601" spans="1:5" x14ac:dyDescent="0.25">
      <c r="A6601" s="323" t="s">
        <v>2276</v>
      </c>
      <c r="B6601" s="323" t="s">
        <v>805</v>
      </c>
      <c r="C6601" s="323">
        <v>75375</v>
      </c>
      <c r="D6601" s="323">
        <v>275</v>
      </c>
      <c r="E6601" s="324">
        <f t="shared" si="103"/>
        <v>67061.5</v>
      </c>
    </row>
    <row r="6602" spans="1:5" x14ac:dyDescent="0.25">
      <c r="A6602" s="323" t="s">
        <v>2296</v>
      </c>
      <c r="B6602" s="323" t="s">
        <v>805</v>
      </c>
      <c r="C6602" s="323">
        <v>75375</v>
      </c>
      <c r="D6602" s="323">
        <v>185</v>
      </c>
      <c r="E6602" s="324">
        <f t="shared" si="103"/>
        <v>45114.100000000006</v>
      </c>
    </row>
    <row r="6603" spans="1:5" x14ac:dyDescent="0.25">
      <c r="A6603" s="323" t="s">
        <v>2326</v>
      </c>
      <c r="B6603" s="323" t="s">
        <v>805</v>
      </c>
      <c r="C6603" s="323">
        <v>75375</v>
      </c>
      <c r="D6603" s="323">
        <v>67</v>
      </c>
      <c r="E6603" s="324">
        <f t="shared" si="103"/>
        <v>16338.62</v>
      </c>
    </row>
    <row r="6604" spans="1:5" x14ac:dyDescent="0.25">
      <c r="A6604" s="323" t="s">
        <v>2422</v>
      </c>
      <c r="B6604" s="323" t="s">
        <v>805</v>
      </c>
      <c r="C6604" s="323">
        <v>75375</v>
      </c>
      <c r="D6604" s="323">
        <v>51</v>
      </c>
      <c r="E6604" s="324">
        <f t="shared" si="103"/>
        <v>12436.86</v>
      </c>
    </row>
    <row r="6605" spans="1:5" x14ac:dyDescent="0.25">
      <c r="A6605" s="323" t="s">
        <v>2425</v>
      </c>
      <c r="B6605" s="323" t="s">
        <v>805</v>
      </c>
      <c r="C6605" s="323">
        <v>75375</v>
      </c>
      <c r="D6605" s="323">
        <v>77</v>
      </c>
      <c r="E6605" s="324">
        <f t="shared" si="103"/>
        <v>18777.22</v>
      </c>
    </row>
    <row r="6606" spans="1:5" x14ac:dyDescent="0.25">
      <c r="A6606" s="323" t="s">
        <v>2545</v>
      </c>
      <c r="B6606" s="323" t="s">
        <v>805</v>
      </c>
      <c r="C6606" s="323">
        <v>75375</v>
      </c>
      <c r="D6606" s="323">
        <v>80</v>
      </c>
      <c r="E6606" s="324">
        <f t="shared" si="103"/>
        <v>19508.800000000003</v>
      </c>
    </row>
    <row r="6607" spans="1:5" x14ac:dyDescent="0.25">
      <c r="A6607" s="323" t="s">
        <v>2546</v>
      </c>
      <c r="B6607" s="323" t="s">
        <v>805</v>
      </c>
      <c r="C6607" s="323">
        <v>75375</v>
      </c>
      <c r="D6607" s="323">
        <v>72</v>
      </c>
      <c r="E6607" s="324">
        <f t="shared" si="103"/>
        <v>17557.920000000002</v>
      </c>
    </row>
    <row r="6608" spans="1:5" x14ac:dyDescent="0.25">
      <c r="A6608" s="323" t="s">
        <v>2554</v>
      </c>
      <c r="B6608" s="323" t="s">
        <v>805</v>
      </c>
      <c r="C6608" s="323">
        <v>75375</v>
      </c>
      <c r="D6608" s="323">
        <v>74</v>
      </c>
      <c r="E6608" s="324">
        <f t="shared" si="103"/>
        <v>18045.64</v>
      </c>
    </row>
    <row r="6609" spans="1:5" x14ac:dyDescent="0.25">
      <c r="A6609" s="323" t="s">
        <v>2782</v>
      </c>
      <c r="B6609" s="323" t="s">
        <v>805</v>
      </c>
      <c r="C6609" s="323">
        <v>75375</v>
      </c>
      <c r="D6609" s="323">
        <v>249</v>
      </c>
      <c r="E6609" s="324">
        <f t="shared" si="103"/>
        <v>60721.140000000007</v>
      </c>
    </row>
    <row r="6610" spans="1:5" x14ac:dyDescent="0.25">
      <c r="A6610" s="323" t="s">
        <v>2807</v>
      </c>
      <c r="B6610" s="323" t="s">
        <v>805</v>
      </c>
      <c r="C6610" s="323">
        <v>75375</v>
      </c>
      <c r="D6610" s="323">
        <v>197</v>
      </c>
      <c r="E6610" s="324">
        <f t="shared" si="103"/>
        <v>48040.420000000006</v>
      </c>
    </row>
    <row r="6611" spans="1:5" x14ac:dyDescent="0.25">
      <c r="A6611" s="323" t="s">
        <v>2823</v>
      </c>
      <c r="B6611" s="323" t="s">
        <v>805</v>
      </c>
      <c r="C6611" s="323">
        <v>75375</v>
      </c>
      <c r="D6611" s="323">
        <v>405</v>
      </c>
      <c r="E6611" s="324">
        <f t="shared" si="103"/>
        <v>98763.3</v>
      </c>
    </row>
    <row r="6612" spans="1:5" x14ac:dyDescent="0.25">
      <c r="A6612" s="323" t="s">
        <v>2825</v>
      </c>
      <c r="B6612" s="323" t="s">
        <v>805</v>
      </c>
      <c r="C6612" s="323">
        <v>75375</v>
      </c>
      <c r="D6612" s="323">
        <v>126</v>
      </c>
      <c r="E6612" s="324">
        <f t="shared" si="103"/>
        <v>30726.36</v>
      </c>
    </row>
    <row r="6613" spans="1:5" x14ac:dyDescent="0.25">
      <c r="A6613" s="323" t="s">
        <v>2861</v>
      </c>
      <c r="B6613" s="323" t="s">
        <v>805</v>
      </c>
      <c r="C6613" s="323">
        <v>75375</v>
      </c>
      <c r="D6613" s="323">
        <v>328</v>
      </c>
      <c r="E6613" s="324">
        <f t="shared" si="103"/>
        <v>79986.080000000002</v>
      </c>
    </row>
    <row r="6614" spans="1:5" x14ac:dyDescent="0.25">
      <c r="A6614" s="323" t="s">
        <v>2877</v>
      </c>
      <c r="B6614" s="323" t="s">
        <v>805</v>
      </c>
      <c r="C6614" s="323">
        <v>75375</v>
      </c>
      <c r="D6614" s="323">
        <v>110</v>
      </c>
      <c r="E6614" s="324">
        <f t="shared" si="103"/>
        <v>26824.600000000002</v>
      </c>
    </row>
    <row r="6615" spans="1:5" x14ac:dyDescent="0.25">
      <c r="A6615" s="323" t="s">
        <v>3117</v>
      </c>
      <c r="B6615" s="323" t="s">
        <v>805</v>
      </c>
      <c r="C6615" s="323">
        <v>75375</v>
      </c>
      <c r="D6615" s="323">
        <v>180</v>
      </c>
      <c r="E6615" s="324">
        <f t="shared" si="103"/>
        <v>43894.8</v>
      </c>
    </row>
    <row r="6616" spans="1:5" x14ac:dyDescent="0.25">
      <c r="A6616" s="323" t="s">
        <v>3139</v>
      </c>
      <c r="B6616" s="323" t="s">
        <v>805</v>
      </c>
      <c r="C6616" s="323">
        <v>75375</v>
      </c>
      <c r="D6616" s="323">
        <v>354</v>
      </c>
      <c r="E6616" s="324">
        <f t="shared" si="103"/>
        <v>86326.44</v>
      </c>
    </row>
    <row r="6617" spans="1:5" x14ac:dyDescent="0.25">
      <c r="A6617" s="323" t="s">
        <v>3312</v>
      </c>
      <c r="B6617" s="323" t="s">
        <v>805</v>
      </c>
      <c r="C6617" s="323">
        <v>75375</v>
      </c>
      <c r="D6617" s="323">
        <v>160</v>
      </c>
      <c r="E6617" s="324">
        <f t="shared" si="103"/>
        <v>39017.600000000006</v>
      </c>
    </row>
    <row r="6618" spans="1:5" x14ac:dyDescent="0.25">
      <c r="A6618" s="323" t="s">
        <v>3611</v>
      </c>
      <c r="B6618" s="323" t="s">
        <v>805</v>
      </c>
      <c r="C6618" s="323">
        <v>75375</v>
      </c>
      <c r="D6618" s="323">
        <v>80</v>
      </c>
      <c r="E6618" s="324">
        <f t="shared" si="103"/>
        <v>19508.800000000003</v>
      </c>
    </row>
    <row r="6619" spans="1:5" x14ac:dyDescent="0.25">
      <c r="A6619" s="323" t="s">
        <v>824</v>
      </c>
      <c r="B6619" s="323" t="s">
        <v>805</v>
      </c>
      <c r="C6619" s="323">
        <v>75388</v>
      </c>
      <c r="D6619" s="323">
        <v>121</v>
      </c>
      <c r="E6619" s="324">
        <f t="shared" si="103"/>
        <v>29507.06</v>
      </c>
    </row>
    <row r="6620" spans="1:5" x14ac:dyDescent="0.25">
      <c r="A6620" s="323" t="s">
        <v>1267</v>
      </c>
      <c r="B6620" s="323" t="s">
        <v>805</v>
      </c>
      <c r="C6620" s="323">
        <v>75388</v>
      </c>
      <c r="D6620" s="323">
        <v>218</v>
      </c>
      <c r="E6620" s="324">
        <f t="shared" si="103"/>
        <v>53161.48</v>
      </c>
    </row>
    <row r="6621" spans="1:5" x14ac:dyDescent="0.25">
      <c r="A6621" s="323" t="s">
        <v>1826</v>
      </c>
      <c r="B6621" s="323" t="s">
        <v>805</v>
      </c>
      <c r="C6621" s="323">
        <v>75388</v>
      </c>
      <c r="D6621" s="323">
        <v>328</v>
      </c>
      <c r="E6621" s="324">
        <f t="shared" si="103"/>
        <v>79986.080000000002</v>
      </c>
    </row>
    <row r="6622" spans="1:5" x14ac:dyDescent="0.25">
      <c r="A6622" s="323" t="s">
        <v>2093</v>
      </c>
      <c r="B6622" s="323" t="s">
        <v>805</v>
      </c>
      <c r="C6622" s="323">
        <v>75388</v>
      </c>
      <c r="D6622" s="323">
        <v>118</v>
      </c>
      <c r="E6622" s="324">
        <f t="shared" si="103"/>
        <v>28775.480000000003</v>
      </c>
    </row>
    <row r="6623" spans="1:5" x14ac:dyDescent="0.25">
      <c r="A6623" s="323" t="s">
        <v>2141</v>
      </c>
      <c r="B6623" s="323" t="s">
        <v>805</v>
      </c>
      <c r="C6623" s="323">
        <v>75388</v>
      </c>
      <c r="D6623" s="323">
        <v>33</v>
      </c>
      <c r="E6623" s="324">
        <f t="shared" si="103"/>
        <v>8047.38</v>
      </c>
    </row>
    <row r="6624" spans="1:5" x14ac:dyDescent="0.25">
      <c r="A6624" s="323" t="s">
        <v>2493</v>
      </c>
      <c r="B6624" s="323" t="s">
        <v>805</v>
      </c>
      <c r="C6624" s="323">
        <v>75388</v>
      </c>
      <c r="D6624" s="323">
        <v>397</v>
      </c>
      <c r="E6624" s="324">
        <f t="shared" si="103"/>
        <v>96812.42</v>
      </c>
    </row>
    <row r="6625" spans="1:5" x14ac:dyDescent="0.25">
      <c r="A6625" s="323" t="s">
        <v>3050</v>
      </c>
      <c r="B6625" s="323" t="s">
        <v>805</v>
      </c>
      <c r="C6625" s="323">
        <v>75388</v>
      </c>
      <c r="D6625" s="323">
        <v>667</v>
      </c>
      <c r="E6625" s="324">
        <f t="shared" si="103"/>
        <v>162654.62</v>
      </c>
    </row>
    <row r="6626" spans="1:5" x14ac:dyDescent="0.25">
      <c r="A6626" s="323" t="s">
        <v>3411</v>
      </c>
      <c r="B6626" s="323" t="s">
        <v>805</v>
      </c>
      <c r="C6626" s="323">
        <v>75388</v>
      </c>
      <c r="D6626" s="323">
        <v>95</v>
      </c>
      <c r="E6626" s="324">
        <f t="shared" si="103"/>
        <v>23166.7</v>
      </c>
    </row>
    <row r="6627" spans="1:5" x14ac:dyDescent="0.25">
      <c r="A6627" s="323" t="s">
        <v>3424</v>
      </c>
      <c r="B6627" s="323" t="s">
        <v>805</v>
      </c>
      <c r="C6627" s="323">
        <v>75388</v>
      </c>
      <c r="D6627" s="323">
        <v>61</v>
      </c>
      <c r="E6627" s="324">
        <f t="shared" si="103"/>
        <v>14875.460000000001</v>
      </c>
    </row>
    <row r="6628" spans="1:5" x14ac:dyDescent="0.25">
      <c r="A6628" s="323" t="s">
        <v>3512</v>
      </c>
      <c r="B6628" s="323" t="s">
        <v>805</v>
      </c>
      <c r="C6628" s="323">
        <v>75388</v>
      </c>
      <c r="D6628" s="323">
        <v>178</v>
      </c>
      <c r="E6628" s="324">
        <f t="shared" si="103"/>
        <v>43407.08</v>
      </c>
    </row>
    <row r="6629" spans="1:5" x14ac:dyDescent="0.25">
      <c r="A6629" s="323" t="s">
        <v>3758</v>
      </c>
      <c r="B6629" s="323" t="s">
        <v>805</v>
      </c>
      <c r="C6629" s="323">
        <v>75388</v>
      </c>
      <c r="D6629" s="323">
        <v>804</v>
      </c>
      <c r="E6629" s="324">
        <f t="shared" si="103"/>
        <v>196063.44</v>
      </c>
    </row>
    <row r="6630" spans="1:5" x14ac:dyDescent="0.25">
      <c r="A6630" s="323" t="s">
        <v>3911</v>
      </c>
      <c r="B6630" s="323" t="s">
        <v>805</v>
      </c>
      <c r="C6630" s="323">
        <v>75388</v>
      </c>
      <c r="D6630" s="323">
        <v>218</v>
      </c>
      <c r="E6630" s="324">
        <f t="shared" si="103"/>
        <v>53161.48</v>
      </c>
    </row>
    <row r="6631" spans="1:5" x14ac:dyDescent="0.25">
      <c r="A6631" s="323" t="s">
        <v>3956</v>
      </c>
      <c r="B6631" s="323" t="s">
        <v>805</v>
      </c>
      <c r="C6631" s="323">
        <v>75388</v>
      </c>
      <c r="D6631" s="323">
        <v>354</v>
      </c>
      <c r="E6631" s="324">
        <f t="shared" si="103"/>
        <v>86326.44</v>
      </c>
    </row>
    <row r="6632" spans="1:5" x14ac:dyDescent="0.25">
      <c r="A6632" s="323" t="s">
        <v>3971</v>
      </c>
      <c r="B6632" s="323" t="s">
        <v>805</v>
      </c>
      <c r="C6632" s="323">
        <v>75388</v>
      </c>
      <c r="D6632" s="323">
        <v>155</v>
      </c>
      <c r="E6632" s="324">
        <f t="shared" si="103"/>
        <v>37798.300000000003</v>
      </c>
    </row>
    <row r="6633" spans="1:5" x14ac:dyDescent="0.25">
      <c r="A6633" s="323" t="s">
        <v>4177</v>
      </c>
      <c r="B6633" s="323" t="s">
        <v>805</v>
      </c>
      <c r="C6633" s="323">
        <v>75388</v>
      </c>
      <c r="D6633" s="323">
        <v>356</v>
      </c>
      <c r="E6633" s="324">
        <f t="shared" si="103"/>
        <v>86814.16</v>
      </c>
    </row>
    <row r="6634" spans="1:5" x14ac:dyDescent="0.25">
      <c r="A6634" s="323" t="s">
        <v>4305</v>
      </c>
      <c r="B6634" s="323" t="s">
        <v>805</v>
      </c>
      <c r="C6634" s="323">
        <v>75388</v>
      </c>
      <c r="D6634" s="323">
        <v>116</v>
      </c>
      <c r="E6634" s="324">
        <f t="shared" si="103"/>
        <v>28287.760000000002</v>
      </c>
    </row>
    <row r="6635" spans="1:5" x14ac:dyDescent="0.25">
      <c r="A6635" s="323" t="s">
        <v>4415</v>
      </c>
      <c r="B6635" s="323" t="s">
        <v>805</v>
      </c>
      <c r="C6635" s="323">
        <v>75388</v>
      </c>
      <c r="D6635" s="323">
        <v>395</v>
      </c>
      <c r="E6635" s="324">
        <f t="shared" si="103"/>
        <v>96324.700000000012</v>
      </c>
    </row>
    <row r="6636" spans="1:5" x14ac:dyDescent="0.25">
      <c r="A6636" s="323" t="s">
        <v>6094</v>
      </c>
      <c r="B6636" s="323" t="s">
        <v>805</v>
      </c>
      <c r="C6636" s="323">
        <v>75388</v>
      </c>
      <c r="D6636" s="323">
        <v>131</v>
      </c>
      <c r="E6636" s="324">
        <f t="shared" si="103"/>
        <v>31945.660000000003</v>
      </c>
    </row>
    <row r="6637" spans="1:5" x14ac:dyDescent="0.25">
      <c r="A6637" s="323" t="s">
        <v>6623</v>
      </c>
      <c r="B6637" s="323" t="s">
        <v>805</v>
      </c>
      <c r="C6637" s="323">
        <v>75388</v>
      </c>
      <c r="D6637" s="323">
        <v>330</v>
      </c>
      <c r="E6637" s="324">
        <f t="shared" si="103"/>
        <v>80473.8</v>
      </c>
    </row>
    <row r="6638" spans="1:5" x14ac:dyDescent="0.25">
      <c r="A6638" s="323" t="s">
        <v>6627</v>
      </c>
      <c r="B6638" s="323" t="s">
        <v>805</v>
      </c>
      <c r="C6638" s="323">
        <v>75388</v>
      </c>
      <c r="D6638" s="323">
        <v>312</v>
      </c>
      <c r="E6638" s="324">
        <f t="shared" si="103"/>
        <v>76084.320000000007</v>
      </c>
    </row>
    <row r="6639" spans="1:5" x14ac:dyDescent="0.25">
      <c r="A6639" s="323" t="s">
        <v>6628</v>
      </c>
      <c r="B6639" s="323" t="s">
        <v>805</v>
      </c>
      <c r="C6639" s="323">
        <v>75388</v>
      </c>
      <c r="D6639" s="323">
        <v>97</v>
      </c>
      <c r="E6639" s="324">
        <f t="shared" si="103"/>
        <v>23654.420000000002</v>
      </c>
    </row>
    <row r="6640" spans="1:5" x14ac:dyDescent="0.25">
      <c r="A6640" s="323" t="s">
        <v>6984</v>
      </c>
      <c r="B6640" s="323" t="s">
        <v>805</v>
      </c>
      <c r="C6640" s="323">
        <v>75388</v>
      </c>
      <c r="D6640" s="323">
        <v>150</v>
      </c>
      <c r="E6640" s="324">
        <f t="shared" si="103"/>
        <v>36579</v>
      </c>
    </row>
    <row r="6641" spans="1:5" x14ac:dyDescent="0.25">
      <c r="A6641" s="323" t="s">
        <v>7004</v>
      </c>
      <c r="B6641" s="323" t="s">
        <v>805</v>
      </c>
      <c r="C6641" s="323">
        <v>75388</v>
      </c>
      <c r="D6641" s="323">
        <v>231</v>
      </c>
      <c r="E6641" s="324">
        <f t="shared" si="103"/>
        <v>56331.66</v>
      </c>
    </row>
    <row r="6642" spans="1:5" x14ac:dyDescent="0.25">
      <c r="A6642" s="323" t="s">
        <v>7042</v>
      </c>
      <c r="B6642" s="323" t="s">
        <v>805</v>
      </c>
      <c r="C6642" s="323">
        <v>75388</v>
      </c>
      <c r="D6642" s="323">
        <v>119</v>
      </c>
      <c r="E6642" s="324">
        <f t="shared" si="103"/>
        <v>29019.34</v>
      </c>
    </row>
    <row r="6643" spans="1:5" x14ac:dyDescent="0.25">
      <c r="A6643" s="323" t="s">
        <v>7085</v>
      </c>
      <c r="B6643" s="323" t="s">
        <v>805</v>
      </c>
      <c r="C6643" s="323">
        <v>75388</v>
      </c>
      <c r="D6643" s="323">
        <v>153</v>
      </c>
      <c r="E6643" s="324">
        <f t="shared" si="103"/>
        <v>37310.58</v>
      </c>
    </row>
    <row r="6644" spans="1:5" x14ac:dyDescent="0.25">
      <c r="A6644" s="323" t="s">
        <v>7295</v>
      </c>
      <c r="B6644" s="323" t="s">
        <v>805</v>
      </c>
      <c r="C6644" s="323">
        <v>75388</v>
      </c>
      <c r="D6644" s="323">
        <v>171</v>
      </c>
      <c r="E6644" s="324">
        <f t="shared" si="103"/>
        <v>41700.060000000005</v>
      </c>
    </row>
    <row r="6645" spans="1:5" x14ac:dyDescent="0.25">
      <c r="A6645" s="323" t="s">
        <v>1828</v>
      </c>
      <c r="B6645" s="323" t="s">
        <v>805</v>
      </c>
      <c r="C6645" s="323">
        <v>75531</v>
      </c>
      <c r="D6645" s="323">
        <v>185</v>
      </c>
      <c r="E6645" s="324">
        <f t="shared" si="103"/>
        <v>45114.100000000006</v>
      </c>
    </row>
    <row r="6646" spans="1:5" x14ac:dyDescent="0.25">
      <c r="A6646" s="323" t="s">
        <v>2862</v>
      </c>
      <c r="B6646" s="323" t="s">
        <v>805</v>
      </c>
      <c r="C6646" s="323">
        <v>75531</v>
      </c>
      <c r="D6646" s="323">
        <v>382</v>
      </c>
      <c r="E6646" s="324">
        <f t="shared" si="103"/>
        <v>93154.52</v>
      </c>
    </row>
    <row r="6647" spans="1:5" x14ac:dyDescent="0.25">
      <c r="A6647" s="323" t="s">
        <v>3313</v>
      </c>
      <c r="B6647" s="323" t="s">
        <v>805</v>
      </c>
      <c r="C6647" s="323">
        <v>75531</v>
      </c>
      <c r="D6647" s="323">
        <v>199</v>
      </c>
      <c r="E6647" s="324">
        <f t="shared" si="103"/>
        <v>48528.14</v>
      </c>
    </row>
    <row r="6648" spans="1:5" x14ac:dyDescent="0.25">
      <c r="A6648" s="323" t="s">
        <v>7161</v>
      </c>
      <c r="B6648" s="323" t="s">
        <v>805</v>
      </c>
      <c r="C6648" s="323">
        <v>75531</v>
      </c>
      <c r="D6648" s="323">
        <v>223</v>
      </c>
      <c r="E6648" s="324">
        <f t="shared" si="103"/>
        <v>54380.780000000006</v>
      </c>
    </row>
    <row r="6649" spans="1:5" x14ac:dyDescent="0.25">
      <c r="A6649" s="323" t="s">
        <v>7377</v>
      </c>
      <c r="B6649" s="323" t="s">
        <v>805</v>
      </c>
      <c r="C6649" s="323">
        <v>75531</v>
      </c>
      <c r="D6649" s="323">
        <v>488</v>
      </c>
      <c r="E6649" s="324">
        <f t="shared" si="103"/>
        <v>119003.68000000001</v>
      </c>
    </row>
    <row r="6650" spans="1:5" x14ac:dyDescent="0.25">
      <c r="A6650" s="323" t="s">
        <v>1108</v>
      </c>
      <c r="B6650" s="323" t="s">
        <v>805</v>
      </c>
      <c r="C6650" s="323">
        <v>75597</v>
      </c>
      <c r="D6650" s="323">
        <v>282</v>
      </c>
      <c r="E6650" s="324">
        <f t="shared" si="103"/>
        <v>68768.52</v>
      </c>
    </row>
    <row r="6651" spans="1:5" x14ac:dyDescent="0.25">
      <c r="A6651" s="323" t="s">
        <v>1258</v>
      </c>
      <c r="B6651" s="323" t="s">
        <v>805</v>
      </c>
      <c r="C6651" s="323">
        <v>75597</v>
      </c>
      <c r="D6651" s="323">
        <v>154</v>
      </c>
      <c r="E6651" s="324">
        <f t="shared" si="103"/>
        <v>37554.44</v>
      </c>
    </row>
    <row r="6652" spans="1:5" x14ac:dyDescent="0.25">
      <c r="A6652" s="323" t="s">
        <v>1259</v>
      </c>
      <c r="B6652" s="323" t="s">
        <v>816</v>
      </c>
      <c r="C6652" s="323">
        <v>75597</v>
      </c>
      <c r="D6652" s="323">
        <v>99</v>
      </c>
      <c r="E6652" s="324">
        <f t="shared" si="103"/>
        <v>36213.21</v>
      </c>
    </row>
    <row r="6653" spans="1:5" x14ac:dyDescent="0.25">
      <c r="A6653" s="323" t="s">
        <v>1311</v>
      </c>
      <c r="B6653" s="323" t="s">
        <v>805</v>
      </c>
      <c r="C6653" s="323">
        <v>75597</v>
      </c>
      <c r="D6653" s="323">
        <v>158</v>
      </c>
      <c r="E6653" s="324">
        <f t="shared" si="103"/>
        <v>38529.880000000005</v>
      </c>
    </row>
    <row r="6654" spans="1:5" x14ac:dyDescent="0.25">
      <c r="A6654" s="323" t="s">
        <v>1348</v>
      </c>
      <c r="B6654" s="323" t="s">
        <v>805</v>
      </c>
      <c r="C6654" s="323">
        <v>75597</v>
      </c>
      <c r="D6654" s="323">
        <v>341</v>
      </c>
      <c r="E6654" s="324">
        <f t="shared" si="103"/>
        <v>83156.260000000009</v>
      </c>
    </row>
    <row r="6655" spans="1:5" x14ac:dyDescent="0.25">
      <c r="A6655" s="323" t="s">
        <v>2273</v>
      </c>
      <c r="B6655" s="323" t="s">
        <v>805</v>
      </c>
      <c r="C6655" s="323">
        <v>75597</v>
      </c>
      <c r="D6655" s="323">
        <v>484</v>
      </c>
      <c r="E6655" s="324">
        <f t="shared" si="103"/>
        <v>118028.24</v>
      </c>
    </row>
    <row r="6656" spans="1:5" x14ac:dyDescent="0.25">
      <c r="A6656" s="323" t="s">
        <v>2564</v>
      </c>
      <c r="B6656" s="323" t="s">
        <v>805</v>
      </c>
      <c r="C6656" s="323">
        <v>75597</v>
      </c>
      <c r="D6656" s="323">
        <v>265</v>
      </c>
      <c r="E6656" s="324">
        <f t="shared" si="103"/>
        <v>64622.9</v>
      </c>
    </row>
    <row r="6657" spans="1:5" x14ac:dyDescent="0.25">
      <c r="A6657" s="323" t="s">
        <v>2832</v>
      </c>
      <c r="B6657" s="323" t="s">
        <v>805</v>
      </c>
      <c r="C6657" s="323">
        <v>75597</v>
      </c>
      <c r="D6657" s="323">
        <v>383</v>
      </c>
      <c r="E6657" s="324">
        <f t="shared" si="103"/>
        <v>93398.38</v>
      </c>
    </row>
    <row r="6658" spans="1:5" x14ac:dyDescent="0.25">
      <c r="A6658" s="323" t="s">
        <v>3955</v>
      </c>
      <c r="B6658" s="323" t="s">
        <v>805</v>
      </c>
      <c r="C6658" s="323">
        <v>75597</v>
      </c>
      <c r="D6658" s="323">
        <v>315</v>
      </c>
      <c r="E6658" s="324">
        <f t="shared" ref="E6658:E6721" si="104">D6658*IF(B6658=$G$9,WerkdrukbedragPerLeerlingBo,IF(B6658=$G$10,WerkdrukbedragPerLeerlingSbo,IF(B6658=$G$11,WerkdrukbedragPerLeerlingSo,IF(B6658=$G$12,WerkdrukbedragPerLeerlingVso,0))))</f>
        <v>76815.900000000009</v>
      </c>
    </row>
    <row r="6659" spans="1:5" x14ac:dyDescent="0.25">
      <c r="A6659" s="323" t="s">
        <v>3969</v>
      </c>
      <c r="B6659" s="323" t="s">
        <v>805</v>
      </c>
      <c r="C6659" s="323">
        <v>75597</v>
      </c>
      <c r="D6659" s="323">
        <v>333</v>
      </c>
      <c r="E6659" s="324">
        <f t="shared" si="104"/>
        <v>81205.38</v>
      </c>
    </row>
    <row r="6660" spans="1:5" x14ac:dyDescent="0.25">
      <c r="A6660" s="323" t="s">
        <v>4133</v>
      </c>
      <c r="B6660" s="323" t="s">
        <v>805</v>
      </c>
      <c r="C6660" s="323">
        <v>75597</v>
      </c>
      <c r="D6660" s="323">
        <v>424</v>
      </c>
      <c r="E6660" s="324">
        <f t="shared" si="104"/>
        <v>103396.64</v>
      </c>
    </row>
    <row r="6661" spans="1:5" x14ac:dyDescent="0.25">
      <c r="A6661" s="323" t="s">
        <v>4268</v>
      </c>
      <c r="B6661" s="323" t="s">
        <v>805</v>
      </c>
      <c r="C6661" s="323">
        <v>75597</v>
      </c>
      <c r="D6661" s="323">
        <v>148</v>
      </c>
      <c r="E6661" s="324">
        <f t="shared" si="104"/>
        <v>36091.279999999999</v>
      </c>
    </row>
    <row r="6662" spans="1:5" x14ac:dyDescent="0.25">
      <c r="A6662" s="323" t="s">
        <v>4479</v>
      </c>
      <c r="B6662" s="323" t="s">
        <v>805</v>
      </c>
      <c r="C6662" s="323">
        <v>75597</v>
      </c>
      <c r="D6662" s="323">
        <v>326</v>
      </c>
      <c r="E6662" s="324">
        <f t="shared" si="104"/>
        <v>79498.36</v>
      </c>
    </row>
    <row r="6663" spans="1:5" x14ac:dyDescent="0.25">
      <c r="A6663" s="323" t="s">
        <v>4481</v>
      </c>
      <c r="B6663" s="323" t="s">
        <v>805</v>
      </c>
      <c r="C6663" s="323">
        <v>75597</v>
      </c>
      <c r="D6663" s="323">
        <v>246</v>
      </c>
      <c r="E6663" s="324">
        <f t="shared" si="104"/>
        <v>59989.560000000005</v>
      </c>
    </row>
    <row r="6664" spans="1:5" x14ac:dyDescent="0.25">
      <c r="A6664" s="323" t="s">
        <v>4586</v>
      </c>
      <c r="B6664" s="323" t="s">
        <v>805</v>
      </c>
      <c r="C6664" s="323">
        <v>75597</v>
      </c>
      <c r="D6664" s="323">
        <v>271</v>
      </c>
      <c r="E6664" s="324">
        <f t="shared" si="104"/>
        <v>66086.06</v>
      </c>
    </row>
    <row r="6665" spans="1:5" x14ac:dyDescent="0.25">
      <c r="A6665" s="323" t="s">
        <v>5215</v>
      </c>
      <c r="B6665" s="323" t="s">
        <v>805</v>
      </c>
      <c r="C6665" s="323">
        <v>75597</v>
      </c>
      <c r="D6665" s="323">
        <v>273</v>
      </c>
      <c r="E6665" s="324">
        <f t="shared" si="104"/>
        <v>66573.78</v>
      </c>
    </row>
    <row r="6666" spans="1:5" x14ac:dyDescent="0.25">
      <c r="A6666" s="323" t="s">
        <v>5842</v>
      </c>
      <c r="B6666" s="323" t="s">
        <v>816</v>
      </c>
      <c r="C6666" s="323">
        <v>75597</v>
      </c>
      <c r="D6666" s="323">
        <v>109</v>
      </c>
      <c r="E6666" s="324">
        <f t="shared" si="104"/>
        <v>39871.11</v>
      </c>
    </row>
    <row r="6667" spans="1:5" x14ac:dyDescent="0.25">
      <c r="A6667" s="323" t="s">
        <v>2494</v>
      </c>
      <c r="B6667" s="323" t="s">
        <v>805</v>
      </c>
      <c r="C6667" s="323">
        <v>75688</v>
      </c>
      <c r="D6667" s="323">
        <v>250</v>
      </c>
      <c r="E6667" s="324">
        <f t="shared" si="104"/>
        <v>60965</v>
      </c>
    </row>
    <row r="6668" spans="1:5" x14ac:dyDescent="0.25">
      <c r="A6668" s="323" t="s">
        <v>1939</v>
      </c>
      <c r="B6668" s="323" t="s">
        <v>805</v>
      </c>
      <c r="C6668" s="323">
        <v>75753</v>
      </c>
      <c r="D6668" s="323">
        <v>75</v>
      </c>
      <c r="E6668" s="324">
        <f t="shared" si="104"/>
        <v>18289.5</v>
      </c>
    </row>
    <row r="6669" spans="1:5" x14ac:dyDescent="0.25">
      <c r="A6669" s="323" t="s">
        <v>2318</v>
      </c>
      <c r="B6669" s="323" t="s">
        <v>805</v>
      </c>
      <c r="C6669" s="323">
        <v>75753</v>
      </c>
      <c r="D6669" s="323">
        <v>724</v>
      </c>
      <c r="E6669" s="324">
        <f t="shared" si="104"/>
        <v>176554.64</v>
      </c>
    </row>
    <row r="6670" spans="1:5" x14ac:dyDescent="0.25">
      <c r="A6670" s="323" t="s">
        <v>3082</v>
      </c>
      <c r="B6670" s="323" t="s">
        <v>805</v>
      </c>
      <c r="C6670" s="323">
        <v>75753</v>
      </c>
      <c r="D6670" s="323">
        <v>86</v>
      </c>
      <c r="E6670" s="324">
        <f t="shared" si="104"/>
        <v>20971.960000000003</v>
      </c>
    </row>
    <row r="6671" spans="1:5" x14ac:dyDescent="0.25">
      <c r="A6671" s="323" t="s">
        <v>3126</v>
      </c>
      <c r="B6671" s="323" t="s">
        <v>805</v>
      </c>
      <c r="C6671" s="323">
        <v>75753</v>
      </c>
      <c r="D6671" s="323">
        <v>158</v>
      </c>
      <c r="E6671" s="324">
        <f t="shared" si="104"/>
        <v>38529.880000000005</v>
      </c>
    </row>
    <row r="6672" spans="1:5" x14ac:dyDescent="0.25">
      <c r="A6672" s="323" t="s">
        <v>3149</v>
      </c>
      <c r="B6672" s="323" t="s">
        <v>805</v>
      </c>
      <c r="C6672" s="323">
        <v>75753</v>
      </c>
      <c r="D6672" s="323">
        <v>242</v>
      </c>
      <c r="E6672" s="324">
        <f t="shared" si="104"/>
        <v>59014.12</v>
      </c>
    </row>
    <row r="6673" spans="1:5" x14ac:dyDescent="0.25">
      <c r="A6673" s="323" t="s">
        <v>3189</v>
      </c>
      <c r="B6673" s="323" t="s">
        <v>805</v>
      </c>
      <c r="C6673" s="323">
        <v>75753</v>
      </c>
      <c r="D6673" s="323">
        <v>280</v>
      </c>
      <c r="E6673" s="324">
        <f t="shared" si="104"/>
        <v>68280.800000000003</v>
      </c>
    </row>
    <row r="6674" spans="1:5" x14ac:dyDescent="0.25">
      <c r="A6674" s="323" t="s">
        <v>3349</v>
      </c>
      <c r="B6674" s="323" t="s">
        <v>805</v>
      </c>
      <c r="C6674" s="323">
        <v>75753</v>
      </c>
      <c r="D6674" s="323">
        <v>210</v>
      </c>
      <c r="E6674" s="324">
        <f t="shared" si="104"/>
        <v>51210.600000000006</v>
      </c>
    </row>
    <row r="6675" spans="1:5" x14ac:dyDescent="0.25">
      <c r="A6675" s="323" t="s">
        <v>3491</v>
      </c>
      <c r="B6675" s="323" t="s">
        <v>805</v>
      </c>
      <c r="C6675" s="323">
        <v>75753</v>
      </c>
      <c r="D6675" s="323">
        <v>189</v>
      </c>
      <c r="E6675" s="324">
        <f t="shared" si="104"/>
        <v>46089.54</v>
      </c>
    </row>
    <row r="6676" spans="1:5" x14ac:dyDescent="0.25">
      <c r="A6676" s="323" t="s">
        <v>5358</v>
      </c>
      <c r="B6676" s="323" t="s">
        <v>805</v>
      </c>
      <c r="C6676" s="323">
        <v>75753</v>
      </c>
      <c r="D6676" s="323">
        <v>344</v>
      </c>
      <c r="E6676" s="324">
        <f t="shared" si="104"/>
        <v>83887.840000000011</v>
      </c>
    </row>
    <row r="6677" spans="1:5" x14ac:dyDescent="0.25">
      <c r="A6677" s="323" t="s">
        <v>5433</v>
      </c>
      <c r="B6677" s="323" t="s">
        <v>805</v>
      </c>
      <c r="C6677" s="323">
        <v>75753</v>
      </c>
      <c r="D6677" s="323">
        <v>93</v>
      </c>
      <c r="E6677" s="324">
        <f t="shared" si="104"/>
        <v>22678.98</v>
      </c>
    </row>
    <row r="6678" spans="1:5" x14ac:dyDescent="0.25">
      <c r="A6678" s="323" t="s">
        <v>5489</v>
      </c>
      <c r="B6678" s="323" t="s">
        <v>805</v>
      </c>
      <c r="C6678" s="323">
        <v>75753</v>
      </c>
      <c r="D6678" s="323">
        <v>129</v>
      </c>
      <c r="E6678" s="324">
        <f t="shared" si="104"/>
        <v>31457.940000000002</v>
      </c>
    </row>
    <row r="6679" spans="1:5" x14ac:dyDescent="0.25">
      <c r="A6679" s="323" t="s">
        <v>5528</v>
      </c>
      <c r="B6679" s="323" t="s">
        <v>805</v>
      </c>
      <c r="C6679" s="323">
        <v>75753</v>
      </c>
      <c r="D6679" s="323">
        <v>586</v>
      </c>
      <c r="E6679" s="324">
        <f t="shared" si="104"/>
        <v>142901.96000000002</v>
      </c>
    </row>
    <row r="6680" spans="1:5" x14ac:dyDescent="0.25">
      <c r="A6680" s="323" t="s">
        <v>1003</v>
      </c>
      <c r="B6680" s="323" t="s">
        <v>809</v>
      </c>
      <c r="C6680" s="323">
        <v>75778</v>
      </c>
      <c r="D6680" s="323">
        <v>90</v>
      </c>
      <c r="E6680" s="324">
        <f t="shared" si="104"/>
        <v>43894.8</v>
      </c>
    </row>
    <row r="6681" spans="1:5" x14ac:dyDescent="0.25">
      <c r="A6681" s="323" t="s">
        <v>1003</v>
      </c>
      <c r="B6681" s="323" t="s">
        <v>803</v>
      </c>
      <c r="C6681" s="323">
        <v>75778</v>
      </c>
      <c r="D6681" s="323">
        <v>33</v>
      </c>
      <c r="E6681" s="324">
        <f t="shared" si="104"/>
        <v>16094.76</v>
      </c>
    </row>
    <row r="6682" spans="1:5" x14ac:dyDescent="0.25">
      <c r="A6682" s="323" t="s">
        <v>5997</v>
      </c>
      <c r="B6682" s="323" t="s">
        <v>805</v>
      </c>
      <c r="C6682" s="323">
        <v>75934</v>
      </c>
      <c r="D6682" s="323">
        <v>390</v>
      </c>
      <c r="E6682" s="324">
        <f t="shared" si="104"/>
        <v>95105.400000000009</v>
      </c>
    </row>
    <row r="6683" spans="1:5" x14ac:dyDescent="0.25">
      <c r="A6683" s="323" t="s">
        <v>3177</v>
      </c>
      <c r="B6683" s="323" t="s">
        <v>805</v>
      </c>
      <c r="C6683" s="323">
        <v>75974</v>
      </c>
      <c r="D6683" s="323">
        <v>232</v>
      </c>
      <c r="E6683" s="324">
        <f t="shared" si="104"/>
        <v>56575.520000000004</v>
      </c>
    </row>
    <row r="6684" spans="1:5" x14ac:dyDescent="0.25">
      <c r="A6684" s="323" t="s">
        <v>2502</v>
      </c>
      <c r="B6684" s="323" t="s">
        <v>805</v>
      </c>
      <c r="C6684" s="323">
        <v>76585</v>
      </c>
      <c r="D6684" s="323">
        <v>215</v>
      </c>
      <c r="E6684" s="324">
        <f t="shared" si="104"/>
        <v>52429.9</v>
      </c>
    </row>
    <row r="6685" spans="1:5" x14ac:dyDescent="0.25">
      <c r="A6685" s="323" t="s">
        <v>2505</v>
      </c>
      <c r="B6685" s="323" t="s">
        <v>805</v>
      </c>
      <c r="C6685" s="323">
        <v>76663</v>
      </c>
      <c r="D6685" s="323">
        <v>204</v>
      </c>
      <c r="E6685" s="324">
        <f t="shared" si="104"/>
        <v>49747.44</v>
      </c>
    </row>
    <row r="6686" spans="1:5" x14ac:dyDescent="0.25">
      <c r="A6686" s="323" t="s">
        <v>920</v>
      </c>
      <c r="B6686" s="323" t="s">
        <v>809</v>
      </c>
      <c r="C6686" s="323">
        <v>76689</v>
      </c>
      <c r="D6686" s="323">
        <v>156</v>
      </c>
      <c r="E6686" s="324">
        <f t="shared" si="104"/>
        <v>76084.320000000007</v>
      </c>
    </row>
    <row r="6687" spans="1:5" x14ac:dyDescent="0.25">
      <c r="A6687" s="323" t="s">
        <v>920</v>
      </c>
      <c r="B6687" s="323" t="s">
        <v>809</v>
      </c>
      <c r="C6687" s="323">
        <v>76689</v>
      </c>
      <c r="D6687" s="323">
        <v>159</v>
      </c>
      <c r="E6687" s="324">
        <f t="shared" si="104"/>
        <v>77547.48000000001</v>
      </c>
    </row>
    <row r="6688" spans="1:5" x14ac:dyDescent="0.25">
      <c r="A6688" s="323" t="s">
        <v>1106</v>
      </c>
      <c r="B6688" s="323" t="s">
        <v>809</v>
      </c>
      <c r="C6688" s="323">
        <v>76689</v>
      </c>
      <c r="D6688" s="323">
        <v>71</v>
      </c>
      <c r="E6688" s="324">
        <f t="shared" si="104"/>
        <v>34628.120000000003</v>
      </c>
    </row>
    <row r="6689" spans="1:5" x14ac:dyDescent="0.25">
      <c r="A6689" s="323" t="s">
        <v>1106</v>
      </c>
      <c r="B6689" s="323" t="s">
        <v>803</v>
      </c>
      <c r="C6689" s="323">
        <v>76689</v>
      </c>
      <c r="D6689" s="323">
        <v>220</v>
      </c>
      <c r="E6689" s="324">
        <f t="shared" si="104"/>
        <v>107298.40000000001</v>
      </c>
    </row>
    <row r="6690" spans="1:5" x14ac:dyDescent="0.25">
      <c r="A6690" s="323" t="s">
        <v>5146</v>
      </c>
      <c r="B6690" s="323" t="s">
        <v>803</v>
      </c>
      <c r="C6690" s="323">
        <v>76689</v>
      </c>
      <c r="D6690" s="323">
        <v>236</v>
      </c>
      <c r="E6690" s="324">
        <f t="shared" si="104"/>
        <v>115101.92000000001</v>
      </c>
    </row>
    <row r="6691" spans="1:5" x14ac:dyDescent="0.25">
      <c r="A6691" s="323" t="s">
        <v>5146</v>
      </c>
      <c r="B6691" s="323" t="s">
        <v>809</v>
      </c>
      <c r="C6691" s="323">
        <v>76689</v>
      </c>
      <c r="D6691" s="323">
        <v>98</v>
      </c>
      <c r="E6691" s="324">
        <f t="shared" si="104"/>
        <v>47796.560000000005</v>
      </c>
    </row>
    <row r="6692" spans="1:5" x14ac:dyDescent="0.25">
      <c r="A6692" s="323" t="s">
        <v>5146</v>
      </c>
      <c r="B6692" s="323" t="s">
        <v>803</v>
      </c>
      <c r="C6692" s="323">
        <v>76689</v>
      </c>
      <c r="D6692" s="323">
        <v>34</v>
      </c>
      <c r="E6692" s="324">
        <f t="shared" si="104"/>
        <v>16582.48</v>
      </c>
    </row>
    <row r="6693" spans="1:5" x14ac:dyDescent="0.25">
      <c r="A6693" s="323" t="s">
        <v>6931</v>
      </c>
      <c r="B6693" s="323" t="s">
        <v>803</v>
      </c>
      <c r="C6693" s="323">
        <v>76689</v>
      </c>
      <c r="D6693" s="323">
        <v>169</v>
      </c>
      <c r="E6693" s="324">
        <f t="shared" si="104"/>
        <v>82424.680000000008</v>
      </c>
    </row>
    <row r="6694" spans="1:5" x14ac:dyDescent="0.25">
      <c r="A6694" s="323" t="s">
        <v>6931</v>
      </c>
      <c r="B6694" s="323" t="s">
        <v>803</v>
      </c>
      <c r="C6694" s="323">
        <v>76689</v>
      </c>
      <c r="D6694" s="323">
        <v>125</v>
      </c>
      <c r="E6694" s="324">
        <f t="shared" si="104"/>
        <v>60965</v>
      </c>
    </row>
    <row r="6695" spans="1:5" x14ac:dyDescent="0.25">
      <c r="A6695" s="323" t="s">
        <v>1081</v>
      </c>
      <c r="B6695" s="323" t="s">
        <v>805</v>
      </c>
      <c r="C6695" s="323">
        <v>76715</v>
      </c>
      <c r="D6695" s="323">
        <v>73</v>
      </c>
      <c r="E6695" s="324">
        <f t="shared" si="104"/>
        <v>17801.780000000002</v>
      </c>
    </row>
    <row r="6696" spans="1:5" x14ac:dyDescent="0.25">
      <c r="A6696" s="323" t="s">
        <v>3179</v>
      </c>
      <c r="B6696" s="323" t="s">
        <v>805</v>
      </c>
      <c r="C6696" s="323">
        <v>76715</v>
      </c>
      <c r="D6696" s="323">
        <v>425</v>
      </c>
      <c r="E6696" s="324">
        <f t="shared" si="104"/>
        <v>103640.5</v>
      </c>
    </row>
    <row r="6697" spans="1:5" x14ac:dyDescent="0.25">
      <c r="A6697" s="323" t="s">
        <v>1845</v>
      </c>
      <c r="B6697" s="323" t="s">
        <v>805</v>
      </c>
      <c r="C6697" s="323">
        <v>76740</v>
      </c>
      <c r="D6697" s="323">
        <v>570</v>
      </c>
      <c r="E6697" s="324">
        <f t="shared" si="104"/>
        <v>139000.20000000001</v>
      </c>
    </row>
    <row r="6698" spans="1:5" x14ac:dyDescent="0.25">
      <c r="A6698" s="323" t="s">
        <v>3181</v>
      </c>
      <c r="B6698" s="323" t="s">
        <v>805</v>
      </c>
      <c r="C6698" s="323">
        <v>76793</v>
      </c>
      <c r="D6698" s="323">
        <v>413</v>
      </c>
      <c r="E6698" s="324">
        <f t="shared" si="104"/>
        <v>100714.18000000001</v>
      </c>
    </row>
    <row r="6699" spans="1:5" x14ac:dyDescent="0.25">
      <c r="A6699" s="323" t="s">
        <v>1118</v>
      </c>
      <c r="B6699" s="323" t="s">
        <v>805</v>
      </c>
      <c r="C6699" s="323">
        <v>76806</v>
      </c>
      <c r="D6699" s="323">
        <v>144</v>
      </c>
      <c r="E6699" s="324">
        <f t="shared" si="104"/>
        <v>35115.840000000004</v>
      </c>
    </row>
    <row r="6700" spans="1:5" x14ac:dyDescent="0.25">
      <c r="A6700" s="323" t="s">
        <v>1132</v>
      </c>
      <c r="B6700" s="323" t="s">
        <v>805</v>
      </c>
      <c r="C6700" s="323">
        <v>76806</v>
      </c>
      <c r="D6700" s="323">
        <v>166</v>
      </c>
      <c r="E6700" s="324">
        <f t="shared" si="104"/>
        <v>40480.76</v>
      </c>
    </row>
    <row r="6701" spans="1:5" x14ac:dyDescent="0.25">
      <c r="A6701" s="323" t="s">
        <v>1395</v>
      </c>
      <c r="B6701" s="323" t="s">
        <v>816</v>
      </c>
      <c r="C6701" s="323">
        <v>76806</v>
      </c>
      <c r="D6701" s="323">
        <v>121</v>
      </c>
      <c r="E6701" s="324">
        <f t="shared" si="104"/>
        <v>44260.590000000004</v>
      </c>
    </row>
    <row r="6702" spans="1:5" x14ac:dyDescent="0.25">
      <c r="A6702" s="323" t="s">
        <v>1638</v>
      </c>
      <c r="B6702" s="323" t="s">
        <v>805</v>
      </c>
      <c r="C6702" s="323">
        <v>76806</v>
      </c>
      <c r="D6702" s="323">
        <v>117</v>
      </c>
      <c r="E6702" s="324">
        <f t="shared" si="104"/>
        <v>28531.620000000003</v>
      </c>
    </row>
    <row r="6703" spans="1:5" x14ac:dyDescent="0.25">
      <c r="A6703" s="323" t="s">
        <v>2188</v>
      </c>
      <c r="B6703" s="323" t="s">
        <v>805</v>
      </c>
      <c r="C6703" s="323">
        <v>76806</v>
      </c>
      <c r="D6703" s="323">
        <v>181</v>
      </c>
      <c r="E6703" s="324">
        <f t="shared" si="104"/>
        <v>44138.66</v>
      </c>
    </row>
    <row r="6704" spans="1:5" x14ac:dyDescent="0.25">
      <c r="A6704" s="323" t="s">
        <v>2311</v>
      </c>
      <c r="B6704" s="323" t="s">
        <v>805</v>
      </c>
      <c r="C6704" s="323">
        <v>76806</v>
      </c>
      <c r="D6704" s="323">
        <v>173</v>
      </c>
      <c r="E6704" s="324">
        <f t="shared" si="104"/>
        <v>42187.78</v>
      </c>
    </row>
    <row r="6705" spans="1:5" x14ac:dyDescent="0.25">
      <c r="A6705" s="323" t="s">
        <v>2506</v>
      </c>
      <c r="B6705" s="323" t="s">
        <v>805</v>
      </c>
      <c r="C6705" s="323">
        <v>76806</v>
      </c>
      <c r="D6705" s="323">
        <v>152</v>
      </c>
      <c r="E6705" s="324">
        <f t="shared" si="104"/>
        <v>37066.720000000001</v>
      </c>
    </row>
    <row r="6706" spans="1:5" x14ac:dyDescent="0.25">
      <c r="A6706" s="323" t="s">
        <v>2514</v>
      </c>
      <c r="B6706" s="323" t="s">
        <v>805</v>
      </c>
      <c r="C6706" s="323">
        <v>76806</v>
      </c>
      <c r="D6706" s="323">
        <v>133</v>
      </c>
      <c r="E6706" s="324">
        <f t="shared" si="104"/>
        <v>32433.38</v>
      </c>
    </row>
    <row r="6707" spans="1:5" x14ac:dyDescent="0.25">
      <c r="A6707" s="323" t="s">
        <v>5434</v>
      </c>
      <c r="B6707" s="323" t="s">
        <v>805</v>
      </c>
      <c r="C6707" s="323">
        <v>76806</v>
      </c>
      <c r="D6707" s="323">
        <v>557</v>
      </c>
      <c r="E6707" s="324">
        <f t="shared" si="104"/>
        <v>135830.02000000002</v>
      </c>
    </row>
    <row r="6708" spans="1:5" x14ac:dyDescent="0.25">
      <c r="A6708" s="323" t="s">
        <v>5463</v>
      </c>
      <c r="B6708" s="323" t="s">
        <v>805</v>
      </c>
      <c r="C6708" s="323">
        <v>76806</v>
      </c>
      <c r="D6708" s="323">
        <v>445</v>
      </c>
      <c r="E6708" s="324">
        <f t="shared" si="104"/>
        <v>108517.70000000001</v>
      </c>
    </row>
    <row r="6709" spans="1:5" x14ac:dyDescent="0.25">
      <c r="A6709" s="323" t="s">
        <v>5490</v>
      </c>
      <c r="B6709" s="323" t="s">
        <v>805</v>
      </c>
      <c r="C6709" s="323">
        <v>76806</v>
      </c>
      <c r="D6709" s="323">
        <v>214</v>
      </c>
      <c r="E6709" s="324">
        <f t="shared" si="104"/>
        <v>52186.04</v>
      </c>
    </row>
    <row r="6710" spans="1:5" x14ac:dyDescent="0.25">
      <c r="A6710" s="323" t="s">
        <v>5529</v>
      </c>
      <c r="B6710" s="323" t="s">
        <v>805</v>
      </c>
      <c r="C6710" s="323">
        <v>76806</v>
      </c>
      <c r="D6710" s="323">
        <v>192</v>
      </c>
      <c r="E6710" s="324">
        <f t="shared" si="104"/>
        <v>46821.120000000003</v>
      </c>
    </row>
    <row r="6711" spans="1:5" x14ac:dyDescent="0.25">
      <c r="A6711" s="323" t="s">
        <v>5547</v>
      </c>
      <c r="B6711" s="323" t="s">
        <v>805</v>
      </c>
      <c r="C6711" s="323">
        <v>76806</v>
      </c>
      <c r="D6711" s="323">
        <v>301</v>
      </c>
      <c r="E6711" s="324">
        <f t="shared" si="104"/>
        <v>73401.86</v>
      </c>
    </row>
    <row r="6712" spans="1:5" x14ac:dyDescent="0.25">
      <c r="A6712" s="323" t="s">
        <v>5559</v>
      </c>
      <c r="B6712" s="323" t="s">
        <v>805</v>
      </c>
      <c r="C6712" s="323">
        <v>76806</v>
      </c>
      <c r="D6712" s="323">
        <v>145</v>
      </c>
      <c r="E6712" s="324">
        <f t="shared" si="104"/>
        <v>35359.700000000004</v>
      </c>
    </row>
    <row r="6713" spans="1:5" x14ac:dyDescent="0.25">
      <c r="A6713" s="323" t="s">
        <v>5573</v>
      </c>
      <c r="B6713" s="323" t="s">
        <v>805</v>
      </c>
      <c r="C6713" s="323">
        <v>76806</v>
      </c>
      <c r="D6713" s="323">
        <v>367</v>
      </c>
      <c r="E6713" s="324">
        <f t="shared" si="104"/>
        <v>89496.62000000001</v>
      </c>
    </row>
    <row r="6714" spans="1:5" x14ac:dyDescent="0.25">
      <c r="A6714" s="323" t="s">
        <v>5591</v>
      </c>
      <c r="B6714" s="323" t="s">
        <v>805</v>
      </c>
      <c r="C6714" s="323">
        <v>76806</v>
      </c>
      <c r="D6714" s="323">
        <v>252</v>
      </c>
      <c r="E6714" s="324">
        <f t="shared" si="104"/>
        <v>61452.72</v>
      </c>
    </row>
    <row r="6715" spans="1:5" x14ac:dyDescent="0.25">
      <c r="A6715" s="323" t="s">
        <v>4944</v>
      </c>
      <c r="B6715" s="323" t="s">
        <v>805</v>
      </c>
      <c r="C6715" s="323">
        <v>76819</v>
      </c>
      <c r="D6715" s="323">
        <v>170</v>
      </c>
      <c r="E6715" s="324">
        <f t="shared" si="104"/>
        <v>41456.200000000004</v>
      </c>
    </row>
    <row r="6716" spans="1:5" x14ac:dyDescent="0.25">
      <c r="A6716" s="323" t="s">
        <v>4983</v>
      </c>
      <c r="B6716" s="323" t="s">
        <v>805</v>
      </c>
      <c r="C6716" s="323">
        <v>76819</v>
      </c>
      <c r="D6716" s="323">
        <v>189</v>
      </c>
      <c r="E6716" s="324">
        <f t="shared" si="104"/>
        <v>46089.54</v>
      </c>
    </row>
    <row r="6717" spans="1:5" x14ac:dyDescent="0.25">
      <c r="A6717" s="323" t="s">
        <v>5020</v>
      </c>
      <c r="B6717" s="323" t="s">
        <v>805</v>
      </c>
      <c r="C6717" s="323">
        <v>76819</v>
      </c>
      <c r="D6717" s="323">
        <v>373</v>
      </c>
      <c r="E6717" s="324">
        <f t="shared" si="104"/>
        <v>90959.78</v>
      </c>
    </row>
    <row r="6718" spans="1:5" x14ac:dyDescent="0.25">
      <c r="A6718" s="323" t="s">
        <v>5056</v>
      </c>
      <c r="B6718" s="323" t="s">
        <v>805</v>
      </c>
      <c r="C6718" s="323">
        <v>76819</v>
      </c>
      <c r="D6718" s="323">
        <v>172</v>
      </c>
      <c r="E6718" s="324">
        <f t="shared" si="104"/>
        <v>41943.920000000006</v>
      </c>
    </row>
    <row r="6719" spans="1:5" x14ac:dyDescent="0.25">
      <c r="A6719" s="323" t="s">
        <v>5079</v>
      </c>
      <c r="B6719" s="323" t="s">
        <v>805</v>
      </c>
      <c r="C6719" s="323">
        <v>76819</v>
      </c>
      <c r="D6719" s="323">
        <v>153</v>
      </c>
      <c r="E6719" s="324">
        <f t="shared" si="104"/>
        <v>37310.58</v>
      </c>
    </row>
    <row r="6720" spans="1:5" x14ac:dyDescent="0.25">
      <c r="A6720" s="323" t="s">
        <v>5117</v>
      </c>
      <c r="B6720" s="323" t="s">
        <v>805</v>
      </c>
      <c r="C6720" s="323">
        <v>76819</v>
      </c>
      <c r="D6720" s="323">
        <v>198</v>
      </c>
      <c r="E6720" s="324">
        <f t="shared" si="104"/>
        <v>48284.280000000006</v>
      </c>
    </row>
    <row r="6721" spans="1:5" x14ac:dyDescent="0.25">
      <c r="A6721" s="323" t="s">
        <v>2508</v>
      </c>
      <c r="B6721" s="323" t="s">
        <v>805</v>
      </c>
      <c r="C6721" s="323">
        <v>76910</v>
      </c>
      <c r="D6721" s="323">
        <v>138</v>
      </c>
      <c r="E6721" s="324">
        <f t="shared" si="104"/>
        <v>33652.68</v>
      </c>
    </row>
    <row r="6722" spans="1:5" x14ac:dyDescent="0.25">
      <c r="A6722" s="323" t="s">
        <v>1848</v>
      </c>
      <c r="B6722" s="323" t="s">
        <v>805</v>
      </c>
      <c r="C6722" s="323">
        <v>77052</v>
      </c>
      <c r="D6722" s="323">
        <v>229</v>
      </c>
      <c r="E6722" s="324">
        <f t="shared" ref="E6722:E6785" si="105">D6722*IF(B6722=$G$9,WerkdrukbedragPerLeerlingBo,IF(B6722=$G$10,WerkdrukbedragPerLeerlingSbo,IF(B6722=$G$11,WerkdrukbedragPerLeerlingSo,IF(B6722=$G$12,WerkdrukbedragPerLeerlingVso,0))))</f>
        <v>55843.94</v>
      </c>
    </row>
    <row r="6723" spans="1:5" x14ac:dyDescent="0.25">
      <c r="A6723" s="323" t="s">
        <v>2870</v>
      </c>
      <c r="B6723" s="323" t="s">
        <v>805</v>
      </c>
      <c r="C6723" s="323">
        <v>77052</v>
      </c>
      <c r="D6723" s="323">
        <v>217</v>
      </c>
      <c r="E6723" s="324">
        <f t="shared" si="105"/>
        <v>52917.62</v>
      </c>
    </row>
    <row r="6724" spans="1:5" x14ac:dyDescent="0.25">
      <c r="A6724" s="323" t="s">
        <v>3856</v>
      </c>
      <c r="B6724" s="323" t="s">
        <v>805</v>
      </c>
      <c r="C6724" s="323">
        <v>77052</v>
      </c>
      <c r="D6724" s="323">
        <v>227</v>
      </c>
      <c r="E6724" s="324">
        <f t="shared" si="105"/>
        <v>55356.22</v>
      </c>
    </row>
    <row r="6725" spans="1:5" x14ac:dyDescent="0.25">
      <c r="A6725" s="323" t="s">
        <v>1849</v>
      </c>
      <c r="B6725" s="323" t="s">
        <v>805</v>
      </c>
      <c r="C6725" s="323">
        <v>77091</v>
      </c>
      <c r="D6725" s="323">
        <v>81</v>
      </c>
      <c r="E6725" s="324">
        <f t="shared" si="105"/>
        <v>19752.66</v>
      </c>
    </row>
    <row r="6726" spans="1:5" x14ac:dyDescent="0.25">
      <c r="A6726" s="323" t="s">
        <v>2196</v>
      </c>
      <c r="B6726" s="323" t="s">
        <v>805</v>
      </c>
      <c r="C6726" s="323">
        <v>77195</v>
      </c>
      <c r="D6726" s="323">
        <v>475</v>
      </c>
      <c r="E6726" s="324">
        <f t="shared" si="105"/>
        <v>115833.5</v>
      </c>
    </row>
    <row r="6727" spans="1:5" x14ac:dyDescent="0.25">
      <c r="A6727" s="323" t="s">
        <v>2340</v>
      </c>
      <c r="B6727" s="323" t="s">
        <v>805</v>
      </c>
      <c r="C6727" s="323">
        <v>77195</v>
      </c>
      <c r="D6727" s="323">
        <v>677</v>
      </c>
      <c r="E6727" s="324">
        <f t="shared" si="105"/>
        <v>165093.22</v>
      </c>
    </row>
    <row r="6728" spans="1:5" x14ac:dyDescent="0.25">
      <c r="A6728" s="323" t="s">
        <v>2439</v>
      </c>
      <c r="B6728" s="323" t="s">
        <v>816</v>
      </c>
      <c r="C6728" s="323">
        <v>77195</v>
      </c>
      <c r="D6728" s="323">
        <v>148</v>
      </c>
      <c r="E6728" s="324">
        <f t="shared" si="105"/>
        <v>54136.920000000006</v>
      </c>
    </row>
    <row r="6729" spans="1:5" x14ac:dyDescent="0.25">
      <c r="A6729" s="323" t="s">
        <v>2439</v>
      </c>
      <c r="B6729" s="323" t="s">
        <v>816</v>
      </c>
      <c r="C6729" s="323">
        <v>77195</v>
      </c>
      <c r="D6729" s="323">
        <v>204</v>
      </c>
      <c r="E6729" s="324">
        <f t="shared" si="105"/>
        <v>74621.16</v>
      </c>
    </row>
    <row r="6730" spans="1:5" x14ac:dyDescent="0.25">
      <c r="A6730" s="323" t="s">
        <v>3079</v>
      </c>
      <c r="B6730" s="323" t="s">
        <v>805</v>
      </c>
      <c r="C6730" s="323">
        <v>77195</v>
      </c>
      <c r="D6730" s="323">
        <v>177</v>
      </c>
      <c r="E6730" s="324">
        <f t="shared" si="105"/>
        <v>43163.22</v>
      </c>
    </row>
    <row r="6731" spans="1:5" x14ac:dyDescent="0.25">
      <c r="A6731" s="323" t="s">
        <v>3586</v>
      </c>
      <c r="B6731" s="323" t="s">
        <v>805</v>
      </c>
      <c r="C6731" s="323">
        <v>77195</v>
      </c>
      <c r="D6731" s="323">
        <v>120</v>
      </c>
      <c r="E6731" s="324">
        <f t="shared" si="105"/>
        <v>29263.200000000001</v>
      </c>
    </row>
    <row r="6732" spans="1:5" x14ac:dyDescent="0.25">
      <c r="A6732" s="323" t="s">
        <v>4849</v>
      </c>
      <c r="B6732" s="323" t="s">
        <v>805</v>
      </c>
      <c r="C6732" s="323">
        <v>77195</v>
      </c>
      <c r="D6732" s="323">
        <v>330</v>
      </c>
      <c r="E6732" s="324">
        <f t="shared" si="105"/>
        <v>80473.8</v>
      </c>
    </row>
    <row r="6733" spans="1:5" x14ac:dyDescent="0.25">
      <c r="A6733" s="323" t="s">
        <v>5168</v>
      </c>
      <c r="B6733" s="323" t="s">
        <v>805</v>
      </c>
      <c r="C6733" s="323">
        <v>77195</v>
      </c>
      <c r="D6733" s="323">
        <v>420</v>
      </c>
      <c r="E6733" s="324">
        <f t="shared" si="105"/>
        <v>102421.20000000001</v>
      </c>
    </row>
    <row r="6734" spans="1:5" x14ac:dyDescent="0.25">
      <c r="A6734" s="323" t="s">
        <v>5228</v>
      </c>
      <c r="B6734" s="323" t="s">
        <v>805</v>
      </c>
      <c r="C6734" s="323">
        <v>77195</v>
      </c>
      <c r="D6734" s="323">
        <v>145</v>
      </c>
      <c r="E6734" s="324">
        <f t="shared" si="105"/>
        <v>35359.700000000004</v>
      </c>
    </row>
    <row r="6735" spans="1:5" x14ac:dyDescent="0.25">
      <c r="A6735" s="323" t="s">
        <v>5346</v>
      </c>
      <c r="B6735" s="323" t="s">
        <v>805</v>
      </c>
      <c r="C6735" s="323">
        <v>77195</v>
      </c>
      <c r="D6735" s="323">
        <v>520</v>
      </c>
      <c r="E6735" s="324">
        <f t="shared" si="105"/>
        <v>126807.20000000001</v>
      </c>
    </row>
    <row r="6736" spans="1:5" x14ac:dyDescent="0.25">
      <c r="A6736" s="323" t="s">
        <v>5372</v>
      </c>
      <c r="B6736" s="323" t="s">
        <v>805</v>
      </c>
      <c r="C6736" s="323">
        <v>77195</v>
      </c>
      <c r="D6736" s="323">
        <v>173</v>
      </c>
      <c r="E6736" s="324">
        <f t="shared" si="105"/>
        <v>42187.78</v>
      </c>
    </row>
    <row r="6737" spans="1:5" x14ac:dyDescent="0.25">
      <c r="A6737" s="323" t="s">
        <v>5394</v>
      </c>
      <c r="B6737" s="323" t="s">
        <v>805</v>
      </c>
      <c r="C6737" s="323">
        <v>77195</v>
      </c>
      <c r="D6737" s="323">
        <v>322</v>
      </c>
      <c r="E6737" s="324">
        <f t="shared" si="105"/>
        <v>78522.92</v>
      </c>
    </row>
    <row r="6738" spans="1:5" x14ac:dyDescent="0.25">
      <c r="A6738" s="323" t="s">
        <v>5446</v>
      </c>
      <c r="B6738" s="323" t="s">
        <v>805</v>
      </c>
      <c r="C6738" s="323">
        <v>77195</v>
      </c>
      <c r="D6738" s="323">
        <v>773</v>
      </c>
      <c r="E6738" s="324">
        <f t="shared" si="105"/>
        <v>188503.78</v>
      </c>
    </row>
    <row r="6739" spans="1:5" x14ac:dyDescent="0.25">
      <c r="A6739" s="323" t="s">
        <v>5501</v>
      </c>
      <c r="B6739" s="323" t="s">
        <v>805</v>
      </c>
      <c r="C6739" s="323">
        <v>77195</v>
      </c>
      <c r="D6739" s="323">
        <v>368</v>
      </c>
      <c r="E6739" s="324">
        <f t="shared" si="105"/>
        <v>89740.48000000001</v>
      </c>
    </row>
    <row r="6740" spans="1:5" x14ac:dyDescent="0.25">
      <c r="A6740" s="323" t="s">
        <v>5537</v>
      </c>
      <c r="B6740" s="323" t="s">
        <v>805</v>
      </c>
      <c r="C6740" s="323">
        <v>77195</v>
      </c>
      <c r="D6740" s="323">
        <v>170</v>
      </c>
      <c r="E6740" s="324">
        <f t="shared" si="105"/>
        <v>41456.200000000004</v>
      </c>
    </row>
    <row r="6741" spans="1:5" x14ac:dyDescent="0.25">
      <c r="A6741" s="323" t="s">
        <v>5678</v>
      </c>
      <c r="B6741" s="323" t="s">
        <v>805</v>
      </c>
      <c r="C6741" s="323">
        <v>77195</v>
      </c>
      <c r="D6741" s="323">
        <v>252</v>
      </c>
      <c r="E6741" s="324">
        <f t="shared" si="105"/>
        <v>61452.72</v>
      </c>
    </row>
    <row r="6742" spans="1:5" x14ac:dyDescent="0.25">
      <c r="A6742" s="323" t="s">
        <v>6016</v>
      </c>
      <c r="B6742" s="323" t="s">
        <v>805</v>
      </c>
      <c r="C6742" s="323">
        <v>77195</v>
      </c>
      <c r="D6742" s="323">
        <v>65</v>
      </c>
      <c r="E6742" s="324">
        <f t="shared" si="105"/>
        <v>15850.900000000001</v>
      </c>
    </row>
    <row r="6743" spans="1:5" x14ac:dyDescent="0.25">
      <c r="A6743" s="323" t="s">
        <v>7221</v>
      </c>
      <c r="B6743" s="323" t="s">
        <v>805</v>
      </c>
      <c r="C6743" s="323">
        <v>77195</v>
      </c>
      <c r="D6743" s="323">
        <v>414</v>
      </c>
      <c r="E6743" s="324">
        <f t="shared" si="105"/>
        <v>100958.04000000001</v>
      </c>
    </row>
    <row r="6744" spans="1:5" x14ac:dyDescent="0.25">
      <c r="A6744" s="323" t="s">
        <v>7336</v>
      </c>
      <c r="B6744" s="323" t="s">
        <v>805</v>
      </c>
      <c r="C6744" s="323">
        <v>77195</v>
      </c>
      <c r="D6744" s="323">
        <v>613</v>
      </c>
      <c r="E6744" s="324">
        <f t="shared" si="105"/>
        <v>149486.18000000002</v>
      </c>
    </row>
    <row r="6745" spans="1:5" x14ac:dyDescent="0.25">
      <c r="A6745" s="323" t="s">
        <v>7410</v>
      </c>
      <c r="B6745" s="323" t="s">
        <v>805</v>
      </c>
      <c r="C6745" s="323">
        <v>77195</v>
      </c>
      <c r="D6745" s="323">
        <v>346</v>
      </c>
      <c r="E6745" s="324">
        <f t="shared" si="105"/>
        <v>84375.56</v>
      </c>
    </row>
    <row r="6746" spans="1:5" x14ac:dyDescent="0.25">
      <c r="A6746" s="323" t="s">
        <v>7461</v>
      </c>
      <c r="B6746" s="323" t="s">
        <v>805</v>
      </c>
      <c r="C6746" s="323">
        <v>77195</v>
      </c>
      <c r="D6746" s="323">
        <v>320</v>
      </c>
      <c r="E6746" s="324">
        <f t="shared" si="105"/>
        <v>78035.200000000012</v>
      </c>
    </row>
    <row r="6747" spans="1:5" x14ac:dyDescent="0.25">
      <c r="A6747" s="323" t="s">
        <v>903</v>
      </c>
      <c r="B6747" s="323" t="s">
        <v>816</v>
      </c>
      <c r="C6747" s="323">
        <v>77196</v>
      </c>
      <c r="D6747" s="323">
        <v>102</v>
      </c>
      <c r="E6747" s="324">
        <f t="shared" si="105"/>
        <v>37310.58</v>
      </c>
    </row>
    <row r="6748" spans="1:5" x14ac:dyDescent="0.25">
      <c r="A6748" s="323" t="s">
        <v>4802</v>
      </c>
      <c r="B6748" s="323" t="s">
        <v>805</v>
      </c>
      <c r="C6748" s="323">
        <v>77196</v>
      </c>
      <c r="D6748" s="323">
        <v>260</v>
      </c>
      <c r="E6748" s="324">
        <f t="shared" si="105"/>
        <v>63403.600000000006</v>
      </c>
    </row>
    <row r="6749" spans="1:5" x14ac:dyDescent="0.25">
      <c r="A6749" s="323" t="s">
        <v>4853</v>
      </c>
      <c r="B6749" s="323" t="s">
        <v>805</v>
      </c>
      <c r="C6749" s="323">
        <v>77196</v>
      </c>
      <c r="D6749" s="323">
        <v>639</v>
      </c>
      <c r="E6749" s="324">
        <f t="shared" si="105"/>
        <v>155826.54</v>
      </c>
    </row>
    <row r="6750" spans="1:5" x14ac:dyDescent="0.25">
      <c r="A6750" s="323" t="s">
        <v>4894</v>
      </c>
      <c r="B6750" s="323" t="s">
        <v>805</v>
      </c>
      <c r="C6750" s="323">
        <v>77196</v>
      </c>
      <c r="D6750" s="323">
        <v>218</v>
      </c>
      <c r="E6750" s="324">
        <f t="shared" si="105"/>
        <v>53161.48</v>
      </c>
    </row>
    <row r="6751" spans="1:5" x14ac:dyDescent="0.25">
      <c r="A6751" s="323" t="s">
        <v>4945</v>
      </c>
      <c r="B6751" s="323" t="s">
        <v>805</v>
      </c>
      <c r="C6751" s="323">
        <v>77196</v>
      </c>
      <c r="D6751" s="323">
        <v>194</v>
      </c>
      <c r="E6751" s="324">
        <f t="shared" si="105"/>
        <v>47308.840000000004</v>
      </c>
    </row>
    <row r="6752" spans="1:5" x14ac:dyDescent="0.25">
      <c r="A6752" s="323" t="s">
        <v>5021</v>
      </c>
      <c r="B6752" s="323" t="s">
        <v>805</v>
      </c>
      <c r="C6752" s="323">
        <v>77196</v>
      </c>
      <c r="D6752" s="323">
        <v>172</v>
      </c>
      <c r="E6752" s="324">
        <f t="shared" si="105"/>
        <v>41943.920000000006</v>
      </c>
    </row>
    <row r="6753" spans="1:5" x14ac:dyDescent="0.25">
      <c r="A6753" s="323" t="s">
        <v>5057</v>
      </c>
      <c r="B6753" s="323" t="s">
        <v>805</v>
      </c>
      <c r="C6753" s="323">
        <v>77196</v>
      </c>
      <c r="D6753" s="323">
        <v>211</v>
      </c>
      <c r="E6753" s="324">
        <f t="shared" si="105"/>
        <v>51454.460000000006</v>
      </c>
    </row>
    <row r="6754" spans="1:5" x14ac:dyDescent="0.25">
      <c r="A6754" s="323" t="s">
        <v>827</v>
      </c>
      <c r="B6754" s="323" t="s">
        <v>805</v>
      </c>
      <c r="C6754" s="323">
        <v>77235</v>
      </c>
      <c r="D6754" s="323">
        <v>124</v>
      </c>
      <c r="E6754" s="324">
        <f t="shared" si="105"/>
        <v>30238.640000000003</v>
      </c>
    </row>
    <row r="6755" spans="1:5" x14ac:dyDescent="0.25">
      <c r="A6755" s="323" t="s">
        <v>1221</v>
      </c>
      <c r="B6755" s="323" t="s">
        <v>805</v>
      </c>
      <c r="C6755" s="323">
        <v>77235</v>
      </c>
      <c r="D6755" s="323">
        <v>203</v>
      </c>
      <c r="E6755" s="324">
        <f t="shared" si="105"/>
        <v>49503.58</v>
      </c>
    </row>
    <row r="6756" spans="1:5" x14ac:dyDescent="0.25">
      <c r="A6756" s="323" t="s">
        <v>1359</v>
      </c>
      <c r="B6756" s="323" t="s">
        <v>805</v>
      </c>
      <c r="C6756" s="323">
        <v>77235</v>
      </c>
      <c r="D6756" s="323">
        <v>127</v>
      </c>
      <c r="E6756" s="324">
        <f t="shared" si="105"/>
        <v>30970.22</v>
      </c>
    </row>
    <row r="6757" spans="1:5" x14ac:dyDescent="0.25">
      <c r="A6757" s="323" t="s">
        <v>1731</v>
      </c>
      <c r="B6757" s="323" t="s">
        <v>805</v>
      </c>
      <c r="C6757" s="323">
        <v>77235</v>
      </c>
      <c r="D6757" s="323">
        <v>94</v>
      </c>
      <c r="E6757" s="324">
        <f t="shared" si="105"/>
        <v>22922.84</v>
      </c>
    </row>
    <row r="6758" spans="1:5" x14ac:dyDescent="0.25">
      <c r="A6758" s="323" t="s">
        <v>2105</v>
      </c>
      <c r="B6758" s="323" t="s">
        <v>805</v>
      </c>
      <c r="C6758" s="323">
        <v>77235</v>
      </c>
      <c r="D6758" s="323">
        <v>148</v>
      </c>
      <c r="E6758" s="324">
        <f t="shared" si="105"/>
        <v>36091.279999999999</v>
      </c>
    </row>
    <row r="6759" spans="1:5" x14ac:dyDescent="0.25">
      <c r="A6759" s="323" t="s">
        <v>2364</v>
      </c>
      <c r="B6759" s="323" t="s">
        <v>805</v>
      </c>
      <c r="C6759" s="323">
        <v>77235</v>
      </c>
      <c r="D6759" s="323">
        <v>169</v>
      </c>
      <c r="E6759" s="324">
        <f t="shared" si="105"/>
        <v>41212.340000000004</v>
      </c>
    </row>
    <row r="6760" spans="1:5" x14ac:dyDescent="0.25">
      <c r="A6760" s="323" t="s">
        <v>2453</v>
      </c>
      <c r="B6760" s="323" t="s">
        <v>805</v>
      </c>
      <c r="C6760" s="323">
        <v>77235</v>
      </c>
      <c r="D6760" s="323">
        <v>167</v>
      </c>
      <c r="E6760" s="324">
        <f t="shared" si="105"/>
        <v>40724.620000000003</v>
      </c>
    </row>
    <row r="6761" spans="1:5" x14ac:dyDescent="0.25">
      <c r="A6761" s="323" t="s">
        <v>2781</v>
      </c>
      <c r="B6761" s="323" t="s">
        <v>805</v>
      </c>
      <c r="C6761" s="323">
        <v>77235</v>
      </c>
      <c r="D6761" s="323">
        <v>234</v>
      </c>
      <c r="E6761" s="324">
        <f t="shared" si="105"/>
        <v>57063.240000000005</v>
      </c>
    </row>
    <row r="6762" spans="1:5" x14ac:dyDescent="0.25">
      <c r="A6762" s="323" t="s">
        <v>2813</v>
      </c>
      <c r="B6762" s="323" t="s">
        <v>805</v>
      </c>
      <c r="C6762" s="323">
        <v>77235</v>
      </c>
      <c r="D6762" s="323">
        <v>170</v>
      </c>
      <c r="E6762" s="324">
        <f t="shared" si="105"/>
        <v>41456.200000000004</v>
      </c>
    </row>
    <row r="6763" spans="1:5" x14ac:dyDescent="0.25">
      <c r="A6763" s="323" t="s">
        <v>3020</v>
      </c>
      <c r="B6763" s="323" t="s">
        <v>805</v>
      </c>
      <c r="C6763" s="323">
        <v>77235</v>
      </c>
      <c r="D6763" s="323">
        <v>147</v>
      </c>
      <c r="E6763" s="324">
        <f t="shared" si="105"/>
        <v>35847.420000000006</v>
      </c>
    </row>
    <row r="6764" spans="1:5" x14ac:dyDescent="0.25">
      <c r="A6764" s="323" t="s">
        <v>3069</v>
      </c>
      <c r="B6764" s="323" t="s">
        <v>805</v>
      </c>
      <c r="C6764" s="323">
        <v>77235</v>
      </c>
      <c r="D6764" s="323">
        <v>482</v>
      </c>
      <c r="E6764" s="324">
        <f t="shared" si="105"/>
        <v>117540.52</v>
      </c>
    </row>
    <row r="6765" spans="1:5" x14ac:dyDescent="0.25">
      <c r="A6765" s="323" t="s">
        <v>3270</v>
      </c>
      <c r="B6765" s="323" t="s">
        <v>805</v>
      </c>
      <c r="C6765" s="323">
        <v>77235</v>
      </c>
      <c r="D6765" s="323">
        <v>298</v>
      </c>
      <c r="E6765" s="324">
        <f t="shared" si="105"/>
        <v>72670.28</v>
      </c>
    </row>
    <row r="6766" spans="1:5" x14ac:dyDescent="0.25">
      <c r="A6766" s="323" t="s">
        <v>3440</v>
      </c>
      <c r="B6766" s="323" t="s">
        <v>805</v>
      </c>
      <c r="C6766" s="323">
        <v>77235</v>
      </c>
      <c r="D6766" s="323">
        <v>267</v>
      </c>
      <c r="E6766" s="324">
        <f t="shared" si="105"/>
        <v>65110.62</v>
      </c>
    </row>
    <row r="6767" spans="1:5" x14ac:dyDescent="0.25">
      <c r="A6767" s="323" t="s">
        <v>3579</v>
      </c>
      <c r="B6767" s="323" t="s">
        <v>805</v>
      </c>
      <c r="C6767" s="323">
        <v>77235</v>
      </c>
      <c r="D6767" s="323">
        <v>212</v>
      </c>
      <c r="E6767" s="324">
        <f t="shared" si="105"/>
        <v>51698.32</v>
      </c>
    </row>
    <row r="6768" spans="1:5" x14ac:dyDescent="0.25">
      <c r="A6768" s="323" t="s">
        <v>4020</v>
      </c>
      <c r="B6768" s="323" t="s">
        <v>805</v>
      </c>
      <c r="C6768" s="323">
        <v>77235</v>
      </c>
      <c r="D6768" s="323">
        <v>100</v>
      </c>
      <c r="E6768" s="324">
        <f t="shared" si="105"/>
        <v>24386</v>
      </c>
    </row>
    <row r="6769" spans="1:5" x14ac:dyDescent="0.25">
      <c r="A6769" s="323" t="s">
        <v>4135</v>
      </c>
      <c r="B6769" s="323" t="s">
        <v>805</v>
      </c>
      <c r="C6769" s="323">
        <v>77235</v>
      </c>
      <c r="D6769" s="323">
        <v>204</v>
      </c>
      <c r="E6769" s="324">
        <f t="shared" si="105"/>
        <v>49747.44</v>
      </c>
    </row>
    <row r="6770" spans="1:5" x14ac:dyDescent="0.25">
      <c r="A6770" s="323" t="s">
        <v>4446</v>
      </c>
      <c r="B6770" s="323" t="s">
        <v>805</v>
      </c>
      <c r="C6770" s="323">
        <v>77235</v>
      </c>
      <c r="D6770" s="323">
        <v>219</v>
      </c>
      <c r="E6770" s="324">
        <f t="shared" si="105"/>
        <v>53405.340000000004</v>
      </c>
    </row>
    <row r="6771" spans="1:5" x14ac:dyDescent="0.25">
      <c r="A6771" s="323" t="s">
        <v>4640</v>
      </c>
      <c r="B6771" s="323" t="s">
        <v>805</v>
      </c>
      <c r="C6771" s="323">
        <v>77235</v>
      </c>
      <c r="D6771" s="323">
        <v>196</v>
      </c>
      <c r="E6771" s="324">
        <f t="shared" si="105"/>
        <v>47796.560000000005</v>
      </c>
    </row>
    <row r="6772" spans="1:5" x14ac:dyDescent="0.25">
      <c r="A6772" s="323" t="s">
        <v>6937</v>
      </c>
      <c r="B6772" s="323" t="s">
        <v>805</v>
      </c>
      <c r="C6772" s="323">
        <v>77235</v>
      </c>
      <c r="D6772" s="323">
        <v>162</v>
      </c>
      <c r="E6772" s="324">
        <f t="shared" si="105"/>
        <v>39505.32</v>
      </c>
    </row>
    <row r="6773" spans="1:5" x14ac:dyDescent="0.25">
      <c r="A6773" s="323" t="s">
        <v>7043</v>
      </c>
      <c r="B6773" s="323" t="s">
        <v>805</v>
      </c>
      <c r="C6773" s="323">
        <v>77235</v>
      </c>
      <c r="D6773" s="323">
        <v>263</v>
      </c>
      <c r="E6773" s="324">
        <f t="shared" si="105"/>
        <v>64135.18</v>
      </c>
    </row>
    <row r="6774" spans="1:5" x14ac:dyDescent="0.25">
      <c r="A6774" s="323" t="s">
        <v>7076</v>
      </c>
      <c r="B6774" s="323" t="s">
        <v>805</v>
      </c>
      <c r="C6774" s="323">
        <v>77235</v>
      </c>
      <c r="D6774" s="323">
        <v>223</v>
      </c>
      <c r="E6774" s="324">
        <f t="shared" si="105"/>
        <v>54380.780000000006</v>
      </c>
    </row>
    <row r="6775" spans="1:5" x14ac:dyDescent="0.25">
      <c r="A6775" s="323" t="s">
        <v>7400</v>
      </c>
      <c r="B6775" s="323" t="s">
        <v>805</v>
      </c>
      <c r="C6775" s="323">
        <v>77235</v>
      </c>
      <c r="D6775" s="323">
        <v>430</v>
      </c>
      <c r="E6775" s="324">
        <f t="shared" si="105"/>
        <v>104859.8</v>
      </c>
    </row>
    <row r="6776" spans="1:5" x14ac:dyDescent="0.25">
      <c r="A6776" s="323" t="s">
        <v>7435</v>
      </c>
      <c r="B6776" s="323" t="s">
        <v>805</v>
      </c>
      <c r="C6776" s="323">
        <v>77235</v>
      </c>
      <c r="D6776" s="323">
        <v>147</v>
      </c>
      <c r="E6776" s="324">
        <f t="shared" si="105"/>
        <v>35847.420000000006</v>
      </c>
    </row>
    <row r="6777" spans="1:5" x14ac:dyDescent="0.25">
      <c r="A6777" s="323" t="s">
        <v>860</v>
      </c>
      <c r="B6777" s="323" t="s">
        <v>809</v>
      </c>
      <c r="C6777" s="323">
        <v>77338</v>
      </c>
      <c r="D6777" s="323">
        <v>75</v>
      </c>
      <c r="E6777" s="324">
        <f t="shared" si="105"/>
        <v>36579</v>
      </c>
    </row>
    <row r="6778" spans="1:5" x14ac:dyDescent="0.25">
      <c r="A6778" s="323" t="s">
        <v>860</v>
      </c>
      <c r="B6778" s="323" t="s">
        <v>803</v>
      </c>
      <c r="C6778" s="323">
        <v>77338</v>
      </c>
      <c r="D6778" s="323">
        <v>140</v>
      </c>
      <c r="E6778" s="324">
        <f t="shared" si="105"/>
        <v>68280.800000000003</v>
      </c>
    </row>
    <row r="6779" spans="1:5" x14ac:dyDescent="0.25">
      <c r="A6779" s="323" t="s">
        <v>1567</v>
      </c>
      <c r="B6779" s="323" t="s">
        <v>805</v>
      </c>
      <c r="C6779" s="323">
        <v>77338</v>
      </c>
      <c r="D6779" s="323">
        <v>388</v>
      </c>
      <c r="E6779" s="324">
        <f t="shared" si="105"/>
        <v>94617.680000000008</v>
      </c>
    </row>
    <row r="6780" spans="1:5" x14ac:dyDescent="0.25">
      <c r="A6780" s="323" t="s">
        <v>1764</v>
      </c>
      <c r="B6780" s="323" t="s">
        <v>805</v>
      </c>
      <c r="C6780" s="323">
        <v>77338</v>
      </c>
      <c r="D6780" s="323">
        <v>177</v>
      </c>
      <c r="E6780" s="324">
        <f t="shared" si="105"/>
        <v>43163.22</v>
      </c>
    </row>
    <row r="6781" spans="1:5" x14ac:dyDescent="0.25">
      <c r="A6781" s="323" t="s">
        <v>2129</v>
      </c>
      <c r="B6781" s="323" t="s">
        <v>805</v>
      </c>
      <c r="C6781" s="323">
        <v>77338</v>
      </c>
      <c r="D6781" s="323">
        <v>142</v>
      </c>
      <c r="E6781" s="324">
        <f t="shared" si="105"/>
        <v>34628.120000000003</v>
      </c>
    </row>
    <row r="6782" spans="1:5" x14ac:dyDescent="0.25">
      <c r="A6782" s="323" t="s">
        <v>2149</v>
      </c>
      <c r="B6782" s="323" t="s">
        <v>805</v>
      </c>
      <c r="C6782" s="323">
        <v>77338</v>
      </c>
      <c r="D6782" s="323">
        <v>224</v>
      </c>
      <c r="E6782" s="324">
        <f t="shared" si="105"/>
        <v>54624.639999999999</v>
      </c>
    </row>
    <row r="6783" spans="1:5" x14ac:dyDescent="0.25">
      <c r="A6783" s="323" t="s">
        <v>2468</v>
      </c>
      <c r="B6783" s="323" t="s">
        <v>805</v>
      </c>
      <c r="C6783" s="323">
        <v>77338</v>
      </c>
      <c r="D6783" s="323">
        <v>185</v>
      </c>
      <c r="E6783" s="324">
        <f t="shared" si="105"/>
        <v>45114.100000000006</v>
      </c>
    </row>
    <row r="6784" spans="1:5" x14ac:dyDescent="0.25">
      <c r="A6784" s="323" t="s">
        <v>2474</v>
      </c>
      <c r="B6784" s="323" t="s">
        <v>805</v>
      </c>
      <c r="C6784" s="323">
        <v>77338</v>
      </c>
      <c r="D6784" s="323">
        <v>95</v>
      </c>
      <c r="E6784" s="324">
        <f t="shared" si="105"/>
        <v>23166.7</v>
      </c>
    </row>
    <row r="6785" spans="1:5" x14ac:dyDescent="0.25">
      <c r="A6785" s="323" t="s">
        <v>2557</v>
      </c>
      <c r="B6785" s="323" t="s">
        <v>805</v>
      </c>
      <c r="C6785" s="323">
        <v>77338</v>
      </c>
      <c r="D6785" s="323">
        <v>108</v>
      </c>
      <c r="E6785" s="324">
        <f t="shared" si="105"/>
        <v>26336.880000000001</v>
      </c>
    </row>
    <row r="6786" spans="1:5" x14ac:dyDescent="0.25">
      <c r="A6786" s="323" t="s">
        <v>2716</v>
      </c>
      <c r="B6786" s="323" t="s">
        <v>805</v>
      </c>
      <c r="C6786" s="323">
        <v>77338</v>
      </c>
      <c r="D6786" s="323">
        <v>72</v>
      </c>
      <c r="E6786" s="324">
        <f t="shared" ref="E6786:E6849" si="106">D6786*IF(B6786=$G$9,WerkdrukbedragPerLeerlingBo,IF(B6786=$G$10,WerkdrukbedragPerLeerlingSbo,IF(B6786=$G$11,WerkdrukbedragPerLeerlingSo,IF(B6786=$G$12,WerkdrukbedragPerLeerlingVso,0))))</f>
        <v>17557.920000000002</v>
      </c>
    </row>
    <row r="6787" spans="1:5" x14ac:dyDescent="0.25">
      <c r="A6787" s="323" t="s">
        <v>2816</v>
      </c>
      <c r="B6787" s="323" t="s">
        <v>805</v>
      </c>
      <c r="C6787" s="323">
        <v>77338</v>
      </c>
      <c r="D6787" s="323">
        <v>459</v>
      </c>
      <c r="E6787" s="324">
        <f t="shared" si="106"/>
        <v>111931.74</v>
      </c>
    </row>
    <row r="6788" spans="1:5" x14ac:dyDescent="0.25">
      <c r="A6788" s="323" t="s">
        <v>3322</v>
      </c>
      <c r="B6788" s="323" t="s">
        <v>805</v>
      </c>
      <c r="C6788" s="323">
        <v>77338</v>
      </c>
      <c r="D6788" s="323">
        <v>190</v>
      </c>
      <c r="E6788" s="324">
        <f t="shared" si="106"/>
        <v>46333.4</v>
      </c>
    </row>
    <row r="6789" spans="1:5" x14ac:dyDescent="0.25">
      <c r="A6789" s="323" t="s">
        <v>3747</v>
      </c>
      <c r="B6789" s="323" t="s">
        <v>805</v>
      </c>
      <c r="C6789" s="323">
        <v>77338</v>
      </c>
      <c r="D6789" s="323">
        <v>223</v>
      </c>
      <c r="E6789" s="324">
        <f t="shared" si="106"/>
        <v>54380.780000000006</v>
      </c>
    </row>
    <row r="6790" spans="1:5" x14ac:dyDescent="0.25">
      <c r="A6790" s="323" t="s">
        <v>3774</v>
      </c>
      <c r="B6790" s="323" t="s">
        <v>805</v>
      </c>
      <c r="C6790" s="323">
        <v>77338</v>
      </c>
      <c r="D6790" s="323">
        <v>331</v>
      </c>
      <c r="E6790" s="324">
        <f t="shared" si="106"/>
        <v>80717.66</v>
      </c>
    </row>
    <row r="6791" spans="1:5" x14ac:dyDescent="0.25">
      <c r="A6791" s="323" t="s">
        <v>4007</v>
      </c>
      <c r="B6791" s="323" t="s">
        <v>805</v>
      </c>
      <c r="C6791" s="323">
        <v>77338</v>
      </c>
      <c r="D6791" s="323">
        <v>231</v>
      </c>
      <c r="E6791" s="324">
        <f t="shared" si="106"/>
        <v>56331.66</v>
      </c>
    </row>
    <row r="6792" spans="1:5" x14ac:dyDescent="0.25">
      <c r="A6792" s="323" t="s">
        <v>5821</v>
      </c>
      <c r="B6792" s="323" t="s">
        <v>816</v>
      </c>
      <c r="C6792" s="323">
        <v>77338</v>
      </c>
      <c r="D6792" s="323">
        <v>87</v>
      </c>
      <c r="E6792" s="324">
        <f t="shared" si="106"/>
        <v>31823.730000000003</v>
      </c>
    </row>
    <row r="6793" spans="1:5" x14ac:dyDescent="0.25">
      <c r="A6793" s="323" t="s">
        <v>6780</v>
      </c>
      <c r="B6793" s="323" t="s">
        <v>805</v>
      </c>
      <c r="C6793" s="323">
        <v>77338</v>
      </c>
      <c r="D6793" s="323">
        <v>271</v>
      </c>
      <c r="E6793" s="324">
        <f t="shared" si="106"/>
        <v>66086.06</v>
      </c>
    </row>
    <row r="6794" spans="1:5" x14ac:dyDescent="0.25">
      <c r="A6794" s="323" t="s">
        <v>828</v>
      </c>
      <c r="B6794" s="323" t="s">
        <v>805</v>
      </c>
      <c r="C6794" s="323">
        <v>77456</v>
      </c>
      <c r="D6794" s="323">
        <v>183</v>
      </c>
      <c r="E6794" s="324">
        <f t="shared" si="106"/>
        <v>44626.380000000005</v>
      </c>
    </row>
    <row r="6795" spans="1:5" x14ac:dyDescent="0.25">
      <c r="A6795" s="323" t="s">
        <v>1032</v>
      </c>
      <c r="B6795" s="323" t="s">
        <v>805</v>
      </c>
      <c r="C6795" s="323">
        <v>77456</v>
      </c>
      <c r="D6795" s="323">
        <v>85</v>
      </c>
      <c r="E6795" s="324">
        <f t="shared" si="106"/>
        <v>20728.100000000002</v>
      </c>
    </row>
    <row r="6796" spans="1:5" x14ac:dyDescent="0.25">
      <c r="A6796" s="323" t="s">
        <v>1424</v>
      </c>
      <c r="B6796" s="323" t="s">
        <v>805</v>
      </c>
      <c r="C6796" s="323">
        <v>77456</v>
      </c>
      <c r="D6796" s="323">
        <v>84</v>
      </c>
      <c r="E6796" s="324">
        <f t="shared" si="106"/>
        <v>20484.240000000002</v>
      </c>
    </row>
    <row r="6797" spans="1:5" x14ac:dyDescent="0.25">
      <c r="A6797" s="323" t="s">
        <v>2106</v>
      </c>
      <c r="B6797" s="323" t="s">
        <v>805</v>
      </c>
      <c r="C6797" s="323">
        <v>77456</v>
      </c>
      <c r="D6797" s="323">
        <v>177</v>
      </c>
      <c r="E6797" s="324">
        <f t="shared" si="106"/>
        <v>43163.22</v>
      </c>
    </row>
    <row r="6798" spans="1:5" x14ac:dyDescent="0.25">
      <c r="A6798" s="323" t="s">
        <v>2353</v>
      </c>
      <c r="B6798" s="323" t="s">
        <v>805</v>
      </c>
      <c r="C6798" s="323">
        <v>77456</v>
      </c>
      <c r="D6798" s="323">
        <v>190</v>
      </c>
      <c r="E6798" s="324">
        <f t="shared" si="106"/>
        <v>46333.4</v>
      </c>
    </row>
    <row r="6799" spans="1:5" x14ac:dyDescent="0.25">
      <c r="A6799" s="323" t="s">
        <v>2359</v>
      </c>
      <c r="B6799" s="323" t="s">
        <v>805</v>
      </c>
      <c r="C6799" s="323">
        <v>77456</v>
      </c>
      <c r="D6799" s="323">
        <v>189</v>
      </c>
      <c r="E6799" s="324">
        <f t="shared" si="106"/>
        <v>46089.54</v>
      </c>
    </row>
    <row r="6800" spans="1:5" x14ac:dyDescent="0.25">
      <c r="A6800" s="323" t="s">
        <v>2383</v>
      </c>
      <c r="B6800" s="323" t="s">
        <v>805</v>
      </c>
      <c r="C6800" s="323">
        <v>77456</v>
      </c>
      <c r="D6800" s="323">
        <v>303</v>
      </c>
      <c r="E6800" s="324">
        <f t="shared" si="106"/>
        <v>73889.58</v>
      </c>
    </row>
    <row r="6801" spans="1:5" x14ac:dyDescent="0.25">
      <c r="A6801" s="323" t="s">
        <v>2384</v>
      </c>
      <c r="B6801" s="323" t="s">
        <v>805</v>
      </c>
      <c r="C6801" s="323">
        <v>77456</v>
      </c>
      <c r="D6801" s="323">
        <v>119</v>
      </c>
      <c r="E6801" s="324">
        <f t="shared" si="106"/>
        <v>29019.34</v>
      </c>
    </row>
    <row r="6802" spans="1:5" x14ac:dyDescent="0.25">
      <c r="A6802" s="323" t="s">
        <v>2433</v>
      </c>
      <c r="B6802" s="323" t="s">
        <v>805</v>
      </c>
      <c r="C6802" s="323">
        <v>77456</v>
      </c>
      <c r="D6802" s="323">
        <v>87</v>
      </c>
      <c r="E6802" s="324">
        <f t="shared" si="106"/>
        <v>21215.82</v>
      </c>
    </row>
    <row r="6803" spans="1:5" x14ac:dyDescent="0.25">
      <c r="A6803" s="323" t="s">
        <v>2522</v>
      </c>
      <c r="B6803" s="323" t="s">
        <v>805</v>
      </c>
      <c r="C6803" s="323">
        <v>77456</v>
      </c>
      <c r="D6803" s="323">
        <v>212</v>
      </c>
      <c r="E6803" s="324">
        <f t="shared" si="106"/>
        <v>51698.32</v>
      </c>
    </row>
    <row r="6804" spans="1:5" x14ac:dyDescent="0.25">
      <c r="A6804" s="323" t="s">
        <v>2584</v>
      </c>
      <c r="B6804" s="323" t="s">
        <v>805</v>
      </c>
      <c r="C6804" s="323">
        <v>77456</v>
      </c>
      <c r="D6804" s="323">
        <v>174</v>
      </c>
      <c r="E6804" s="324">
        <f t="shared" si="106"/>
        <v>42431.64</v>
      </c>
    </row>
    <row r="6805" spans="1:5" x14ac:dyDescent="0.25">
      <c r="A6805" s="323" t="s">
        <v>3146</v>
      </c>
      <c r="B6805" s="323" t="s">
        <v>805</v>
      </c>
      <c r="C6805" s="323">
        <v>77456</v>
      </c>
      <c r="D6805" s="323">
        <v>228</v>
      </c>
      <c r="E6805" s="324">
        <f t="shared" si="106"/>
        <v>55600.08</v>
      </c>
    </row>
    <row r="6806" spans="1:5" x14ac:dyDescent="0.25">
      <c r="A6806" s="323" t="s">
        <v>3786</v>
      </c>
      <c r="B6806" s="323" t="s">
        <v>805</v>
      </c>
      <c r="C6806" s="323">
        <v>77456</v>
      </c>
      <c r="D6806" s="323">
        <v>374</v>
      </c>
      <c r="E6806" s="324">
        <f t="shared" si="106"/>
        <v>91203.64</v>
      </c>
    </row>
    <row r="6807" spans="1:5" x14ac:dyDescent="0.25">
      <c r="A6807" s="323" t="s">
        <v>6859</v>
      </c>
      <c r="B6807" s="323" t="s">
        <v>809</v>
      </c>
      <c r="C6807" s="323">
        <v>77456</v>
      </c>
      <c r="D6807" s="323">
        <v>19</v>
      </c>
      <c r="E6807" s="324">
        <f t="shared" si="106"/>
        <v>9266.68</v>
      </c>
    </row>
    <row r="6808" spans="1:5" x14ac:dyDescent="0.25">
      <c r="A6808" s="323" t="s">
        <v>6859</v>
      </c>
      <c r="B6808" s="323" t="s">
        <v>803</v>
      </c>
      <c r="C6808" s="323">
        <v>77456</v>
      </c>
      <c r="D6808" s="323">
        <v>56</v>
      </c>
      <c r="E6808" s="324">
        <f t="shared" si="106"/>
        <v>27312.32</v>
      </c>
    </row>
    <row r="6809" spans="1:5" x14ac:dyDescent="0.25">
      <c r="A6809" s="323" t="s">
        <v>7096</v>
      </c>
      <c r="B6809" s="323" t="s">
        <v>805</v>
      </c>
      <c r="C6809" s="323">
        <v>77456</v>
      </c>
      <c r="D6809" s="323">
        <v>95</v>
      </c>
      <c r="E6809" s="324">
        <f t="shared" si="106"/>
        <v>23166.7</v>
      </c>
    </row>
    <row r="6810" spans="1:5" x14ac:dyDescent="0.25">
      <c r="A6810" s="323" t="s">
        <v>1046</v>
      </c>
      <c r="B6810" s="323" t="s">
        <v>805</v>
      </c>
      <c r="C6810" s="323">
        <v>77533</v>
      </c>
      <c r="D6810" s="323">
        <v>128</v>
      </c>
      <c r="E6810" s="324">
        <f t="shared" si="106"/>
        <v>31214.080000000002</v>
      </c>
    </row>
    <row r="6811" spans="1:5" x14ac:dyDescent="0.25">
      <c r="A6811" s="323" t="s">
        <v>1125</v>
      </c>
      <c r="B6811" s="323" t="s">
        <v>805</v>
      </c>
      <c r="C6811" s="323">
        <v>77533</v>
      </c>
      <c r="D6811" s="323">
        <v>159</v>
      </c>
      <c r="E6811" s="324">
        <f t="shared" si="106"/>
        <v>38773.740000000005</v>
      </c>
    </row>
    <row r="6812" spans="1:5" x14ac:dyDescent="0.25">
      <c r="A6812" s="323" t="s">
        <v>1284</v>
      </c>
      <c r="B6812" s="323" t="s">
        <v>805</v>
      </c>
      <c r="C6812" s="323">
        <v>77533</v>
      </c>
      <c r="D6812" s="323">
        <v>176</v>
      </c>
      <c r="E6812" s="324">
        <f t="shared" si="106"/>
        <v>42919.360000000001</v>
      </c>
    </row>
    <row r="6813" spans="1:5" x14ac:dyDescent="0.25">
      <c r="A6813" s="323" t="s">
        <v>1360</v>
      </c>
      <c r="B6813" s="323" t="s">
        <v>805</v>
      </c>
      <c r="C6813" s="323">
        <v>77533</v>
      </c>
      <c r="D6813" s="323">
        <v>90</v>
      </c>
      <c r="E6813" s="324">
        <f t="shared" si="106"/>
        <v>21947.4</v>
      </c>
    </row>
    <row r="6814" spans="1:5" x14ac:dyDescent="0.25">
      <c r="A6814" s="323" t="s">
        <v>1780</v>
      </c>
      <c r="B6814" s="323" t="s">
        <v>805</v>
      </c>
      <c r="C6814" s="323">
        <v>77533</v>
      </c>
      <c r="D6814" s="323">
        <v>123</v>
      </c>
      <c r="E6814" s="324">
        <f t="shared" si="106"/>
        <v>29994.780000000002</v>
      </c>
    </row>
    <row r="6815" spans="1:5" x14ac:dyDescent="0.25">
      <c r="A6815" s="323" t="s">
        <v>1803</v>
      </c>
      <c r="B6815" s="323" t="s">
        <v>805</v>
      </c>
      <c r="C6815" s="323">
        <v>77533</v>
      </c>
      <c r="D6815" s="323">
        <v>382</v>
      </c>
      <c r="E6815" s="324">
        <f t="shared" si="106"/>
        <v>93154.52</v>
      </c>
    </row>
    <row r="6816" spans="1:5" x14ac:dyDescent="0.25">
      <c r="A6816" s="323" t="s">
        <v>2327</v>
      </c>
      <c r="B6816" s="323" t="s">
        <v>805</v>
      </c>
      <c r="C6816" s="323">
        <v>77533</v>
      </c>
      <c r="D6816" s="323">
        <v>84</v>
      </c>
      <c r="E6816" s="324">
        <f t="shared" si="106"/>
        <v>20484.240000000002</v>
      </c>
    </row>
    <row r="6817" spans="1:5" x14ac:dyDescent="0.25">
      <c r="A6817" s="323" t="s">
        <v>2407</v>
      </c>
      <c r="B6817" s="323" t="s">
        <v>805</v>
      </c>
      <c r="C6817" s="323">
        <v>77533</v>
      </c>
      <c r="D6817" s="323">
        <v>128</v>
      </c>
      <c r="E6817" s="324">
        <f t="shared" si="106"/>
        <v>31214.080000000002</v>
      </c>
    </row>
    <row r="6818" spans="1:5" x14ac:dyDescent="0.25">
      <c r="A6818" s="323" t="s">
        <v>3297</v>
      </c>
      <c r="B6818" s="323" t="s">
        <v>805</v>
      </c>
      <c r="C6818" s="323">
        <v>77533</v>
      </c>
      <c r="D6818" s="323">
        <v>271</v>
      </c>
      <c r="E6818" s="324">
        <f t="shared" si="106"/>
        <v>66086.06</v>
      </c>
    </row>
    <row r="6819" spans="1:5" x14ac:dyDescent="0.25">
      <c r="A6819" s="323" t="s">
        <v>3317</v>
      </c>
      <c r="B6819" s="323" t="s">
        <v>805</v>
      </c>
      <c r="C6819" s="323">
        <v>77533</v>
      </c>
      <c r="D6819" s="323">
        <v>234</v>
      </c>
      <c r="E6819" s="324">
        <f t="shared" si="106"/>
        <v>57063.240000000005</v>
      </c>
    </row>
    <row r="6820" spans="1:5" x14ac:dyDescent="0.25">
      <c r="A6820" s="323" t="s">
        <v>3858</v>
      </c>
      <c r="B6820" s="323" t="s">
        <v>805</v>
      </c>
      <c r="C6820" s="323">
        <v>77533</v>
      </c>
      <c r="D6820" s="323">
        <v>167</v>
      </c>
      <c r="E6820" s="324">
        <f t="shared" si="106"/>
        <v>40724.620000000003</v>
      </c>
    </row>
    <row r="6821" spans="1:5" x14ac:dyDescent="0.25">
      <c r="A6821" s="323" t="s">
        <v>5173</v>
      </c>
      <c r="B6821" s="323" t="s">
        <v>805</v>
      </c>
      <c r="C6821" s="323">
        <v>77533</v>
      </c>
      <c r="D6821" s="323">
        <v>113</v>
      </c>
      <c r="E6821" s="324">
        <f t="shared" si="106"/>
        <v>27556.18</v>
      </c>
    </row>
    <row r="6822" spans="1:5" x14ac:dyDescent="0.25">
      <c r="A6822" s="323" t="s">
        <v>5226</v>
      </c>
      <c r="B6822" s="323" t="s">
        <v>805</v>
      </c>
      <c r="C6822" s="323">
        <v>77533</v>
      </c>
      <c r="D6822" s="323">
        <v>286</v>
      </c>
      <c r="E6822" s="324">
        <f t="shared" si="106"/>
        <v>69743.960000000006</v>
      </c>
    </row>
    <row r="6823" spans="1:5" x14ac:dyDescent="0.25">
      <c r="A6823" s="323" t="s">
        <v>1396</v>
      </c>
      <c r="B6823" s="323" t="s">
        <v>816</v>
      </c>
      <c r="C6823" s="323">
        <v>77651</v>
      </c>
      <c r="D6823" s="323">
        <v>248</v>
      </c>
      <c r="E6823" s="324">
        <f t="shared" si="106"/>
        <v>90715.92</v>
      </c>
    </row>
    <row r="6824" spans="1:5" x14ac:dyDescent="0.25">
      <c r="A6824" s="323" t="s">
        <v>950</v>
      </c>
      <c r="B6824" s="323" t="s">
        <v>816</v>
      </c>
      <c r="C6824" s="323">
        <v>77690</v>
      </c>
      <c r="D6824" s="323">
        <v>120</v>
      </c>
      <c r="E6824" s="324">
        <f t="shared" si="106"/>
        <v>43894.8</v>
      </c>
    </row>
    <row r="6825" spans="1:5" x14ac:dyDescent="0.25">
      <c r="A6825" s="323" t="s">
        <v>2526</v>
      </c>
      <c r="B6825" s="323" t="s">
        <v>816</v>
      </c>
      <c r="C6825" s="323">
        <v>77690</v>
      </c>
      <c r="D6825" s="323">
        <v>147</v>
      </c>
      <c r="E6825" s="324">
        <f t="shared" si="106"/>
        <v>53771.130000000005</v>
      </c>
    </row>
    <row r="6826" spans="1:5" x14ac:dyDescent="0.25">
      <c r="A6826" s="323" t="s">
        <v>4483</v>
      </c>
      <c r="B6826" s="323" t="s">
        <v>803</v>
      </c>
      <c r="C6826" s="323">
        <v>77690</v>
      </c>
      <c r="D6826" s="323">
        <v>160</v>
      </c>
      <c r="E6826" s="324">
        <f t="shared" si="106"/>
        <v>78035.200000000012</v>
      </c>
    </row>
    <row r="6827" spans="1:5" x14ac:dyDescent="0.25">
      <c r="A6827" s="323" t="s">
        <v>4483</v>
      </c>
      <c r="B6827" s="323" t="s">
        <v>809</v>
      </c>
      <c r="C6827" s="323">
        <v>77690</v>
      </c>
      <c r="D6827" s="323">
        <v>75</v>
      </c>
      <c r="E6827" s="324">
        <f t="shared" si="106"/>
        <v>36579</v>
      </c>
    </row>
    <row r="6828" spans="1:5" x14ac:dyDescent="0.25">
      <c r="A6828" s="323" t="s">
        <v>5130</v>
      </c>
      <c r="B6828" s="323" t="s">
        <v>809</v>
      </c>
      <c r="C6828" s="323">
        <v>77690</v>
      </c>
      <c r="D6828" s="323">
        <v>68</v>
      </c>
      <c r="E6828" s="324">
        <f t="shared" si="106"/>
        <v>33164.959999999999</v>
      </c>
    </row>
    <row r="6829" spans="1:5" x14ac:dyDescent="0.25">
      <c r="A6829" s="323" t="s">
        <v>5130</v>
      </c>
      <c r="B6829" s="323" t="s">
        <v>803</v>
      </c>
      <c r="C6829" s="323">
        <v>77690</v>
      </c>
      <c r="D6829" s="323">
        <v>153</v>
      </c>
      <c r="E6829" s="324">
        <f t="shared" si="106"/>
        <v>74621.16</v>
      </c>
    </row>
    <row r="6830" spans="1:5" x14ac:dyDescent="0.25">
      <c r="A6830" s="323" t="s">
        <v>5130</v>
      </c>
      <c r="B6830" s="323" t="s">
        <v>809</v>
      </c>
      <c r="C6830" s="323">
        <v>77690</v>
      </c>
      <c r="D6830" s="323">
        <v>24</v>
      </c>
      <c r="E6830" s="324">
        <f t="shared" si="106"/>
        <v>11705.28</v>
      </c>
    </row>
    <row r="6831" spans="1:5" x14ac:dyDescent="0.25">
      <c r="A6831" s="323" t="s">
        <v>6335</v>
      </c>
      <c r="B6831" s="323" t="s">
        <v>816</v>
      </c>
      <c r="C6831" s="323">
        <v>77690</v>
      </c>
      <c r="D6831" s="323">
        <v>152</v>
      </c>
      <c r="E6831" s="324">
        <f t="shared" si="106"/>
        <v>55600.08</v>
      </c>
    </row>
    <row r="6832" spans="1:5" x14ac:dyDescent="0.25">
      <c r="A6832" s="323" t="s">
        <v>6562</v>
      </c>
      <c r="B6832" s="323" t="s">
        <v>816</v>
      </c>
      <c r="C6832" s="323">
        <v>77690</v>
      </c>
      <c r="D6832" s="323">
        <v>106</v>
      </c>
      <c r="E6832" s="324">
        <f t="shared" si="106"/>
        <v>38773.740000000005</v>
      </c>
    </row>
    <row r="6833" spans="1:5" x14ac:dyDescent="0.25">
      <c r="A6833" s="323" t="s">
        <v>6634</v>
      </c>
      <c r="B6833" s="323" t="s">
        <v>816</v>
      </c>
      <c r="C6833" s="323">
        <v>77690</v>
      </c>
      <c r="D6833" s="323">
        <v>102</v>
      </c>
      <c r="E6833" s="324">
        <f t="shared" si="106"/>
        <v>37310.58</v>
      </c>
    </row>
    <row r="6834" spans="1:5" x14ac:dyDescent="0.25">
      <c r="A6834" s="323" t="s">
        <v>7474</v>
      </c>
      <c r="B6834" s="323" t="s">
        <v>805</v>
      </c>
      <c r="C6834" s="323">
        <v>77690</v>
      </c>
      <c r="D6834" s="323">
        <v>34</v>
      </c>
      <c r="E6834" s="324">
        <f t="shared" si="106"/>
        <v>8291.24</v>
      </c>
    </row>
    <row r="6835" spans="1:5" x14ac:dyDescent="0.25">
      <c r="A6835" s="323" t="s">
        <v>1366</v>
      </c>
      <c r="B6835" s="323" t="s">
        <v>805</v>
      </c>
      <c r="C6835" s="323">
        <v>77975</v>
      </c>
      <c r="D6835" s="323">
        <v>96</v>
      </c>
      <c r="E6835" s="324">
        <f t="shared" si="106"/>
        <v>23410.560000000001</v>
      </c>
    </row>
    <row r="6836" spans="1:5" x14ac:dyDescent="0.25">
      <c r="A6836" s="323" t="s">
        <v>1399</v>
      </c>
      <c r="B6836" s="323" t="s">
        <v>816</v>
      </c>
      <c r="C6836" s="323">
        <v>77975</v>
      </c>
      <c r="D6836" s="323">
        <v>154</v>
      </c>
      <c r="E6836" s="324">
        <f t="shared" si="106"/>
        <v>56331.66</v>
      </c>
    </row>
    <row r="6837" spans="1:5" x14ac:dyDescent="0.25">
      <c r="A6837" s="323" t="s">
        <v>2264</v>
      </c>
      <c r="B6837" s="323" t="s">
        <v>805</v>
      </c>
      <c r="C6837" s="323">
        <v>77975</v>
      </c>
      <c r="D6837" s="323">
        <v>251</v>
      </c>
      <c r="E6837" s="324">
        <f t="shared" si="106"/>
        <v>61208.86</v>
      </c>
    </row>
    <row r="6838" spans="1:5" x14ac:dyDescent="0.25">
      <c r="A6838" s="323" t="s">
        <v>2264</v>
      </c>
      <c r="B6838" s="323" t="s">
        <v>805</v>
      </c>
      <c r="C6838" s="323">
        <v>77975</v>
      </c>
      <c r="D6838" s="323">
        <v>58</v>
      </c>
      <c r="E6838" s="324">
        <f t="shared" si="106"/>
        <v>14143.880000000001</v>
      </c>
    </row>
    <row r="6839" spans="1:5" x14ac:dyDescent="0.25">
      <c r="A6839" s="323" t="s">
        <v>2279</v>
      </c>
      <c r="B6839" s="323" t="s">
        <v>805</v>
      </c>
      <c r="C6839" s="323">
        <v>77975</v>
      </c>
      <c r="D6839" s="323">
        <v>192</v>
      </c>
      <c r="E6839" s="324">
        <f t="shared" si="106"/>
        <v>46821.120000000003</v>
      </c>
    </row>
    <row r="6840" spans="1:5" x14ac:dyDescent="0.25">
      <c r="A6840" s="323" t="s">
        <v>2431</v>
      </c>
      <c r="B6840" s="323" t="s">
        <v>805</v>
      </c>
      <c r="C6840" s="323">
        <v>77975</v>
      </c>
      <c r="D6840" s="323">
        <v>129</v>
      </c>
      <c r="E6840" s="324">
        <f t="shared" si="106"/>
        <v>31457.940000000002</v>
      </c>
    </row>
    <row r="6841" spans="1:5" x14ac:dyDescent="0.25">
      <c r="A6841" s="323" t="s">
        <v>3003</v>
      </c>
      <c r="B6841" s="323" t="s">
        <v>805</v>
      </c>
      <c r="C6841" s="323">
        <v>77975</v>
      </c>
      <c r="D6841" s="323">
        <v>56</v>
      </c>
      <c r="E6841" s="324">
        <f t="shared" si="106"/>
        <v>13656.16</v>
      </c>
    </row>
    <row r="6842" spans="1:5" x14ac:dyDescent="0.25">
      <c r="A6842" s="323" t="s">
        <v>3109</v>
      </c>
      <c r="B6842" s="323" t="s">
        <v>805</v>
      </c>
      <c r="C6842" s="323">
        <v>77975</v>
      </c>
      <c r="D6842" s="323">
        <v>153</v>
      </c>
      <c r="E6842" s="324">
        <f t="shared" si="106"/>
        <v>37310.58</v>
      </c>
    </row>
    <row r="6843" spans="1:5" x14ac:dyDescent="0.25">
      <c r="A6843" s="323" t="s">
        <v>3121</v>
      </c>
      <c r="B6843" s="323" t="s">
        <v>805</v>
      </c>
      <c r="C6843" s="323">
        <v>77975</v>
      </c>
      <c r="D6843" s="323">
        <v>78</v>
      </c>
      <c r="E6843" s="324">
        <f t="shared" si="106"/>
        <v>19021.080000000002</v>
      </c>
    </row>
    <row r="6844" spans="1:5" x14ac:dyDescent="0.25">
      <c r="A6844" s="323" t="s">
        <v>3320</v>
      </c>
      <c r="B6844" s="323" t="s">
        <v>805</v>
      </c>
      <c r="C6844" s="323">
        <v>77975</v>
      </c>
      <c r="D6844" s="323">
        <v>131</v>
      </c>
      <c r="E6844" s="324">
        <f t="shared" si="106"/>
        <v>31945.660000000003</v>
      </c>
    </row>
    <row r="6845" spans="1:5" x14ac:dyDescent="0.25">
      <c r="A6845" s="323" t="s">
        <v>3616</v>
      </c>
      <c r="B6845" s="323" t="s">
        <v>805</v>
      </c>
      <c r="C6845" s="323">
        <v>77975</v>
      </c>
      <c r="D6845" s="323">
        <v>175</v>
      </c>
      <c r="E6845" s="324">
        <f t="shared" si="106"/>
        <v>42675.5</v>
      </c>
    </row>
    <row r="6846" spans="1:5" x14ac:dyDescent="0.25">
      <c r="A6846" s="323" t="s">
        <v>3860</v>
      </c>
      <c r="B6846" s="323" t="s">
        <v>805</v>
      </c>
      <c r="C6846" s="323">
        <v>77975</v>
      </c>
      <c r="D6846" s="323">
        <v>338</v>
      </c>
      <c r="E6846" s="324">
        <f t="shared" si="106"/>
        <v>82424.680000000008</v>
      </c>
    </row>
    <row r="6847" spans="1:5" x14ac:dyDescent="0.25">
      <c r="A6847" s="323" t="s">
        <v>4035</v>
      </c>
      <c r="B6847" s="323" t="s">
        <v>805</v>
      </c>
      <c r="C6847" s="323">
        <v>77975</v>
      </c>
      <c r="D6847" s="323">
        <v>203</v>
      </c>
      <c r="E6847" s="324">
        <f t="shared" si="106"/>
        <v>49503.58</v>
      </c>
    </row>
    <row r="6848" spans="1:5" x14ac:dyDescent="0.25">
      <c r="A6848" s="323" t="s">
        <v>4171</v>
      </c>
      <c r="B6848" s="323" t="s">
        <v>805</v>
      </c>
      <c r="C6848" s="323">
        <v>77975</v>
      </c>
      <c r="D6848" s="323">
        <v>272</v>
      </c>
      <c r="E6848" s="324">
        <f t="shared" si="106"/>
        <v>66329.919999999998</v>
      </c>
    </row>
    <row r="6849" spans="1:5" x14ac:dyDescent="0.25">
      <c r="A6849" s="323" t="s">
        <v>4302</v>
      </c>
      <c r="B6849" s="323" t="s">
        <v>805</v>
      </c>
      <c r="C6849" s="323">
        <v>77975</v>
      </c>
      <c r="D6849" s="323">
        <v>263</v>
      </c>
      <c r="E6849" s="324">
        <f t="shared" si="106"/>
        <v>64135.18</v>
      </c>
    </row>
    <row r="6850" spans="1:5" x14ac:dyDescent="0.25">
      <c r="A6850" s="323" t="s">
        <v>4413</v>
      </c>
      <c r="B6850" s="323" t="s">
        <v>805</v>
      </c>
      <c r="C6850" s="323">
        <v>77975</v>
      </c>
      <c r="D6850" s="323">
        <v>195</v>
      </c>
      <c r="E6850" s="324">
        <f t="shared" ref="E6850:E6913" si="107">D6850*IF(B6850=$G$9,WerkdrukbedragPerLeerlingBo,IF(B6850=$G$10,WerkdrukbedragPerLeerlingSbo,IF(B6850=$G$11,WerkdrukbedragPerLeerlingSo,IF(B6850=$G$12,WerkdrukbedragPerLeerlingVso,0))))</f>
        <v>47552.700000000004</v>
      </c>
    </row>
    <row r="6851" spans="1:5" x14ac:dyDescent="0.25">
      <c r="A6851" s="323" t="s">
        <v>4617</v>
      </c>
      <c r="B6851" s="323" t="s">
        <v>805</v>
      </c>
      <c r="C6851" s="323">
        <v>77975</v>
      </c>
      <c r="D6851" s="323">
        <v>371</v>
      </c>
      <c r="E6851" s="324">
        <f t="shared" si="107"/>
        <v>90472.060000000012</v>
      </c>
    </row>
    <row r="6852" spans="1:5" x14ac:dyDescent="0.25">
      <c r="A6852" s="323" t="s">
        <v>6992</v>
      </c>
      <c r="B6852" s="323" t="s">
        <v>805</v>
      </c>
      <c r="C6852" s="323">
        <v>77975</v>
      </c>
      <c r="D6852" s="323">
        <v>414</v>
      </c>
      <c r="E6852" s="324">
        <f t="shared" si="107"/>
        <v>100958.04000000001</v>
      </c>
    </row>
    <row r="6853" spans="1:5" x14ac:dyDescent="0.25">
      <c r="A6853" s="323" t="s">
        <v>7138</v>
      </c>
      <c r="B6853" s="323" t="s">
        <v>805</v>
      </c>
      <c r="C6853" s="323">
        <v>77975</v>
      </c>
      <c r="D6853" s="323">
        <v>578</v>
      </c>
      <c r="E6853" s="324">
        <f t="shared" si="107"/>
        <v>140951.08000000002</v>
      </c>
    </row>
    <row r="6854" spans="1:5" x14ac:dyDescent="0.25">
      <c r="A6854" s="323" t="s">
        <v>7282</v>
      </c>
      <c r="B6854" s="323" t="s">
        <v>805</v>
      </c>
      <c r="C6854" s="323">
        <v>77975</v>
      </c>
      <c r="D6854" s="323">
        <v>223</v>
      </c>
      <c r="E6854" s="324">
        <f t="shared" si="107"/>
        <v>54380.780000000006</v>
      </c>
    </row>
    <row r="6855" spans="1:5" x14ac:dyDescent="0.25">
      <c r="A6855" s="323" t="s">
        <v>7384</v>
      </c>
      <c r="B6855" s="323" t="s">
        <v>805</v>
      </c>
      <c r="C6855" s="323">
        <v>77975</v>
      </c>
      <c r="D6855" s="323">
        <v>69</v>
      </c>
      <c r="E6855" s="324">
        <f t="shared" si="107"/>
        <v>16826.34</v>
      </c>
    </row>
    <row r="6856" spans="1:5" x14ac:dyDescent="0.25">
      <c r="A6856" s="323" t="s">
        <v>1172</v>
      </c>
      <c r="B6856" s="323" t="s">
        <v>805</v>
      </c>
      <c r="C6856" s="323">
        <v>78066</v>
      </c>
      <c r="D6856" s="323">
        <v>113</v>
      </c>
      <c r="E6856" s="324">
        <f t="shared" si="107"/>
        <v>27556.18</v>
      </c>
    </row>
    <row r="6857" spans="1:5" x14ac:dyDescent="0.25">
      <c r="A6857" s="323" t="s">
        <v>6501</v>
      </c>
      <c r="B6857" s="323" t="s">
        <v>805</v>
      </c>
      <c r="C6857" s="323">
        <v>78066</v>
      </c>
      <c r="D6857" s="323">
        <v>250</v>
      </c>
      <c r="E6857" s="324">
        <f t="shared" si="107"/>
        <v>60965</v>
      </c>
    </row>
    <row r="6858" spans="1:5" x14ac:dyDescent="0.25">
      <c r="A6858" s="323" t="s">
        <v>6519</v>
      </c>
      <c r="B6858" s="323" t="s">
        <v>805</v>
      </c>
      <c r="C6858" s="323">
        <v>78066</v>
      </c>
      <c r="D6858" s="323">
        <v>177</v>
      </c>
      <c r="E6858" s="324">
        <f t="shared" si="107"/>
        <v>43163.22</v>
      </c>
    </row>
    <row r="6859" spans="1:5" x14ac:dyDescent="0.25">
      <c r="A6859" s="323" t="s">
        <v>6533</v>
      </c>
      <c r="B6859" s="323" t="s">
        <v>805</v>
      </c>
      <c r="C6859" s="323">
        <v>78066</v>
      </c>
      <c r="D6859" s="323">
        <v>163</v>
      </c>
      <c r="E6859" s="324">
        <f t="shared" si="107"/>
        <v>39749.18</v>
      </c>
    </row>
    <row r="6860" spans="1:5" x14ac:dyDescent="0.25">
      <c r="A6860" s="323" t="s">
        <v>6540</v>
      </c>
      <c r="B6860" s="323" t="s">
        <v>805</v>
      </c>
      <c r="C6860" s="323">
        <v>78066</v>
      </c>
      <c r="D6860" s="323">
        <v>258</v>
      </c>
      <c r="E6860" s="324">
        <f t="shared" si="107"/>
        <v>62915.880000000005</v>
      </c>
    </row>
    <row r="6861" spans="1:5" x14ac:dyDescent="0.25">
      <c r="A6861" s="323" t="s">
        <v>2533</v>
      </c>
      <c r="B6861" s="323" t="s">
        <v>805</v>
      </c>
      <c r="C6861" s="323">
        <v>78184</v>
      </c>
      <c r="D6861" s="323">
        <v>389</v>
      </c>
      <c r="E6861" s="324">
        <f t="shared" si="107"/>
        <v>94861.540000000008</v>
      </c>
    </row>
    <row r="6862" spans="1:5" x14ac:dyDescent="0.25">
      <c r="A6862" s="323" t="s">
        <v>2534</v>
      </c>
      <c r="B6862" s="323" t="s">
        <v>805</v>
      </c>
      <c r="C6862" s="323">
        <v>78197</v>
      </c>
      <c r="D6862" s="323">
        <v>126</v>
      </c>
      <c r="E6862" s="324">
        <f t="shared" si="107"/>
        <v>30726.36</v>
      </c>
    </row>
    <row r="6863" spans="1:5" x14ac:dyDescent="0.25">
      <c r="A6863" s="323" t="s">
        <v>1419</v>
      </c>
      <c r="B6863" s="323" t="s">
        <v>805</v>
      </c>
      <c r="C6863" s="323">
        <v>78222</v>
      </c>
      <c r="D6863" s="323">
        <v>349</v>
      </c>
      <c r="E6863" s="324">
        <f t="shared" si="107"/>
        <v>85107.14</v>
      </c>
    </row>
    <row r="6864" spans="1:5" x14ac:dyDescent="0.25">
      <c r="A6864" s="323" t="s">
        <v>1765</v>
      </c>
      <c r="B6864" s="323" t="s">
        <v>805</v>
      </c>
      <c r="C6864" s="323">
        <v>78222</v>
      </c>
      <c r="D6864" s="323">
        <v>185</v>
      </c>
      <c r="E6864" s="324">
        <f t="shared" si="107"/>
        <v>45114.100000000006</v>
      </c>
    </row>
    <row r="6865" spans="1:5" x14ac:dyDescent="0.25">
      <c r="A6865" s="323" t="s">
        <v>1799</v>
      </c>
      <c r="B6865" s="323" t="s">
        <v>805</v>
      </c>
      <c r="C6865" s="323">
        <v>78222</v>
      </c>
      <c r="D6865" s="323">
        <v>138</v>
      </c>
      <c r="E6865" s="324">
        <f t="shared" si="107"/>
        <v>33652.68</v>
      </c>
    </row>
    <row r="6866" spans="1:5" x14ac:dyDescent="0.25">
      <c r="A6866" s="323" t="s">
        <v>2874</v>
      </c>
      <c r="B6866" s="323" t="s">
        <v>805</v>
      </c>
      <c r="C6866" s="323">
        <v>78222</v>
      </c>
      <c r="D6866" s="323">
        <v>344</v>
      </c>
      <c r="E6866" s="324">
        <f t="shared" si="107"/>
        <v>83887.840000000011</v>
      </c>
    </row>
    <row r="6867" spans="1:5" x14ac:dyDescent="0.25">
      <c r="A6867" s="323" t="s">
        <v>3034</v>
      </c>
      <c r="B6867" s="323" t="s">
        <v>805</v>
      </c>
      <c r="C6867" s="323">
        <v>78222</v>
      </c>
      <c r="D6867" s="323">
        <v>248</v>
      </c>
      <c r="E6867" s="324">
        <f t="shared" si="107"/>
        <v>60477.280000000006</v>
      </c>
    </row>
    <row r="6868" spans="1:5" x14ac:dyDescent="0.25">
      <c r="A6868" s="323" t="s">
        <v>3323</v>
      </c>
      <c r="B6868" s="323" t="s">
        <v>805</v>
      </c>
      <c r="C6868" s="323">
        <v>78222</v>
      </c>
      <c r="D6868" s="323">
        <v>231</v>
      </c>
      <c r="E6868" s="324">
        <f t="shared" si="107"/>
        <v>56331.66</v>
      </c>
    </row>
    <row r="6869" spans="1:5" x14ac:dyDescent="0.25">
      <c r="A6869" s="323" t="s">
        <v>3501</v>
      </c>
      <c r="B6869" s="323" t="s">
        <v>805</v>
      </c>
      <c r="C6869" s="323">
        <v>78222</v>
      </c>
      <c r="D6869" s="323">
        <v>162</v>
      </c>
      <c r="E6869" s="324">
        <f t="shared" si="107"/>
        <v>39505.32</v>
      </c>
    </row>
    <row r="6870" spans="1:5" x14ac:dyDescent="0.25">
      <c r="A6870" s="323" t="s">
        <v>3509</v>
      </c>
      <c r="B6870" s="323" t="s">
        <v>805</v>
      </c>
      <c r="C6870" s="323">
        <v>78222</v>
      </c>
      <c r="D6870" s="323">
        <v>185</v>
      </c>
      <c r="E6870" s="324">
        <f t="shared" si="107"/>
        <v>45114.100000000006</v>
      </c>
    </row>
    <row r="6871" spans="1:5" x14ac:dyDescent="0.25">
      <c r="A6871" s="323" t="s">
        <v>3772</v>
      </c>
      <c r="B6871" s="323" t="s">
        <v>805</v>
      </c>
      <c r="C6871" s="323">
        <v>78222</v>
      </c>
      <c r="D6871" s="323">
        <v>170</v>
      </c>
      <c r="E6871" s="324">
        <f t="shared" si="107"/>
        <v>41456.200000000004</v>
      </c>
    </row>
    <row r="6872" spans="1:5" x14ac:dyDescent="0.25">
      <c r="A6872" s="323" t="s">
        <v>5224</v>
      </c>
      <c r="B6872" s="323" t="s">
        <v>805</v>
      </c>
      <c r="C6872" s="323">
        <v>78222</v>
      </c>
      <c r="D6872" s="323">
        <v>126</v>
      </c>
      <c r="E6872" s="324">
        <f t="shared" si="107"/>
        <v>30726.36</v>
      </c>
    </row>
    <row r="6873" spans="1:5" x14ac:dyDescent="0.25">
      <c r="A6873" s="323" t="s">
        <v>5312</v>
      </c>
      <c r="B6873" s="323" t="s">
        <v>805</v>
      </c>
      <c r="C6873" s="323">
        <v>78222</v>
      </c>
      <c r="D6873" s="323">
        <v>521</v>
      </c>
      <c r="E6873" s="324">
        <f t="shared" si="107"/>
        <v>127051.06000000001</v>
      </c>
    </row>
    <row r="6874" spans="1:5" x14ac:dyDescent="0.25">
      <c r="A6874" s="323" t="s">
        <v>6096</v>
      </c>
      <c r="B6874" s="323" t="s">
        <v>805</v>
      </c>
      <c r="C6874" s="323">
        <v>78222</v>
      </c>
      <c r="D6874" s="323">
        <v>283</v>
      </c>
      <c r="E6874" s="324">
        <f t="shared" si="107"/>
        <v>69012.38</v>
      </c>
    </row>
    <row r="6875" spans="1:5" x14ac:dyDescent="0.25">
      <c r="A6875" s="323" t="s">
        <v>6566</v>
      </c>
      <c r="B6875" s="323" t="s">
        <v>805</v>
      </c>
      <c r="C6875" s="323">
        <v>78222</v>
      </c>
      <c r="D6875" s="323">
        <v>592</v>
      </c>
      <c r="E6875" s="324">
        <f t="shared" si="107"/>
        <v>144365.12</v>
      </c>
    </row>
    <row r="6876" spans="1:5" x14ac:dyDescent="0.25">
      <c r="A6876" s="323" t="s">
        <v>2536</v>
      </c>
      <c r="B6876" s="323" t="s">
        <v>805</v>
      </c>
      <c r="C6876" s="323">
        <v>78457</v>
      </c>
      <c r="D6876" s="323">
        <v>67</v>
      </c>
      <c r="E6876" s="324">
        <f t="shared" si="107"/>
        <v>16338.62</v>
      </c>
    </row>
    <row r="6877" spans="1:5" x14ac:dyDescent="0.25">
      <c r="A6877" s="323" t="s">
        <v>1508</v>
      </c>
      <c r="B6877" s="323" t="s">
        <v>805</v>
      </c>
      <c r="C6877" s="323">
        <v>78782</v>
      </c>
      <c r="D6877" s="323">
        <v>267</v>
      </c>
      <c r="E6877" s="324">
        <f t="shared" si="107"/>
        <v>65110.62</v>
      </c>
    </row>
    <row r="6878" spans="1:5" x14ac:dyDescent="0.25">
      <c r="A6878" s="323" t="s">
        <v>1639</v>
      </c>
      <c r="B6878" s="323" t="s">
        <v>805</v>
      </c>
      <c r="C6878" s="323">
        <v>78782</v>
      </c>
      <c r="D6878" s="323">
        <v>280</v>
      </c>
      <c r="E6878" s="324">
        <f t="shared" si="107"/>
        <v>68280.800000000003</v>
      </c>
    </row>
    <row r="6879" spans="1:5" x14ac:dyDescent="0.25">
      <c r="A6879" s="323" t="s">
        <v>4271</v>
      </c>
      <c r="B6879" s="323" t="s">
        <v>805</v>
      </c>
      <c r="C6879" s="323">
        <v>78782</v>
      </c>
      <c r="D6879" s="323">
        <v>274</v>
      </c>
      <c r="E6879" s="324">
        <f t="shared" si="107"/>
        <v>66817.64</v>
      </c>
    </row>
    <row r="6880" spans="1:5" x14ac:dyDescent="0.25">
      <c r="A6880" s="323" t="s">
        <v>4379</v>
      </c>
      <c r="B6880" s="323" t="s">
        <v>805</v>
      </c>
      <c r="C6880" s="323">
        <v>78782</v>
      </c>
      <c r="D6880" s="323">
        <v>107</v>
      </c>
      <c r="E6880" s="324">
        <f t="shared" si="107"/>
        <v>26093.02</v>
      </c>
    </row>
    <row r="6881" spans="1:5" x14ac:dyDescent="0.25">
      <c r="A6881" s="323" t="s">
        <v>4590</v>
      </c>
      <c r="B6881" s="323" t="s">
        <v>805</v>
      </c>
      <c r="C6881" s="323">
        <v>78782</v>
      </c>
      <c r="D6881" s="323">
        <v>262</v>
      </c>
      <c r="E6881" s="324">
        <f t="shared" si="107"/>
        <v>63891.320000000007</v>
      </c>
    </row>
    <row r="6882" spans="1:5" x14ac:dyDescent="0.25">
      <c r="A6882" s="323" t="s">
        <v>6473</v>
      </c>
      <c r="B6882" s="323" t="s">
        <v>816</v>
      </c>
      <c r="C6882" s="323">
        <v>78782</v>
      </c>
      <c r="D6882" s="323">
        <v>103</v>
      </c>
      <c r="E6882" s="324">
        <f t="shared" si="107"/>
        <v>37676.370000000003</v>
      </c>
    </row>
    <row r="6883" spans="1:5" x14ac:dyDescent="0.25">
      <c r="A6883" s="323" t="s">
        <v>7216</v>
      </c>
      <c r="B6883" s="323" t="s">
        <v>805</v>
      </c>
      <c r="C6883" s="323">
        <v>78782</v>
      </c>
      <c r="D6883" s="323">
        <v>498</v>
      </c>
      <c r="E6883" s="324">
        <f t="shared" si="107"/>
        <v>121442.28000000001</v>
      </c>
    </row>
    <row r="6884" spans="1:5" x14ac:dyDescent="0.25">
      <c r="A6884" s="323" t="s">
        <v>7220</v>
      </c>
      <c r="B6884" s="323" t="s">
        <v>805</v>
      </c>
      <c r="C6884" s="323">
        <v>78782</v>
      </c>
      <c r="D6884" s="323">
        <v>354</v>
      </c>
      <c r="E6884" s="324">
        <f t="shared" si="107"/>
        <v>86326.44</v>
      </c>
    </row>
    <row r="6885" spans="1:5" x14ac:dyDescent="0.25">
      <c r="A6885" s="323" t="s">
        <v>7272</v>
      </c>
      <c r="B6885" s="323" t="s">
        <v>805</v>
      </c>
      <c r="C6885" s="323">
        <v>78782</v>
      </c>
      <c r="D6885" s="323">
        <v>500</v>
      </c>
      <c r="E6885" s="324">
        <f t="shared" si="107"/>
        <v>121930</v>
      </c>
    </row>
    <row r="6886" spans="1:5" x14ac:dyDescent="0.25">
      <c r="A6886" s="323" t="s">
        <v>2543</v>
      </c>
      <c r="B6886" s="323" t="s">
        <v>805</v>
      </c>
      <c r="C6886" s="323">
        <v>79003</v>
      </c>
      <c r="D6886" s="323">
        <v>212</v>
      </c>
      <c r="E6886" s="324">
        <f t="shared" si="107"/>
        <v>51698.32</v>
      </c>
    </row>
    <row r="6887" spans="1:5" x14ac:dyDescent="0.25">
      <c r="A6887" s="323" t="s">
        <v>2544</v>
      </c>
      <c r="B6887" s="323" t="s">
        <v>805</v>
      </c>
      <c r="C6887" s="323">
        <v>79016</v>
      </c>
      <c r="D6887" s="323">
        <v>222</v>
      </c>
      <c r="E6887" s="324">
        <f t="shared" si="107"/>
        <v>54136.920000000006</v>
      </c>
    </row>
    <row r="6888" spans="1:5" x14ac:dyDescent="0.25">
      <c r="A6888" s="323" t="s">
        <v>6964</v>
      </c>
      <c r="B6888" s="323" t="s">
        <v>805</v>
      </c>
      <c r="C6888" s="323">
        <v>79016</v>
      </c>
      <c r="D6888" s="323">
        <v>282</v>
      </c>
      <c r="E6888" s="324">
        <f t="shared" si="107"/>
        <v>68768.52</v>
      </c>
    </row>
    <row r="6889" spans="1:5" x14ac:dyDescent="0.25">
      <c r="A6889" s="323" t="s">
        <v>1724</v>
      </c>
      <c r="B6889" s="323" t="s">
        <v>805</v>
      </c>
      <c r="C6889" s="323">
        <v>79536</v>
      </c>
      <c r="D6889" s="323">
        <v>153</v>
      </c>
      <c r="E6889" s="324">
        <f t="shared" si="107"/>
        <v>37310.58</v>
      </c>
    </row>
    <row r="6890" spans="1:5" x14ac:dyDescent="0.25">
      <c r="A6890" s="323" t="s">
        <v>1827</v>
      </c>
      <c r="B6890" s="323" t="s">
        <v>805</v>
      </c>
      <c r="C6890" s="323">
        <v>79536</v>
      </c>
      <c r="D6890" s="323">
        <v>310</v>
      </c>
      <c r="E6890" s="324">
        <f t="shared" si="107"/>
        <v>75596.600000000006</v>
      </c>
    </row>
    <row r="6891" spans="1:5" x14ac:dyDescent="0.25">
      <c r="A6891" s="323" t="s">
        <v>4272</v>
      </c>
      <c r="B6891" s="323" t="s">
        <v>805</v>
      </c>
      <c r="C6891" s="323">
        <v>79536</v>
      </c>
      <c r="D6891" s="323">
        <v>224</v>
      </c>
      <c r="E6891" s="324">
        <f t="shared" si="107"/>
        <v>54624.639999999999</v>
      </c>
    </row>
    <row r="6892" spans="1:5" x14ac:dyDescent="0.25">
      <c r="A6892" s="323" t="s">
        <v>4380</v>
      </c>
      <c r="B6892" s="323" t="s">
        <v>805</v>
      </c>
      <c r="C6892" s="323">
        <v>79536</v>
      </c>
      <c r="D6892" s="323">
        <v>180</v>
      </c>
      <c r="E6892" s="324">
        <f t="shared" si="107"/>
        <v>43894.8</v>
      </c>
    </row>
    <row r="6893" spans="1:5" x14ac:dyDescent="0.25">
      <c r="A6893" s="323" t="s">
        <v>7235</v>
      </c>
      <c r="B6893" s="323" t="s">
        <v>805</v>
      </c>
      <c r="C6893" s="323">
        <v>79536</v>
      </c>
      <c r="D6893" s="323">
        <v>192</v>
      </c>
      <c r="E6893" s="324">
        <f t="shared" si="107"/>
        <v>46821.120000000003</v>
      </c>
    </row>
    <row r="6894" spans="1:5" x14ac:dyDescent="0.25">
      <c r="A6894" s="323" t="s">
        <v>6867</v>
      </c>
      <c r="B6894" s="323" t="s">
        <v>805</v>
      </c>
      <c r="C6894" s="323">
        <v>79796</v>
      </c>
      <c r="D6894" s="323">
        <v>212</v>
      </c>
      <c r="E6894" s="324">
        <f t="shared" si="107"/>
        <v>51698.32</v>
      </c>
    </row>
    <row r="6895" spans="1:5" x14ac:dyDescent="0.25">
      <c r="A6895" s="323" t="s">
        <v>2551</v>
      </c>
      <c r="B6895" s="323" t="s">
        <v>805</v>
      </c>
      <c r="C6895" s="323">
        <v>79835</v>
      </c>
      <c r="D6895" s="323">
        <v>233</v>
      </c>
      <c r="E6895" s="324">
        <f t="shared" si="107"/>
        <v>56819.380000000005</v>
      </c>
    </row>
    <row r="6896" spans="1:5" x14ac:dyDescent="0.25">
      <c r="A6896" s="323" t="s">
        <v>1136</v>
      </c>
      <c r="B6896" s="323" t="s">
        <v>805</v>
      </c>
      <c r="C6896" s="323">
        <v>79874</v>
      </c>
      <c r="D6896" s="323">
        <v>160</v>
      </c>
      <c r="E6896" s="324">
        <f t="shared" si="107"/>
        <v>39017.600000000006</v>
      </c>
    </row>
    <row r="6897" spans="1:5" x14ac:dyDescent="0.25">
      <c r="A6897" s="323" t="s">
        <v>1280</v>
      </c>
      <c r="B6897" s="323" t="s">
        <v>805</v>
      </c>
      <c r="C6897" s="323">
        <v>79874</v>
      </c>
      <c r="D6897" s="323">
        <v>118</v>
      </c>
      <c r="E6897" s="324">
        <f t="shared" si="107"/>
        <v>28775.480000000003</v>
      </c>
    </row>
    <row r="6898" spans="1:5" x14ac:dyDescent="0.25">
      <c r="A6898" s="323" t="s">
        <v>1497</v>
      </c>
      <c r="B6898" s="323" t="s">
        <v>805</v>
      </c>
      <c r="C6898" s="323">
        <v>79874</v>
      </c>
      <c r="D6898" s="323">
        <v>129</v>
      </c>
      <c r="E6898" s="324">
        <f t="shared" si="107"/>
        <v>31457.940000000002</v>
      </c>
    </row>
    <row r="6899" spans="1:5" x14ac:dyDescent="0.25">
      <c r="A6899" s="323" t="s">
        <v>1533</v>
      </c>
      <c r="B6899" s="323" t="s">
        <v>805</v>
      </c>
      <c r="C6899" s="323">
        <v>79874</v>
      </c>
      <c r="D6899" s="323">
        <v>34</v>
      </c>
      <c r="E6899" s="324">
        <f t="shared" si="107"/>
        <v>8291.24</v>
      </c>
    </row>
    <row r="6900" spans="1:5" x14ac:dyDescent="0.25">
      <c r="A6900" s="323" t="s">
        <v>2547</v>
      </c>
      <c r="B6900" s="323" t="s">
        <v>805</v>
      </c>
      <c r="C6900" s="323">
        <v>79874</v>
      </c>
      <c r="D6900" s="323">
        <v>56</v>
      </c>
      <c r="E6900" s="324">
        <f t="shared" si="107"/>
        <v>13656.16</v>
      </c>
    </row>
    <row r="6901" spans="1:5" x14ac:dyDescent="0.25">
      <c r="A6901" s="323" t="s">
        <v>2550</v>
      </c>
      <c r="B6901" s="323" t="s">
        <v>805</v>
      </c>
      <c r="C6901" s="323">
        <v>79874</v>
      </c>
      <c r="D6901" s="323">
        <v>130</v>
      </c>
      <c r="E6901" s="324">
        <f t="shared" si="107"/>
        <v>31701.800000000003</v>
      </c>
    </row>
    <row r="6902" spans="1:5" x14ac:dyDescent="0.25">
      <c r="A6902" s="323" t="s">
        <v>3141</v>
      </c>
      <c r="B6902" s="323" t="s">
        <v>805</v>
      </c>
      <c r="C6902" s="323">
        <v>79874</v>
      </c>
      <c r="D6902" s="323">
        <v>72</v>
      </c>
      <c r="E6902" s="324">
        <f t="shared" si="107"/>
        <v>17557.920000000002</v>
      </c>
    </row>
    <row r="6903" spans="1:5" x14ac:dyDescent="0.25">
      <c r="A6903" s="323" t="s">
        <v>3495</v>
      </c>
      <c r="B6903" s="323" t="s">
        <v>805</v>
      </c>
      <c r="C6903" s="323">
        <v>79874</v>
      </c>
      <c r="D6903" s="323">
        <v>238</v>
      </c>
      <c r="E6903" s="324">
        <f t="shared" si="107"/>
        <v>58038.68</v>
      </c>
    </row>
    <row r="6904" spans="1:5" x14ac:dyDescent="0.25">
      <c r="A6904" s="323" t="s">
        <v>3720</v>
      </c>
      <c r="B6904" s="323" t="s">
        <v>805</v>
      </c>
      <c r="C6904" s="323">
        <v>79874</v>
      </c>
      <c r="D6904" s="323">
        <v>347</v>
      </c>
      <c r="E6904" s="324">
        <f t="shared" si="107"/>
        <v>84619.42</v>
      </c>
    </row>
    <row r="6905" spans="1:5" x14ac:dyDescent="0.25">
      <c r="A6905" s="323" t="s">
        <v>3753</v>
      </c>
      <c r="B6905" s="323" t="s">
        <v>805</v>
      </c>
      <c r="C6905" s="323">
        <v>79874</v>
      </c>
      <c r="D6905" s="323">
        <v>117</v>
      </c>
      <c r="E6905" s="324">
        <f t="shared" si="107"/>
        <v>28531.620000000003</v>
      </c>
    </row>
    <row r="6906" spans="1:5" x14ac:dyDescent="0.25">
      <c r="A6906" s="323" t="s">
        <v>4270</v>
      </c>
      <c r="B6906" s="323" t="s">
        <v>805</v>
      </c>
      <c r="C6906" s="323">
        <v>79874</v>
      </c>
      <c r="D6906" s="323">
        <v>73</v>
      </c>
      <c r="E6906" s="324">
        <f t="shared" si="107"/>
        <v>17801.780000000002</v>
      </c>
    </row>
    <row r="6907" spans="1:5" x14ac:dyDescent="0.25">
      <c r="A6907" s="323" t="s">
        <v>4486</v>
      </c>
      <c r="B6907" s="323" t="s">
        <v>805</v>
      </c>
      <c r="C6907" s="323">
        <v>79874</v>
      </c>
      <c r="D6907" s="323">
        <v>82</v>
      </c>
      <c r="E6907" s="324">
        <f t="shared" si="107"/>
        <v>19996.52</v>
      </c>
    </row>
    <row r="6908" spans="1:5" x14ac:dyDescent="0.25">
      <c r="A6908" s="323" t="s">
        <v>4589</v>
      </c>
      <c r="B6908" s="323" t="s">
        <v>805</v>
      </c>
      <c r="C6908" s="323">
        <v>79874</v>
      </c>
      <c r="D6908" s="323">
        <v>45</v>
      </c>
      <c r="E6908" s="324">
        <f t="shared" si="107"/>
        <v>10973.7</v>
      </c>
    </row>
    <row r="6909" spans="1:5" x14ac:dyDescent="0.25">
      <c r="A6909" s="323" t="s">
        <v>5260</v>
      </c>
      <c r="B6909" s="323" t="s">
        <v>805</v>
      </c>
      <c r="C6909" s="323">
        <v>79874</v>
      </c>
      <c r="D6909" s="323">
        <v>157</v>
      </c>
      <c r="E6909" s="324">
        <f t="shared" si="107"/>
        <v>38286.020000000004</v>
      </c>
    </row>
    <row r="6910" spans="1:5" x14ac:dyDescent="0.25">
      <c r="A6910" s="323" t="s">
        <v>5387</v>
      </c>
      <c r="B6910" s="323" t="s">
        <v>805</v>
      </c>
      <c r="C6910" s="323">
        <v>79874</v>
      </c>
      <c r="D6910" s="323">
        <v>190</v>
      </c>
      <c r="E6910" s="324">
        <f t="shared" si="107"/>
        <v>46333.4</v>
      </c>
    </row>
    <row r="6911" spans="1:5" x14ac:dyDescent="0.25">
      <c r="A6911" s="323" t="s">
        <v>5387</v>
      </c>
      <c r="B6911" s="323" t="s">
        <v>805</v>
      </c>
      <c r="C6911" s="323">
        <v>79874</v>
      </c>
      <c r="D6911" s="323">
        <v>148</v>
      </c>
      <c r="E6911" s="324">
        <f t="shared" si="107"/>
        <v>36091.279999999999</v>
      </c>
    </row>
    <row r="6912" spans="1:5" x14ac:dyDescent="0.25">
      <c r="A6912" s="323" t="s">
        <v>5435</v>
      </c>
      <c r="B6912" s="323" t="s">
        <v>805</v>
      </c>
      <c r="C6912" s="323">
        <v>79874</v>
      </c>
      <c r="D6912" s="323">
        <v>235</v>
      </c>
      <c r="E6912" s="324">
        <f t="shared" si="107"/>
        <v>57307.100000000006</v>
      </c>
    </row>
    <row r="6913" spans="1:5" x14ac:dyDescent="0.25">
      <c r="A6913" s="323" t="s">
        <v>5464</v>
      </c>
      <c r="B6913" s="323" t="s">
        <v>805</v>
      </c>
      <c r="C6913" s="323">
        <v>79874</v>
      </c>
      <c r="D6913" s="323">
        <v>248</v>
      </c>
      <c r="E6913" s="324">
        <f t="shared" si="107"/>
        <v>60477.280000000006</v>
      </c>
    </row>
    <row r="6914" spans="1:5" x14ac:dyDescent="0.25">
      <c r="A6914" s="323" t="s">
        <v>5491</v>
      </c>
      <c r="B6914" s="323" t="s">
        <v>805</v>
      </c>
      <c r="C6914" s="323">
        <v>79874</v>
      </c>
      <c r="D6914" s="323">
        <v>219</v>
      </c>
      <c r="E6914" s="324">
        <f t="shared" ref="E6914:E6977" si="108">D6914*IF(B6914=$G$9,WerkdrukbedragPerLeerlingBo,IF(B6914=$G$10,WerkdrukbedragPerLeerlingSbo,IF(B6914=$G$11,WerkdrukbedragPerLeerlingSo,IF(B6914=$G$12,WerkdrukbedragPerLeerlingVso,0))))</f>
        <v>53405.340000000004</v>
      </c>
    </row>
    <row r="6915" spans="1:5" x14ac:dyDescent="0.25">
      <c r="A6915" s="323" t="s">
        <v>6922</v>
      </c>
      <c r="B6915" s="323" t="s">
        <v>805</v>
      </c>
      <c r="C6915" s="323">
        <v>79874</v>
      </c>
      <c r="D6915" s="323">
        <v>86</v>
      </c>
      <c r="E6915" s="324">
        <f t="shared" si="108"/>
        <v>20971.960000000003</v>
      </c>
    </row>
    <row r="6916" spans="1:5" x14ac:dyDescent="0.25">
      <c r="A6916" s="323" t="s">
        <v>2552</v>
      </c>
      <c r="B6916" s="323" t="s">
        <v>805</v>
      </c>
      <c r="C6916" s="323">
        <v>79952</v>
      </c>
      <c r="D6916" s="323">
        <v>160</v>
      </c>
      <c r="E6916" s="324">
        <f t="shared" si="108"/>
        <v>39017.600000000006</v>
      </c>
    </row>
    <row r="6917" spans="1:5" x14ac:dyDescent="0.25">
      <c r="A6917" s="323" t="s">
        <v>4736</v>
      </c>
      <c r="B6917" s="323" t="s">
        <v>805</v>
      </c>
      <c r="C6917" s="323">
        <v>80095</v>
      </c>
      <c r="D6917" s="323">
        <v>209</v>
      </c>
      <c r="E6917" s="324">
        <f t="shared" si="108"/>
        <v>50966.740000000005</v>
      </c>
    </row>
    <row r="6918" spans="1:5" x14ac:dyDescent="0.25">
      <c r="A6918" s="323" t="s">
        <v>4804</v>
      </c>
      <c r="B6918" s="323" t="s">
        <v>805</v>
      </c>
      <c r="C6918" s="323">
        <v>80095</v>
      </c>
      <c r="D6918" s="323">
        <v>193</v>
      </c>
      <c r="E6918" s="324">
        <f t="shared" si="108"/>
        <v>47064.98</v>
      </c>
    </row>
    <row r="6919" spans="1:5" x14ac:dyDescent="0.25">
      <c r="A6919" s="323" t="s">
        <v>4855</v>
      </c>
      <c r="B6919" s="323" t="s">
        <v>805</v>
      </c>
      <c r="C6919" s="323">
        <v>80095</v>
      </c>
      <c r="D6919" s="323">
        <v>379</v>
      </c>
      <c r="E6919" s="324">
        <f t="shared" si="108"/>
        <v>92422.94</v>
      </c>
    </row>
    <row r="6920" spans="1:5" x14ac:dyDescent="0.25">
      <c r="A6920" s="323" t="s">
        <v>4946</v>
      </c>
      <c r="B6920" s="323" t="s">
        <v>805</v>
      </c>
      <c r="C6920" s="323">
        <v>80095</v>
      </c>
      <c r="D6920" s="323">
        <v>215</v>
      </c>
      <c r="E6920" s="324">
        <f t="shared" si="108"/>
        <v>52429.9</v>
      </c>
    </row>
    <row r="6921" spans="1:5" x14ac:dyDescent="0.25">
      <c r="A6921" s="323" t="s">
        <v>4984</v>
      </c>
      <c r="B6921" s="323" t="s">
        <v>805</v>
      </c>
      <c r="C6921" s="323">
        <v>80095</v>
      </c>
      <c r="D6921" s="323">
        <v>228</v>
      </c>
      <c r="E6921" s="324">
        <f t="shared" si="108"/>
        <v>55600.08</v>
      </c>
    </row>
    <row r="6922" spans="1:5" x14ac:dyDescent="0.25">
      <c r="A6922" s="323" t="s">
        <v>863</v>
      </c>
      <c r="B6922" s="323" t="s">
        <v>816</v>
      </c>
      <c r="C6922" s="323">
        <v>80433</v>
      </c>
      <c r="D6922" s="323">
        <v>111</v>
      </c>
      <c r="E6922" s="324">
        <f t="shared" si="108"/>
        <v>40602.69</v>
      </c>
    </row>
    <row r="6923" spans="1:5" x14ac:dyDescent="0.25">
      <c r="A6923" s="323" t="s">
        <v>1466</v>
      </c>
      <c r="B6923" s="323" t="s">
        <v>805</v>
      </c>
      <c r="C6923" s="323">
        <v>80433</v>
      </c>
      <c r="D6923" s="323">
        <v>251</v>
      </c>
      <c r="E6923" s="324">
        <f t="shared" si="108"/>
        <v>61208.86</v>
      </c>
    </row>
    <row r="6924" spans="1:5" x14ac:dyDescent="0.25">
      <c r="A6924" s="323" t="s">
        <v>1504</v>
      </c>
      <c r="B6924" s="323" t="s">
        <v>805</v>
      </c>
      <c r="C6924" s="323">
        <v>80433</v>
      </c>
      <c r="D6924" s="323">
        <v>99</v>
      </c>
      <c r="E6924" s="324">
        <f t="shared" si="108"/>
        <v>24142.140000000003</v>
      </c>
    </row>
    <row r="6925" spans="1:5" x14ac:dyDescent="0.25">
      <c r="A6925" s="323" t="s">
        <v>3214</v>
      </c>
      <c r="B6925" s="323" t="s">
        <v>805</v>
      </c>
      <c r="C6925" s="323">
        <v>80433</v>
      </c>
      <c r="D6925" s="323">
        <v>410</v>
      </c>
      <c r="E6925" s="324">
        <f t="shared" si="108"/>
        <v>99982.6</v>
      </c>
    </row>
    <row r="6926" spans="1:5" x14ac:dyDescent="0.25">
      <c r="A6926" s="323" t="s">
        <v>4365</v>
      </c>
      <c r="B6926" s="323" t="s">
        <v>805</v>
      </c>
      <c r="C6926" s="323">
        <v>80433</v>
      </c>
      <c r="D6926" s="323">
        <v>317</v>
      </c>
      <c r="E6926" s="324">
        <f t="shared" si="108"/>
        <v>77303.62000000001</v>
      </c>
    </row>
    <row r="6927" spans="1:5" x14ac:dyDescent="0.25">
      <c r="A6927" s="323" t="s">
        <v>4472</v>
      </c>
      <c r="B6927" s="323" t="s">
        <v>805</v>
      </c>
      <c r="C6927" s="323">
        <v>80433</v>
      </c>
      <c r="D6927" s="323">
        <v>192</v>
      </c>
      <c r="E6927" s="324">
        <f t="shared" si="108"/>
        <v>46821.120000000003</v>
      </c>
    </row>
    <row r="6928" spans="1:5" x14ac:dyDescent="0.25">
      <c r="A6928" s="323" t="s">
        <v>5361</v>
      </c>
      <c r="B6928" s="323" t="s">
        <v>805</v>
      </c>
      <c r="C6928" s="323">
        <v>80433</v>
      </c>
      <c r="D6928" s="323">
        <v>175</v>
      </c>
      <c r="E6928" s="324">
        <f t="shared" si="108"/>
        <v>42675.5</v>
      </c>
    </row>
    <row r="6929" spans="1:5" x14ac:dyDescent="0.25">
      <c r="A6929" s="323" t="s">
        <v>5411</v>
      </c>
      <c r="B6929" s="323" t="s">
        <v>805</v>
      </c>
      <c r="C6929" s="323">
        <v>80433</v>
      </c>
      <c r="D6929" s="323">
        <v>203</v>
      </c>
      <c r="E6929" s="324">
        <f t="shared" si="108"/>
        <v>49503.58</v>
      </c>
    </row>
    <row r="6930" spans="1:5" x14ac:dyDescent="0.25">
      <c r="A6930" s="323" t="s">
        <v>5437</v>
      </c>
      <c r="B6930" s="323" t="s">
        <v>805</v>
      </c>
      <c r="C6930" s="323">
        <v>80433</v>
      </c>
      <c r="D6930" s="323">
        <v>221</v>
      </c>
      <c r="E6930" s="324">
        <f t="shared" si="108"/>
        <v>53893.060000000005</v>
      </c>
    </row>
    <row r="6931" spans="1:5" x14ac:dyDescent="0.25">
      <c r="A6931" s="323" t="s">
        <v>5550</v>
      </c>
      <c r="B6931" s="323" t="s">
        <v>805</v>
      </c>
      <c r="C6931" s="323">
        <v>80433</v>
      </c>
      <c r="D6931" s="323">
        <v>416</v>
      </c>
      <c r="E6931" s="324">
        <f t="shared" si="108"/>
        <v>101445.76000000001</v>
      </c>
    </row>
    <row r="6932" spans="1:5" x14ac:dyDescent="0.25">
      <c r="A6932" s="323" t="s">
        <v>6846</v>
      </c>
      <c r="B6932" s="323" t="s">
        <v>805</v>
      </c>
      <c r="C6932" s="323">
        <v>80433</v>
      </c>
      <c r="D6932" s="323">
        <v>261</v>
      </c>
      <c r="E6932" s="324">
        <f t="shared" si="108"/>
        <v>63647.460000000006</v>
      </c>
    </row>
    <row r="6933" spans="1:5" x14ac:dyDescent="0.25">
      <c r="A6933" s="323" t="s">
        <v>7300</v>
      </c>
      <c r="B6933" s="323" t="s">
        <v>805</v>
      </c>
      <c r="C6933" s="323">
        <v>80433</v>
      </c>
      <c r="D6933" s="323">
        <v>427</v>
      </c>
      <c r="E6933" s="324">
        <f t="shared" si="108"/>
        <v>104128.22</v>
      </c>
    </row>
    <row r="6934" spans="1:5" x14ac:dyDescent="0.25">
      <c r="A6934" s="323" t="s">
        <v>2886</v>
      </c>
      <c r="B6934" s="323" t="s">
        <v>805</v>
      </c>
      <c r="C6934" s="323">
        <v>81030</v>
      </c>
      <c r="D6934" s="323">
        <v>80</v>
      </c>
      <c r="E6934" s="324">
        <f t="shared" si="108"/>
        <v>19508.800000000003</v>
      </c>
    </row>
    <row r="6935" spans="1:5" x14ac:dyDescent="0.25">
      <c r="A6935" s="323" t="s">
        <v>1475</v>
      </c>
      <c r="B6935" s="323" t="s">
        <v>805</v>
      </c>
      <c r="C6935" s="323">
        <v>81316</v>
      </c>
      <c r="D6935" s="323">
        <v>140</v>
      </c>
      <c r="E6935" s="324">
        <f t="shared" si="108"/>
        <v>34140.400000000001</v>
      </c>
    </row>
    <row r="6936" spans="1:5" x14ac:dyDescent="0.25">
      <c r="A6936" s="323" t="s">
        <v>2194</v>
      </c>
      <c r="B6936" s="323" t="s">
        <v>805</v>
      </c>
      <c r="C6936" s="323">
        <v>81316</v>
      </c>
      <c r="D6936" s="323">
        <v>370</v>
      </c>
      <c r="E6936" s="324">
        <f t="shared" si="108"/>
        <v>90228.200000000012</v>
      </c>
    </row>
    <row r="6937" spans="1:5" x14ac:dyDescent="0.25">
      <c r="A6937" s="323" t="s">
        <v>2641</v>
      </c>
      <c r="B6937" s="323" t="s">
        <v>805</v>
      </c>
      <c r="C6937" s="323">
        <v>81316</v>
      </c>
      <c r="D6937" s="323">
        <v>148</v>
      </c>
      <c r="E6937" s="324">
        <f t="shared" si="108"/>
        <v>36091.279999999999</v>
      </c>
    </row>
    <row r="6938" spans="1:5" x14ac:dyDescent="0.25">
      <c r="A6938" s="323" t="s">
        <v>3643</v>
      </c>
      <c r="B6938" s="323" t="s">
        <v>805</v>
      </c>
      <c r="C6938" s="323">
        <v>81316</v>
      </c>
      <c r="D6938" s="323">
        <v>106</v>
      </c>
      <c r="E6938" s="324">
        <f t="shared" si="108"/>
        <v>25849.16</v>
      </c>
    </row>
    <row r="6939" spans="1:5" x14ac:dyDescent="0.25">
      <c r="A6939" s="323" t="s">
        <v>4121</v>
      </c>
      <c r="B6939" s="323" t="s">
        <v>805</v>
      </c>
      <c r="C6939" s="323">
        <v>81316</v>
      </c>
      <c r="D6939" s="323">
        <v>292</v>
      </c>
      <c r="E6939" s="324">
        <f t="shared" si="108"/>
        <v>71207.12000000001</v>
      </c>
    </row>
    <row r="6940" spans="1:5" x14ac:dyDescent="0.25">
      <c r="A6940" s="323" t="s">
        <v>4422</v>
      </c>
      <c r="B6940" s="323" t="s">
        <v>805</v>
      </c>
      <c r="C6940" s="323">
        <v>81316</v>
      </c>
      <c r="D6940" s="323">
        <v>175</v>
      </c>
      <c r="E6940" s="324">
        <f t="shared" si="108"/>
        <v>42675.5</v>
      </c>
    </row>
    <row r="6941" spans="1:5" x14ac:dyDescent="0.25">
      <c r="A6941" s="323" t="s">
        <v>4460</v>
      </c>
      <c r="B6941" s="323" t="s">
        <v>805</v>
      </c>
      <c r="C6941" s="323">
        <v>81316</v>
      </c>
      <c r="D6941" s="323">
        <v>232</v>
      </c>
      <c r="E6941" s="324">
        <f t="shared" si="108"/>
        <v>56575.520000000004</v>
      </c>
    </row>
    <row r="6942" spans="1:5" x14ac:dyDescent="0.25">
      <c r="A6942" s="323" t="s">
        <v>4527</v>
      </c>
      <c r="B6942" s="323" t="s">
        <v>805</v>
      </c>
      <c r="C6942" s="323">
        <v>81316</v>
      </c>
      <c r="D6942" s="323">
        <v>333</v>
      </c>
      <c r="E6942" s="324">
        <f t="shared" si="108"/>
        <v>81205.38</v>
      </c>
    </row>
    <row r="6943" spans="1:5" x14ac:dyDescent="0.25">
      <c r="A6943" s="323" t="s">
        <v>4620</v>
      </c>
      <c r="B6943" s="323" t="s">
        <v>805</v>
      </c>
      <c r="C6943" s="323">
        <v>81316</v>
      </c>
      <c r="D6943" s="323">
        <v>170</v>
      </c>
      <c r="E6943" s="324">
        <f t="shared" si="108"/>
        <v>41456.200000000004</v>
      </c>
    </row>
    <row r="6944" spans="1:5" x14ac:dyDescent="0.25">
      <c r="A6944" s="323" t="s">
        <v>4656</v>
      </c>
      <c r="B6944" s="323" t="s">
        <v>805</v>
      </c>
      <c r="C6944" s="323">
        <v>81316</v>
      </c>
      <c r="D6944" s="323">
        <v>96</v>
      </c>
      <c r="E6944" s="324">
        <f t="shared" si="108"/>
        <v>23410.560000000001</v>
      </c>
    </row>
    <row r="6945" spans="1:5" x14ac:dyDescent="0.25">
      <c r="A6945" s="323" t="s">
        <v>4696</v>
      </c>
      <c r="B6945" s="323" t="s">
        <v>805</v>
      </c>
      <c r="C6945" s="323">
        <v>81316</v>
      </c>
      <c r="D6945" s="323">
        <v>264</v>
      </c>
      <c r="E6945" s="324">
        <f t="shared" si="108"/>
        <v>64379.040000000001</v>
      </c>
    </row>
    <row r="6946" spans="1:5" x14ac:dyDescent="0.25">
      <c r="A6946" s="323" t="s">
        <v>4697</v>
      </c>
      <c r="B6946" s="323" t="s">
        <v>805</v>
      </c>
      <c r="C6946" s="323">
        <v>81316</v>
      </c>
      <c r="D6946" s="323">
        <v>78</v>
      </c>
      <c r="E6946" s="324">
        <f t="shared" si="108"/>
        <v>19021.080000000002</v>
      </c>
    </row>
    <row r="6947" spans="1:5" x14ac:dyDescent="0.25">
      <c r="A6947" s="323" t="s">
        <v>4765</v>
      </c>
      <c r="B6947" s="323" t="s">
        <v>805</v>
      </c>
      <c r="C6947" s="323">
        <v>81316</v>
      </c>
      <c r="D6947" s="323">
        <v>423</v>
      </c>
      <c r="E6947" s="324">
        <f t="shared" si="108"/>
        <v>103152.78</v>
      </c>
    </row>
    <row r="6948" spans="1:5" x14ac:dyDescent="0.25">
      <c r="A6948" s="323" t="s">
        <v>4790</v>
      </c>
      <c r="B6948" s="323" t="s">
        <v>805</v>
      </c>
      <c r="C6948" s="323">
        <v>81316</v>
      </c>
      <c r="D6948" s="323">
        <v>453</v>
      </c>
      <c r="E6948" s="324">
        <f t="shared" si="108"/>
        <v>110468.58</v>
      </c>
    </row>
    <row r="6949" spans="1:5" x14ac:dyDescent="0.25">
      <c r="A6949" s="323" t="s">
        <v>4790</v>
      </c>
      <c r="B6949" s="323" t="s">
        <v>805</v>
      </c>
      <c r="C6949" s="323">
        <v>81316</v>
      </c>
      <c r="D6949" s="323">
        <v>141</v>
      </c>
      <c r="E6949" s="324">
        <f t="shared" si="108"/>
        <v>34384.26</v>
      </c>
    </row>
    <row r="6950" spans="1:5" x14ac:dyDescent="0.25">
      <c r="A6950" s="323" t="s">
        <v>4826</v>
      </c>
      <c r="B6950" s="323" t="s">
        <v>805</v>
      </c>
      <c r="C6950" s="323">
        <v>81316</v>
      </c>
      <c r="D6950" s="323">
        <v>199</v>
      </c>
      <c r="E6950" s="324">
        <f t="shared" si="108"/>
        <v>48528.14</v>
      </c>
    </row>
    <row r="6951" spans="1:5" x14ac:dyDescent="0.25">
      <c r="A6951" s="323" t="s">
        <v>4867</v>
      </c>
      <c r="B6951" s="323" t="s">
        <v>805</v>
      </c>
      <c r="C6951" s="323">
        <v>81316</v>
      </c>
      <c r="D6951" s="323">
        <v>527</v>
      </c>
      <c r="E6951" s="324">
        <f t="shared" si="108"/>
        <v>128514.22</v>
      </c>
    </row>
    <row r="6952" spans="1:5" x14ac:dyDescent="0.25">
      <c r="A6952" s="323" t="s">
        <v>4890</v>
      </c>
      <c r="B6952" s="323" t="s">
        <v>805</v>
      </c>
      <c r="C6952" s="323">
        <v>81316</v>
      </c>
      <c r="D6952" s="323">
        <v>537</v>
      </c>
      <c r="E6952" s="324">
        <f t="shared" si="108"/>
        <v>130952.82</v>
      </c>
    </row>
    <row r="6953" spans="1:5" x14ac:dyDescent="0.25">
      <c r="A6953" s="323" t="s">
        <v>4909</v>
      </c>
      <c r="B6953" s="323" t="s">
        <v>805</v>
      </c>
      <c r="C6953" s="323">
        <v>81316</v>
      </c>
      <c r="D6953" s="323">
        <v>198</v>
      </c>
      <c r="E6953" s="324">
        <f t="shared" si="108"/>
        <v>48284.280000000006</v>
      </c>
    </row>
    <row r="6954" spans="1:5" x14ac:dyDescent="0.25">
      <c r="A6954" s="323" t="s">
        <v>4960</v>
      </c>
      <c r="B6954" s="323" t="s">
        <v>805</v>
      </c>
      <c r="C6954" s="323">
        <v>81316</v>
      </c>
      <c r="D6954" s="323">
        <v>237</v>
      </c>
      <c r="E6954" s="324">
        <f t="shared" si="108"/>
        <v>57794.82</v>
      </c>
    </row>
    <row r="6955" spans="1:5" x14ac:dyDescent="0.25">
      <c r="A6955" s="323" t="s">
        <v>4996</v>
      </c>
      <c r="B6955" s="323" t="s">
        <v>805</v>
      </c>
      <c r="C6955" s="323">
        <v>81316</v>
      </c>
      <c r="D6955" s="323">
        <v>149</v>
      </c>
      <c r="E6955" s="324">
        <f t="shared" si="108"/>
        <v>36335.14</v>
      </c>
    </row>
    <row r="6956" spans="1:5" x14ac:dyDescent="0.25">
      <c r="A6956" s="323" t="s">
        <v>5034</v>
      </c>
      <c r="B6956" s="323" t="s">
        <v>805</v>
      </c>
      <c r="C6956" s="323">
        <v>81316</v>
      </c>
      <c r="D6956" s="323">
        <v>153</v>
      </c>
      <c r="E6956" s="324">
        <f t="shared" si="108"/>
        <v>37310.58</v>
      </c>
    </row>
    <row r="6957" spans="1:5" x14ac:dyDescent="0.25">
      <c r="A6957" s="323" t="s">
        <v>5065</v>
      </c>
      <c r="B6957" s="323" t="s">
        <v>805</v>
      </c>
      <c r="C6957" s="323">
        <v>81316</v>
      </c>
      <c r="D6957" s="323">
        <v>217</v>
      </c>
      <c r="E6957" s="324">
        <f t="shared" si="108"/>
        <v>52917.62</v>
      </c>
    </row>
    <row r="6958" spans="1:5" x14ac:dyDescent="0.25">
      <c r="A6958" s="323" t="s">
        <v>5065</v>
      </c>
      <c r="B6958" s="323" t="s">
        <v>805</v>
      </c>
      <c r="C6958" s="323">
        <v>81316</v>
      </c>
      <c r="D6958" s="323">
        <v>257</v>
      </c>
      <c r="E6958" s="324">
        <f t="shared" si="108"/>
        <v>62672.020000000004</v>
      </c>
    </row>
    <row r="6959" spans="1:5" x14ac:dyDescent="0.25">
      <c r="A6959" s="323" t="s">
        <v>5086</v>
      </c>
      <c r="B6959" s="323" t="s">
        <v>805</v>
      </c>
      <c r="C6959" s="323">
        <v>81316</v>
      </c>
      <c r="D6959" s="323">
        <v>386</v>
      </c>
      <c r="E6959" s="324">
        <f t="shared" si="108"/>
        <v>94129.96</v>
      </c>
    </row>
    <row r="6960" spans="1:5" x14ac:dyDescent="0.25">
      <c r="A6960" s="323" t="s">
        <v>7260</v>
      </c>
      <c r="B6960" s="323" t="s">
        <v>805</v>
      </c>
      <c r="C6960" s="323">
        <v>81316</v>
      </c>
      <c r="D6960" s="323">
        <v>265</v>
      </c>
      <c r="E6960" s="324">
        <f t="shared" si="108"/>
        <v>64622.9</v>
      </c>
    </row>
    <row r="6961" spans="1:5" x14ac:dyDescent="0.25">
      <c r="A6961" s="323" t="s">
        <v>7328</v>
      </c>
      <c r="B6961" s="323" t="s">
        <v>805</v>
      </c>
      <c r="C6961" s="323">
        <v>81316</v>
      </c>
      <c r="D6961" s="323">
        <v>436</v>
      </c>
      <c r="E6961" s="324">
        <f t="shared" si="108"/>
        <v>106322.96</v>
      </c>
    </row>
    <row r="6962" spans="1:5" x14ac:dyDescent="0.25">
      <c r="A6962" s="323" t="s">
        <v>7396</v>
      </c>
      <c r="B6962" s="323" t="s">
        <v>805</v>
      </c>
      <c r="C6962" s="323">
        <v>81316</v>
      </c>
      <c r="D6962" s="323">
        <v>446</v>
      </c>
      <c r="E6962" s="324">
        <f t="shared" si="108"/>
        <v>108761.56000000001</v>
      </c>
    </row>
    <row r="6963" spans="1:5" x14ac:dyDescent="0.25">
      <c r="A6963" s="323" t="s">
        <v>1882</v>
      </c>
      <c r="B6963" s="323" t="s">
        <v>805</v>
      </c>
      <c r="C6963" s="323">
        <v>81433</v>
      </c>
      <c r="D6963" s="323">
        <v>121</v>
      </c>
      <c r="E6963" s="324">
        <f t="shared" si="108"/>
        <v>29507.06</v>
      </c>
    </row>
    <row r="6964" spans="1:5" x14ac:dyDescent="0.25">
      <c r="A6964" s="323" t="s">
        <v>2888</v>
      </c>
      <c r="B6964" s="323" t="s">
        <v>805</v>
      </c>
      <c r="C6964" s="323">
        <v>81810</v>
      </c>
      <c r="D6964" s="323">
        <v>237</v>
      </c>
      <c r="E6964" s="324">
        <f t="shared" si="108"/>
        <v>57794.82</v>
      </c>
    </row>
    <row r="6965" spans="1:5" x14ac:dyDescent="0.25">
      <c r="A6965" s="323" t="s">
        <v>2578</v>
      </c>
      <c r="B6965" s="323" t="s">
        <v>805</v>
      </c>
      <c r="C6965" s="323">
        <v>81902</v>
      </c>
      <c r="D6965" s="323">
        <v>184</v>
      </c>
      <c r="E6965" s="324">
        <f t="shared" si="108"/>
        <v>44870.240000000005</v>
      </c>
    </row>
    <row r="6966" spans="1:5" x14ac:dyDescent="0.25">
      <c r="A6966" s="323" t="s">
        <v>2579</v>
      </c>
      <c r="B6966" s="323" t="s">
        <v>805</v>
      </c>
      <c r="C6966" s="323">
        <v>81967</v>
      </c>
      <c r="D6966" s="323">
        <v>119</v>
      </c>
      <c r="E6966" s="324">
        <f t="shared" si="108"/>
        <v>29019.34</v>
      </c>
    </row>
    <row r="6967" spans="1:5" x14ac:dyDescent="0.25">
      <c r="A6967" s="323" t="s">
        <v>1886</v>
      </c>
      <c r="B6967" s="323" t="s">
        <v>805</v>
      </c>
      <c r="C6967" s="323">
        <v>81979</v>
      </c>
      <c r="D6967" s="323">
        <v>274</v>
      </c>
      <c r="E6967" s="324">
        <f t="shared" si="108"/>
        <v>66817.64</v>
      </c>
    </row>
    <row r="6968" spans="1:5" x14ac:dyDescent="0.25">
      <c r="A6968" s="323" t="s">
        <v>936</v>
      </c>
      <c r="B6968" s="323" t="s">
        <v>809</v>
      </c>
      <c r="C6968" s="323">
        <v>82253</v>
      </c>
      <c r="D6968" s="323">
        <v>62</v>
      </c>
      <c r="E6968" s="324">
        <f t="shared" si="108"/>
        <v>30238.640000000003</v>
      </c>
    </row>
    <row r="6969" spans="1:5" x14ac:dyDescent="0.25">
      <c r="A6969" s="323" t="s">
        <v>936</v>
      </c>
      <c r="B6969" s="323" t="s">
        <v>803</v>
      </c>
      <c r="C6969" s="323">
        <v>82253</v>
      </c>
      <c r="D6969" s="323">
        <v>66</v>
      </c>
      <c r="E6969" s="324">
        <f t="shared" si="108"/>
        <v>32189.52</v>
      </c>
    </row>
    <row r="6970" spans="1:5" x14ac:dyDescent="0.25">
      <c r="A6970" s="323" t="s">
        <v>937</v>
      </c>
      <c r="B6970" s="323" t="s">
        <v>809</v>
      </c>
      <c r="C6970" s="323">
        <v>82292</v>
      </c>
      <c r="D6970" s="323">
        <v>372</v>
      </c>
      <c r="E6970" s="324">
        <f t="shared" si="108"/>
        <v>181431.84</v>
      </c>
    </row>
    <row r="6971" spans="1:5" x14ac:dyDescent="0.25">
      <c r="A6971" s="323" t="s">
        <v>937</v>
      </c>
      <c r="B6971" s="323" t="s">
        <v>803</v>
      </c>
      <c r="C6971" s="323">
        <v>82292</v>
      </c>
      <c r="D6971" s="323">
        <v>56</v>
      </c>
      <c r="E6971" s="324">
        <f t="shared" si="108"/>
        <v>27312.32</v>
      </c>
    </row>
    <row r="6972" spans="1:5" x14ac:dyDescent="0.25">
      <c r="A6972" s="323" t="s">
        <v>998</v>
      </c>
      <c r="B6972" s="323" t="s">
        <v>803</v>
      </c>
      <c r="C6972" s="323">
        <v>82292</v>
      </c>
      <c r="D6972" s="323">
        <v>379</v>
      </c>
      <c r="E6972" s="324">
        <f t="shared" si="108"/>
        <v>184845.88</v>
      </c>
    </row>
    <row r="6973" spans="1:5" x14ac:dyDescent="0.25">
      <c r="A6973" s="323" t="s">
        <v>998</v>
      </c>
      <c r="B6973" s="323" t="s">
        <v>809</v>
      </c>
      <c r="C6973" s="323">
        <v>82292</v>
      </c>
      <c r="D6973" s="323">
        <v>27</v>
      </c>
      <c r="E6973" s="324">
        <f t="shared" si="108"/>
        <v>13168.44</v>
      </c>
    </row>
    <row r="6974" spans="1:5" x14ac:dyDescent="0.25">
      <c r="A6974" s="323" t="s">
        <v>998</v>
      </c>
      <c r="B6974" s="323" t="s">
        <v>803</v>
      </c>
      <c r="C6974" s="323">
        <v>82292</v>
      </c>
      <c r="D6974" s="323">
        <v>45</v>
      </c>
      <c r="E6974" s="324">
        <f t="shared" si="108"/>
        <v>21947.4</v>
      </c>
    </row>
    <row r="6975" spans="1:5" x14ac:dyDescent="0.25">
      <c r="A6975" s="323" t="s">
        <v>1002</v>
      </c>
      <c r="B6975" s="323" t="s">
        <v>809</v>
      </c>
      <c r="C6975" s="323">
        <v>82292</v>
      </c>
      <c r="D6975" s="323">
        <v>109</v>
      </c>
      <c r="E6975" s="324">
        <f t="shared" si="108"/>
        <v>53161.48</v>
      </c>
    </row>
    <row r="6976" spans="1:5" x14ac:dyDescent="0.25">
      <c r="A6976" s="323" t="s">
        <v>1002</v>
      </c>
      <c r="B6976" s="323" t="s">
        <v>803</v>
      </c>
      <c r="C6976" s="323">
        <v>82292</v>
      </c>
      <c r="D6976" s="323">
        <v>67</v>
      </c>
      <c r="E6976" s="324">
        <f t="shared" si="108"/>
        <v>32677.24</v>
      </c>
    </row>
    <row r="6977" spans="1:5" x14ac:dyDescent="0.25">
      <c r="A6977" s="323" t="s">
        <v>5113</v>
      </c>
      <c r="B6977" s="323" t="s">
        <v>809</v>
      </c>
      <c r="C6977" s="323">
        <v>82292</v>
      </c>
      <c r="D6977" s="323">
        <v>81</v>
      </c>
      <c r="E6977" s="324">
        <f t="shared" si="108"/>
        <v>39505.32</v>
      </c>
    </row>
    <row r="6978" spans="1:5" x14ac:dyDescent="0.25">
      <c r="A6978" s="323" t="s">
        <v>5113</v>
      </c>
      <c r="B6978" s="323" t="s">
        <v>803</v>
      </c>
      <c r="C6978" s="323">
        <v>82292</v>
      </c>
      <c r="D6978" s="323">
        <v>92</v>
      </c>
      <c r="E6978" s="324">
        <f t="shared" ref="E6978:E7041" si="109">D6978*IF(B6978=$G$9,WerkdrukbedragPerLeerlingBo,IF(B6978=$G$10,WerkdrukbedragPerLeerlingSbo,IF(B6978=$G$11,WerkdrukbedragPerLeerlingSo,IF(B6978=$G$12,WerkdrukbedragPerLeerlingVso,0))))</f>
        <v>44870.240000000005</v>
      </c>
    </row>
    <row r="6979" spans="1:5" x14ac:dyDescent="0.25">
      <c r="A6979" s="323" t="s">
        <v>1888</v>
      </c>
      <c r="B6979" s="323" t="s">
        <v>805</v>
      </c>
      <c r="C6979" s="323">
        <v>82526</v>
      </c>
      <c r="D6979" s="323">
        <v>102</v>
      </c>
      <c r="E6979" s="324">
        <f t="shared" si="109"/>
        <v>24873.72</v>
      </c>
    </row>
    <row r="6980" spans="1:5" x14ac:dyDescent="0.25">
      <c r="A6980" s="323" t="s">
        <v>5277</v>
      </c>
      <c r="B6980" s="323" t="s">
        <v>805</v>
      </c>
      <c r="C6980" s="323">
        <v>82526</v>
      </c>
      <c r="D6980" s="323">
        <v>89</v>
      </c>
      <c r="E6980" s="324">
        <f t="shared" si="109"/>
        <v>21703.54</v>
      </c>
    </row>
    <row r="6981" spans="1:5" x14ac:dyDescent="0.25">
      <c r="A6981" s="323" t="s">
        <v>5314</v>
      </c>
      <c r="B6981" s="323" t="s">
        <v>805</v>
      </c>
      <c r="C6981" s="323">
        <v>82526</v>
      </c>
      <c r="D6981" s="323">
        <v>239</v>
      </c>
      <c r="E6981" s="324">
        <f t="shared" si="109"/>
        <v>58282.54</v>
      </c>
    </row>
    <row r="6982" spans="1:5" x14ac:dyDescent="0.25">
      <c r="A6982" s="323" t="s">
        <v>5761</v>
      </c>
      <c r="B6982" s="323" t="s">
        <v>805</v>
      </c>
      <c r="C6982" s="323">
        <v>82526</v>
      </c>
      <c r="D6982" s="323">
        <v>138</v>
      </c>
      <c r="E6982" s="324">
        <f t="shared" si="109"/>
        <v>33652.68</v>
      </c>
    </row>
    <row r="6983" spans="1:5" x14ac:dyDescent="0.25">
      <c r="A6983" s="323" t="s">
        <v>5766</v>
      </c>
      <c r="B6983" s="323" t="s">
        <v>805</v>
      </c>
      <c r="C6983" s="323">
        <v>82526</v>
      </c>
      <c r="D6983" s="323">
        <v>272</v>
      </c>
      <c r="E6983" s="324">
        <f t="shared" si="109"/>
        <v>66329.919999999998</v>
      </c>
    </row>
    <row r="6984" spans="1:5" x14ac:dyDescent="0.25">
      <c r="A6984" s="323" t="s">
        <v>5771</v>
      </c>
      <c r="B6984" s="323" t="s">
        <v>805</v>
      </c>
      <c r="C6984" s="323">
        <v>82526</v>
      </c>
      <c r="D6984" s="323">
        <v>230</v>
      </c>
      <c r="E6984" s="324">
        <f t="shared" si="109"/>
        <v>56087.8</v>
      </c>
    </row>
    <row r="6985" spans="1:5" x14ac:dyDescent="0.25">
      <c r="A6985" s="323" t="s">
        <v>5781</v>
      </c>
      <c r="B6985" s="323" t="s">
        <v>805</v>
      </c>
      <c r="C6985" s="323">
        <v>82526</v>
      </c>
      <c r="D6985" s="323">
        <v>342</v>
      </c>
      <c r="E6985" s="324">
        <f t="shared" si="109"/>
        <v>83400.12000000001</v>
      </c>
    </row>
    <row r="6986" spans="1:5" x14ac:dyDescent="0.25">
      <c r="A6986" s="323" t="s">
        <v>5787</v>
      </c>
      <c r="B6986" s="323" t="s">
        <v>805</v>
      </c>
      <c r="C6986" s="323">
        <v>82526</v>
      </c>
      <c r="D6986" s="323">
        <v>77</v>
      </c>
      <c r="E6986" s="324">
        <f t="shared" si="109"/>
        <v>18777.22</v>
      </c>
    </row>
    <row r="6987" spans="1:5" x14ac:dyDescent="0.25">
      <c r="A6987" s="323" t="s">
        <v>5794</v>
      </c>
      <c r="B6987" s="323" t="s">
        <v>805</v>
      </c>
      <c r="C6987" s="323">
        <v>82526</v>
      </c>
      <c r="D6987" s="323">
        <v>266</v>
      </c>
      <c r="E6987" s="324">
        <f t="shared" si="109"/>
        <v>64866.76</v>
      </c>
    </row>
    <row r="6988" spans="1:5" x14ac:dyDescent="0.25">
      <c r="A6988" s="323" t="s">
        <v>5801</v>
      </c>
      <c r="B6988" s="323" t="s">
        <v>805</v>
      </c>
      <c r="C6988" s="323">
        <v>82526</v>
      </c>
      <c r="D6988" s="323">
        <v>214</v>
      </c>
      <c r="E6988" s="324">
        <f t="shared" si="109"/>
        <v>52186.04</v>
      </c>
    </row>
    <row r="6989" spans="1:5" x14ac:dyDescent="0.25">
      <c r="A6989" s="323" t="s">
        <v>5809</v>
      </c>
      <c r="B6989" s="323" t="s">
        <v>805</v>
      </c>
      <c r="C6989" s="323">
        <v>82526</v>
      </c>
      <c r="D6989" s="323">
        <v>208</v>
      </c>
      <c r="E6989" s="324">
        <f t="shared" si="109"/>
        <v>50722.880000000005</v>
      </c>
    </row>
    <row r="6990" spans="1:5" x14ac:dyDescent="0.25">
      <c r="A6990" s="323" t="s">
        <v>5818</v>
      </c>
      <c r="B6990" s="323" t="s">
        <v>805</v>
      </c>
      <c r="C6990" s="323">
        <v>82526</v>
      </c>
      <c r="D6990" s="323">
        <v>218</v>
      </c>
      <c r="E6990" s="324">
        <f t="shared" si="109"/>
        <v>53161.48</v>
      </c>
    </row>
    <row r="6991" spans="1:5" x14ac:dyDescent="0.25">
      <c r="A6991" s="323" t="s">
        <v>5843</v>
      </c>
      <c r="B6991" s="323" t="s">
        <v>805</v>
      </c>
      <c r="C6991" s="323">
        <v>82526</v>
      </c>
      <c r="D6991" s="323">
        <v>222</v>
      </c>
      <c r="E6991" s="324">
        <f t="shared" si="109"/>
        <v>54136.920000000006</v>
      </c>
    </row>
    <row r="6992" spans="1:5" x14ac:dyDescent="0.25">
      <c r="A6992" s="323" t="s">
        <v>5853</v>
      </c>
      <c r="B6992" s="323" t="s">
        <v>805</v>
      </c>
      <c r="C6992" s="323">
        <v>82526</v>
      </c>
      <c r="D6992" s="323">
        <v>146</v>
      </c>
      <c r="E6992" s="324">
        <f t="shared" si="109"/>
        <v>35603.560000000005</v>
      </c>
    </row>
    <row r="6993" spans="1:5" x14ac:dyDescent="0.25">
      <c r="A6993" s="323" t="s">
        <v>5865</v>
      </c>
      <c r="B6993" s="323" t="s">
        <v>805</v>
      </c>
      <c r="C6993" s="323">
        <v>82526</v>
      </c>
      <c r="D6993" s="323">
        <v>167</v>
      </c>
      <c r="E6993" s="324">
        <f t="shared" si="109"/>
        <v>40724.620000000003</v>
      </c>
    </row>
    <row r="6994" spans="1:5" x14ac:dyDescent="0.25">
      <c r="A6994" s="323" t="s">
        <v>5875</v>
      </c>
      <c r="B6994" s="323" t="s">
        <v>805</v>
      </c>
      <c r="C6994" s="323">
        <v>82526</v>
      </c>
      <c r="D6994" s="323">
        <v>195</v>
      </c>
      <c r="E6994" s="324">
        <f t="shared" si="109"/>
        <v>47552.700000000004</v>
      </c>
    </row>
    <row r="6995" spans="1:5" x14ac:dyDescent="0.25">
      <c r="A6995" s="323" t="s">
        <v>5883</v>
      </c>
      <c r="B6995" s="323" t="s">
        <v>805</v>
      </c>
      <c r="C6995" s="323">
        <v>82526</v>
      </c>
      <c r="D6995" s="323">
        <v>141</v>
      </c>
      <c r="E6995" s="324">
        <f t="shared" si="109"/>
        <v>34384.26</v>
      </c>
    </row>
    <row r="6996" spans="1:5" x14ac:dyDescent="0.25">
      <c r="A6996" s="323" t="s">
        <v>5891</v>
      </c>
      <c r="B6996" s="323" t="s">
        <v>805</v>
      </c>
      <c r="C6996" s="323">
        <v>82526</v>
      </c>
      <c r="D6996" s="323">
        <v>155</v>
      </c>
      <c r="E6996" s="324">
        <f t="shared" si="109"/>
        <v>37798.300000000003</v>
      </c>
    </row>
    <row r="6997" spans="1:5" x14ac:dyDescent="0.25">
      <c r="A6997" s="323" t="s">
        <v>5898</v>
      </c>
      <c r="B6997" s="323" t="s">
        <v>805</v>
      </c>
      <c r="C6997" s="323">
        <v>82526</v>
      </c>
      <c r="D6997" s="323">
        <v>92</v>
      </c>
      <c r="E6997" s="324">
        <f t="shared" si="109"/>
        <v>22435.120000000003</v>
      </c>
    </row>
    <row r="6998" spans="1:5" x14ac:dyDescent="0.25">
      <c r="A6998" s="323" t="s">
        <v>5907</v>
      </c>
      <c r="B6998" s="323" t="s">
        <v>805</v>
      </c>
      <c r="C6998" s="323">
        <v>82526</v>
      </c>
      <c r="D6998" s="323">
        <v>63</v>
      </c>
      <c r="E6998" s="324">
        <f t="shared" si="109"/>
        <v>15363.18</v>
      </c>
    </row>
    <row r="6999" spans="1:5" x14ac:dyDescent="0.25">
      <c r="A6999" s="323" t="s">
        <v>5916</v>
      </c>
      <c r="B6999" s="323" t="s">
        <v>805</v>
      </c>
      <c r="C6999" s="323">
        <v>82526</v>
      </c>
      <c r="D6999" s="323">
        <v>169</v>
      </c>
      <c r="E6999" s="324">
        <f t="shared" si="109"/>
        <v>41212.340000000004</v>
      </c>
    </row>
    <row r="7000" spans="1:5" x14ac:dyDescent="0.25">
      <c r="A7000" s="323" t="s">
        <v>5931</v>
      </c>
      <c r="B7000" s="323" t="s">
        <v>805</v>
      </c>
      <c r="C7000" s="323">
        <v>82526</v>
      </c>
      <c r="D7000" s="323">
        <v>360</v>
      </c>
      <c r="E7000" s="324">
        <f t="shared" si="109"/>
        <v>87789.6</v>
      </c>
    </row>
    <row r="7001" spans="1:5" x14ac:dyDescent="0.25">
      <c r="A7001" s="323" t="s">
        <v>5937</v>
      </c>
      <c r="B7001" s="323" t="s">
        <v>805</v>
      </c>
      <c r="C7001" s="323">
        <v>82526</v>
      </c>
      <c r="D7001" s="323">
        <v>326</v>
      </c>
      <c r="E7001" s="324">
        <f t="shared" si="109"/>
        <v>79498.36</v>
      </c>
    </row>
    <row r="7002" spans="1:5" x14ac:dyDescent="0.25">
      <c r="A7002" s="323" t="s">
        <v>5950</v>
      </c>
      <c r="B7002" s="323" t="s">
        <v>805</v>
      </c>
      <c r="C7002" s="323">
        <v>82526</v>
      </c>
      <c r="D7002" s="323">
        <v>334</v>
      </c>
      <c r="E7002" s="324">
        <f t="shared" si="109"/>
        <v>81449.240000000005</v>
      </c>
    </row>
    <row r="7003" spans="1:5" x14ac:dyDescent="0.25">
      <c r="A7003" s="323" t="s">
        <v>7037</v>
      </c>
      <c r="B7003" s="323" t="s">
        <v>805</v>
      </c>
      <c r="C7003" s="323">
        <v>82526</v>
      </c>
      <c r="D7003" s="323">
        <v>224</v>
      </c>
      <c r="E7003" s="324">
        <f t="shared" si="109"/>
        <v>54624.639999999999</v>
      </c>
    </row>
    <row r="7004" spans="1:5" x14ac:dyDescent="0.25">
      <c r="A7004" s="323" t="s">
        <v>7265</v>
      </c>
      <c r="B7004" s="323" t="s">
        <v>805</v>
      </c>
      <c r="C7004" s="323">
        <v>82526</v>
      </c>
      <c r="D7004" s="323">
        <v>255</v>
      </c>
      <c r="E7004" s="324">
        <f t="shared" si="109"/>
        <v>62184.3</v>
      </c>
    </row>
    <row r="7005" spans="1:5" x14ac:dyDescent="0.25">
      <c r="A7005" s="323" t="s">
        <v>7393</v>
      </c>
      <c r="B7005" s="323" t="s">
        <v>805</v>
      </c>
      <c r="C7005" s="323">
        <v>82526</v>
      </c>
      <c r="D7005" s="323">
        <v>305</v>
      </c>
      <c r="E7005" s="324">
        <f t="shared" si="109"/>
        <v>74377.3</v>
      </c>
    </row>
    <row r="7006" spans="1:5" x14ac:dyDescent="0.25">
      <c r="A7006" s="323" t="s">
        <v>2591</v>
      </c>
      <c r="B7006" s="323" t="s">
        <v>805</v>
      </c>
      <c r="C7006" s="323">
        <v>82591</v>
      </c>
      <c r="D7006" s="323">
        <v>211</v>
      </c>
      <c r="E7006" s="324">
        <f t="shared" si="109"/>
        <v>51454.460000000006</v>
      </c>
    </row>
    <row r="7007" spans="1:5" x14ac:dyDescent="0.25">
      <c r="A7007" s="323" t="s">
        <v>2593</v>
      </c>
      <c r="B7007" s="323" t="s">
        <v>805</v>
      </c>
      <c r="C7007" s="323">
        <v>82747</v>
      </c>
      <c r="D7007" s="323">
        <v>164</v>
      </c>
      <c r="E7007" s="324">
        <f t="shared" si="109"/>
        <v>39993.040000000001</v>
      </c>
    </row>
    <row r="7008" spans="1:5" x14ac:dyDescent="0.25">
      <c r="A7008" s="323" t="s">
        <v>2896</v>
      </c>
      <c r="B7008" s="323" t="s">
        <v>805</v>
      </c>
      <c r="C7008" s="323">
        <v>82785</v>
      </c>
      <c r="D7008" s="323">
        <v>218</v>
      </c>
      <c r="E7008" s="324">
        <f t="shared" si="109"/>
        <v>53161.48</v>
      </c>
    </row>
    <row r="7009" spans="1:5" x14ac:dyDescent="0.25">
      <c r="A7009" s="323" t="s">
        <v>3334</v>
      </c>
      <c r="B7009" s="323" t="s">
        <v>805</v>
      </c>
      <c r="C7009" s="323">
        <v>82785</v>
      </c>
      <c r="D7009" s="323">
        <v>375</v>
      </c>
      <c r="E7009" s="324">
        <f t="shared" si="109"/>
        <v>91447.5</v>
      </c>
    </row>
    <row r="7010" spans="1:5" x14ac:dyDescent="0.25">
      <c r="A7010" s="323" t="s">
        <v>3622</v>
      </c>
      <c r="B7010" s="323" t="s">
        <v>805</v>
      </c>
      <c r="C7010" s="323">
        <v>82785</v>
      </c>
      <c r="D7010" s="323">
        <v>171</v>
      </c>
      <c r="E7010" s="324">
        <f t="shared" si="109"/>
        <v>41700.060000000005</v>
      </c>
    </row>
    <row r="7011" spans="1:5" x14ac:dyDescent="0.25">
      <c r="A7011" s="323" t="s">
        <v>4359</v>
      </c>
      <c r="B7011" s="323" t="s">
        <v>805</v>
      </c>
      <c r="C7011" s="323">
        <v>82785</v>
      </c>
      <c r="D7011" s="323">
        <v>260</v>
      </c>
      <c r="E7011" s="324">
        <f t="shared" si="109"/>
        <v>63403.600000000006</v>
      </c>
    </row>
    <row r="7012" spans="1:5" x14ac:dyDescent="0.25">
      <c r="A7012" s="323" t="s">
        <v>4468</v>
      </c>
      <c r="B7012" s="323" t="s">
        <v>805</v>
      </c>
      <c r="C7012" s="323">
        <v>82785</v>
      </c>
      <c r="D7012" s="323">
        <v>220</v>
      </c>
      <c r="E7012" s="324">
        <f t="shared" si="109"/>
        <v>53649.200000000004</v>
      </c>
    </row>
    <row r="7013" spans="1:5" x14ac:dyDescent="0.25">
      <c r="A7013" s="323" t="s">
        <v>2595</v>
      </c>
      <c r="B7013" s="323" t="s">
        <v>805</v>
      </c>
      <c r="C7013" s="323">
        <v>82786</v>
      </c>
      <c r="D7013" s="323">
        <v>90</v>
      </c>
      <c r="E7013" s="324">
        <f t="shared" si="109"/>
        <v>21947.4</v>
      </c>
    </row>
    <row r="7014" spans="1:5" x14ac:dyDescent="0.25">
      <c r="A7014" s="323" t="s">
        <v>2597</v>
      </c>
      <c r="B7014" s="323" t="s">
        <v>805</v>
      </c>
      <c r="C7014" s="323">
        <v>82838</v>
      </c>
      <c r="D7014" s="323">
        <v>170</v>
      </c>
      <c r="E7014" s="324">
        <f t="shared" si="109"/>
        <v>41456.200000000004</v>
      </c>
    </row>
    <row r="7015" spans="1:5" x14ac:dyDescent="0.25">
      <c r="A7015" s="323" t="s">
        <v>2600</v>
      </c>
      <c r="B7015" s="323" t="s">
        <v>805</v>
      </c>
      <c r="C7015" s="323">
        <v>82981</v>
      </c>
      <c r="D7015" s="323">
        <v>243</v>
      </c>
      <c r="E7015" s="324">
        <f t="shared" si="109"/>
        <v>59257.98</v>
      </c>
    </row>
    <row r="7016" spans="1:5" x14ac:dyDescent="0.25">
      <c r="A7016" s="323" t="s">
        <v>2898</v>
      </c>
      <c r="B7016" s="323" t="s">
        <v>805</v>
      </c>
      <c r="C7016" s="323">
        <v>83019</v>
      </c>
      <c r="D7016" s="323">
        <v>118</v>
      </c>
      <c r="E7016" s="324">
        <f t="shared" si="109"/>
        <v>28775.480000000003</v>
      </c>
    </row>
    <row r="7017" spans="1:5" x14ac:dyDescent="0.25">
      <c r="A7017" s="323" t="s">
        <v>1898</v>
      </c>
      <c r="B7017" s="323" t="s">
        <v>805</v>
      </c>
      <c r="C7017" s="323">
        <v>83149</v>
      </c>
      <c r="D7017" s="323">
        <v>83</v>
      </c>
      <c r="E7017" s="324">
        <f t="shared" si="109"/>
        <v>20240.38</v>
      </c>
    </row>
    <row r="7018" spans="1:5" x14ac:dyDescent="0.25">
      <c r="A7018" s="323" t="s">
        <v>3336</v>
      </c>
      <c r="B7018" s="323" t="s">
        <v>805</v>
      </c>
      <c r="C7018" s="323">
        <v>83149</v>
      </c>
      <c r="D7018" s="323">
        <v>224</v>
      </c>
      <c r="E7018" s="324">
        <f t="shared" si="109"/>
        <v>54624.639999999999</v>
      </c>
    </row>
    <row r="7019" spans="1:5" x14ac:dyDescent="0.25">
      <c r="A7019" s="323" t="s">
        <v>3623</v>
      </c>
      <c r="B7019" s="323" t="s">
        <v>805</v>
      </c>
      <c r="C7019" s="323">
        <v>83149</v>
      </c>
      <c r="D7019" s="323">
        <v>282</v>
      </c>
      <c r="E7019" s="324">
        <f t="shared" si="109"/>
        <v>68768.52</v>
      </c>
    </row>
    <row r="7020" spans="1:5" x14ac:dyDescent="0.25">
      <c r="A7020" s="323" t="s">
        <v>4039</v>
      </c>
      <c r="B7020" s="323" t="s">
        <v>805</v>
      </c>
      <c r="C7020" s="323">
        <v>83149</v>
      </c>
      <c r="D7020" s="323">
        <v>168</v>
      </c>
      <c r="E7020" s="324">
        <f t="shared" si="109"/>
        <v>40968.480000000003</v>
      </c>
    </row>
    <row r="7021" spans="1:5" x14ac:dyDescent="0.25">
      <c r="A7021" s="323" t="s">
        <v>4184</v>
      </c>
      <c r="B7021" s="323" t="s">
        <v>805</v>
      </c>
      <c r="C7021" s="323">
        <v>83149</v>
      </c>
      <c r="D7021" s="323">
        <v>188</v>
      </c>
      <c r="E7021" s="324">
        <f t="shared" si="109"/>
        <v>45845.68</v>
      </c>
    </row>
    <row r="7022" spans="1:5" x14ac:dyDescent="0.25">
      <c r="A7022" s="323" t="s">
        <v>6954</v>
      </c>
      <c r="B7022" s="323" t="s">
        <v>805</v>
      </c>
      <c r="C7022" s="323">
        <v>83149</v>
      </c>
      <c r="D7022" s="323">
        <v>225</v>
      </c>
      <c r="E7022" s="324">
        <f t="shared" si="109"/>
        <v>54868.5</v>
      </c>
    </row>
    <row r="7023" spans="1:5" x14ac:dyDescent="0.25">
      <c r="A7023" s="323" t="s">
        <v>1715</v>
      </c>
      <c r="B7023" s="323" t="s">
        <v>805</v>
      </c>
      <c r="C7023" s="323">
        <v>83163</v>
      </c>
      <c r="D7023" s="323">
        <v>200</v>
      </c>
      <c r="E7023" s="324">
        <f t="shared" si="109"/>
        <v>48772</v>
      </c>
    </row>
    <row r="7024" spans="1:5" x14ac:dyDescent="0.25">
      <c r="A7024" s="323" t="s">
        <v>3525</v>
      </c>
      <c r="B7024" s="323" t="s">
        <v>809</v>
      </c>
      <c r="C7024" s="323">
        <v>83163</v>
      </c>
      <c r="D7024" s="323">
        <v>54</v>
      </c>
      <c r="E7024" s="324">
        <f t="shared" si="109"/>
        <v>26336.880000000001</v>
      </c>
    </row>
    <row r="7025" spans="1:5" x14ac:dyDescent="0.25">
      <c r="A7025" s="323" t="s">
        <v>3525</v>
      </c>
      <c r="B7025" s="323" t="s">
        <v>803</v>
      </c>
      <c r="C7025" s="323">
        <v>83163</v>
      </c>
      <c r="D7025" s="323">
        <v>54</v>
      </c>
      <c r="E7025" s="324">
        <f t="shared" si="109"/>
        <v>26336.880000000001</v>
      </c>
    </row>
    <row r="7026" spans="1:5" x14ac:dyDescent="0.25">
      <c r="A7026" s="323" t="s">
        <v>4418</v>
      </c>
      <c r="B7026" s="323" t="s">
        <v>805</v>
      </c>
      <c r="C7026" s="323">
        <v>83163</v>
      </c>
      <c r="D7026" s="323">
        <v>289</v>
      </c>
      <c r="E7026" s="324">
        <f t="shared" si="109"/>
        <v>70475.540000000008</v>
      </c>
    </row>
    <row r="7027" spans="1:5" x14ac:dyDescent="0.25">
      <c r="A7027" s="323" t="s">
        <v>5575</v>
      </c>
      <c r="B7027" s="323" t="s">
        <v>805</v>
      </c>
      <c r="C7027" s="323">
        <v>83163</v>
      </c>
      <c r="D7027" s="323">
        <v>337</v>
      </c>
      <c r="E7027" s="324">
        <f t="shared" si="109"/>
        <v>82180.820000000007</v>
      </c>
    </row>
    <row r="7028" spans="1:5" x14ac:dyDescent="0.25">
      <c r="A7028" s="323" t="s">
        <v>5593</v>
      </c>
      <c r="B7028" s="323" t="s">
        <v>805</v>
      </c>
      <c r="C7028" s="323">
        <v>83163</v>
      </c>
      <c r="D7028" s="323">
        <v>370</v>
      </c>
      <c r="E7028" s="324">
        <f t="shared" si="109"/>
        <v>90228.200000000012</v>
      </c>
    </row>
    <row r="7029" spans="1:5" x14ac:dyDescent="0.25">
      <c r="A7029" s="323" t="s">
        <v>5630</v>
      </c>
      <c r="B7029" s="323" t="s">
        <v>805</v>
      </c>
      <c r="C7029" s="323">
        <v>83163</v>
      </c>
      <c r="D7029" s="323">
        <v>275</v>
      </c>
      <c r="E7029" s="324">
        <f t="shared" si="109"/>
        <v>67061.5</v>
      </c>
    </row>
    <row r="7030" spans="1:5" x14ac:dyDescent="0.25">
      <c r="A7030" s="323" t="s">
        <v>5639</v>
      </c>
      <c r="B7030" s="323" t="s">
        <v>805</v>
      </c>
      <c r="C7030" s="323">
        <v>83163</v>
      </c>
      <c r="D7030" s="323">
        <v>266</v>
      </c>
      <c r="E7030" s="324">
        <f t="shared" si="109"/>
        <v>64866.76</v>
      </c>
    </row>
    <row r="7031" spans="1:5" x14ac:dyDescent="0.25">
      <c r="A7031" s="323" t="s">
        <v>5704</v>
      </c>
      <c r="B7031" s="323" t="s">
        <v>805</v>
      </c>
      <c r="C7031" s="323">
        <v>83163</v>
      </c>
      <c r="D7031" s="323">
        <v>241</v>
      </c>
      <c r="E7031" s="324">
        <f t="shared" si="109"/>
        <v>58770.26</v>
      </c>
    </row>
    <row r="7032" spans="1:5" x14ac:dyDescent="0.25">
      <c r="A7032" s="323" t="s">
        <v>911</v>
      </c>
      <c r="B7032" s="323" t="s">
        <v>809</v>
      </c>
      <c r="C7032" s="323">
        <v>83189</v>
      </c>
      <c r="D7032" s="323">
        <v>101</v>
      </c>
      <c r="E7032" s="324">
        <f t="shared" si="109"/>
        <v>49259.72</v>
      </c>
    </row>
    <row r="7033" spans="1:5" x14ac:dyDescent="0.25">
      <c r="A7033" s="323" t="s">
        <v>911</v>
      </c>
      <c r="B7033" s="323" t="s">
        <v>803</v>
      </c>
      <c r="C7033" s="323">
        <v>83189</v>
      </c>
      <c r="D7033" s="323">
        <v>140</v>
      </c>
      <c r="E7033" s="324">
        <f t="shared" si="109"/>
        <v>68280.800000000003</v>
      </c>
    </row>
    <row r="7034" spans="1:5" x14ac:dyDescent="0.25">
      <c r="A7034" s="323" t="s">
        <v>939</v>
      </c>
      <c r="B7034" s="323" t="s">
        <v>803</v>
      </c>
      <c r="C7034" s="323">
        <v>83189</v>
      </c>
      <c r="D7034" s="323">
        <v>240</v>
      </c>
      <c r="E7034" s="324">
        <f t="shared" si="109"/>
        <v>117052.8</v>
      </c>
    </row>
    <row r="7035" spans="1:5" x14ac:dyDescent="0.25">
      <c r="A7035" s="323" t="s">
        <v>939</v>
      </c>
      <c r="B7035" s="323" t="s">
        <v>803</v>
      </c>
      <c r="C7035" s="323">
        <v>83189</v>
      </c>
      <c r="D7035" s="323">
        <v>426</v>
      </c>
      <c r="E7035" s="324">
        <f t="shared" si="109"/>
        <v>207768.72</v>
      </c>
    </row>
    <row r="7036" spans="1:5" x14ac:dyDescent="0.25">
      <c r="A7036" s="323" t="s">
        <v>939</v>
      </c>
      <c r="B7036" s="323" t="s">
        <v>803</v>
      </c>
      <c r="C7036" s="323">
        <v>83189</v>
      </c>
      <c r="D7036" s="323">
        <v>92</v>
      </c>
      <c r="E7036" s="324">
        <f t="shared" si="109"/>
        <v>44870.240000000005</v>
      </c>
    </row>
    <row r="7037" spans="1:5" x14ac:dyDescent="0.25">
      <c r="A7037" s="323" t="s">
        <v>939</v>
      </c>
      <c r="B7037" s="323" t="s">
        <v>803</v>
      </c>
      <c r="C7037" s="323">
        <v>83189</v>
      </c>
      <c r="D7037" s="323">
        <v>34</v>
      </c>
      <c r="E7037" s="324">
        <f t="shared" si="109"/>
        <v>16582.48</v>
      </c>
    </row>
    <row r="7038" spans="1:5" x14ac:dyDescent="0.25">
      <c r="A7038" s="323" t="s">
        <v>1406</v>
      </c>
      <c r="B7038" s="323" t="s">
        <v>809</v>
      </c>
      <c r="C7038" s="323">
        <v>83189</v>
      </c>
      <c r="D7038" s="323">
        <v>68</v>
      </c>
      <c r="E7038" s="324">
        <f t="shared" si="109"/>
        <v>33164.959999999999</v>
      </c>
    </row>
    <row r="7039" spans="1:5" x14ac:dyDescent="0.25">
      <c r="A7039" s="323" t="s">
        <v>1406</v>
      </c>
      <c r="B7039" s="323" t="s">
        <v>809</v>
      </c>
      <c r="C7039" s="323">
        <v>83189</v>
      </c>
      <c r="D7039" s="323">
        <v>166</v>
      </c>
      <c r="E7039" s="324">
        <f t="shared" si="109"/>
        <v>80961.52</v>
      </c>
    </row>
    <row r="7040" spans="1:5" x14ac:dyDescent="0.25">
      <c r="A7040" s="323" t="s">
        <v>1406</v>
      </c>
      <c r="B7040" s="323" t="s">
        <v>809</v>
      </c>
      <c r="C7040" s="323">
        <v>83189</v>
      </c>
      <c r="D7040" s="323">
        <v>45</v>
      </c>
      <c r="E7040" s="324">
        <f t="shared" si="109"/>
        <v>21947.4</v>
      </c>
    </row>
    <row r="7041" spans="1:5" x14ac:dyDescent="0.25">
      <c r="A7041" s="323" t="s">
        <v>3158</v>
      </c>
      <c r="B7041" s="323" t="s">
        <v>809</v>
      </c>
      <c r="C7041" s="323">
        <v>83189</v>
      </c>
      <c r="D7041" s="323">
        <v>108</v>
      </c>
      <c r="E7041" s="324">
        <f t="shared" si="109"/>
        <v>52673.760000000002</v>
      </c>
    </row>
    <row r="7042" spans="1:5" x14ac:dyDescent="0.25">
      <c r="A7042" s="323" t="s">
        <v>3158</v>
      </c>
      <c r="B7042" s="323" t="s">
        <v>803</v>
      </c>
      <c r="C7042" s="323">
        <v>83189</v>
      </c>
      <c r="D7042" s="323">
        <v>149</v>
      </c>
      <c r="E7042" s="324">
        <f t="shared" ref="E7042:E7105" si="110">D7042*IF(B7042=$G$9,WerkdrukbedragPerLeerlingBo,IF(B7042=$G$10,WerkdrukbedragPerLeerlingSbo,IF(B7042=$G$11,WerkdrukbedragPerLeerlingSo,IF(B7042=$G$12,WerkdrukbedragPerLeerlingVso,0))))</f>
        <v>72670.28</v>
      </c>
    </row>
    <row r="7043" spans="1:5" x14ac:dyDescent="0.25">
      <c r="A7043" s="323" t="s">
        <v>3158</v>
      </c>
      <c r="B7043" s="323" t="s">
        <v>809</v>
      </c>
      <c r="C7043" s="323">
        <v>83189</v>
      </c>
      <c r="D7043" s="323">
        <v>83</v>
      </c>
      <c r="E7043" s="324">
        <f t="shared" si="110"/>
        <v>40480.76</v>
      </c>
    </row>
    <row r="7044" spans="1:5" x14ac:dyDescent="0.25">
      <c r="A7044" s="323" t="s">
        <v>6243</v>
      </c>
      <c r="B7044" s="323" t="s">
        <v>809</v>
      </c>
      <c r="C7044" s="323">
        <v>83189</v>
      </c>
      <c r="D7044" s="323">
        <v>38</v>
      </c>
      <c r="E7044" s="324">
        <f t="shared" si="110"/>
        <v>18533.36</v>
      </c>
    </row>
    <row r="7045" spans="1:5" x14ac:dyDescent="0.25">
      <c r="A7045" s="323" t="s">
        <v>6243</v>
      </c>
      <c r="B7045" s="323" t="s">
        <v>803</v>
      </c>
      <c r="C7045" s="323">
        <v>83189</v>
      </c>
      <c r="D7045" s="323">
        <v>63</v>
      </c>
      <c r="E7045" s="324">
        <f t="shared" si="110"/>
        <v>30726.36</v>
      </c>
    </row>
    <row r="7046" spans="1:5" x14ac:dyDescent="0.25">
      <c r="A7046" s="323" t="s">
        <v>6481</v>
      </c>
      <c r="B7046" s="323" t="s">
        <v>809</v>
      </c>
      <c r="C7046" s="323">
        <v>83189</v>
      </c>
      <c r="D7046" s="323">
        <v>124</v>
      </c>
      <c r="E7046" s="324">
        <f t="shared" si="110"/>
        <v>60477.280000000006</v>
      </c>
    </row>
    <row r="7047" spans="1:5" x14ac:dyDescent="0.25">
      <c r="A7047" s="323" t="s">
        <v>6481</v>
      </c>
      <c r="B7047" s="323" t="s">
        <v>803</v>
      </c>
      <c r="C7047" s="323">
        <v>83189</v>
      </c>
      <c r="D7047" s="323">
        <v>171</v>
      </c>
      <c r="E7047" s="324">
        <f t="shared" si="110"/>
        <v>83400.12000000001</v>
      </c>
    </row>
    <row r="7048" spans="1:5" x14ac:dyDescent="0.25">
      <c r="A7048" s="323" t="s">
        <v>1486</v>
      </c>
      <c r="B7048" s="323" t="s">
        <v>805</v>
      </c>
      <c r="C7048" s="323">
        <v>83228</v>
      </c>
      <c r="D7048" s="323">
        <v>299</v>
      </c>
      <c r="E7048" s="324">
        <f t="shared" si="110"/>
        <v>72914.14</v>
      </c>
    </row>
    <row r="7049" spans="1:5" x14ac:dyDescent="0.25">
      <c r="A7049" s="323" t="s">
        <v>2476</v>
      </c>
      <c r="B7049" s="323" t="s">
        <v>805</v>
      </c>
      <c r="C7049" s="323">
        <v>83228</v>
      </c>
      <c r="D7049" s="323">
        <v>111</v>
      </c>
      <c r="E7049" s="324">
        <f t="shared" si="110"/>
        <v>27068.460000000003</v>
      </c>
    </row>
    <row r="7050" spans="1:5" x14ac:dyDescent="0.25">
      <c r="A7050" s="323" t="s">
        <v>5023</v>
      </c>
      <c r="B7050" s="323" t="s">
        <v>805</v>
      </c>
      <c r="C7050" s="323">
        <v>83228</v>
      </c>
      <c r="D7050" s="323">
        <v>381</v>
      </c>
      <c r="E7050" s="324">
        <f t="shared" si="110"/>
        <v>92910.66</v>
      </c>
    </row>
    <row r="7051" spans="1:5" x14ac:dyDescent="0.25">
      <c r="A7051" s="323" t="s">
        <v>5080</v>
      </c>
      <c r="B7051" s="323" t="s">
        <v>805</v>
      </c>
      <c r="C7051" s="323">
        <v>83228</v>
      </c>
      <c r="D7051" s="323">
        <v>406</v>
      </c>
      <c r="E7051" s="324">
        <f t="shared" si="110"/>
        <v>99007.16</v>
      </c>
    </row>
    <row r="7052" spans="1:5" x14ac:dyDescent="0.25">
      <c r="A7052" s="323" t="s">
        <v>5182</v>
      </c>
      <c r="B7052" s="323" t="s">
        <v>805</v>
      </c>
      <c r="C7052" s="323">
        <v>83228</v>
      </c>
      <c r="D7052" s="323">
        <v>284</v>
      </c>
      <c r="E7052" s="324">
        <f t="shared" si="110"/>
        <v>69256.240000000005</v>
      </c>
    </row>
    <row r="7053" spans="1:5" x14ac:dyDescent="0.25">
      <c r="A7053" s="323" t="s">
        <v>5262</v>
      </c>
      <c r="B7053" s="323" t="s">
        <v>805</v>
      </c>
      <c r="C7053" s="323">
        <v>83228</v>
      </c>
      <c r="D7053" s="323">
        <v>128</v>
      </c>
      <c r="E7053" s="324">
        <f t="shared" si="110"/>
        <v>31214.080000000002</v>
      </c>
    </row>
    <row r="7054" spans="1:5" x14ac:dyDescent="0.25">
      <c r="A7054" s="323" t="s">
        <v>5336</v>
      </c>
      <c r="B7054" s="323" t="s">
        <v>805</v>
      </c>
      <c r="C7054" s="323">
        <v>83228</v>
      </c>
      <c r="D7054" s="323">
        <v>307</v>
      </c>
      <c r="E7054" s="324">
        <f t="shared" si="110"/>
        <v>74865.02</v>
      </c>
    </row>
    <row r="7055" spans="1:5" x14ac:dyDescent="0.25">
      <c r="A7055" s="323" t="s">
        <v>2601</v>
      </c>
      <c r="B7055" s="323" t="s">
        <v>805</v>
      </c>
      <c r="C7055" s="323">
        <v>83267</v>
      </c>
      <c r="D7055" s="323">
        <v>144</v>
      </c>
      <c r="E7055" s="324">
        <f t="shared" si="110"/>
        <v>35115.840000000004</v>
      </c>
    </row>
    <row r="7056" spans="1:5" x14ac:dyDescent="0.25">
      <c r="A7056" s="323" t="s">
        <v>913</v>
      </c>
      <c r="B7056" s="323" t="s">
        <v>816</v>
      </c>
      <c r="C7056" s="323">
        <v>83280</v>
      </c>
      <c r="D7056" s="323">
        <v>151</v>
      </c>
      <c r="E7056" s="324">
        <f t="shared" si="110"/>
        <v>55234.29</v>
      </c>
    </row>
    <row r="7057" spans="1:5" x14ac:dyDescent="0.25">
      <c r="A7057" s="323" t="s">
        <v>917</v>
      </c>
      <c r="B7057" s="323" t="s">
        <v>816</v>
      </c>
      <c r="C7057" s="323">
        <v>83280</v>
      </c>
      <c r="D7057" s="323">
        <v>137</v>
      </c>
      <c r="E7057" s="324">
        <f t="shared" si="110"/>
        <v>50113.23</v>
      </c>
    </row>
    <row r="7058" spans="1:5" x14ac:dyDescent="0.25">
      <c r="A7058" s="323" t="s">
        <v>993</v>
      </c>
      <c r="B7058" s="323" t="s">
        <v>816</v>
      </c>
      <c r="C7058" s="323">
        <v>83280</v>
      </c>
      <c r="D7058" s="323">
        <v>154</v>
      </c>
      <c r="E7058" s="324">
        <f t="shared" si="110"/>
        <v>56331.66</v>
      </c>
    </row>
    <row r="7059" spans="1:5" x14ac:dyDescent="0.25">
      <c r="A7059" s="323" t="s">
        <v>1038</v>
      </c>
      <c r="B7059" s="323" t="s">
        <v>805</v>
      </c>
      <c r="C7059" s="323">
        <v>83280</v>
      </c>
      <c r="D7059" s="323">
        <v>120</v>
      </c>
      <c r="E7059" s="324">
        <f t="shared" si="110"/>
        <v>29263.200000000001</v>
      </c>
    </row>
    <row r="7060" spans="1:5" x14ac:dyDescent="0.25">
      <c r="A7060" s="323" t="s">
        <v>1078</v>
      </c>
      <c r="B7060" s="323" t="s">
        <v>805</v>
      </c>
      <c r="C7060" s="323">
        <v>83280</v>
      </c>
      <c r="D7060" s="323">
        <v>124</v>
      </c>
      <c r="E7060" s="324">
        <f t="shared" si="110"/>
        <v>30238.640000000003</v>
      </c>
    </row>
    <row r="7061" spans="1:5" x14ac:dyDescent="0.25">
      <c r="A7061" s="323" t="s">
        <v>1286</v>
      </c>
      <c r="B7061" s="323" t="s">
        <v>805</v>
      </c>
      <c r="C7061" s="323">
        <v>83280</v>
      </c>
      <c r="D7061" s="323">
        <v>167</v>
      </c>
      <c r="E7061" s="324">
        <f t="shared" si="110"/>
        <v>40724.620000000003</v>
      </c>
    </row>
    <row r="7062" spans="1:5" x14ac:dyDescent="0.25">
      <c r="A7062" s="323" t="s">
        <v>1324</v>
      </c>
      <c r="B7062" s="323" t="s">
        <v>805</v>
      </c>
      <c r="C7062" s="323">
        <v>83280</v>
      </c>
      <c r="D7062" s="323">
        <v>256</v>
      </c>
      <c r="E7062" s="324">
        <f t="shared" si="110"/>
        <v>62428.160000000003</v>
      </c>
    </row>
    <row r="7063" spans="1:5" x14ac:dyDescent="0.25">
      <c r="A7063" s="323" t="s">
        <v>1408</v>
      </c>
      <c r="B7063" s="323" t="s">
        <v>809</v>
      </c>
      <c r="C7063" s="323">
        <v>83280</v>
      </c>
      <c r="D7063" s="323">
        <v>95</v>
      </c>
      <c r="E7063" s="324">
        <f t="shared" si="110"/>
        <v>46333.4</v>
      </c>
    </row>
    <row r="7064" spans="1:5" x14ac:dyDescent="0.25">
      <c r="A7064" s="323" t="s">
        <v>1408</v>
      </c>
      <c r="B7064" s="323" t="s">
        <v>803</v>
      </c>
      <c r="C7064" s="323">
        <v>83280</v>
      </c>
      <c r="D7064" s="323">
        <v>112</v>
      </c>
      <c r="E7064" s="324">
        <f t="shared" si="110"/>
        <v>54624.639999999999</v>
      </c>
    </row>
    <row r="7065" spans="1:5" x14ac:dyDescent="0.25">
      <c r="A7065" s="323" t="s">
        <v>1408</v>
      </c>
      <c r="B7065" s="323" t="s">
        <v>809</v>
      </c>
      <c r="C7065" s="323">
        <v>83280</v>
      </c>
      <c r="D7065" s="323">
        <v>64</v>
      </c>
      <c r="E7065" s="324">
        <f t="shared" si="110"/>
        <v>31214.080000000002</v>
      </c>
    </row>
    <row r="7066" spans="1:5" x14ac:dyDescent="0.25">
      <c r="A7066" s="323" t="s">
        <v>1606</v>
      </c>
      <c r="B7066" s="323" t="s">
        <v>805</v>
      </c>
      <c r="C7066" s="323">
        <v>83280</v>
      </c>
      <c r="D7066" s="323">
        <v>143</v>
      </c>
      <c r="E7066" s="324">
        <f t="shared" si="110"/>
        <v>34871.980000000003</v>
      </c>
    </row>
    <row r="7067" spans="1:5" x14ac:dyDescent="0.25">
      <c r="A7067" s="323" t="s">
        <v>1682</v>
      </c>
      <c r="B7067" s="323" t="s">
        <v>805</v>
      </c>
      <c r="C7067" s="323">
        <v>83280</v>
      </c>
      <c r="D7067" s="323">
        <v>477</v>
      </c>
      <c r="E7067" s="324">
        <f t="shared" si="110"/>
        <v>116321.22</v>
      </c>
    </row>
    <row r="7068" spans="1:5" x14ac:dyDescent="0.25">
      <c r="A7068" s="323" t="s">
        <v>1786</v>
      </c>
      <c r="B7068" s="323" t="s">
        <v>805</v>
      </c>
      <c r="C7068" s="323">
        <v>83280</v>
      </c>
      <c r="D7068" s="323">
        <v>293</v>
      </c>
      <c r="E7068" s="324">
        <f t="shared" si="110"/>
        <v>71450.98000000001</v>
      </c>
    </row>
    <row r="7069" spans="1:5" x14ac:dyDescent="0.25">
      <c r="A7069" s="323" t="s">
        <v>1847</v>
      </c>
      <c r="B7069" s="323" t="s">
        <v>805</v>
      </c>
      <c r="C7069" s="323">
        <v>83280</v>
      </c>
      <c r="D7069" s="323">
        <v>118</v>
      </c>
      <c r="E7069" s="324">
        <f t="shared" si="110"/>
        <v>28775.480000000003</v>
      </c>
    </row>
    <row r="7070" spans="1:5" x14ac:dyDescent="0.25">
      <c r="A7070" s="323" t="s">
        <v>2117</v>
      </c>
      <c r="B7070" s="323" t="s">
        <v>805</v>
      </c>
      <c r="C7070" s="323">
        <v>83280</v>
      </c>
      <c r="D7070" s="323">
        <v>388</v>
      </c>
      <c r="E7070" s="324">
        <f t="shared" si="110"/>
        <v>94617.680000000008</v>
      </c>
    </row>
    <row r="7071" spans="1:5" x14ac:dyDescent="0.25">
      <c r="A7071" s="323" t="s">
        <v>2138</v>
      </c>
      <c r="B7071" s="323" t="s">
        <v>805</v>
      </c>
      <c r="C7071" s="323">
        <v>83280</v>
      </c>
      <c r="D7071" s="323">
        <v>256</v>
      </c>
      <c r="E7071" s="324">
        <f t="shared" si="110"/>
        <v>62428.160000000003</v>
      </c>
    </row>
    <row r="7072" spans="1:5" x14ac:dyDescent="0.25">
      <c r="A7072" s="323" t="s">
        <v>2182</v>
      </c>
      <c r="B7072" s="323" t="s">
        <v>805</v>
      </c>
      <c r="C7072" s="323">
        <v>83280</v>
      </c>
      <c r="D7072" s="323">
        <v>266</v>
      </c>
      <c r="E7072" s="324">
        <f t="shared" si="110"/>
        <v>64866.76</v>
      </c>
    </row>
    <row r="7073" spans="1:5" x14ac:dyDescent="0.25">
      <c r="A7073" s="323" t="s">
        <v>2295</v>
      </c>
      <c r="B7073" s="323" t="s">
        <v>805</v>
      </c>
      <c r="C7073" s="323">
        <v>83280</v>
      </c>
      <c r="D7073" s="323">
        <v>246</v>
      </c>
      <c r="E7073" s="324">
        <f t="shared" si="110"/>
        <v>59989.560000000005</v>
      </c>
    </row>
    <row r="7074" spans="1:5" x14ac:dyDescent="0.25">
      <c r="A7074" s="323" t="s">
        <v>2457</v>
      </c>
      <c r="B7074" s="323" t="s">
        <v>805</v>
      </c>
      <c r="C7074" s="323">
        <v>83280</v>
      </c>
      <c r="D7074" s="323">
        <v>4</v>
      </c>
      <c r="E7074" s="324">
        <f t="shared" si="110"/>
        <v>975.44</v>
      </c>
    </row>
    <row r="7075" spans="1:5" x14ac:dyDescent="0.25">
      <c r="A7075" s="323" t="s">
        <v>2565</v>
      </c>
      <c r="B7075" s="323" t="s">
        <v>805</v>
      </c>
      <c r="C7075" s="323">
        <v>83280</v>
      </c>
      <c r="D7075" s="323">
        <v>78</v>
      </c>
      <c r="E7075" s="324">
        <f t="shared" si="110"/>
        <v>19021.080000000002</v>
      </c>
    </row>
    <row r="7076" spans="1:5" x14ac:dyDescent="0.25">
      <c r="A7076" s="323" t="s">
        <v>2731</v>
      </c>
      <c r="B7076" s="323" t="s">
        <v>805</v>
      </c>
      <c r="C7076" s="323">
        <v>83280</v>
      </c>
      <c r="D7076" s="323">
        <v>234</v>
      </c>
      <c r="E7076" s="324">
        <f t="shared" si="110"/>
        <v>57063.240000000005</v>
      </c>
    </row>
    <row r="7077" spans="1:5" x14ac:dyDescent="0.25">
      <c r="A7077" s="323" t="s">
        <v>2866</v>
      </c>
      <c r="B7077" s="323" t="s">
        <v>805</v>
      </c>
      <c r="C7077" s="323">
        <v>83280</v>
      </c>
      <c r="D7077" s="323">
        <v>380</v>
      </c>
      <c r="E7077" s="324">
        <f t="shared" si="110"/>
        <v>92666.8</v>
      </c>
    </row>
    <row r="7078" spans="1:5" x14ac:dyDescent="0.25">
      <c r="A7078" s="323" t="s">
        <v>3167</v>
      </c>
      <c r="B7078" s="323" t="s">
        <v>805</v>
      </c>
      <c r="C7078" s="323">
        <v>83280</v>
      </c>
      <c r="D7078" s="323">
        <v>247</v>
      </c>
      <c r="E7078" s="324">
        <f t="shared" si="110"/>
        <v>60233.420000000006</v>
      </c>
    </row>
    <row r="7079" spans="1:5" x14ac:dyDescent="0.25">
      <c r="A7079" s="323" t="s">
        <v>3170</v>
      </c>
      <c r="B7079" s="323" t="s">
        <v>805</v>
      </c>
      <c r="C7079" s="323">
        <v>83280</v>
      </c>
      <c r="D7079" s="323">
        <v>268</v>
      </c>
      <c r="E7079" s="324">
        <f t="shared" si="110"/>
        <v>65354.48</v>
      </c>
    </row>
    <row r="7080" spans="1:5" x14ac:dyDescent="0.25">
      <c r="A7080" s="323" t="s">
        <v>3172</v>
      </c>
      <c r="B7080" s="323" t="s">
        <v>805</v>
      </c>
      <c r="C7080" s="323">
        <v>83280</v>
      </c>
      <c r="D7080" s="323">
        <v>251</v>
      </c>
      <c r="E7080" s="324">
        <f t="shared" si="110"/>
        <v>61208.86</v>
      </c>
    </row>
    <row r="7081" spans="1:5" x14ac:dyDescent="0.25">
      <c r="A7081" s="323" t="s">
        <v>3397</v>
      </c>
      <c r="B7081" s="323" t="s">
        <v>805</v>
      </c>
      <c r="C7081" s="323">
        <v>83280</v>
      </c>
      <c r="D7081" s="323">
        <v>387</v>
      </c>
      <c r="E7081" s="324">
        <f t="shared" si="110"/>
        <v>94373.82</v>
      </c>
    </row>
    <row r="7082" spans="1:5" x14ac:dyDescent="0.25">
      <c r="A7082" s="323" t="s">
        <v>3507</v>
      </c>
      <c r="B7082" s="323" t="s">
        <v>805</v>
      </c>
      <c r="C7082" s="323">
        <v>83280</v>
      </c>
      <c r="D7082" s="323">
        <v>194</v>
      </c>
      <c r="E7082" s="324">
        <f t="shared" si="110"/>
        <v>47308.840000000004</v>
      </c>
    </row>
    <row r="7083" spans="1:5" x14ac:dyDescent="0.25">
      <c r="A7083" s="323" t="s">
        <v>3757</v>
      </c>
      <c r="B7083" s="323" t="s">
        <v>805</v>
      </c>
      <c r="C7083" s="323">
        <v>83280</v>
      </c>
      <c r="D7083" s="323">
        <v>127</v>
      </c>
      <c r="E7083" s="324">
        <f t="shared" si="110"/>
        <v>30970.22</v>
      </c>
    </row>
    <row r="7084" spans="1:5" x14ac:dyDescent="0.25">
      <c r="A7084" s="323" t="s">
        <v>4490</v>
      </c>
      <c r="B7084" s="323" t="s">
        <v>809</v>
      </c>
      <c r="C7084" s="323">
        <v>83280</v>
      </c>
      <c r="D7084" s="323">
        <v>71</v>
      </c>
      <c r="E7084" s="324">
        <f t="shared" si="110"/>
        <v>34628.120000000003</v>
      </c>
    </row>
    <row r="7085" spans="1:5" x14ac:dyDescent="0.25">
      <c r="A7085" s="323" t="s">
        <v>4490</v>
      </c>
      <c r="B7085" s="323" t="s">
        <v>803</v>
      </c>
      <c r="C7085" s="323">
        <v>83280</v>
      </c>
      <c r="D7085" s="323">
        <v>114</v>
      </c>
      <c r="E7085" s="324">
        <f t="shared" si="110"/>
        <v>55600.08</v>
      </c>
    </row>
    <row r="7086" spans="1:5" x14ac:dyDescent="0.25">
      <c r="A7086" s="323" t="s">
        <v>5263</v>
      </c>
      <c r="B7086" s="323" t="s">
        <v>805</v>
      </c>
      <c r="C7086" s="323">
        <v>83280</v>
      </c>
      <c r="D7086" s="323">
        <v>212</v>
      </c>
      <c r="E7086" s="324">
        <f t="shared" si="110"/>
        <v>51698.32</v>
      </c>
    </row>
    <row r="7087" spans="1:5" x14ac:dyDescent="0.25">
      <c r="A7087" s="323" t="s">
        <v>5466</v>
      </c>
      <c r="B7087" s="323" t="s">
        <v>805</v>
      </c>
      <c r="C7087" s="323">
        <v>83280</v>
      </c>
      <c r="D7087" s="323">
        <v>387</v>
      </c>
      <c r="E7087" s="324">
        <f t="shared" si="110"/>
        <v>94373.82</v>
      </c>
    </row>
    <row r="7088" spans="1:5" x14ac:dyDescent="0.25">
      <c r="A7088" s="323" t="s">
        <v>5848</v>
      </c>
      <c r="B7088" s="323" t="s">
        <v>805</v>
      </c>
      <c r="C7088" s="323">
        <v>83280</v>
      </c>
      <c r="D7088" s="323">
        <v>246</v>
      </c>
      <c r="E7088" s="324">
        <f t="shared" si="110"/>
        <v>59989.560000000005</v>
      </c>
    </row>
    <row r="7089" spans="1:5" x14ac:dyDescent="0.25">
      <c r="A7089" s="323" t="s">
        <v>6073</v>
      </c>
      <c r="B7089" s="323" t="s">
        <v>805</v>
      </c>
      <c r="C7089" s="323">
        <v>83280</v>
      </c>
      <c r="D7089" s="323">
        <v>574</v>
      </c>
      <c r="E7089" s="324">
        <f t="shared" si="110"/>
        <v>139975.64000000001</v>
      </c>
    </row>
    <row r="7090" spans="1:5" x14ac:dyDescent="0.25">
      <c r="A7090" s="323" t="s">
        <v>6817</v>
      </c>
      <c r="B7090" s="323" t="s">
        <v>805</v>
      </c>
      <c r="C7090" s="323">
        <v>83280</v>
      </c>
      <c r="D7090" s="323">
        <v>249</v>
      </c>
      <c r="E7090" s="324">
        <f t="shared" si="110"/>
        <v>60721.140000000007</v>
      </c>
    </row>
    <row r="7091" spans="1:5" x14ac:dyDescent="0.25">
      <c r="A7091" s="323" t="s">
        <v>6884</v>
      </c>
      <c r="B7091" s="323" t="s">
        <v>805</v>
      </c>
      <c r="C7091" s="323">
        <v>83280</v>
      </c>
      <c r="D7091" s="323">
        <v>313</v>
      </c>
      <c r="E7091" s="324">
        <f t="shared" si="110"/>
        <v>76328.180000000008</v>
      </c>
    </row>
    <row r="7092" spans="1:5" x14ac:dyDescent="0.25">
      <c r="A7092" s="323" t="s">
        <v>7049</v>
      </c>
      <c r="B7092" s="323" t="s">
        <v>805</v>
      </c>
      <c r="C7092" s="323">
        <v>83280</v>
      </c>
      <c r="D7092" s="323">
        <v>286</v>
      </c>
      <c r="E7092" s="324">
        <f t="shared" si="110"/>
        <v>69743.960000000006</v>
      </c>
    </row>
    <row r="7093" spans="1:5" x14ac:dyDescent="0.25">
      <c r="A7093" s="323" t="s">
        <v>7427</v>
      </c>
      <c r="B7093" s="323" t="s">
        <v>805</v>
      </c>
      <c r="C7093" s="323">
        <v>83280</v>
      </c>
      <c r="D7093" s="323">
        <v>398</v>
      </c>
      <c r="E7093" s="324">
        <f t="shared" si="110"/>
        <v>97056.28</v>
      </c>
    </row>
    <row r="7094" spans="1:5" x14ac:dyDescent="0.25">
      <c r="A7094" s="323" t="s">
        <v>2609</v>
      </c>
      <c r="B7094" s="323" t="s">
        <v>805</v>
      </c>
      <c r="C7094" s="323">
        <v>83579</v>
      </c>
      <c r="D7094" s="323">
        <v>79</v>
      </c>
      <c r="E7094" s="324">
        <f t="shared" si="110"/>
        <v>19264.940000000002</v>
      </c>
    </row>
    <row r="7095" spans="1:5" x14ac:dyDescent="0.25">
      <c r="A7095" s="323" t="s">
        <v>4044</v>
      </c>
      <c r="B7095" s="323" t="s">
        <v>805</v>
      </c>
      <c r="C7095" s="323">
        <v>83579</v>
      </c>
      <c r="D7095" s="323">
        <v>160</v>
      </c>
      <c r="E7095" s="324">
        <f t="shared" si="110"/>
        <v>39017.600000000006</v>
      </c>
    </row>
    <row r="7096" spans="1:5" x14ac:dyDescent="0.25">
      <c r="A7096" s="323" t="s">
        <v>4491</v>
      </c>
      <c r="B7096" s="323" t="s">
        <v>805</v>
      </c>
      <c r="C7096" s="323">
        <v>83579</v>
      </c>
      <c r="D7096" s="323">
        <v>231</v>
      </c>
      <c r="E7096" s="324">
        <f t="shared" si="110"/>
        <v>56331.66</v>
      </c>
    </row>
    <row r="7097" spans="1:5" x14ac:dyDescent="0.25">
      <c r="A7097" s="323" t="s">
        <v>4738</v>
      </c>
      <c r="B7097" s="323" t="s">
        <v>805</v>
      </c>
      <c r="C7097" s="323">
        <v>83579</v>
      </c>
      <c r="D7097" s="323">
        <v>187</v>
      </c>
      <c r="E7097" s="324">
        <f t="shared" si="110"/>
        <v>45601.82</v>
      </c>
    </row>
    <row r="7098" spans="1:5" x14ac:dyDescent="0.25">
      <c r="A7098" s="323" t="s">
        <v>4807</v>
      </c>
      <c r="B7098" s="323" t="s">
        <v>805</v>
      </c>
      <c r="C7098" s="323">
        <v>83579</v>
      </c>
      <c r="D7098" s="323">
        <v>45</v>
      </c>
      <c r="E7098" s="324">
        <f t="shared" si="110"/>
        <v>10973.7</v>
      </c>
    </row>
    <row r="7099" spans="1:5" x14ac:dyDescent="0.25">
      <c r="A7099" s="323" t="s">
        <v>7105</v>
      </c>
      <c r="B7099" s="323" t="s">
        <v>805</v>
      </c>
      <c r="C7099" s="323">
        <v>83579</v>
      </c>
      <c r="D7099" s="323">
        <v>208</v>
      </c>
      <c r="E7099" s="324">
        <f t="shared" si="110"/>
        <v>50722.880000000005</v>
      </c>
    </row>
    <row r="7100" spans="1:5" x14ac:dyDescent="0.25">
      <c r="A7100" s="323" t="s">
        <v>7425</v>
      </c>
      <c r="B7100" s="323" t="s">
        <v>805</v>
      </c>
      <c r="C7100" s="323">
        <v>83579</v>
      </c>
      <c r="D7100" s="323">
        <v>398</v>
      </c>
      <c r="E7100" s="324">
        <f t="shared" si="110"/>
        <v>97056.28</v>
      </c>
    </row>
    <row r="7101" spans="1:5" x14ac:dyDescent="0.25">
      <c r="A7101" s="323" t="s">
        <v>2900</v>
      </c>
      <c r="B7101" s="323" t="s">
        <v>805</v>
      </c>
      <c r="C7101" s="323">
        <v>83656</v>
      </c>
      <c r="D7101" s="323">
        <v>285</v>
      </c>
      <c r="E7101" s="324">
        <f t="shared" si="110"/>
        <v>69500.100000000006</v>
      </c>
    </row>
    <row r="7102" spans="1:5" x14ac:dyDescent="0.25">
      <c r="A7102" s="323" t="s">
        <v>3790</v>
      </c>
      <c r="B7102" s="323" t="s">
        <v>805</v>
      </c>
      <c r="C7102" s="323">
        <v>83696</v>
      </c>
      <c r="D7102" s="323">
        <v>306</v>
      </c>
      <c r="E7102" s="324">
        <f t="shared" si="110"/>
        <v>74621.16</v>
      </c>
    </row>
    <row r="7103" spans="1:5" x14ac:dyDescent="0.25">
      <c r="A7103" s="323" t="s">
        <v>1901</v>
      </c>
      <c r="B7103" s="323" t="s">
        <v>805</v>
      </c>
      <c r="C7103" s="323">
        <v>83786</v>
      </c>
      <c r="D7103" s="323">
        <v>245</v>
      </c>
      <c r="E7103" s="324">
        <f t="shared" si="110"/>
        <v>59745.700000000004</v>
      </c>
    </row>
    <row r="7104" spans="1:5" x14ac:dyDescent="0.25">
      <c r="A7104" s="323" t="s">
        <v>5694</v>
      </c>
      <c r="B7104" s="323" t="s">
        <v>805</v>
      </c>
      <c r="C7104" s="323">
        <v>83864</v>
      </c>
      <c r="D7104" s="323">
        <v>162</v>
      </c>
      <c r="E7104" s="324">
        <f t="shared" si="110"/>
        <v>39505.32</v>
      </c>
    </row>
    <row r="7105" spans="1:5" x14ac:dyDescent="0.25">
      <c r="A7105" s="323" t="s">
        <v>5706</v>
      </c>
      <c r="B7105" s="323" t="s">
        <v>805</v>
      </c>
      <c r="C7105" s="323">
        <v>83864</v>
      </c>
      <c r="D7105" s="323">
        <v>310</v>
      </c>
      <c r="E7105" s="324">
        <f t="shared" si="110"/>
        <v>75596.600000000006</v>
      </c>
    </row>
    <row r="7106" spans="1:5" x14ac:dyDescent="0.25">
      <c r="A7106" s="323" t="s">
        <v>5717</v>
      </c>
      <c r="B7106" s="323" t="s">
        <v>805</v>
      </c>
      <c r="C7106" s="323">
        <v>83864</v>
      </c>
      <c r="D7106" s="323">
        <v>374</v>
      </c>
      <c r="E7106" s="324">
        <f t="shared" ref="E7106:E7169" si="111">D7106*IF(B7106=$G$9,WerkdrukbedragPerLeerlingBo,IF(B7106=$G$10,WerkdrukbedragPerLeerlingSbo,IF(B7106=$G$11,WerkdrukbedragPerLeerlingSo,IF(B7106=$G$12,WerkdrukbedragPerLeerlingVso,0))))</f>
        <v>91203.64</v>
      </c>
    </row>
    <row r="7107" spans="1:5" x14ac:dyDescent="0.25">
      <c r="A7107" s="323" t="s">
        <v>6948</v>
      </c>
      <c r="B7107" s="323" t="s">
        <v>805</v>
      </c>
      <c r="C7107" s="323">
        <v>83864</v>
      </c>
      <c r="D7107" s="323">
        <v>387</v>
      </c>
      <c r="E7107" s="324">
        <f t="shared" si="111"/>
        <v>94373.82</v>
      </c>
    </row>
    <row r="7108" spans="1:5" x14ac:dyDescent="0.25">
      <c r="A7108" s="323" t="s">
        <v>1906</v>
      </c>
      <c r="B7108" s="323" t="s">
        <v>805</v>
      </c>
      <c r="C7108" s="323">
        <v>83968</v>
      </c>
      <c r="D7108" s="323">
        <v>224</v>
      </c>
      <c r="E7108" s="324">
        <f t="shared" si="111"/>
        <v>54624.639999999999</v>
      </c>
    </row>
    <row r="7109" spans="1:5" x14ac:dyDescent="0.25">
      <c r="A7109" s="323" t="s">
        <v>2903</v>
      </c>
      <c r="B7109" s="323" t="s">
        <v>805</v>
      </c>
      <c r="C7109" s="323">
        <v>83968</v>
      </c>
      <c r="D7109" s="323">
        <v>270</v>
      </c>
      <c r="E7109" s="324">
        <f t="shared" si="111"/>
        <v>65842.2</v>
      </c>
    </row>
    <row r="7110" spans="1:5" x14ac:dyDescent="0.25">
      <c r="A7110" s="323" t="s">
        <v>3338</v>
      </c>
      <c r="B7110" s="323" t="s">
        <v>805</v>
      </c>
      <c r="C7110" s="323">
        <v>83968</v>
      </c>
      <c r="D7110" s="323">
        <v>186</v>
      </c>
      <c r="E7110" s="324">
        <f t="shared" si="111"/>
        <v>45357.96</v>
      </c>
    </row>
    <row r="7111" spans="1:5" x14ac:dyDescent="0.25">
      <c r="A7111" s="323" t="s">
        <v>1908</v>
      </c>
      <c r="B7111" s="323" t="s">
        <v>805</v>
      </c>
      <c r="C7111" s="323">
        <v>84046</v>
      </c>
      <c r="D7111" s="323">
        <v>230</v>
      </c>
      <c r="E7111" s="324">
        <f t="shared" si="111"/>
        <v>56087.8</v>
      </c>
    </row>
    <row r="7112" spans="1:5" x14ac:dyDescent="0.25">
      <c r="A7112" s="323" t="s">
        <v>2905</v>
      </c>
      <c r="B7112" s="323" t="s">
        <v>805</v>
      </c>
      <c r="C7112" s="323">
        <v>84046</v>
      </c>
      <c r="D7112" s="323">
        <v>78</v>
      </c>
      <c r="E7112" s="324">
        <f t="shared" si="111"/>
        <v>19021.080000000002</v>
      </c>
    </row>
    <row r="7113" spans="1:5" x14ac:dyDescent="0.25">
      <c r="A7113" s="323" t="s">
        <v>1410</v>
      </c>
      <c r="B7113" s="323" t="s">
        <v>816</v>
      </c>
      <c r="C7113" s="323">
        <v>84151</v>
      </c>
      <c r="D7113" s="323">
        <v>110</v>
      </c>
      <c r="E7113" s="324">
        <f t="shared" si="111"/>
        <v>40236.9</v>
      </c>
    </row>
    <row r="7114" spans="1:5" x14ac:dyDescent="0.25">
      <c r="A7114" s="323" t="s">
        <v>7182</v>
      </c>
      <c r="B7114" s="323" t="s">
        <v>809</v>
      </c>
      <c r="C7114" s="323">
        <v>84151</v>
      </c>
      <c r="D7114" s="323">
        <v>36</v>
      </c>
      <c r="E7114" s="324">
        <f t="shared" si="111"/>
        <v>17557.920000000002</v>
      </c>
    </row>
    <row r="7115" spans="1:5" x14ac:dyDescent="0.25">
      <c r="A7115" s="323" t="s">
        <v>7182</v>
      </c>
      <c r="B7115" s="323" t="s">
        <v>803</v>
      </c>
      <c r="C7115" s="323">
        <v>84151</v>
      </c>
      <c r="D7115" s="323">
        <v>33</v>
      </c>
      <c r="E7115" s="324">
        <f t="shared" si="111"/>
        <v>16094.76</v>
      </c>
    </row>
    <row r="7116" spans="1:5" x14ac:dyDescent="0.25">
      <c r="A7116" s="323" t="s">
        <v>5141</v>
      </c>
      <c r="B7116" s="323" t="s">
        <v>809</v>
      </c>
      <c r="C7116" s="323">
        <v>84202</v>
      </c>
      <c r="D7116" s="323">
        <v>90</v>
      </c>
      <c r="E7116" s="324">
        <f t="shared" si="111"/>
        <v>43894.8</v>
      </c>
    </row>
    <row r="7117" spans="1:5" x14ac:dyDescent="0.25">
      <c r="A7117" s="323" t="s">
        <v>5141</v>
      </c>
      <c r="B7117" s="323" t="s">
        <v>803</v>
      </c>
      <c r="C7117" s="323">
        <v>84202</v>
      </c>
      <c r="D7117" s="323">
        <v>153</v>
      </c>
      <c r="E7117" s="324">
        <f t="shared" si="111"/>
        <v>74621.16</v>
      </c>
    </row>
    <row r="7118" spans="1:5" x14ac:dyDescent="0.25">
      <c r="A7118" s="323" t="s">
        <v>1911</v>
      </c>
      <c r="B7118" s="323" t="s">
        <v>805</v>
      </c>
      <c r="C7118" s="323">
        <v>84215</v>
      </c>
      <c r="D7118" s="323">
        <v>96</v>
      </c>
      <c r="E7118" s="324">
        <f t="shared" si="111"/>
        <v>23410.560000000001</v>
      </c>
    </row>
    <row r="7119" spans="1:5" x14ac:dyDescent="0.25">
      <c r="A7119" s="323" t="s">
        <v>1912</v>
      </c>
      <c r="B7119" s="323" t="s">
        <v>805</v>
      </c>
      <c r="C7119" s="323">
        <v>84332</v>
      </c>
      <c r="D7119" s="323">
        <v>63</v>
      </c>
      <c r="E7119" s="324">
        <f t="shared" si="111"/>
        <v>15363.18</v>
      </c>
    </row>
    <row r="7120" spans="1:5" x14ac:dyDescent="0.25">
      <c r="A7120" s="323" t="s">
        <v>1412</v>
      </c>
      <c r="B7120" s="323" t="s">
        <v>805</v>
      </c>
      <c r="C7120" s="323">
        <v>84411</v>
      </c>
      <c r="D7120" s="323">
        <v>296</v>
      </c>
      <c r="E7120" s="324">
        <f t="shared" si="111"/>
        <v>72182.559999999998</v>
      </c>
    </row>
    <row r="7121" spans="1:5" x14ac:dyDescent="0.25">
      <c r="A7121" s="323" t="s">
        <v>3625</v>
      </c>
      <c r="B7121" s="323" t="s">
        <v>805</v>
      </c>
      <c r="C7121" s="323">
        <v>84423</v>
      </c>
      <c r="D7121" s="323">
        <v>233</v>
      </c>
      <c r="E7121" s="324">
        <f t="shared" si="111"/>
        <v>56819.380000000005</v>
      </c>
    </row>
    <row r="7122" spans="1:5" x14ac:dyDescent="0.25">
      <c r="A7122" s="323" t="s">
        <v>3867</v>
      </c>
      <c r="B7122" s="323" t="s">
        <v>805</v>
      </c>
      <c r="C7122" s="323">
        <v>84423</v>
      </c>
      <c r="D7122" s="323">
        <v>154</v>
      </c>
      <c r="E7122" s="324">
        <f t="shared" si="111"/>
        <v>37554.44</v>
      </c>
    </row>
    <row r="7123" spans="1:5" x14ac:dyDescent="0.25">
      <c r="A7123" s="323" t="s">
        <v>4041</v>
      </c>
      <c r="B7123" s="323" t="s">
        <v>805</v>
      </c>
      <c r="C7123" s="323">
        <v>84423</v>
      </c>
      <c r="D7123" s="323">
        <v>130</v>
      </c>
      <c r="E7123" s="324">
        <f t="shared" si="111"/>
        <v>31701.800000000003</v>
      </c>
    </row>
    <row r="7124" spans="1:5" x14ac:dyDescent="0.25">
      <c r="A7124" s="323" t="s">
        <v>1413</v>
      </c>
      <c r="B7124" s="323" t="s">
        <v>816</v>
      </c>
      <c r="C7124" s="323">
        <v>84463</v>
      </c>
      <c r="D7124" s="323">
        <v>63</v>
      </c>
      <c r="E7124" s="324">
        <f t="shared" si="111"/>
        <v>23044.77</v>
      </c>
    </row>
    <row r="7125" spans="1:5" x14ac:dyDescent="0.25">
      <c r="A7125" s="323" t="s">
        <v>2615</v>
      </c>
      <c r="B7125" s="323" t="s">
        <v>805</v>
      </c>
      <c r="C7125" s="323">
        <v>84489</v>
      </c>
      <c r="D7125" s="323">
        <v>149</v>
      </c>
      <c r="E7125" s="324">
        <f t="shared" si="111"/>
        <v>36335.14</v>
      </c>
    </row>
    <row r="7126" spans="1:5" x14ac:dyDescent="0.25">
      <c r="A7126" s="323" t="s">
        <v>942</v>
      </c>
      <c r="B7126" s="323" t="s">
        <v>816</v>
      </c>
      <c r="C7126" s="323">
        <v>84515</v>
      </c>
      <c r="D7126" s="323">
        <v>93</v>
      </c>
      <c r="E7126" s="324">
        <f t="shared" si="111"/>
        <v>34018.47</v>
      </c>
    </row>
    <row r="7127" spans="1:5" x14ac:dyDescent="0.25">
      <c r="A7127" s="323" t="s">
        <v>7051</v>
      </c>
      <c r="B7127" s="323" t="s">
        <v>816</v>
      </c>
      <c r="C7127" s="323">
        <v>84515</v>
      </c>
      <c r="D7127" s="323">
        <v>126</v>
      </c>
      <c r="E7127" s="324">
        <f t="shared" si="111"/>
        <v>46089.54</v>
      </c>
    </row>
    <row r="7128" spans="1:5" x14ac:dyDescent="0.25">
      <c r="A7128" s="323" t="s">
        <v>7180</v>
      </c>
      <c r="B7128" s="323" t="s">
        <v>809</v>
      </c>
      <c r="C7128" s="323">
        <v>84515</v>
      </c>
      <c r="D7128" s="323">
        <v>146</v>
      </c>
      <c r="E7128" s="324">
        <f t="shared" si="111"/>
        <v>71207.12000000001</v>
      </c>
    </row>
    <row r="7129" spans="1:5" x14ac:dyDescent="0.25">
      <c r="A7129" s="323" t="s">
        <v>7180</v>
      </c>
      <c r="B7129" s="323" t="s">
        <v>803</v>
      </c>
      <c r="C7129" s="323">
        <v>84515</v>
      </c>
      <c r="D7129" s="323">
        <v>58</v>
      </c>
      <c r="E7129" s="324">
        <f t="shared" si="111"/>
        <v>28287.760000000002</v>
      </c>
    </row>
    <row r="7130" spans="1:5" x14ac:dyDescent="0.25">
      <c r="A7130" s="323" t="s">
        <v>7180</v>
      </c>
      <c r="B7130" s="323" t="s">
        <v>809</v>
      </c>
      <c r="C7130" s="323">
        <v>84515</v>
      </c>
      <c r="D7130" s="323">
        <v>8</v>
      </c>
      <c r="E7130" s="324">
        <f t="shared" si="111"/>
        <v>3901.76</v>
      </c>
    </row>
    <row r="7131" spans="1:5" x14ac:dyDescent="0.25">
      <c r="A7131" s="323" t="s">
        <v>1414</v>
      </c>
      <c r="B7131" s="323" t="s">
        <v>805</v>
      </c>
      <c r="C7131" s="323">
        <v>84567</v>
      </c>
      <c r="D7131" s="323">
        <v>352</v>
      </c>
      <c r="E7131" s="324">
        <f t="shared" si="111"/>
        <v>85838.720000000001</v>
      </c>
    </row>
    <row r="7132" spans="1:5" x14ac:dyDescent="0.25">
      <c r="A7132" s="323" t="s">
        <v>3868</v>
      </c>
      <c r="B7132" s="323" t="s">
        <v>805</v>
      </c>
      <c r="C7132" s="323">
        <v>84579</v>
      </c>
      <c r="D7132" s="323">
        <v>153</v>
      </c>
      <c r="E7132" s="324">
        <f t="shared" si="111"/>
        <v>37310.58</v>
      </c>
    </row>
    <row r="7133" spans="1:5" x14ac:dyDescent="0.25">
      <c r="A7133" s="323" t="s">
        <v>4042</v>
      </c>
      <c r="B7133" s="323" t="s">
        <v>805</v>
      </c>
      <c r="C7133" s="323">
        <v>84579</v>
      </c>
      <c r="D7133" s="323">
        <v>156</v>
      </c>
      <c r="E7133" s="324">
        <f t="shared" si="111"/>
        <v>38042.160000000003</v>
      </c>
    </row>
    <row r="7134" spans="1:5" x14ac:dyDescent="0.25">
      <c r="A7134" s="323" t="s">
        <v>4185</v>
      </c>
      <c r="B7134" s="323" t="s">
        <v>805</v>
      </c>
      <c r="C7134" s="323">
        <v>84579</v>
      </c>
      <c r="D7134" s="323">
        <v>113</v>
      </c>
      <c r="E7134" s="324">
        <f t="shared" si="111"/>
        <v>27556.18</v>
      </c>
    </row>
    <row r="7135" spans="1:5" x14ac:dyDescent="0.25">
      <c r="A7135" s="323" t="s">
        <v>1917</v>
      </c>
      <c r="B7135" s="323" t="s">
        <v>805</v>
      </c>
      <c r="C7135" s="323">
        <v>84787</v>
      </c>
      <c r="D7135" s="323">
        <v>97</v>
      </c>
      <c r="E7135" s="324">
        <f t="shared" si="111"/>
        <v>23654.420000000002</v>
      </c>
    </row>
    <row r="7136" spans="1:5" x14ac:dyDescent="0.25">
      <c r="A7136" s="323" t="s">
        <v>2616</v>
      </c>
      <c r="B7136" s="323" t="s">
        <v>805</v>
      </c>
      <c r="C7136" s="323">
        <v>84801</v>
      </c>
      <c r="D7136" s="323">
        <v>361</v>
      </c>
      <c r="E7136" s="324">
        <f t="shared" si="111"/>
        <v>88033.46</v>
      </c>
    </row>
    <row r="7137" spans="1:5" x14ac:dyDescent="0.25">
      <c r="A7137" s="323" t="s">
        <v>1416</v>
      </c>
      <c r="B7137" s="323" t="s">
        <v>805</v>
      </c>
      <c r="C7137" s="323">
        <v>84827</v>
      </c>
      <c r="D7137" s="323">
        <v>286</v>
      </c>
      <c r="E7137" s="324">
        <f t="shared" si="111"/>
        <v>69743.960000000006</v>
      </c>
    </row>
    <row r="7138" spans="1:5" x14ac:dyDescent="0.25">
      <c r="A7138" s="323" t="s">
        <v>1421</v>
      </c>
      <c r="B7138" s="323" t="s">
        <v>805</v>
      </c>
      <c r="C7138" s="323">
        <v>85048</v>
      </c>
      <c r="D7138" s="323">
        <v>230</v>
      </c>
      <c r="E7138" s="324">
        <f t="shared" si="111"/>
        <v>56087.8</v>
      </c>
    </row>
    <row r="7139" spans="1:5" x14ac:dyDescent="0.25">
      <c r="A7139" s="323" t="s">
        <v>2619</v>
      </c>
      <c r="B7139" s="323" t="s">
        <v>805</v>
      </c>
      <c r="C7139" s="323">
        <v>85217</v>
      </c>
      <c r="D7139" s="323">
        <v>138</v>
      </c>
      <c r="E7139" s="324">
        <f t="shared" si="111"/>
        <v>33652.68</v>
      </c>
    </row>
    <row r="7140" spans="1:5" x14ac:dyDescent="0.25">
      <c r="A7140" s="323" t="s">
        <v>1525</v>
      </c>
      <c r="B7140" s="323" t="s">
        <v>805</v>
      </c>
      <c r="C7140" s="323">
        <v>85255</v>
      </c>
      <c r="D7140" s="323">
        <v>192</v>
      </c>
      <c r="E7140" s="324">
        <f t="shared" si="111"/>
        <v>46821.120000000003</v>
      </c>
    </row>
    <row r="7141" spans="1:5" x14ac:dyDescent="0.25">
      <c r="A7141" s="323" t="s">
        <v>1885</v>
      </c>
      <c r="B7141" s="323" t="s">
        <v>805</v>
      </c>
      <c r="C7141" s="323">
        <v>85255</v>
      </c>
      <c r="D7141" s="323">
        <v>219</v>
      </c>
      <c r="E7141" s="324">
        <f t="shared" si="111"/>
        <v>53405.340000000004</v>
      </c>
    </row>
    <row r="7142" spans="1:5" x14ac:dyDescent="0.25">
      <c r="A7142" s="323" t="s">
        <v>2889</v>
      </c>
      <c r="B7142" s="323" t="s">
        <v>805</v>
      </c>
      <c r="C7142" s="323">
        <v>85255</v>
      </c>
      <c r="D7142" s="323">
        <v>189</v>
      </c>
      <c r="E7142" s="324">
        <f t="shared" si="111"/>
        <v>46089.54</v>
      </c>
    </row>
    <row r="7143" spans="1:5" x14ac:dyDescent="0.25">
      <c r="A7143" s="323" t="s">
        <v>3165</v>
      </c>
      <c r="B7143" s="323" t="s">
        <v>805</v>
      </c>
      <c r="C7143" s="323">
        <v>85255</v>
      </c>
      <c r="D7143" s="323">
        <v>165</v>
      </c>
      <c r="E7143" s="324">
        <f t="shared" si="111"/>
        <v>40236.9</v>
      </c>
    </row>
    <row r="7144" spans="1:5" x14ac:dyDescent="0.25">
      <c r="A7144" s="323" t="s">
        <v>4003</v>
      </c>
      <c r="B7144" s="323" t="s">
        <v>805</v>
      </c>
      <c r="C7144" s="323">
        <v>85255</v>
      </c>
      <c r="D7144" s="323">
        <v>524</v>
      </c>
      <c r="E7144" s="324">
        <f t="shared" si="111"/>
        <v>127782.64000000001</v>
      </c>
    </row>
    <row r="7145" spans="1:5" x14ac:dyDescent="0.25">
      <c r="A7145" s="323" t="s">
        <v>4155</v>
      </c>
      <c r="B7145" s="323" t="s">
        <v>805</v>
      </c>
      <c r="C7145" s="323">
        <v>85255</v>
      </c>
      <c r="D7145" s="323">
        <v>374</v>
      </c>
      <c r="E7145" s="324">
        <f t="shared" si="111"/>
        <v>91203.64</v>
      </c>
    </row>
    <row r="7146" spans="1:5" x14ac:dyDescent="0.25">
      <c r="A7146" s="323" t="s">
        <v>4310</v>
      </c>
      <c r="B7146" s="323" t="s">
        <v>805</v>
      </c>
      <c r="C7146" s="323">
        <v>85255</v>
      </c>
      <c r="D7146" s="323">
        <v>358</v>
      </c>
      <c r="E7146" s="324">
        <f t="shared" si="111"/>
        <v>87301.88</v>
      </c>
    </row>
    <row r="7147" spans="1:5" x14ac:dyDescent="0.25">
      <c r="A7147" s="323" t="s">
        <v>4761</v>
      </c>
      <c r="B7147" s="323" t="s">
        <v>805</v>
      </c>
      <c r="C7147" s="323">
        <v>85255</v>
      </c>
      <c r="D7147" s="323">
        <v>741</v>
      </c>
      <c r="E7147" s="324">
        <f t="shared" si="111"/>
        <v>180700.26</v>
      </c>
    </row>
    <row r="7148" spans="1:5" x14ac:dyDescent="0.25">
      <c r="A7148" s="323" t="s">
        <v>4869</v>
      </c>
      <c r="B7148" s="323" t="s">
        <v>805</v>
      </c>
      <c r="C7148" s="323">
        <v>85255</v>
      </c>
      <c r="D7148" s="323">
        <v>834</v>
      </c>
      <c r="E7148" s="324">
        <f t="shared" si="111"/>
        <v>203379.24000000002</v>
      </c>
    </row>
    <row r="7149" spans="1:5" x14ac:dyDescent="0.25">
      <c r="A7149" s="323" t="s">
        <v>4958</v>
      </c>
      <c r="B7149" s="323" t="s">
        <v>805</v>
      </c>
      <c r="C7149" s="323">
        <v>85255</v>
      </c>
      <c r="D7149" s="323">
        <v>196</v>
      </c>
      <c r="E7149" s="324">
        <f t="shared" si="111"/>
        <v>47796.560000000005</v>
      </c>
    </row>
    <row r="7150" spans="1:5" x14ac:dyDescent="0.25">
      <c r="A7150" s="323" t="s">
        <v>4995</v>
      </c>
      <c r="B7150" s="323" t="s">
        <v>805</v>
      </c>
      <c r="C7150" s="323">
        <v>85255</v>
      </c>
      <c r="D7150" s="323">
        <v>479</v>
      </c>
      <c r="E7150" s="324">
        <f t="shared" si="111"/>
        <v>116808.94</v>
      </c>
    </row>
    <row r="7151" spans="1:5" x14ac:dyDescent="0.25">
      <c r="A7151" s="323" t="s">
        <v>5033</v>
      </c>
      <c r="B7151" s="323" t="s">
        <v>805</v>
      </c>
      <c r="C7151" s="323">
        <v>85255</v>
      </c>
      <c r="D7151" s="323">
        <v>501</v>
      </c>
      <c r="E7151" s="324">
        <f t="shared" si="111"/>
        <v>122173.86</v>
      </c>
    </row>
    <row r="7152" spans="1:5" x14ac:dyDescent="0.25">
      <c r="A7152" s="323" t="s">
        <v>5144</v>
      </c>
      <c r="B7152" s="323" t="s">
        <v>816</v>
      </c>
      <c r="C7152" s="323">
        <v>85255</v>
      </c>
      <c r="D7152" s="323">
        <v>138</v>
      </c>
      <c r="E7152" s="324">
        <f t="shared" si="111"/>
        <v>50479.020000000004</v>
      </c>
    </row>
    <row r="7153" spans="1:5" x14ac:dyDescent="0.25">
      <c r="A7153" s="323" t="s">
        <v>5160</v>
      </c>
      <c r="B7153" s="323" t="s">
        <v>805</v>
      </c>
      <c r="C7153" s="323">
        <v>85255</v>
      </c>
      <c r="D7153" s="323">
        <v>354</v>
      </c>
      <c r="E7153" s="324">
        <f t="shared" si="111"/>
        <v>86326.44</v>
      </c>
    </row>
    <row r="7154" spans="1:5" x14ac:dyDescent="0.25">
      <c r="A7154" s="323" t="s">
        <v>945</v>
      </c>
      <c r="B7154" s="323" t="s">
        <v>809</v>
      </c>
      <c r="C7154" s="323">
        <v>85256</v>
      </c>
      <c r="D7154" s="323">
        <v>147</v>
      </c>
      <c r="E7154" s="324">
        <f t="shared" si="111"/>
        <v>71694.840000000011</v>
      </c>
    </row>
    <row r="7155" spans="1:5" x14ac:dyDescent="0.25">
      <c r="A7155" s="323" t="s">
        <v>945</v>
      </c>
      <c r="B7155" s="323" t="s">
        <v>803</v>
      </c>
      <c r="C7155" s="323">
        <v>85256</v>
      </c>
      <c r="D7155" s="323">
        <v>54</v>
      </c>
      <c r="E7155" s="324">
        <f t="shared" si="111"/>
        <v>26336.880000000001</v>
      </c>
    </row>
    <row r="7156" spans="1:5" x14ac:dyDescent="0.25">
      <c r="A7156" s="323" t="s">
        <v>945</v>
      </c>
      <c r="B7156" s="323" t="s">
        <v>803</v>
      </c>
      <c r="C7156" s="323">
        <v>85256</v>
      </c>
      <c r="D7156" s="323">
        <v>52</v>
      </c>
      <c r="E7156" s="324">
        <f t="shared" si="111"/>
        <v>25361.440000000002</v>
      </c>
    </row>
    <row r="7157" spans="1:5" x14ac:dyDescent="0.25">
      <c r="A7157" s="323" t="s">
        <v>945</v>
      </c>
      <c r="B7157" s="323" t="s">
        <v>803</v>
      </c>
      <c r="C7157" s="323">
        <v>85256</v>
      </c>
      <c r="D7157" s="323">
        <v>80</v>
      </c>
      <c r="E7157" s="324">
        <f t="shared" si="111"/>
        <v>39017.600000000006</v>
      </c>
    </row>
    <row r="7158" spans="1:5" x14ac:dyDescent="0.25">
      <c r="A7158" s="323" t="s">
        <v>945</v>
      </c>
      <c r="B7158" s="323" t="s">
        <v>803</v>
      </c>
      <c r="C7158" s="323">
        <v>85256</v>
      </c>
      <c r="D7158" s="323">
        <v>178</v>
      </c>
      <c r="E7158" s="324">
        <f t="shared" si="111"/>
        <v>86814.16</v>
      </c>
    </row>
    <row r="7159" spans="1:5" x14ac:dyDescent="0.25">
      <c r="A7159" s="323" t="s">
        <v>945</v>
      </c>
      <c r="B7159" s="323" t="s">
        <v>803</v>
      </c>
      <c r="C7159" s="323">
        <v>85256</v>
      </c>
      <c r="D7159" s="323">
        <v>144</v>
      </c>
      <c r="E7159" s="324">
        <f t="shared" si="111"/>
        <v>70231.680000000008</v>
      </c>
    </row>
    <row r="7160" spans="1:5" x14ac:dyDescent="0.25">
      <c r="A7160" s="323" t="s">
        <v>945</v>
      </c>
      <c r="B7160" s="323" t="s">
        <v>809</v>
      </c>
      <c r="C7160" s="323">
        <v>85256</v>
      </c>
      <c r="D7160" s="323">
        <v>142</v>
      </c>
      <c r="E7160" s="324">
        <f t="shared" si="111"/>
        <v>69256.240000000005</v>
      </c>
    </row>
    <row r="7161" spans="1:5" x14ac:dyDescent="0.25">
      <c r="A7161" s="323" t="s">
        <v>945</v>
      </c>
      <c r="B7161" s="323" t="s">
        <v>803</v>
      </c>
      <c r="C7161" s="323">
        <v>85256</v>
      </c>
      <c r="D7161" s="323">
        <v>88</v>
      </c>
      <c r="E7161" s="324">
        <f t="shared" si="111"/>
        <v>42919.360000000001</v>
      </c>
    </row>
    <row r="7162" spans="1:5" x14ac:dyDescent="0.25">
      <c r="A7162" s="323" t="s">
        <v>945</v>
      </c>
      <c r="B7162" s="323" t="s">
        <v>803</v>
      </c>
      <c r="C7162" s="323">
        <v>85256</v>
      </c>
      <c r="D7162" s="323">
        <v>131</v>
      </c>
      <c r="E7162" s="324">
        <f t="shared" si="111"/>
        <v>63891.320000000007</v>
      </c>
    </row>
    <row r="7163" spans="1:5" x14ac:dyDescent="0.25">
      <c r="A7163" s="323" t="s">
        <v>945</v>
      </c>
      <c r="B7163" s="323" t="s">
        <v>803</v>
      </c>
      <c r="C7163" s="323">
        <v>85256</v>
      </c>
      <c r="D7163" s="323">
        <v>78</v>
      </c>
      <c r="E7163" s="324">
        <f t="shared" si="111"/>
        <v>38042.160000000003</v>
      </c>
    </row>
    <row r="7164" spans="1:5" x14ac:dyDescent="0.25">
      <c r="A7164" s="323" t="s">
        <v>945</v>
      </c>
      <c r="B7164" s="323" t="s">
        <v>803</v>
      </c>
      <c r="C7164" s="323">
        <v>85256</v>
      </c>
      <c r="D7164" s="323">
        <v>200</v>
      </c>
      <c r="E7164" s="324">
        <f t="shared" si="111"/>
        <v>97544</v>
      </c>
    </row>
    <row r="7165" spans="1:5" x14ac:dyDescent="0.25">
      <c r="A7165" s="323" t="s">
        <v>945</v>
      </c>
      <c r="B7165" s="323" t="s">
        <v>803</v>
      </c>
      <c r="C7165" s="323">
        <v>85256</v>
      </c>
      <c r="D7165" s="323">
        <v>60</v>
      </c>
      <c r="E7165" s="324">
        <f t="shared" si="111"/>
        <v>29263.200000000001</v>
      </c>
    </row>
    <row r="7166" spans="1:5" x14ac:dyDescent="0.25">
      <c r="A7166" s="323" t="s">
        <v>945</v>
      </c>
      <c r="B7166" s="323" t="s">
        <v>803</v>
      </c>
      <c r="C7166" s="323">
        <v>85256</v>
      </c>
      <c r="D7166" s="323">
        <v>62</v>
      </c>
      <c r="E7166" s="324">
        <f t="shared" si="111"/>
        <v>30238.640000000003</v>
      </c>
    </row>
    <row r="7167" spans="1:5" x14ac:dyDescent="0.25">
      <c r="A7167" s="323" t="s">
        <v>945</v>
      </c>
      <c r="B7167" s="323" t="s">
        <v>809</v>
      </c>
      <c r="C7167" s="323">
        <v>85256</v>
      </c>
      <c r="D7167" s="323">
        <v>84</v>
      </c>
      <c r="E7167" s="324">
        <f t="shared" si="111"/>
        <v>40968.480000000003</v>
      </c>
    </row>
    <row r="7168" spans="1:5" x14ac:dyDescent="0.25">
      <c r="A7168" s="323" t="s">
        <v>7009</v>
      </c>
      <c r="B7168" s="323" t="s">
        <v>809</v>
      </c>
      <c r="C7168" s="323">
        <v>85269</v>
      </c>
      <c r="D7168" s="323">
        <v>93</v>
      </c>
      <c r="E7168" s="324">
        <f t="shared" si="111"/>
        <v>45357.96</v>
      </c>
    </row>
    <row r="7169" spans="1:5" x14ac:dyDescent="0.25">
      <c r="A7169" s="323" t="s">
        <v>7009</v>
      </c>
      <c r="B7169" s="323" t="s">
        <v>803</v>
      </c>
      <c r="C7169" s="323">
        <v>85269</v>
      </c>
      <c r="D7169" s="323">
        <v>271</v>
      </c>
      <c r="E7169" s="324">
        <f t="shared" si="111"/>
        <v>132172.12</v>
      </c>
    </row>
    <row r="7170" spans="1:5" x14ac:dyDescent="0.25">
      <c r="A7170" s="323" t="s">
        <v>7009</v>
      </c>
      <c r="B7170" s="323" t="s">
        <v>809</v>
      </c>
      <c r="C7170" s="323">
        <v>85269</v>
      </c>
      <c r="D7170" s="323">
        <v>32</v>
      </c>
      <c r="E7170" s="324">
        <f t="shared" ref="E7170:E7233" si="112">D7170*IF(B7170=$G$9,WerkdrukbedragPerLeerlingBo,IF(B7170=$G$10,WerkdrukbedragPerLeerlingSbo,IF(B7170=$G$11,WerkdrukbedragPerLeerlingSo,IF(B7170=$G$12,WerkdrukbedragPerLeerlingVso,0))))</f>
        <v>15607.04</v>
      </c>
    </row>
    <row r="7171" spans="1:5" x14ac:dyDescent="0.25">
      <c r="A7171" s="323" t="s">
        <v>7009</v>
      </c>
      <c r="B7171" s="323" t="s">
        <v>803</v>
      </c>
      <c r="C7171" s="323">
        <v>85269</v>
      </c>
      <c r="D7171" s="323">
        <v>40</v>
      </c>
      <c r="E7171" s="324">
        <f t="shared" si="112"/>
        <v>19508.800000000003</v>
      </c>
    </row>
    <row r="7172" spans="1:5" x14ac:dyDescent="0.25">
      <c r="A7172" s="323" t="s">
        <v>7009</v>
      </c>
      <c r="B7172" s="323" t="s">
        <v>809</v>
      </c>
      <c r="C7172" s="323">
        <v>85269</v>
      </c>
      <c r="D7172" s="323">
        <v>48</v>
      </c>
      <c r="E7172" s="324">
        <f t="shared" si="112"/>
        <v>23410.560000000001</v>
      </c>
    </row>
    <row r="7173" spans="1:5" x14ac:dyDescent="0.25">
      <c r="A7173" s="323" t="s">
        <v>7009</v>
      </c>
      <c r="B7173" s="323" t="s">
        <v>803</v>
      </c>
      <c r="C7173" s="323">
        <v>85269</v>
      </c>
      <c r="D7173" s="323">
        <v>31</v>
      </c>
      <c r="E7173" s="324">
        <f t="shared" si="112"/>
        <v>15119.320000000002</v>
      </c>
    </row>
    <row r="7174" spans="1:5" x14ac:dyDescent="0.25">
      <c r="A7174" s="323" t="s">
        <v>2620</v>
      </c>
      <c r="B7174" s="323" t="s">
        <v>816</v>
      </c>
      <c r="C7174" s="323">
        <v>85321</v>
      </c>
      <c r="D7174" s="323">
        <v>397</v>
      </c>
      <c r="E7174" s="324">
        <f t="shared" si="112"/>
        <v>145218.63</v>
      </c>
    </row>
    <row r="7175" spans="1:5" x14ac:dyDescent="0.25">
      <c r="A7175" s="323" t="s">
        <v>3345</v>
      </c>
      <c r="B7175" s="323" t="s">
        <v>805</v>
      </c>
      <c r="C7175" s="323">
        <v>85476</v>
      </c>
      <c r="D7175" s="323">
        <v>174</v>
      </c>
      <c r="E7175" s="324">
        <f t="shared" si="112"/>
        <v>42431.64</v>
      </c>
    </row>
    <row r="7176" spans="1:5" x14ac:dyDescent="0.25">
      <c r="A7176" s="323" t="s">
        <v>6599</v>
      </c>
      <c r="B7176" s="323" t="s">
        <v>805</v>
      </c>
      <c r="C7176" s="323">
        <v>85476</v>
      </c>
      <c r="D7176" s="323">
        <v>158</v>
      </c>
      <c r="E7176" s="324">
        <f t="shared" si="112"/>
        <v>38529.880000000005</v>
      </c>
    </row>
    <row r="7177" spans="1:5" x14ac:dyDescent="0.25">
      <c r="A7177" s="323" t="s">
        <v>6600</v>
      </c>
      <c r="B7177" s="323" t="s">
        <v>805</v>
      </c>
      <c r="C7177" s="323">
        <v>85476</v>
      </c>
      <c r="D7177" s="323">
        <v>280</v>
      </c>
      <c r="E7177" s="324">
        <f t="shared" si="112"/>
        <v>68280.800000000003</v>
      </c>
    </row>
    <row r="7178" spans="1:5" x14ac:dyDescent="0.25">
      <c r="A7178" s="323" t="s">
        <v>6601</v>
      </c>
      <c r="B7178" s="323" t="s">
        <v>805</v>
      </c>
      <c r="C7178" s="323">
        <v>85476</v>
      </c>
      <c r="D7178" s="323">
        <v>208</v>
      </c>
      <c r="E7178" s="324">
        <f t="shared" si="112"/>
        <v>50722.880000000005</v>
      </c>
    </row>
    <row r="7179" spans="1:5" x14ac:dyDescent="0.25">
      <c r="A7179" s="323" t="s">
        <v>6602</v>
      </c>
      <c r="B7179" s="323" t="s">
        <v>805</v>
      </c>
      <c r="C7179" s="323">
        <v>85476</v>
      </c>
      <c r="D7179" s="323">
        <v>207</v>
      </c>
      <c r="E7179" s="324">
        <f t="shared" si="112"/>
        <v>50479.020000000004</v>
      </c>
    </row>
    <row r="7180" spans="1:5" x14ac:dyDescent="0.25">
      <c r="A7180" s="323" t="s">
        <v>6603</v>
      </c>
      <c r="B7180" s="323" t="s">
        <v>805</v>
      </c>
      <c r="C7180" s="323">
        <v>85476</v>
      </c>
      <c r="D7180" s="323">
        <v>260</v>
      </c>
      <c r="E7180" s="324">
        <f t="shared" si="112"/>
        <v>63403.600000000006</v>
      </c>
    </row>
    <row r="7181" spans="1:5" x14ac:dyDescent="0.25">
      <c r="A7181" s="323" t="s">
        <v>6604</v>
      </c>
      <c r="B7181" s="323" t="s">
        <v>805</v>
      </c>
      <c r="C7181" s="323">
        <v>85476</v>
      </c>
      <c r="D7181" s="323">
        <v>192</v>
      </c>
      <c r="E7181" s="324">
        <f t="shared" si="112"/>
        <v>46821.120000000003</v>
      </c>
    </row>
    <row r="7182" spans="1:5" x14ac:dyDescent="0.25">
      <c r="A7182" s="323" t="s">
        <v>6605</v>
      </c>
      <c r="B7182" s="323" t="s">
        <v>805</v>
      </c>
      <c r="C7182" s="323">
        <v>85476</v>
      </c>
      <c r="D7182" s="323">
        <v>159</v>
      </c>
      <c r="E7182" s="324">
        <f t="shared" si="112"/>
        <v>38773.740000000005</v>
      </c>
    </row>
    <row r="7183" spans="1:5" x14ac:dyDescent="0.25">
      <c r="A7183" s="323" t="s">
        <v>6883</v>
      </c>
      <c r="B7183" s="323" t="s">
        <v>805</v>
      </c>
      <c r="C7183" s="323">
        <v>85476</v>
      </c>
      <c r="D7183" s="323">
        <v>382</v>
      </c>
      <c r="E7183" s="324">
        <f t="shared" si="112"/>
        <v>93154.52</v>
      </c>
    </row>
    <row r="7184" spans="1:5" x14ac:dyDescent="0.25">
      <c r="A7184" s="323" t="s">
        <v>7125</v>
      </c>
      <c r="B7184" s="323" t="s">
        <v>805</v>
      </c>
      <c r="C7184" s="323">
        <v>85476</v>
      </c>
      <c r="D7184" s="323">
        <v>386</v>
      </c>
      <c r="E7184" s="324">
        <f t="shared" si="112"/>
        <v>94129.96</v>
      </c>
    </row>
    <row r="7185" spans="1:5" x14ac:dyDescent="0.25">
      <c r="A7185" s="323" t="s">
        <v>7305</v>
      </c>
      <c r="B7185" s="323" t="s">
        <v>805</v>
      </c>
      <c r="C7185" s="323">
        <v>85476</v>
      </c>
      <c r="D7185" s="323">
        <v>404</v>
      </c>
      <c r="E7185" s="324">
        <f t="shared" si="112"/>
        <v>98519.44</v>
      </c>
    </row>
    <row r="7186" spans="1:5" x14ac:dyDescent="0.25">
      <c r="A7186" s="323" t="s">
        <v>947</v>
      </c>
      <c r="B7186" s="323" t="s">
        <v>809</v>
      </c>
      <c r="C7186" s="323">
        <v>85581</v>
      </c>
      <c r="D7186" s="323">
        <v>79</v>
      </c>
      <c r="E7186" s="324">
        <f t="shared" si="112"/>
        <v>38529.880000000005</v>
      </c>
    </row>
    <row r="7187" spans="1:5" x14ac:dyDescent="0.25">
      <c r="A7187" s="323" t="s">
        <v>947</v>
      </c>
      <c r="B7187" s="323" t="s">
        <v>803</v>
      </c>
      <c r="C7187" s="323">
        <v>85581</v>
      </c>
      <c r="D7187" s="323">
        <v>93</v>
      </c>
      <c r="E7187" s="324">
        <f t="shared" si="112"/>
        <v>45357.96</v>
      </c>
    </row>
    <row r="7188" spans="1:5" x14ac:dyDescent="0.25">
      <c r="A7188" s="323" t="s">
        <v>947</v>
      </c>
      <c r="B7188" s="323" t="s">
        <v>809</v>
      </c>
      <c r="C7188" s="323">
        <v>85581</v>
      </c>
      <c r="D7188" s="323">
        <v>14</v>
      </c>
      <c r="E7188" s="324">
        <f t="shared" si="112"/>
        <v>6828.08</v>
      </c>
    </row>
    <row r="7189" spans="1:5" x14ac:dyDescent="0.25">
      <c r="A7189" s="323" t="s">
        <v>947</v>
      </c>
      <c r="B7189" s="323" t="s">
        <v>809</v>
      </c>
      <c r="C7189" s="323">
        <v>85581</v>
      </c>
      <c r="D7189" s="323">
        <v>13</v>
      </c>
      <c r="E7189" s="324">
        <f t="shared" si="112"/>
        <v>6340.3600000000006</v>
      </c>
    </row>
    <row r="7190" spans="1:5" x14ac:dyDescent="0.25">
      <c r="A7190" s="323" t="s">
        <v>947</v>
      </c>
      <c r="B7190" s="323" t="s">
        <v>809</v>
      </c>
      <c r="C7190" s="323">
        <v>85581</v>
      </c>
      <c r="D7190" s="323">
        <v>34</v>
      </c>
      <c r="E7190" s="324">
        <f t="shared" si="112"/>
        <v>16582.48</v>
      </c>
    </row>
    <row r="7191" spans="1:5" x14ac:dyDescent="0.25">
      <c r="A7191" s="323" t="s">
        <v>947</v>
      </c>
      <c r="B7191" s="323" t="s">
        <v>803</v>
      </c>
      <c r="C7191" s="323">
        <v>85581</v>
      </c>
      <c r="D7191" s="323">
        <v>32</v>
      </c>
      <c r="E7191" s="324">
        <f t="shared" si="112"/>
        <v>15607.04</v>
      </c>
    </row>
    <row r="7192" spans="1:5" x14ac:dyDescent="0.25">
      <c r="A7192" s="323" t="s">
        <v>849</v>
      </c>
      <c r="B7192" s="323" t="s">
        <v>805</v>
      </c>
      <c r="C7192" s="323">
        <v>85600</v>
      </c>
      <c r="D7192" s="323">
        <v>182</v>
      </c>
      <c r="E7192" s="324">
        <f t="shared" si="112"/>
        <v>44382.520000000004</v>
      </c>
    </row>
    <row r="7193" spans="1:5" x14ac:dyDescent="0.25">
      <c r="A7193" s="323" t="s">
        <v>1378</v>
      </c>
      <c r="B7193" s="323" t="s">
        <v>816</v>
      </c>
      <c r="C7193" s="323">
        <v>85600</v>
      </c>
      <c r="D7193" s="323">
        <v>68</v>
      </c>
      <c r="E7193" s="324">
        <f t="shared" si="112"/>
        <v>24873.72</v>
      </c>
    </row>
    <row r="7194" spans="1:5" x14ac:dyDescent="0.25">
      <c r="A7194" s="323" t="s">
        <v>1524</v>
      </c>
      <c r="B7194" s="323" t="s">
        <v>805</v>
      </c>
      <c r="C7194" s="323">
        <v>85600</v>
      </c>
      <c r="D7194" s="323">
        <v>141</v>
      </c>
      <c r="E7194" s="324">
        <f t="shared" si="112"/>
        <v>34384.26</v>
      </c>
    </row>
    <row r="7195" spans="1:5" x14ac:dyDescent="0.25">
      <c r="A7195" s="323" t="s">
        <v>1548</v>
      </c>
      <c r="B7195" s="323" t="s">
        <v>805</v>
      </c>
      <c r="C7195" s="323">
        <v>85600</v>
      </c>
      <c r="D7195" s="323">
        <v>33</v>
      </c>
      <c r="E7195" s="324">
        <f t="shared" si="112"/>
        <v>8047.38</v>
      </c>
    </row>
    <row r="7196" spans="1:5" x14ac:dyDescent="0.25">
      <c r="A7196" s="323" t="s">
        <v>1635</v>
      </c>
      <c r="B7196" s="323" t="s">
        <v>805</v>
      </c>
      <c r="C7196" s="323">
        <v>85600</v>
      </c>
      <c r="D7196" s="323">
        <v>100</v>
      </c>
      <c r="E7196" s="324">
        <f t="shared" si="112"/>
        <v>24386</v>
      </c>
    </row>
    <row r="7197" spans="1:5" x14ac:dyDescent="0.25">
      <c r="A7197" s="323" t="s">
        <v>2399</v>
      </c>
      <c r="B7197" s="323" t="s">
        <v>805</v>
      </c>
      <c r="C7197" s="323">
        <v>85600</v>
      </c>
      <c r="D7197" s="323">
        <v>137</v>
      </c>
      <c r="E7197" s="324">
        <f t="shared" si="112"/>
        <v>33408.82</v>
      </c>
    </row>
    <row r="7198" spans="1:5" x14ac:dyDescent="0.25">
      <c r="A7198" s="323" t="s">
        <v>2916</v>
      </c>
      <c r="B7198" s="323" t="s">
        <v>805</v>
      </c>
      <c r="C7198" s="323">
        <v>85600</v>
      </c>
      <c r="D7198" s="323">
        <v>190</v>
      </c>
      <c r="E7198" s="324">
        <f t="shared" si="112"/>
        <v>46333.4</v>
      </c>
    </row>
    <row r="7199" spans="1:5" x14ac:dyDescent="0.25">
      <c r="A7199" s="323" t="s">
        <v>3875</v>
      </c>
      <c r="B7199" s="323" t="s">
        <v>805</v>
      </c>
      <c r="C7199" s="323">
        <v>85600</v>
      </c>
      <c r="D7199" s="323">
        <v>205</v>
      </c>
      <c r="E7199" s="324">
        <f t="shared" si="112"/>
        <v>49991.3</v>
      </c>
    </row>
    <row r="7200" spans="1:5" x14ac:dyDescent="0.25">
      <c r="A7200" s="323" t="s">
        <v>4048</v>
      </c>
      <c r="B7200" s="323" t="s">
        <v>805</v>
      </c>
      <c r="C7200" s="323">
        <v>85600</v>
      </c>
      <c r="D7200" s="323">
        <v>189</v>
      </c>
      <c r="E7200" s="324">
        <f t="shared" si="112"/>
        <v>46089.54</v>
      </c>
    </row>
    <row r="7201" spans="1:5" x14ac:dyDescent="0.25">
      <c r="A7201" s="323" t="s">
        <v>4191</v>
      </c>
      <c r="B7201" s="323" t="s">
        <v>805</v>
      </c>
      <c r="C7201" s="323">
        <v>85600</v>
      </c>
      <c r="D7201" s="323">
        <v>194</v>
      </c>
      <c r="E7201" s="324">
        <f t="shared" si="112"/>
        <v>47308.840000000004</v>
      </c>
    </row>
    <row r="7202" spans="1:5" x14ac:dyDescent="0.25">
      <c r="A7202" s="323" t="s">
        <v>4525</v>
      </c>
      <c r="B7202" s="323" t="s">
        <v>805</v>
      </c>
      <c r="C7202" s="323">
        <v>85600</v>
      </c>
      <c r="D7202" s="323">
        <v>138</v>
      </c>
      <c r="E7202" s="324">
        <f t="shared" si="112"/>
        <v>33652.68</v>
      </c>
    </row>
    <row r="7203" spans="1:5" x14ac:dyDescent="0.25">
      <c r="A7203" s="323" t="s">
        <v>1933</v>
      </c>
      <c r="B7203" s="323" t="s">
        <v>809</v>
      </c>
      <c r="C7203" s="323">
        <v>85775</v>
      </c>
      <c r="D7203" s="323">
        <v>46</v>
      </c>
      <c r="E7203" s="324">
        <f t="shared" si="112"/>
        <v>22435.120000000003</v>
      </c>
    </row>
    <row r="7204" spans="1:5" x14ac:dyDescent="0.25">
      <c r="A7204" s="323" t="s">
        <v>1933</v>
      </c>
      <c r="B7204" s="323" t="s">
        <v>803</v>
      </c>
      <c r="C7204" s="323">
        <v>85775</v>
      </c>
      <c r="D7204" s="323">
        <v>73</v>
      </c>
      <c r="E7204" s="324">
        <f t="shared" si="112"/>
        <v>35603.560000000005</v>
      </c>
    </row>
    <row r="7205" spans="1:5" x14ac:dyDescent="0.25">
      <c r="A7205" s="323" t="s">
        <v>2919</v>
      </c>
      <c r="B7205" s="323" t="s">
        <v>805</v>
      </c>
      <c r="C7205" s="323">
        <v>86464</v>
      </c>
      <c r="D7205" s="323">
        <v>64</v>
      </c>
      <c r="E7205" s="324">
        <f t="shared" si="112"/>
        <v>15607.04</v>
      </c>
    </row>
    <row r="7206" spans="1:5" x14ac:dyDescent="0.25">
      <c r="A7206" s="323" t="s">
        <v>2921</v>
      </c>
      <c r="B7206" s="323" t="s">
        <v>805</v>
      </c>
      <c r="C7206" s="323">
        <v>86802</v>
      </c>
      <c r="D7206" s="323">
        <v>120</v>
      </c>
      <c r="E7206" s="324">
        <f t="shared" si="112"/>
        <v>29263.200000000001</v>
      </c>
    </row>
    <row r="7207" spans="1:5" x14ac:dyDescent="0.25">
      <c r="A7207" s="323" t="s">
        <v>1010</v>
      </c>
      <c r="B7207" s="323" t="s">
        <v>816</v>
      </c>
      <c r="C7207" s="323">
        <v>86971</v>
      </c>
      <c r="D7207" s="323">
        <v>96</v>
      </c>
      <c r="E7207" s="324">
        <f t="shared" si="112"/>
        <v>35115.840000000004</v>
      </c>
    </row>
    <row r="7208" spans="1:5" x14ac:dyDescent="0.25">
      <c r="A7208" s="323" t="s">
        <v>1945</v>
      </c>
      <c r="B7208" s="323" t="s">
        <v>809</v>
      </c>
      <c r="C7208" s="323">
        <v>86971</v>
      </c>
      <c r="D7208" s="323">
        <v>121</v>
      </c>
      <c r="E7208" s="324">
        <f t="shared" si="112"/>
        <v>59014.12</v>
      </c>
    </row>
    <row r="7209" spans="1:5" x14ac:dyDescent="0.25">
      <c r="A7209" s="323" t="s">
        <v>1945</v>
      </c>
      <c r="B7209" s="323" t="s">
        <v>803</v>
      </c>
      <c r="C7209" s="323">
        <v>86971</v>
      </c>
      <c r="D7209" s="323">
        <v>65</v>
      </c>
      <c r="E7209" s="324">
        <f t="shared" si="112"/>
        <v>31701.800000000003</v>
      </c>
    </row>
    <row r="7210" spans="1:5" x14ac:dyDescent="0.25">
      <c r="A7210" s="323" t="s">
        <v>2923</v>
      </c>
      <c r="B7210" s="323" t="s">
        <v>805</v>
      </c>
      <c r="C7210" s="323">
        <v>87205</v>
      </c>
      <c r="D7210" s="323">
        <v>174</v>
      </c>
      <c r="E7210" s="324">
        <f t="shared" si="112"/>
        <v>42431.64</v>
      </c>
    </row>
    <row r="7211" spans="1:5" x14ac:dyDescent="0.25">
      <c r="A7211" s="323" t="s">
        <v>2929</v>
      </c>
      <c r="B7211" s="323" t="s">
        <v>805</v>
      </c>
      <c r="C7211" s="323">
        <v>87920</v>
      </c>
      <c r="D7211" s="323">
        <v>87</v>
      </c>
      <c r="E7211" s="324">
        <f t="shared" si="112"/>
        <v>21215.82</v>
      </c>
    </row>
    <row r="7212" spans="1:5" x14ac:dyDescent="0.25">
      <c r="A7212" s="323" t="s">
        <v>3631</v>
      </c>
      <c r="B7212" s="323" t="s">
        <v>805</v>
      </c>
      <c r="C7212" s="323">
        <v>87920</v>
      </c>
      <c r="D7212" s="323">
        <v>377</v>
      </c>
      <c r="E7212" s="324">
        <f t="shared" si="112"/>
        <v>91935.22</v>
      </c>
    </row>
    <row r="7213" spans="1:5" x14ac:dyDescent="0.25">
      <c r="A7213" s="323" t="s">
        <v>3872</v>
      </c>
      <c r="B7213" s="323" t="s">
        <v>805</v>
      </c>
      <c r="C7213" s="323">
        <v>87920</v>
      </c>
      <c r="D7213" s="323">
        <v>171</v>
      </c>
      <c r="E7213" s="324">
        <f t="shared" si="112"/>
        <v>41700.060000000005</v>
      </c>
    </row>
    <row r="7214" spans="1:5" x14ac:dyDescent="0.25">
      <c r="A7214" s="323" t="s">
        <v>2930</v>
      </c>
      <c r="B7214" s="323" t="s">
        <v>805</v>
      </c>
      <c r="C7214" s="323">
        <v>87998</v>
      </c>
      <c r="D7214" s="323">
        <v>167</v>
      </c>
      <c r="E7214" s="324">
        <f t="shared" si="112"/>
        <v>40724.620000000003</v>
      </c>
    </row>
    <row r="7215" spans="1:5" x14ac:dyDescent="0.25">
      <c r="A7215" s="323" t="s">
        <v>2931</v>
      </c>
      <c r="B7215" s="323" t="s">
        <v>805</v>
      </c>
      <c r="C7215" s="323">
        <v>88674</v>
      </c>
      <c r="D7215" s="323">
        <v>151</v>
      </c>
      <c r="E7215" s="324">
        <f t="shared" si="112"/>
        <v>36822.86</v>
      </c>
    </row>
    <row r="7216" spans="1:5" x14ac:dyDescent="0.25">
      <c r="A7216" s="323" t="s">
        <v>1971</v>
      </c>
      <c r="B7216" s="323" t="s">
        <v>805</v>
      </c>
      <c r="C7216" s="323">
        <v>89012</v>
      </c>
      <c r="D7216" s="323">
        <v>147</v>
      </c>
      <c r="E7216" s="324">
        <f t="shared" si="112"/>
        <v>35847.420000000006</v>
      </c>
    </row>
    <row r="7217" spans="1:5" x14ac:dyDescent="0.25">
      <c r="A7217" s="323" t="s">
        <v>2612</v>
      </c>
      <c r="B7217" s="323" t="s">
        <v>805</v>
      </c>
      <c r="C7217" s="323">
        <v>89155</v>
      </c>
      <c r="D7217" s="323">
        <v>72</v>
      </c>
      <c r="E7217" s="324">
        <f t="shared" si="112"/>
        <v>17557.920000000002</v>
      </c>
    </row>
    <row r="7218" spans="1:5" x14ac:dyDescent="0.25">
      <c r="A7218" s="323" t="s">
        <v>2935</v>
      </c>
      <c r="B7218" s="323" t="s">
        <v>805</v>
      </c>
      <c r="C7218" s="323">
        <v>89155</v>
      </c>
      <c r="D7218" s="323">
        <v>210</v>
      </c>
      <c r="E7218" s="324">
        <f t="shared" si="112"/>
        <v>51210.600000000006</v>
      </c>
    </row>
    <row r="7219" spans="1:5" x14ac:dyDescent="0.25">
      <c r="A7219" s="323" t="s">
        <v>3874</v>
      </c>
      <c r="B7219" s="323" t="s">
        <v>805</v>
      </c>
      <c r="C7219" s="323">
        <v>89155</v>
      </c>
      <c r="D7219" s="323">
        <v>377</v>
      </c>
      <c r="E7219" s="324">
        <f t="shared" si="112"/>
        <v>91935.22</v>
      </c>
    </row>
    <row r="7220" spans="1:5" x14ac:dyDescent="0.25">
      <c r="A7220" s="323" t="s">
        <v>4190</v>
      </c>
      <c r="B7220" s="323" t="s">
        <v>805</v>
      </c>
      <c r="C7220" s="323">
        <v>89155</v>
      </c>
      <c r="D7220" s="323">
        <v>231</v>
      </c>
      <c r="E7220" s="324">
        <f t="shared" si="112"/>
        <v>56331.66</v>
      </c>
    </row>
    <row r="7221" spans="1:5" x14ac:dyDescent="0.25">
      <c r="A7221" s="323" t="s">
        <v>6989</v>
      </c>
      <c r="B7221" s="323" t="s">
        <v>805</v>
      </c>
      <c r="C7221" s="323">
        <v>89155</v>
      </c>
      <c r="D7221" s="323">
        <v>547</v>
      </c>
      <c r="E7221" s="324">
        <f t="shared" si="112"/>
        <v>133391.42000000001</v>
      </c>
    </row>
    <row r="7222" spans="1:5" x14ac:dyDescent="0.25">
      <c r="A7222" s="323" t="s">
        <v>5231</v>
      </c>
      <c r="B7222" s="323" t="s">
        <v>805</v>
      </c>
      <c r="C7222" s="323">
        <v>89532</v>
      </c>
      <c r="D7222" s="323">
        <v>227</v>
      </c>
      <c r="E7222" s="324">
        <f t="shared" si="112"/>
        <v>55356.22</v>
      </c>
    </row>
    <row r="7223" spans="1:5" x14ac:dyDescent="0.25">
      <c r="A7223" s="323" t="s">
        <v>1977</v>
      </c>
      <c r="B7223" s="323" t="s">
        <v>805</v>
      </c>
      <c r="C7223" s="323">
        <v>89571</v>
      </c>
      <c r="D7223" s="323">
        <v>132</v>
      </c>
      <c r="E7223" s="324">
        <f t="shared" si="112"/>
        <v>32189.52</v>
      </c>
    </row>
    <row r="7224" spans="1:5" x14ac:dyDescent="0.25">
      <c r="A7224" s="323" t="s">
        <v>1989</v>
      </c>
      <c r="B7224" s="323" t="s">
        <v>805</v>
      </c>
      <c r="C7224" s="323">
        <v>90169</v>
      </c>
      <c r="D7224" s="323">
        <v>238</v>
      </c>
      <c r="E7224" s="324">
        <f t="shared" si="112"/>
        <v>58038.68</v>
      </c>
    </row>
    <row r="7225" spans="1:5" x14ac:dyDescent="0.25">
      <c r="A7225" s="323" t="s">
        <v>3354</v>
      </c>
      <c r="B7225" s="323" t="s">
        <v>805</v>
      </c>
      <c r="C7225" s="323">
        <v>90169</v>
      </c>
      <c r="D7225" s="323">
        <v>200</v>
      </c>
      <c r="E7225" s="324">
        <f t="shared" si="112"/>
        <v>48772</v>
      </c>
    </row>
    <row r="7226" spans="1:5" x14ac:dyDescent="0.25">
      <c r="A7226" s="323" t="s">
        <v>3638</v>
      </c>
      <c r="B7226" s="323" t="s">
        <v>805</v>
      </c>
      <c r="C7226" s="323">
        <v>90169</v>
      </c>
      <c r="D7226" s="323">
        <v>78</v>
      </c>
      <c r="E7226" s="324">
        <f t="shared" si="112"/>
        <v>19021.080000000002</v>
      </c>
    </row>
    <row r="7227" spans="1:5" x14ac:dyDescent="0.25">
      <c r="A7227" s="323" t="s">
        <v>1993</v>
      </c>
      <c r="B7227" s="323" t="s">
        <v>805</v>
      </c>
      <c r="C7227" s="323">
        <v>90351</v>
      </c>
      <c r="D7227" s="323">
        <v>62</v>
      </c>
      <c r="E7227" s="324">
        <f t="shared" si="112"/>
        <v>15119.320000000002</v>
      </c>
    </row>
    <row r="7228" spans="1:5" x14ac:dyDescent="0.25">
      <c r="A7228" s="323" t="s">
        <v>2944</v>
      </c>
      <c r="B7228" s="323" t="s">
        <v>805</v>
      </c>
      <c r="C7228" s="323">
        <v>90637</v>
      </c>
      <c r="D7228" s="323">
        <v>261</v>
      </c>
      <c r="E7228" s="324">
        <f t="shared" si="112"/>
        <v>63647.460000000006</v>
      </c>
    </row>
    <row r="7229" spans="1:5" x14ac:dyDescent="0.25">
      <c r="A7229" s="323" t="s">
        <v>2001</v>
      </c>
      <c r="B7229" s="323" t="s">
        <v>805</v>
      </c>
      <c r="C7229" s="323">
        <v>91079</v>
      </c>
      <c r="D7229" s="323">
        <v>88</v>
      </c>
      <c r="E7229" s="324">
        <f t="shared" si="112"/>
        <v>21459.68</v>
      </c>
    </row>
    <row r="7230" spans="1:5" x14ac:dyDescent="0.25">
      <c r="A7230" s="323" t="s">
        <v>2002</v>
      </c>
      <c r="B7230" s="323" t="s">
        <v>805</v>
      </c>
      <c r="C7230" s="323">
        <v>91118</v>
      </c>
      <c r="D7230" s="323">
        <v>544</v>
      </c>
      <c r="E7230" s="324">
        <f t="shared" si="112"/>
        <v>132659.84</v>
      </c>
    </row>
    <row r="7231" spans="1:5" x14ac:dyDescent="0.25">
      <c r="A7231" s="323" t="s">
        <v>2947</v>
      </c>
      <c r="B7231" s="323" t="s">
        <v>805</v>
      </c>
      <c r="C7231" s="323">
        <v>91456</v>
      </c>
      <c r="D7231" s="323">
        <v>155</v>
      </c>
      <c r="E7231" s="324">
        <f t="shared" si="112"/>
        <v>37798.300000000003</v>
      </c>
    </row>
    <row r="7232" spans="1:5" x14ac:dyDescent="0.25">
      <c r="A7232" s="323" t="s">
        <v>2954</v>
      </c>
      <c r="B7232" s="323" t="s">
        <v>805</v>
      </c>
      <c r="C7232" s="323">
        <v>92067</v>
      </c>
      <c r="D7232" s="323">
        <v>522</v>
      </c>
      <c r="E7232" s="324">
        <f t="shared" si="112"/>
        <v>127294.92000000001</v>
      </c>
    </row>
    <row r="7233" spans="1:5" x14ac:dyDescent="0.25">
      <c r="A7233" s="323" t="s">
        <v>2014</v>
      </c>
      <c r="B7233" s="323" t="s">
        <v>805</v>
      </c>
      <c r="C7233" s="323">
        <v>92210</v>
      </c>
      <c r="D7233" s="323">
        <v>124</v>
      </c>
      <c r="E7233" s="324">
        <f t="shared" si="112"/>
        <v>30238.640000000003</v>
      </c>
    </row>
    <row r="7234" spans="1:5" x14ac:dyDescent="0.25">
      <c r="A7234" s="323" t="s">
        <v>2017</v>
      </c>
      <c r="B7234" s="323" t="s">
        <v>805</v>
      </c>
      <c r="C7234" s="323">
        <v>92626</v>
      </c>
      <c r="D7234" s="323">
        <v>82</v>
      </c>
      <c r="E7234" s="324">
        <f t="shared" ref="E7234:E7297" si="113">D7234*IF(B7234=$G$9,WerkdrukbedragPerLeerlingBo,IF(B7234=$G$10,WerkdrukbedragPerLeerlingSbo,IF(B7234=$G$11,WerkdrukbedragPerLeerlingSo,IF(B7234=$G$12,WerkdrukbedragPerLeerlingVso,0))))</f>
        <v>19996.52</v>
      </c>
    </row>
    <row r="7235" spans="1:5" x14ac:dyDescent="0.25">
      <c r="A7235" s="323" t="s">
        <v>2957</v>
      </c>
      <c r="B7235" s="323" t="s">
        <v>805</v>
      </c>
      <c r="C7235" s="323">
        <v>92626</v>
      </c>
      <c r="D7235" s="323">
        <v>186</v>
      </c>
      <c r="E7235" s="324">
        <f t="shared" si="113"/>
        <v>45357.96</v>
      </c>
    </row>
    <row r="7236" spans="1:5" x14ac:dyDescent="0.25">
      <c r="A7236" s="323" t="s">
        <v>2018</v>
      </c>
      <c r="B7236" s="323" t="s">
        <v>805</v>
      </c>
      <c r="C7236" s="323">
        <v>92639</v>
      </c>
      <c r="D7236" s="323">
        <v>117</v>
      </c>
      <c r="E7236" s="324">
        <f t="shared" si="113"/>
        <v>28531.620000000003</v>
      </c>
    </row>
    <row r="7237" spans="1:5" x14ac:dyDescent="0.25">
      <c r="A7237" s="323" t="s">
        <v>1563</v>
      </c>
      <c r="B7237" s="323" t="s">
        <v>805</v>
      </c>
      <c r="C7237" s="323">
        <v>92899</v>
      </c>
      <c r="D7237" s="323">
        <v>56</v>
      </c>
      <c r="E7237" s="324">
        <f t="shared" si="113"/>
        <v>13656.16</v>
      </c>
    </row>
    <row r="7238" spans="1:5" x14ac:dyDescent="0.25">
      <c r="A7238" s="323" t="s">
        <v>2022</v>
      </c>
      <c r="B7238" s="323" t="s">
        <v>805</v>
      </c>
      <c r="C7238" s="323">
        <v>92899</v>
      </c>
      <c r="D7238" s="323">
        <v>94</v>
      </c>
      <c r="E7238" s="324">
        <f t="shared" si="113"/>
        <v>22922.84</v>
      </c>
    </row>
    <row r="7239" spans="1:5" x14ac:dyDescent="0.25">
      <c r="A7239" s="323" t="s">
        <v>1634</v>
      </c>
      <c r="B7239" s="323" t="s">
        <v>805</v>
      </c>
      <c r="C7239" s="323">
        <v>92951</v>
      </c>
      <c r="D7239" s="323">
        <v>70</v>
      </c>
      <c r="E7239" s="324">
        <f t="shared" si="113"/>
        <v>17070.2</v>
      </c>
    </row>
    <row r="7240" spans="1:5" x14ac:dyDescent="0.25">
      <c r="A7240" s="323" t="s">
        <v>2033</v>
      </c>
      <c r="B7240" s="323" t="s">
        <v>805</v>
      </c>
      <c r="C7240" s="323">
        <v>92951</v>
      </c>
      <c r="D7240" s="323">
        <v>61</v>
      </c>
      <c r="E7240" s="324">
        <f t="shared" si="113"/>
        <v>14875.460000000001</v>
      </c>
    </row>
    <row r="7241" spans="1:5" x14ac:dyDescent="0.25">
      <c r="A7241" s="323" t="s">
        <v>2676</v>
      </c>
      <c r="B7241" s="323" t="s">
        <v>805</v>
      </c>
      <c r="C7241" s="323">
        <v>92951</v>
      </c>
      <c r="D7241" s="323">
        <v>154</v>
      </c>
      <c r="E7241" s="324">
        <f t="shared" si="113"/>
        <v>37554.44</v>
      </c>
    </row>
    <row r="7242" spans="1:5" x14ac:dyDescent="0.25">
      <c r="A7242" s="323" t="s">
        <v>3639</v>
      </c>
      <c r="B7242" s="323" t="s">
        <v>805</v>
      </c>
      <c r="C7242" s="323">
        <v>92951</v>
      </c>
      <c r="D7242" s="323">
        <v>271</v>
      </c>
      <c r="E7242" s="324">
        <f t="shared" si="113"/>
        <v>66086.06</v>
      </c>
    </row>
    <row r="7243" spans="1:5" x14ac:dyDescent="0.25">
      <c r="A7243" s="323" t="s">
        <v>3879</v>
      </c>
      <c r="B7243" s="323" t="s">
        <v>805</v>
      </c>
      <c r="C7243" s="323">
        <v>92951</v>
      </c>
      <c r="D7243" s="323">
        <v>92</v>
      </c>
      <c r="E7243" s="324">
        <f t="shared" si="113"/>
        <v>22435.120000000003</v>
      </c>
    </row>
    <row r="7244" spans="1:5" x14ac:dyDescent="0.25">
      <c r="A7244" s="323" t="s">
        <v>4050</v>
      </c>
      <c r="B7244" s="323" t="s">
        <v>805</v>
      </c>
      <c r="C7244" s="323">
        <v>92951</v>
      </c>
      <c r="D7244" s="323">
        <v>191</v>
      </c>
      <c r="E7244" s="324">
        <f t="shared" si="113"/>
        <v>46577.26</v>
      </c>
    </row>
    <row r="7245" spans="1:5" x14ac:dyDescent="0.25">
      <c r="A7245" s="323" t="s">
        <v>2032</v>
      </c>
      <c r="B7245" s="323" t="s">
        <v>805</v>
      </c>
      <c r="C7245" s="323">
        <v>93445</v>
      </c>
      <c r="D7245" s="323">
        <v>138</v>
      </c>
      <c r="E7245" s="324">
        <f t="shared" si="113"/>
        <v>33652.68</v>
      </c>
    </row>
    <row r="7246" spans="1:5" x14ac:dyDescent="0.25">
      <c r="A7246" s="323" t="s">
        <v>2969</v>
      </c>
      <c r="B7246" s="323" t="s">
        <v>805</v>
      </c>
      <c r="C7246" s="323">
        <v>94251</v>
      </c>
      <c r="D7246" s="323">
        <v>382</v>
      </c>
      <c r="E7246" s="324">
        <f t="shared" si="113"/>
        <v>93154.52</v>
      </c>
    </row>
    <row r="7247" spans="1:5" x14ac:dyDescent="0.25">
      <c r="A7247" s="323" t="s">
        <v>5236</v>
      </c>
      <c r="B7247" s="323" t="s">
        <v>805</v>
      </c>
      <c r="C7247" s="323">
        <v>94316</v>
      </c>
      <c r="D7247" s="323">
        <v>153</v>
      </c>
      <c r="E7247" s="324">
        <f t="shared" si="113"/>
        <v>37310.58</v>
      </c>
    </row>
    <row r="7248" spans="1:5" x14ac:dyDescent="0.25">
      <c r="A7248" s="323" t="s">
        <v>2378</v>
      </c>
      <c r="B7248" s="323" t="s">
        <v>805</v>
      </c>
      <c r="C7248" s="323">
        <v>94433</v>
      </c>
      <c r="D7248" s="323">
        <v>233</v>
      </c>
      <c r="E7248" s="324">
        <f t="shared" si="113"/>
        <v>56819.380000000005</v>
      </c>
    </row>
    <row r="7249" spans="1:5" x14ac:dyDescent="0.25">
      <c r="A7249" s="323" t="s">
        <v>2971</v>
      </c>
      <c r="B7249" s="323" t="s">
        <v>805</v>
      </c>
      <c r="C7249" s="323">
        <v>94433</v>
      </c>
      <c r="D7249" s="323">
        <v>460</v>
      </c>
      <c r="E7249" s="324">
        <f t="shared" si="113"/>
        <v>112175.6</v>
      </c>
    </row>
    <row r="7250" spans="1:5" x14ac:dyDescent="0.25">
      <c r="A7250" s="323" t="s">
        <v>3361</v>
      </c>
      <c r="B7250" s="323" t="s">
        <v>805</v>
      </c>
      <c r="C7250" s="323">
        <v>94433</v>
      </c>
      <c r="D7250" s="323">
        <v>443</v>
      </c>
      <c r="E7250" s="324">
        <f t="shared" si="113"/>
        <v>108029.98000000001</v>
      </c>
    </row>
    <row r="7251" spans="1:5" x14ac:dyDescent="0.25">
      <c r="A7251" s="323" t="s">
        <v>2041</v>
      </c>
      <c r="B7251" s="323" t="s">
        <v>805</v>
      </c>
      <c r="C7251" s="323">
        <v>94459</v>
      </c>
      <c r="D7251" s="323">
        <v>246</v>
      </c>
      <c r="E7251" s="324">
        <f t="shared" si="113"/>
        <v>59989.560000000005</v>
      </c>
    </row>
    <row r="7252" spans="1:5" x14ac:dyDescent="0.25">
      <c r="A7252" s="323" t="s">
        <v>2973</v>
      </c>
      <c r="B7252" s="323" t="s">
        <v>805</v>
      </c>
      <c r="C7252" s="323">
        <v>94771</v>
      </c>
      <c r="D7252" s="323">
        <v>271</v>
      </c>
      <c r="E7252" s="324">
        <f t="shared" si="113"/>
        <v>66086.06</v>
      </c>
    </row>
    <row r="7253" spans="1:5" x14ac:dyDescent="0.25">
      <c r="A7253" s="323" t="s">
        <v>2974</v>
      </c>
      <c r="B7253" s="323" t="s">
        <v>805</v>
      </c>
      <c r="C7253" s="323">
        <v>94797</v>
      </c>
      <c r="D7253" s="323">
        <v>234</v>
      </c>
      <c r="E7253" s="324">
        <f t="shared" si="113"/>
        <v>57063.240000000005</v>
      </c>
    </row>
    <row r="7254" spans="1:5" x14ac:dyDescent="0.25">
      <c r="A7254" s="323" t="s">
        <v>2975</v>
      </c>
      <c r="B7254" s="323" t="s">
        <v>805</v>
      </c>
      <c r="C7254" s="323">
        <v>95135</v>
      </c>
      <c r="D7254" s="323">
        <v>396</v>
      </c>
      <c r="E7254" s="324">
        <f t="shared" si="113"/>
        <v>96568.560000000012</v>
      </c>
    </row>
    <row r="7255" spans="1:5" x14ac:dyDescent="0.25">
      <c r="A7255" s="323" t="s">
        <v>2042</v>
      </c>
      <c r="B7255" s="323" t="s">
        <v>805</v>
      </c>
      <c r="C7255" s="323">
        <v>95148</v>
      </c>
      <c r="D7255" s="323">
        <v>502</v>
      </c>
      <c r="E7255" s="324">
        <f t="shared" si="113"/>
        <v>122417.72</v>
      </c>
    </row>
    <row r="7256" spans="1:5" x14ac:dyDescent="0.25">
      <c r="A7256" s="323" t="s">
        <v>6758</v>
      </c>
      <c r="B7256" s="323" t="s">
        <v>805</v>
      </c>
      <c r="C7256" s="323">
        <v>95148</v>
      </c>
      <c r="D7256" s="323">
        <v>134</v>
      </c>
      <c r="E7256" s="324">
        <f t="shared" si="113"/>
        <v>32677.24</v>
      </c>
    </row>
    <row r="7257" spans="1:5" x14ac:dyDescent="0.25">
      <c r="A7257" s="323" t="s">
        <v>7437</v>
      </c>
      <c r="B7257" s="323" t="s">
        <v>805</v>
      </c>
      <c r="C7257" s="323">
        <v>95148</v>
      </c>
      <c r="D7257" s="323">
        <v>250</v>
      </c>
      <c r="E7257" s="324">
        <f t="shared" si="113"/>
        <v>60965</v>
      </c>
    </row>
    <row r="7258" spans="1:5" x14ac:dyDescent="0.25">
      <c r="A7258" s="323" t="s">
        <v>2043</v>
      </c>
      <c r="B7258" s="323" t="s">
        <v>805</v>
      </c>
      <c r="C7258" s="323">
        <v>95395</v>
      </c>
      <c r="D7258" s="323">
        <v>94</v>
      </c>
      <c r="E7258" s="324">
        <f t="shared" si="113"/>
        <v>22922.84</v>
      </c>
    </row>
    <row r="7259" spans="1:5" x14ac:dyDescent="0.25">
      <c r="A7259" s="323" t="s">
        <v>2044</v>
      </c>
      <c r="B7259" s="323" t="s">
        <v>805</v>
      </c>
      <c r="C7259" s="323">
        <v>95421</v>
      </c>
      <c r="D7259" s="323">
        <v>216</v>
      </c>
      <c r="E7259" s="324">
        <f t="shared" si="113"/>
        <v>52673.760000000002</v>
      </c>
    </row>
    <row r="7260" spans="1:5" x14ac:dyDescent="0.25">
      <c r="A7260" s="323" t="s">
        <v>2045</v>
      </c>
      <c r="B7260" s="323" t="s">
        <v>805</v>
      </c>
      <c r="C7260" s="323">
        <v>95655</v>
      </c>
      <c r="D7260" s="323">
        <v>381</v>
      </c>
      <c r="E7260" s="324">
        <f t="shared" si="113"/>
        <v>92910.66</v>
      </c>
    </row>
    <row r="7261" spans="1:5" x14ac:dyDescent="0.25">
      <c r="A7261" s="323" t="s">
        <v>2046</v>
      </c>
      <c r="B7261" s="323" t="s">
        <v>805</v>
      </c>
      <c r="C7261" s="323">
        <v>95681</v>
      </c>
      <c r="D7261" s="323">
        <v>441</v>
      </c>
      <c r="E7261" s="324">
        <f t="shared" si="113"/>
        <v>107542.26000000001</v>
      </c>
    </row>
    <row r="7262" spans="1:5" x14ac:dyDescent="0.25">
      <c r="A7262" s="323" t="s">
        <v>898</v>
      </c>
      <c r="B7262" s="323" t="s">
        <v>816</v>
      </c>
      <c r="C7262" s="323">
        <v>95694</v>
      </c>
      <c r="D7262" s="323">
        <v>96</v>
      </c>
      <c r="E7262" s="324">
        <f t="shared" si="113"/>
        <v>35115.840000000004</v>
      </c>
    </row>
    <row r="7263" spans="1:5" x14ac:dyDescent="0.25">
      <c r="A7263" s="323" t="s">
        <v>2047</v>
      </c>
      <c r="B7263" s="323" t="s">
        <v>805</v>
      </c>
      <c r="C7263" s="323">
        <v>95694</v>
      </c>
      <c r="D7263" s="323">
        <v>858</v>
      </c>
      <c r="E7263" s="324">
        <f t="shared" si="113"/>
        <v>209231.88</v>
      </c>
    </row>
    <row r="7264" spans="1:5" x14ac:dyDescent="0.25">
      <c r="A7264" s="323" t="s">
        <v>4989</v>
      </c>
      <c r="B7264" s="323" t="s">
        <v>805</v>
      </c>
      <c r="C7264" s="323">
        <v>95694</v>
      </c>
      <c r="D7264" s="323">
        <v>252</v>
      </c>
      <c r="E7264" s="324">
        <f t="shared" si="113"/>
        <v>61452.72</v>
      </c>
    </row>
    <row r="7265" spans="1:5" x14ac:dyDescent="0.25">
      <c r="A7265" s="323" t="s">
        <v>2049</v>
      </c>
      <c r="B7265" s="323" t="s">
        <v>805</v>
      </c>
      <c r="C7265" s="323">
        <v>95746</v>
      </c>
      <c r="D7265" s="323">
        <v>302</v>
      </c>
      <c r="E7265" s="324">
        <f t="shared" si="113"/>
        <v>73645.72</v>
      </c>
    </row>
    <row r="7266" spans="1:5" x14ac:dyDescent="0.25">
      <c r="A7266" s="323" t="s">
        <v>2050</v>
      </c>
      <c r="B7266" s="323" t="s">
        <v>805</v>
      </c>
      <c r="C7266" s="323">
        <v>95785</v>
      </c>
      <c r="D7266" s="323">
        <v>440</v>
      </c>
      <c r="E7266" s="324">
        <f t="shared" si="113"/>
        <v>107298.40000000001</v>
      </c>
    </row>
    <row r="7267" spans="1:5" x14ac:dyDescent="0.25">
      <c r="A7267" s="323" t="s">
        <v>1017</v>
      </c>
      <c r="B7267" s="323" t="s">
        <v>803</v>
      </c>
      <c r="C7267" s="323">
        <v>95863</v>
      </c>
      <c r="D7267" s="323">
        <v>30</v>
      </c>
      <c r="E7267" s="324">
        <f t="shared" si="113"/>
        <v>14631.6</v>
      </c>
    </row>
    <row r="7268" spans="1:5" x14ac:dyDescent="0.25">
      <c r="A7268" s="323" t="s">
        <v>1017</v>
      </c>
      <c r="B7268" s="323" t="s">
        <v>803</v>
      </c>
      <c r="C7268" s="323">
        <v>95863</v>
      </c>
      <c r="D7268" s="323">
        <v>22</v>
      </c>
      <c r="E7268" s="324">
        <f t="shared" si="113"/>
        <v>10729.84</v>
      </c>
    </row>
    <row r="7269" spans="1:5" x14ac:dyDescent="0.25">
      <c r="A7269" s="323" t="s">
        <v>1017</v>
      </c>
      <c r="B7269" s="323" t="s">
        <v>803</v>
      </c>
      <c r="C7269" s="323">
        <v>95863</v>
      </c>
      <c r="D7269" s="323">
        <v>21</v>
      </c>
      <c r="E7269" s="324">
        <f t="shared" si="113"/>
        <v>10242.120000000001</v>
      </c>
    </row>
    <row r="7270" spans="1:5" x14ac:dyDescent="0.25">
      <c r="A7270" s="323" t="s">
        <v>1017</v>
      </c>
      <c r="B7270" s="323" t="s">
        <v>803</v>
      </c>
      <c r="C7270" s="323">
        <v>95863</v>
      </c>
      <c r="D7270" s="323">
        <v>54</v>
      </c>
      <c r="E7270" s="324">
        <f t="shared" si="113"/>
        <v>26336.880000000001</v>
      </c>
    </row>
    <row r="7271" spans="1:5" x14ac:dyDescent="0.25">
      <c r="A7271" s="323" t="s">
        <v>1017</v>
      </c>
      <c r="B7271" s="323" t="s">
        <v>803</v>
      </c>
      <c r="C7271" s="323">
        <v>95863</v>
      </c>
      <c r="D7271" s="323">
        <v>22</v>
      </c>
      <c r="E7271" s="324">
        <f t="shared" si="113"/>
        <v>10729.84</v>
      </c>
    </row>
    <row r="7272" spans="1:5" x14ac:dyDescent="0.25">
      <c r="A7272" s="323" t="s">
        <v>2051</v>
      </c>
      <c r="B7272" s="323" t="s">
        <v>805</v>
      </c>
      <c r="C7272" s="323">
        <v>95954</v>
      </c>
      <c r="D7272" s="323">
        <v>300</v>
      </c>
      <c r="E7272" s="324">
        <f t="shared" si="113"/>
        <v>73158</v>
      </c>
    </row>
    <row r="7273" spans="1:5" x14ac:dyDescent="0.25">
      <c r="A7273" s="323" t="s">
        <v>1019</v>
      </c>
      <c r="B7273" s="323" t="s">
        <v>809</v>
      </c>
      <c r="C7273" s="323">
        <v>96240</v>
      </c>
      <c r="D7273" s="323">
        <v>166</v>
      </c>
      <c r="E7273" s="324">
        <f t="shared" si="113"/>
        <v>80961.52</v>
      </c>
    </row>
    <row r="7274" spans="1:5" x14ac:dyDescent="0.25">
      <c r="A7274" s="323" t="s">
        <v>1019</v>
      </c>
      <c r="B7274" s="323" t="s">
        <v>803</v>
      </c>
      <c r="C7274" s="323">
        <v>96240</v>
      </c>
      <c r="D7274" s="323">
        <v>149</v>
      </c>
      <c r="E7274" s="324">
        <f t="shared" si="113"/>
        <v>72670.28</v>
      </c>
    </row>
    <row r="7275" spans="1:5" x14ac:dyDescent="0.25">
      <c r="A7275" s="323" t="s">
        <v>1019</v>
      </c>
      <c r="B7275" s="323" t="s">
        <v>803</v>
      </c>
      <c r="C7275" s="323">
        <v>96240</v>
      </c>
      <c r="D7275" s="323">
        <v>17</v>
      </c>
      <c r="E7275" s="324">
        <f t="shared" si="113"/>
        <v>8291.24</v>
      </c>
    </row>
    <row r="7276" spans="1:5" x14ac:dyDescent="0.25">
      <c r="A7276" s="323" t="s">
        <v>1019</v>
      </c>
      <c r="B7276" s="323" t="s">
        <v>803</v>
      </c>
      <c r="C7276" s="323">
        <v>96240</v>
      </c>
      <c r="D7276" s="323">
        <v>176</v>
      </c>
      <c r="E7276" s="324">
        <f t="shared" si="113"/>
        <v>85838.720000000001</v>
      </c>
    </row>
    <row r="7277" spans="1:5" x14ac:dyDescent="0.25">
      <c r="A7277" s="323" t="s">
        <v>1019</v>
      </c>
      <c r="B7277" s="323" t="s">
        <v>803</v>
      </c>
      <c r="C7277" s="323">
        <v>96240</v>
      </c>
      <c r="D7277" s="323">
        <v>87</v>
      </c>
      <c r="E7277" s="324">
        <f t="shared" si="113"/>
        <v>42431.64</v>
      </c>
    </row>
    <row r="7278" spans="1:5" x14ac:dyDescent="0.25">
      <c r="A7278" s="323" t="s">
        <v>1019</v>
      </c>
      <c r="B7278" s="323" t="s">
        <v>803</v>
      </c>
      <c r="C7278" s="323">
        <v>96240</v>
      </c>
      <c r="D7278" s="323">
        <v>173</v>
      </c>
      <c r="E7278" s="324">
        <f t="shared" si="113"/>
        <v>84375.56</v>
      </c>
    </row>
    <row r="7279" spans="1:5" x14ac:dyDescent="0.25">
      <c r="A7279" s="323" t="s">
        <v>2052</v>
      </c>
      <c r="B7279" s="323" t="s">
        <v>805</v>
      </c>
      <c r="C7279" s="323">
        <v>96266</v>
      </c>
      <c r="D7279" s="323">
        <v>240</v>
      </c>
      <c r="E7279" s="324">
        <f t="shared" si="113"/>
        <v>58526.400000000001</v>
      </c>
    </row>
    <row r="7280" spans="1:5" x14ac:dyDescent="0.25">
      <c r="A7280" s="323" t="s">
        <v>2054</v>
      </c>
      <c r="B7280" s="323" t="s">
        <v>805</v>
      </c>
      <c r="C7280" s="323">
        <v>96292</v>
      </c>
      <c r="D7280" s="323">
        <v>235</v>
      </c>
      <c r="E7280" s="324">
        <f t="shared" si="113"/>
        <v>57307.100000000006</v>
      </c>
    </row>
    <row r="7281" spans="1:5" x14ac:dyDescent="0.25">
      <c r="A7281" s="323" t="s">
        <v>2055</v>
      </c>
      <c r="B7281" s="323" t="s">
        <v>805</v>
      </c>
      <c r="C7281" s="323">
        <v>96409</v>
      </c>
      <c r="D7281" s="323">
        <v>246</v>
      </c>
      <c r="E7281" s="324">
        <f t="shared" si="113"/>
        <v>59989.560000000005</v>
      </c>
    </row>
    <row r="7282" spans="1:5" x14ac:dyDescent="0.25">
      <c r="A7282" s="323" t="s">
        <v>2978</v>
      </c>
      <c r="B7282" s="323" t="s">
        <v>805</v>
      </c>
      <c r="C7282" s="323">
        <v>96617</v>
      </c>
      <c r="D7282" s="323">
        <v>285</v>
      </c>
      <c r="E7282" s="324">
        <f t="shared" si="113"/>
        <v>69500.100000000006</v>
      </c>
    </row>
    <row r="7283" spans="1:5" x14ac:dyDescent="0.25">
      <c r="A7283" s="323" t="s">
        <v>2057</v>
      </c>
      <c r="B7283" s="323" t="s">
        <v>805</v>
      </c>
      <c r="C7283" s="323">
        <v>96864</v>
      </c>
      <c r="D7283" s="323">
        <v>78</v>
      </c>
      <c r="E7283" s="324">
        <f t="shared" si="113"/>
        <v>19021.080000000002</v>
      </c>
    </row>
    <row r="7284" spans="1:5" x14ac:dyDescent="0.25">
      <c r="A7284" s="323" t="s">
        <v>2058</v>
      </c>
      <c r="B7284" s="323" t="s">
        <v>805</v>
      </c>
      <c r="C7284" s="323">
        <v>97137</v>
      </c>
      <c r="D7284" s="323">
        <v>220</v>
      </c>
      <c r="E7284" s="324">
        <f t="shared" si="113"/>
        <v>53649.200000000004</v>
      </c>
    </row>
    <row r="7285" spans="1:5" x14ac:dyDescent="0.25">
      <c r="A7285" s="323" t="s">
        <v>2980</v>
      </c>
      <c r="B7285" s="323" t="s">
        <v>805</v>
      </c>
      <c r="C7285" s="323">
        <v>97176</v>
      </c>
      <c r="D7285" s="323">
        <v>238</v>
      </c>
      <c r="E7285" s="324">
        <f t="shared" si="113"/>
        <v>58038.68</v>
      </c>
    </row>
    <row r="7286" spans="1:5" x14ac:dyDescent="0.25">
      <c r="A7286" s="323" t="s">
        <v>2982</v>
      </c>
      <c r="B7286" s="323" t="s">
        <v>805</v>
      </c>
      <c r="C7286" s="323">
        <v>97358</v>
      </c>
      <c r="D7286" s="323">
        <v>236</v>
      </c>
      <c r="E7286" s="324">
        <f t="shared" si="113"/>
        <v>57550.960000000006</v>
      </c>
    </row>
    <row r="7287" spans="1:5" x14ac:dyDescent="0.25">
      <c r="A7287" s="323" t="s">
        <v>3365</v>
      </c>
      <c r="B7287" s="323" t="s">
        <v>805</v>
      </c>
      <c r="C7287" s="323">
        <v>97358</v>
      </c>
      <c r="D7287" s="323">
        <v>227</v>
      </c>
      <c r="E7287" s="324">
        <f t="shared" si="113"/>
        <v>55356.22</v>
      </c>
    </row>
    <row r="7288" spans="1:5" x14ac:dyDescent="0.25">
      <c r="A7288" s="323" t="s">
        <v>6982</v>
      </c>
      <c r="B7288" s="323" t="s">
        <v>805</v>
      </c>
      <c r="C7288" s="323">
        <v>97358</v>
      </c>
      <c r="D7288" s="323">
        <v>216</v>
      </c>
      <c r="E7288" s="324">
        <f t="shared" si="113"/>
        <v>52673.760000000002</v>
      </c>
    </row>
    <row r="7289" spans="1:5" x14ac:dyDescent="0.25">
      <c r="A7289" s="323" t="s">
        <v>2984</v>
      </c>
      <c r="B7289" s="323" t="s">
        <v>805</v>
      </c>
      <c r="C7289" s="323">
        <v>97917</v>
      </c>
      <c r="D7289" s="323">
        <v>590</v>
      </c>
      <c r="E7289" s="324">
        <f t="shared" si="113"/>
        <v>143877.4</v>
      </c>
    </row>
    <row r="7290" spans="1:5" x14ac:dyDescent="0.25">
      <c r="A7290" s="323" t="s">
        <v>7213</v>
      </c>
      <c r="B7290" s="323" t="s">
        <v>805</v>
      </c>
      <c r="C7290" s="323">
        <v>97917</v>
      </c>
      <c r="D7290" s="323">
        <v>395</v>
      </c>
      <c r="E7290" s="324">
        <f t="shared" si="113"/>
        <v>96324.700000000012</v>
      </c>
    </row>
    <row r="7291" spans="1:5" x14ac:dyDescent="0.25">
      <c r="A7291" s="323" t="s">
        <v>2985</v>
      </c>
      <c r="B7291" s="323" t="s">
        <v>805</v>
      </c>
      <c r="C7291" s="323">
        <v>98190</v>
      </c>
      <c r="D7291" s="323">
        <v>238</v>
      </c>
      <c r="E7291" s="324">
        <f t="shared" si="113"/>
        <v>58038.68</v>
      </c>
    </row>
    <row r="7292" spans="1:5" x14ac:dyDescent="0.25">
      <c r="A7292" s="323" t="s">
        <v>1023</v>
      </c>
      <c r="B7292" s="323" t="s">
        <v>803</v>
      </c>
      <c r="C7292" s="323">
        <v>98229</v>
      </c>
      <c r="D7292" s="323">
        <v>82</v>
      </c>
      <c r="E7292" s="324">
        <f t="shared" si="113"/>
        <v>39993.040000000001</v>
      </c>
    </row>
    <row r="7293" spans="1:5" x14ac:dyDescent="0.25">
      <c r="A7293" s="323" t="s">
        <v>2061</v>
      </c>
      <c r="B7293" s="323" t="s">
        <v>805</v>
      </c>
      <c r="C7293" s="323">
        <v>98255</v>
      </c>
      <c r="D7293" s="323">
        <v>144</v>
      </c>
      <c r="E7293" s="324">
        <f t="shared" si="113"/>
        <v>35115.840000000004</v>
      </c>
    </row>
    <row r="7294" spans="1:5" x14ac:dyDescent="0.25">
      <c r="A7294" s="323" t="s">
        <v>2062</v>
      </c>
      <c r="B7294" s="323" t="s">
        <v>805</v>
      </c>
      <c r="C7294" s="323">
        <v>98398</v>
      </c>
      <c r="D7294" s="323">
        <v>113</v>
      </c>
      <c r="E7294" s="324">
        <f t="shared" si="113"/>
        <v>27556.18</v>
      </c>
    </row>
    <row r="7295" spans="1:5" x14ac:dyDescent="0.25">
      <c r="A7295" s="323" t="s">
        <v>2063</v>
      </c>
      <c r="B7295" s="323" t="s">
        <v>805</v>
      </c>
      <c r="C7295" s="323">
        <v>98463</v>
      </c>
      <c r="D7295" s="323">
        <v>245</v>
      </c>
      <c r="E7295" s="324">
        <f t="shared" si="113"/>
        <v>59745.700000000004</v>
      </c>
    </row>
    <row r="7296" spans="1:5" x14ac:dyDescent="0.25">
      <c r="A7296" s="323" t="s">
        <v>2064</v>
      </c>
      <c r="B7296" s="323" t="s">
        <v>805</v>
      </c>
      <c r="C7296" s="323">
        <v>98489</v>
      </c>
      <c r="D7296" s="323">
        <v>226</v>
      </c>
      <c r="E7296" s="324">
        <f t="shared" si="113"/>
        <v>55112.36</v>
      </c>
    </row>
    <row r="7297" spans="1:5" x14ac:dyDescent="0.25">
      <c r="A7297" s="323" t="s">
        <v>6770</v>
      </c>
      <c r="B7297" s="323" t="s">
        <v>805</v>
      </c>
      <c r="C7297" s="323">
        <v>98489</v>
      </c>
      <c r="D7297" s="323">
        <v>382</v>
      </c>
      <c r="E7297" s="324">
        <f t="shared" si="113"/>
        <v>93154.52</v>
      </c>
    </row>
    <row r="7298" spans="1:5" x14ac:dyDescent="0.25">
      <c r="A7298" s="323" t="s">
        <v>5697</v>
      </c>
      <c r="B7298" s="323" t="s">
        <v>805</v>
      </c>
      <c r="C7298" s="323">
        <v>99594</v>
      </c>
      <c r="D7298" s="323">
        <v>133</v>
      </c>
      <c r="E7298" s="324">
        <f t="shared" ref="E7298:E7302" si="114">D7298*IF(B7298=$G$9,WerkdrukbedragPerLeerlingBo,IF(B7298=$G$10,WerkdrukbedragPerLeerlingSbo,IF(B7298=$G$11,WerkdrukbedragPerLeerlingSo,IF(B7298=$G$12,WerkdrukbedragPerLeerlingVso,0))))</f>
        <v>32433.38</v>
      </c>
    </row>
    <row r="7299" spans="1:5" x14ac:dyDescent="0.25">
      <c r="A7299" s="323" t="s">
        <v>5708</v>
      </c>
      <c r="B7299" s="323" t="s">
        <v>805</v>
      </c>
      <c r="C7299" s="323">
        <v>99594</v>
      </c>
      <c r="D7299" s="323">
        <v>275</v>
      </c>
      <c r="E7299" s="324">
        <f t="shared" si="114"/>
        <v>67061.5</v>
      </c>
    </row>
    <row r="7300" spans="1:5" x14ac:dyDescent="0.25">
      <c r="A7300" s="323" t="s">
        <v>5726</v>
      </c>
      <c r="B7300" s="323" t="s">
        <v>805</v>
      </c>
      <c r="C7300" s="323">
        <v>99594</v>
      </c>
      <c r="D7300" s="323">
        <v>224</v>
      </c>
      <c r="E7300" s="324">
        <f t="shared" si="114"/>
        <v>54624.639999999999</v>
      </c>
    </row>
    <row r="7301" spans="1:5" x14ac:dyDescent="0.25">
      <c r="A7301" s="323" t="s">
        <v>2987</v>
      </c>
      <c r="B7301" s="323" t="s">
        <v>805</v>
      </c>
      <c r="C7301" s="323">
        <v>99672</v>
      </c>
      <c r="D7301" s="323">
        <v>77</v>
      </c>
      <c r="E7301" s="324">
        <f t="shared" si="114"/>
        <v>18777.22</v>
      </c>
    </row>
    <row r="7302" spans="1:5" x14ac:dyDescent="0.25">
      <c r="A7302" s="323" t="s">
        <v>2988</v>
      </c>
      <c r="B7302" s="323" t="s">
        <v>805</v>
      </c>
      <c r="C7302" s="323">
        <v>99711</v>
      </c>
      <c r="D7302" s="323">
        <v>168</v>
      </c>
      <c r="E7302" s="324">
        <f t="shared" si="114"/>
        <v>40968.480000000003</v>
      </c>
    </row>
  </sheetData>
  <sortState ref="A1:D7304">
    <sortCondition ref="C1"/>
  </sortState>
  <dataConsolidate/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/>
  <dimension ref="A1:D956"/>
  <sheetViews>
    <sheetView workbookViewId="0">
      <selection activeCell="G16" sqref="G16"/>
    </sheetView>
  </sheetViews>
  <sheetFormatPr defaultRowHeight="15" x14ac:dyDescent="0.25"/>
  <cols>
    <col min="1" max="1" width="27.85546875" style="330" customWidth="1"/>
    <col min="2" max="2" width="78.140625" style="323" bestFit="1" customWidth="1"/>
    <col min="3" max="3" width="31.85546875" style="323" bestFit="1" customWidth="1"/>
    <col min="4" max="4" width="16.140625" style="324" customWidth="1"/>
  </cols>
  <sheetData>
    <row r="1" spans="1:4" s="325" customFormat="1" x14ac:dyDescent="0.25">
      <c r="A1" s="329" t="s">
        <v>7519</v>
      </c>
      <c r="B1" s="328" t="s">
        <v>7520</v>
      </c>
      <c r="C1" s="328" t="s">
        <v>7521</v>
      </c>
      <c r="D1" s="326" t="s">
        <v>559</v>
      </c>
    </row>
    <row r="2" spans="1:4" x14ac:dyDescent="0.25">
      <c r="A2" s="331">
        <v>10249</v>
      </c>
      <c r="B2" s="323" t="s">
        <v>7522</v>
      </c>
      <c r="C2" s="323" t="s">
        <v>7523</v>
      </c>
      <c r="D2" s="324">
        <f>SUMIF(Leerlingaantallen[Werkgevernummer],BevoegdGezag!A2,Leerlingaantallen[Bedrag])</f>
        <v>1156384.1200000003</v>
      </c>
    </row>
    <row r="3" spans="1:4" x14ac:dyDescent="0.25">
      <c r="A3" s="331">
        <v>10867</v>
      </c>
      <c r="B3" s="323" t="s">
        <v>7524</v>
      </c>
      <c r="C3" s="323" t="s">
        <v>7523</v>
      </c>
      <c r="D3" s="324">
        <f>SUMIF(Leerlingaantallen[Werkgevernummer],BevoegdGezag!A3,Leerlingaantallen[Bedrag])</f>
        <v>42187.78</v>
      </c>
    </row>
    <row r="4" spans="1:4" x14ac:dyDescent="0.25">
      <c r="A4" s="331">
        <v>10925</v>
      </c>
      <c r="B4" s="323" t="s">
        <v>7525</v>
      </c>
      <c r="C4" s="323" t="s">
        <v>7523</v>
      </c>
      <c r="D4" s="324">
        <f>SUMIF(Leerlingaantallen[Werkgevernummer],BevoegdGezag!A4,Leerlingaantallen[Bedrag])</f>
        <v>158996.72</v>
      </c>
    </row>
    <row r="5" spans="1:4" x14ac:dyDescent="0.25">
      <c r="A5" s="331">
        <v>11711</v>
      </c>
      <c r="B5" s="323" t="s">
        <v>7526</v>
      </c>
      <c r="C5" s="323" t="s">
        <v>7523</v>
      </c>
      <c r="D5" s="324">
        <f>SUMIF(Leerlingaantallen[Werkgevernummer],BevoegdGezag!A5,Leerlingaantallen[Bedrag])</f>
        <v>492353.33999999997</v>
      </c>
    </row>
    <row r="6" spans="1:4" x14ac:dyDescent="0.25">
      <c r="A6" s="331">
        <v>11764</v>
      </c>
      <c r="B6" s="323" t="s">
        <v>7527</v>
      </c>
      <c r="C6" s="323" t="s">
        <v>7523</v>
      </c>
      <c r="D6" s="324">
        <f>SUMIF(Leerlingaantallen[Werkgevernummer],BevoegdGezag!A6,Leerlingaantallen[Bedrag])</f>
        <v>16826.34</v>
      </c>
    </row>
    <row r="7" spans="1:4" x14ac:dyDescent="0.25">
      <c r="A7" s="331">
        <v>13622</v>
      </c>
      <c r="B7" s="323" t="s">
        <v>7528</v>
      </c>
      <c r="C7" s="323" t="s">
        <v>7523</v>
      </c>
      <c r="D7" s="324">
        <f>SUMIF(Leerlingaantallen[Werkgevernummer],BevoegdGezag!A7,Leerlingaantallen[Bedrag])</f>
        <v>1126877.06</v>
      </c>
    </row>
    <row r="8" spans="1:4" x14ac:dyDescent="0.25">
      <c r="A8" s="331">
        <v>13662</v>
      </c>
      <c r="B8" s="323" t="s">
        <v>7529</v>
      </c>
      <c r="C8" s="323" t="s">
        <v>7523</v>
      </c>
      <c r="D8" s="324">
        <f>SUMIF(Leerlingaantallen[Werkgevernummer],BevoegdGezag!A8,Leerlingaantallen[Bedrag])</f>
        <v>360181.22000000003</v>
      </c>
    </row>
    <row r="9" spans="1:4" x14ac:dyDescent="0.25">
      <c r="A9" s="331">
        <v>13682</v>
      </c>
      <c r="B9" s="323" t="s">
        <v>7530</v>
      </c>
      <c r="C9" s="323" t="s">
        <v>7523</v>
      </c>
      <c r="D9" s="324">
        <f>SUMIF(Leerlingaantallen[Werkgevernummer],BevoegdGezag!A9,Leerlingaantallen[Bedrag])</f>
        <v>329698.71999999997</v>
      </c>
    </row>
    <row r="10" spans="1:4" x14ac:dyDescent="0.25">
      <c r="A10" s="331">
        <v>13683</v>
      </c>
      <c r="B10" s="323" t="s">
        <v>7531</v>
      </c>
      <c r="C10" s="323" t="s">
        <v>7523</v>
      </c>
      <c r="D10" s="324">
        <f>SUMIF(Leerlingaantallen[Werkgevernummer],BevoegdGezag!A10,Leerlingaantallen[Bedrag])</f>
        <v>341647.86000000004</v>
      </c>
    </row>
    <row r="11" spans="1:4" x14ac:dyDescent="0.25">
      <c r="A11" s="331">
        <v>13839</v>
      </c>
      <c r="B11" s="323" t="s">
        <v>7532</v>
      </c>
      <c r="C11" s="323" t="s">
        <v>7523</v>
      </c>
      <c r="D11" s="324">
        <f>SUMIF(Leerlingaantallen[Werkgevernummer],BevoegdGezag!A11,Leerlingaantallen[Bedrag])</f>
        <v>15119.320000000002</v>
      </c>
    </row>
    <row r="12" spans="1:4" x14ac:dyDescent="0.25">
      <c r="A12" s="331">
        <v>13878</v>
      </c>
      <c r="B12" s="323" t="s">
        <v>7533</v>
      </c>
      <c r="C12" s="323" t="s">
        <v>7523</v>
      </c>
      <c r="D12" s="324">
        <f>SUMIF(Leerlingaantallen[Werkgevernummer],BevoegdGezag!A12,Leerlingaantallen[Bedrag])</f>
        <v>22191.260000000002</v>
      </c>
    </row>
    <row r="13" spans="1:4" x14ac:dyDescent="0.25">
      <c r="A13" s="331">
        <v>20137</v>
      </c>
      <c r="B13" s="323" t="s">
        <v>8403</v>
      </c>
      <c r="C13" s="323" t="s">
        <v>7539</v>
      </c>
      <c r="D13" s="324">
        <f>SUMIF(Leerlingaantallen[Werkgevernummer],BevoegdGezag!A13,Leerlingaantallen[Bedrag])</f>
        <v>84863.28</v>
      </c>
    </row>
    <row r="14" spans="1:4" x14ac:dyDescent="0.25">
      <c r="A14" s="331">
        <v>20151</v>
      </c>
      <c r="B14" s="323" t="s">
        <v>8404</v>
      </c>
      <c r="C14" s="323" t="s">
        <v>7539</v>
      </c>
      <c r="D14" s="324">
        <f>SUMIF(Leerlingaantallen[Werkgevernummer],BevoegdGezag!A14,Leerlingaantallen[Bedrag])</f>
        <v>82424.680000000008</v>
      </c>
    </row>
    <row r="15" spans="1:4" x14ac:dyDescent="0.25">
      <c r="A15" s="331">
        <v>20183</v>
      </c>
      <c r="B15" s="323" t="s">
        <v>7534</v>
      </c>
      <c r="C15" s="323" t="s">
        <v>7535</v>
      </c>
      <c r="D15" s="324">
        <f>SUMIF(Leerlingaantallen[Werkgevernummer],BevoegdGezag!A15,Leerlingaantallen[Bedrag])</f>
        <v>43407.08</v>
      </c>
    </row>
    <row r="16" spans="1:4" x14ac:dyDescent="0.25">
      <c r="A16" s="331">
        <v>20210</v>
      </c>
      <c r="B16" s="323" t="s">
        <v>7536</v>
      </c>
      <c r="C16" s="323" t="s">
        <v>7537</v>
      </c>
      <c r="D16" s="324">
        <f>SUMIF(Leerlingaantallen[Werkgevernummer],BevoegdGezag!A16,Leerlingaantallen[Bedrag])</f>
        <v>14631.6</v>
      </c>
    </row>
    <row r="17" spans="1:4" x14ac:dyDescent="0.25">
      <c r="A17" s="331">
        <v>20233</v>
      </c>
      <c r="B17" s="323" t="s">
        <v>8405</v>
      </c>
      <c r="C17" s="323" t="s">
        <v>7544</v>
      </c>
      <c r="D17" s="324">
        <f>SUMIF(Leerlingaantallen[Werkgevernummer],BevoegdGezag!A17,Leerlingaantallen[Bedrag])</f>
        <v>207281</v>
      </c>
    </row>
    <row r="18" spans="1:4" x14ac:dyDescent="0.25">
      <c r="A18" s="331">
        <v>20243</v>
      </c>
      <c r="B18" s="323" t="s">
        <v>7538</v>
      </c>
      <c r="C18" s="323" t="s">
        <v>7539</v>
      </c>
      <c r="D18" s="324">
        <f>SUMIF(Leerlingaantallen[Werkgevernummer],BevoegdGezag!A18,Leerlingaantallen[Bedrag])</f>
        <v>122417.72</v>
      </c>
    </row>
    <row r="19" spans="1:4" x14ac:dyDescent="0.25">
      <c r="A19" s="331">
        <v>20252</v>
      </c>
      <c r="B19" s="323" t="s">
        <v>7540</v>
      </c>
      <c r="C19" s="323" t="s">
        <v>7537</v>
      </c>
      <c r="D19" s="324">
        <f>SUMIF(Leerlingaantallen[Werkgevernummer],BevoegdGezag!A19,Leerlingaantallen[Bedrag])</f>
        <v>46577.26</v>
      </c>
    </row>
    <row r="20" spans="1:4" x14ac:dyDescent="0.25">
      <c r="A20" s="331">
        <v>20281</v>
      </c>
      <c r="B20" s="323" t="s">
        <v>7541</v>
      </c>
      <c r="C20" s="323" t="s">
        <v>7542</v>
      </c>
      <c r="D20" s="324">
        <f>SUMIF(Leerlingaantallen[Werkgevernummer],BevoegdGezag!A20,Leerlingaantallen[Bedrag])</f>
        <v>4444226.57</v>
      </c>
    </row>
    <row r="21" spans="1:4" x14ac:dyDescent="0.25">
      <c r="A21" s="331">
        <v>20671</v>
      </c>
      <c r="B21" s="323" t="s">
        <v>7543</v>
      </c>
      <c r="C21" s="323" t="s">
        <v>7544</v>
      </c>
      <c r="D21" s="324">
        <f>SUMIF(Leerlingaantallen[Werkgevernummer],BevoegdGezag!A21,Leerlingaantallen[Bedrag])</f>
        <v>1137850.7600000002</v>
      </c>
    </row>
    <row r="22" spans="1:4" x14ac:dyDescent="0.25">
      <c r="A22" s="331">
        <v>20970</v>
      </c>
      <c r="B22" s="323" t="s">
        <v>7545</v>
      </c>
      <c r="C22" s="323" t="s">
        <v>7537</v>
      </c>
      <c r="D22" s="324">
        <f>SUMIF(Leerlingaantallen[Werkgevernummer],BevoegdGezag!A22,Leerlingaantallen[Bedrag])</f>
        <v>79742.22</v>
      </c>
    </row>
    <row r="23" spans="1:4" x14ac:dyDescent="0.25">
      <c r="A23" s="331">
        <v>21464</v>
      </c>
      <c r="B23" s="323" t="s">
        <v>7546</v>
      </c>
      <c r="C23" s="323" t="s">
        <v>7547</v>
      </c>
      <c r="D23" s="324">
        <f>SUMIF(Leerlingaantallen[Werkgevernummer],BevoegdGezag!A23,Leerlingaantallen[Bedrag])</f>
        <v>61940.44</v>
      </c>
    </row>
    <row r="24" spans="1:4" x14ac:dyDescent="0.25">
      <c r="A24" s="331">
        <v>21478</v>
      </c>
      <c r="B24" s="323" t="s">
        <v>7548</v>
      </c>
      <c r="C24" s="323" t="s">
        <v>7539</v>
      </c>
      <c r="D24" s="324">
        <f>SUMIF(Leerlingaantallen[Werkgevernummer],BevoegdGezag!A24,Leerlingaantallen[Bedrag])</f>
        <v>116565.08000000002</v>
      </c>
    </row>
    <row r="25" spans="1:4" x14ac:dyDescent="0.25">
      <c r="A25" s="331">
        <v>21657</v>
      </c>
      <c r="B25" s="323" t="s">
        <v>8406</v>
      </c>
      <c r="C25" s="323" t="s">
        <v>7537</v>
      </c>
      <c r="D25" s="324">
        <f>SUMIF(Leerlingaantallen[Werkgevernummer],BevoegdGezag!A25,Leerlingaantallen[Bedrag])</f>
        <v>517470.92</v>
      </c>
    </row>
    <row r="26" spans="1:4" x14ac:dyDescent="0.25">
      <c r="A26" s="331">
        <v>21679</v>
      </c>
      <c r="B26" s="323" t="s">
        <v>8407</v>
      </c>
      <c r="C26" s="323" t="s">
        <v>7523</v>
      </c>
      <c r="D26" s="324">
        <f>SUMIF(Leerlingaantallen[Werkgevernummer],BevoegdGezag!A26,Leerlingaantallen[Bedrag])</f>
        <v>600383.32000000007</v>
      </c>
    </row>
    <row r="27" spans="1:4" x14ac:dyDescent="0.25">
      <c r="A27" s="331">
        <v>21712</v>
      </c>
      <c r="B27" s="323" t="s">
        <v>8408</v>
      </c>
      <c r="C27" s="323" t="s">
        <v>7539</v>
      </c>
      <c r="D27" s="324">
        <f>SUMIF(Leerlingaantallen[Werkgevernummer],BevoegdGezag!A27,Leerlingaantallen[Bedrag])</f>
        <v>293119.72000000003</v>
      </c>
    </row>
    <row r="28" spans="1:4" x14ac:dyDescent="0.25">
      <c r="A28" s="331">
        <v>21881</v>
      </c>
      <c r="B28" s="323" t="s">
        <v>8409</v>
      </c>
      <c r="C28" s="323" t="s">
        <v>7537</v>
      </c>
      <c r="D28" s="324">
        <f>SUMIF(Leerlingaantallen[Werkgevernummer],BevoegdGezag!A28,Leerlingaantallen[Bedrag])</f>
        <v>121808.07</v>
      </c>
    </row>
    <row r="29" spans="1:4" x14ac:dyDescent="0.25">
      <c r="A29" s="331">
        <v>22622</v>
      </c>
      <c r="B29" s="323" t="s">
        <v>7549</v>
      </c>
      <c r="C29" s="323" t="s">
        <v>7539</v>
      </c>
      <c r="D29" s="324">
        <f>SUMIF(Leerlingaantallen[Werkgevernummer],BevoegdGezag!A29,Leerlingaantallen[Bedrag])</f>
        <v>96324.700000000012</v>
      </c>
    </row>
    <row r="30" spans="1:4" x14ac:dyDescent="0.25">
      <c r="A30" s="331">
        <v>22725</v>
      </c>
      <c r="B30" s="323" t="s">
        <v>7550</v>
      </c>
      <c r="C30" s="323" t="s">
        <v>7542</v>
      </c>
      <c r="D30" s="324">
        <f>SUMIF(Leerlingaantallen[Werkgevernummer],BevoegdGezag!A30,Leerlingaantallen[Bedrag])</f>
        <v>859606.5</v>
      </c>
    </row>
    <row r="31" spans="1:4" x14ac:dyDescent="0.25">
      <c r="A31" s="331">
        <v>22765</v>
      </c>
      <c r="B31" s="323" t="s">
        <v>7551</v>
      </c>
      <c r="C31" s="323" t="s">
        <v>7539</v>
      </c>
      <c r="D31" s="324">
        <f>SUMIF(Leerlingaantallen[Werkgevernummer],BevoegdGezag!A31,Leerlingaantallen[Bedrag])</f>
        <v>63159.740000000005</v>
      </c>
    </row>
    <row r="32" spans="1:4" x14ac:dyDescent="0.25">
      <c r="A32" s="331">
        <v>23128</v>
      </c>
      <c r="B32" s="323" t="s">
        <v>7552</v>
      </c>
      <c r="C32" s="323" t="s">
        <v>7553</v>
      </c>
      <c r="D32" s="324">
        <f>SUMIF(Leerlingaantallen[Werkgevernummer],BevoegdGezag!A32,Leerlingaantallen[Bedrag])</f>
        <v>862045.10000000009</v>
      </c>
    </row>
    <row r="33" spans="1:4" x14ac:dyDescent="0.25">
      <c r="A33" s="331">
        <v>23337</v>
      </c>
      <c r="B33" s="323" t="s">
        <v>7554</v>
      </c>
      <c r="C33" s="323" t="s">
        <v>7539</v>
      </c>
      <c r="D33" s="324">
        <f>SUMIF(Leerlingaantallen[Werkgevernummer],BevoegdGezag!A33,Leerlingaantallen[Bedrag])</f>
        <v>126807.20000000001</v>
      </c>
    </row>
    <row r="34" spans="1:4" x14ac:dyDescent="0.25">
      <c r="A34" s="331">
        <v>23440</v>
      </c>
      <c r="B34" s="323" t="s">
        <v>7555</v>
      </c>
      <c r="C34" s="323" t="s">
        <v>7537</v>
      </c>
      <c r="D34" s="324">
        <f>SUMIF(Leerlingaantallen[Werkgevernummer],BevoegdGezag!A34,Leerlingaantallen[Bedrag])</f>
        <v>57550.960000000006</v>
      </c>
    </row>
    <row r="35" spans="1:4" x14ac:dyDescent="0.25">
      <c r="A35" s="331">
        <v>23545</v>
      </c>
      <c r="B35" s="323" t="s">
        <v>7556</v>
      </c>
      <c r="C35" s="323" t="s">
        <v>7535</v>
      </c>
      <c r="D35" s="324">
        <f>SUMIF(Leerlingaantallen[Werkgevernummer],BevoegdGezag!A35,Leerlingaantallen[Bedrag])</f>
        <v>38042.160000000003</v>
      </c>
    </row>
    <row r="36" spans="1:4" x14ac:dyDescent="0.25">
      <c r="A36" s="331">
        <v>23674</v>
      </c>
      <c r="B36" s="323" t="s">
        <v>7557</v>
      </c>
      <c r="C36" s="323" t="s">
        <v>7539</v>
      </c>
      <c r="D36" s="324">
        <f>SUMIF(Leerlingaantallen[Werkgevernummer],BevoegdGezag!A36,Leerlingaantallen[Bedrag])</f>
        <v>89984.34</v>
      </c>
    </row>
    <row r="37" spans="1:4" x14ac:dyDescent="0.25">
      <c r="A37" s="331">
        <v>23883</v>
      </c>
      <c r="B37" s="323" t="s">
        <v>7558</v>
      </c>
      <c r="C37" s="323" t="s">
        <v>7539</v>
      </c>
      <c r="D37" s="324">
        <f>SUMIF(Leerlingaantallen[Werkgevernummer],BevoegdGezag!A37,Leerlingaantallen[Bedrag])</f>
        <v>122417.72</v>
      </c>
    </row>
    <row r="38" spans="1:4" x14ac:dyDescent="0.25">
      <c r="A38" s="331">
        <v>23948</v>
      </c>
      <c r="B38" s="323" t="s">
        <v>7559</v>
      </c>
      <c r="C38" s="323" t="s">
        <v>7539</v>
      </c>
      <c r="D38" s="324">
        <f>SUMIF(Leerlingaantallen[Werkgevernummer],BevoegdGezag!A38,Leerlingaantallen[Bedrag])</f>
        <v>56331.66</v>
      </c>
    </row>
    <row r="39" spans="1:4" x14ac:dyDescent="0.25">
      <c r="A39" s="331">
        <v>23961</v>
      </c>
      <c r="B39" s="323" t="s">
        <v>7560</v>
      </c>
      <c r="C39" s="323" t="s">
        <v>7544</v>
      </c>
      <c r="D39" s="324">
        <f>SUMIF(Leerlingaantallen[Werkgevernummer],BevoegdGezag!A39,Leerlingaantallen[Bedrag])</f>
        <v>568071.87</v>
      </c>
    </row>
    <row r="40" spans="1:4" x14ac:dyDescent="0.25">
      <c r="A40" s="331">
        <v>24065</v>
      </c>
      <c r="B40" s="323" t="s">
        <v>7561</v>
      </c>
      <c r="C40" s="323" t="s">
        <v>7539</v>
      </c>
      <c r="D40" s="324">
        <f>SUMIF(Leerlingaantallen[Werkgevernummer],BevoegdGezag!A40,Leerlingaantallen[Bedrag])</f>
        <v>23898.280000000002</v>
      </c>
    </row>
    <row r="41" spans="1:4" x14ac:dyDescent="0.25">
      <c r="A41" s="331">
        <v>24195</v>
      </c>
      <c r="B41" s="323" t="s">
        <v>7562</v>
      </c>
      <c r="C41" s="323" t="s">
        <v>7535</v>
      </c>
      <c r="D41" s="324">
        <f>SUMIF(Leerlingaantallen[Werkgevernummer],BevoegdGezag!A41,Leerlingaantallen[Bedrag])</f>
        <v>112175.6</v>
      </c>
    </row>
    <row r="42" spans="1:4" x14ac:dyDescent="0.25">
      <c r="A42" s="331">
        <v>24207</v>
      </c>
      <c r="B42" s="323" t="s">
        <v>7563</v>
      </c>
      <c r="C42" s="323" t="s">
        <v>7544</v>
      </c>
      <c r="D42" s="324">
        <f>SUMIF(Leerlingaantallen[Werkgevernummer],BevoegdGezag!A42,Leerlingaantallen[Bedrag])</f>
        <v>46333.4</v>
      </c>
    </row>
    <row r="43" spans="1:4" x14ac:dyDescent="0.25">
      <c r="A43" s="331">
        <v>24481</v>
      </c>
      <c r="B43" s="323" t="s">
        <v>7564</v>
      </c>
      <c r="C43" s="323" t="s">
        <v>7535</v>
      </c>
      <c r="D43" s="324">
        <f>SUMIF(Leerlingaantallen[Werkgevernummer],BevoegdGezag!A43,Leerlingaantallen[Bedrag])</f>
        <v>150217.76</v>
      </c>
    </row>
    <row r="44" spans="1:4" x14ac:dyDescent="0.25">
      <c r="A44" s="331">
        <v>24533</v>
      </c>
      <c r="B44" s="323" t="s">
        <v>7565</v>
      </c>
      <c r="C44" s="323" t="s">
        <v>7539</v>
      </c>
      <c r="D44" s="324">
        <f>SUMIF(Leerlingaantallen[Werkgevernummer],BevoegdGezag!A44,Leerlingaantallen[Bedrag])</f>
        <v>321407.48</v>
      </c>
    </row>
    <row r="45" spans="1:4" x14ac:dyDescent="0.25">
      <c r="A45" s="331">
        <v>24597</v>
      </c>
      <c r="B45" s="323" t="s">
        <v>7566</v>
      </c>
      <c r="C45" s="323" t="s">
        <v>7544</v>
      </c>
      <c r="D45" s="324">
        <f>SUMIF(Leerlingaantallen[Werkgevernummer],BevoegdGezag!A45,Leerlingaantallen[Bedrag])</f>
        <v>5185926.76</v>
      </c>
    </row>
    <row r="46" spans="1:4" x14ac:dyDescent="0.25">
      <c r="A46" s="331">
        <v>24715</v>
      </c>
      <c r="B46" s="323" t="s">
        <v>7567</v>
      </c>
      <c r="C46" s="323" t="s">
        <v>7535</v>
      </c>
      <c r="D46" s="324">
        <f>SUMIF(Leerlingaantallen[Werkgevernummer],BevoegdGezag!A46,Leerlingaantallen[Bedrag])</f>
        <v>254102.12000000002</v>
      </c>
    </row>
    <row r="47" spans="1:4" x14ac:dyDescent="0.25">
      <c r="A47" s="331">
        <v>24844</v>
      </c>
      <c r="B47" s="323" t="s">
        <v>7568</v>
      </c>
      <c r="C47" s="323" t="s">
        <v>7539</v>
      </c>
      <c r="D47" s="324">
        <f>SUMIF(Leerlingaantallen[Werkgevernummer],BevoegdGezag!A47,Leerlingaantallen[Bedrag])</f>
        <v>605260.52</v>
      </c>
    </row>
    <row r="48" spans="1:4" x14ac:dyDescent="0.25">
      <c r="A48" s="331">
        <v>24845</v>
      </c>
      <c r="B48" s="323" t="s">
        <v>7569</v>
      </c>
      <c r="C48" s="323" t="s">
        <v>7539</v>
      </c>
      <c r="D48" s="324">
        <f>SUMIF(Leerlingaantallen[Werkgevernummer],BevoegdGezag!A48,Leerlingaantallen[Bedrag])</f>
        <v>26336.880000000001</v>
      </c>
    </row>
    <row r="49" spans="1:4" x14ac:dyDescent="0.25">
      <c r="A49" s="331">
        <v>24922</v>
      </c>
      <c r="B49" s="323" t="s">
        <v>8410</v>
      </c>
      <c r="C49" s="323" t="s">
        <v>7537</v>
      </c>
      <c r="D49" s="324">
        <f>SUMIF(Leerlingaantallen[Werkgevernummer],BevoegdGezag!A49,Leerlingaantallen[Bedrag])</f>
        <v>475039.28000000009</v>
      </c>
    </row>
    <row r="50" spans="1:4" x14ac:dyDescent="0.25">
      <c r="A50" s="331">
        <v>25156</v>
      </c>
      <c r="B50" s="323" t="s">
        <v>7570</v>
      </c>
      <c r="C50" s="323" t="s">
        <v>7537</v>
      </c>
      <c r="D50" s="324">
        <f>SUMIF(Leerlingaantallen[Werkgevernummer],BevoegdGezag!A50,Leerlingaantallen[Bedrag])</f>
        <v>80229.94</v>
      </c>
    </row>
    <row r="51" spans="1:4" x14ac:dyDescent="0.25">
      <c r="A51" s="331">
        <v>25196</v>
      </c>
      <c r="B51" s="323" t="s">
        <v>7571</v>
      </c>
      <c r="C51" s="323" t="s">
        <v>7535</v>
      </c>
      <c r="D51" s="324">
        <f>SUMIF(Leerlingaantallen[Werkgevernummer],BevoegdGezag!A51,Leerlingaantallen[Bedrag])</f>
        <v>165580.94</v>
      </c>
    </row>
    <row r="52" spans="1:4" x14ac:dyDescent="0.25">
      <c r="A52" s="331">
        <v>25351</v>
      </c>
      <c r="B52" s="323" t="s">
        <v>7572</v>
      </c>
      <c r="C52" s="323" t="s">
        <v>7573</v>
      </c>
      <c r="D52" s="324">
        <f>SUMIF(Leerlingaantallen[Werkgevernummer],BevoegdGezag!A52,Leerlingaantallen[Bedrag])</f>
        <v>662079.89999999991</v>
      </c>
    </row>
    <row r="53" spans="1:4" x14ac:dyDescent="0.25">
      <c r="A53" s="331">
        <v>25664</v>
      </c>
      <c r="B53" s="323" t="s">
        <v>7574</v>
      </c>
      <c r="C53" s="323" t="s">
        <v>7544</v>
      </c>
      <c r="D53" s="324">
        <f>SUMIF(Leerlingaantallen[Werkgevernummer],BevoegdGezag!A53,Leerlingaantallen[Bedrag])</f>
        <v>80961.52</v>
      </c>
    </row>
    <row r="54" spans="1:4" x14ac:dyDescent="0.25">
      <c r="A54" s="331">
        <v>25833</v>
      </c>
      <c r="B54" s="323" t="s">
        <v>7575</v>
      </c>
      <c r="C54" s="323" t="s">
        <v>7539</v>
      </c>
      <c r="D54" s="324">
        <f>SUMIF(Leerlingaantallen[Werkgevernummer],BevoegdGezag!A54,Leerlingaantallen[Bedrag])</f>
        <v>89008.900000000009</v>
      </c>
    </row>
    <row r="55" spans="1:4" x14ac:dyDescent="0.25">
      <c r="A55" s="331">
        <v>25859</v>
      </c>
      <c r="B55" s="323" t="s">
        <v>8411</v>
      </c>
      <c r="C55" s="323" t="s">
        <v>7537</v>
      </c>
      <c r="D55" s="324">
        <f>SUMIF(Leerlingaantallen[Werkgevernummer],BevoegdGezag!A55,Leerlingaantallen[Bedrag])</f>
        <v>832050.32</v>
      </c>
    </row>
    <row r="56" spans="1:4" x14ac:dyDescent="0.25">
      <c r="A56" s="331">
        <v>25897</v>
      </c>
      <c r="B56" s="323" t="s">
        <v>8412</v>
      </c>
      <c r="C56" s="323" t="s">
        <v>7539</v>
      </c>
      <c r="D56" s="324">
        <f>SUMIF(Leerlingaantallen[Werkgevernummer],BevoegdGezag!A56,Leerlingaantallen[Bedrag])</f>
        <v>63281.670000000006</v>
      </c>
    </row>
    <row r="57" spans="1:4" x14ac:dyDescent="0.25">
      <c r="A57" s="331">
        <v>26132</v>
      </c>
      <c r="B57" s="323" t="s">
        <v>8413</v>
      </c>
      <c r="C57" s="323" t="s">
        <v>7537</v>
      </c>
      <c r="D57" s="324">
        <f>SUMIF(Leerlingaantallen[Werkgevernummer],BevoegdGezag!A57,Leerlingaantallen[Bedrag])</f>
        <v>95105.400000000009</v>
      </c>
    </row>
    <row r="58" spans="1:4" x14ac:dyDescent="0.25">
      <c r="A58" s="331">
        <v>26158</v>
      </c>
      <c r="B58" s="323" t="s">
        <v>7576</v>
      </c>
      <c r="C58" s="323" t="s">
        <v>7542</v>
      </c>
      <c r="D58" s="324">
        <f>SUMIF(Leerlingaantallen[Werkgevernummer],BevoegdGezag!A58,Leerlingaantallen[Bedrag])</f>
        <v>819247.66999999993</v>
      </c>
    </row>
    <row r="59" spans="1:4" x14ac:dyDescent="0.25">
      <c r="A59" s="331">
        <v>26613</v>
      </c>
      <c r="B59" s="323" t="s">
        <v>7577</v>
      </c>
      <c r="C59" s="323" t="s">
        <v>7535</v>
      </c>
      <c r="D59" s="324">
        <f>SUMIF(Leerlingaantallen[Werkgevernummer],BevoegdGezag!A59,Leerlingaantallen[Bedrag])</f>
        <v>92179.08</v>
      </c>
    </row>
    <row r="60" spans="1:4" x14ac:dyDescent="0.25">
      <c r="A60" s="331">
        <v>26626</v>
      </c>
      <c r="B60" s="323" t="s">
        <v>7578</v>
      </c>
      <c r="C60" s="323" t="s">
        <v>7539</v>
      </c>
      <c r="D60" s="324">
        <f>SUMIF(Leerlingaantallen[Werkgevernummer],BevoegdGezag!A60,Leerlingaantallen[Bedrag])</f>
        <v>88277.32</v>
      </c>
    </row>
    <row r="61" spans="1:4" x14ac:dyDescent="0.25">
      <c r="A61" s="331">
        <v>26977</v>
      </c>
      <c r="B61" s="323" t="s">
        <v>7579</v>
      </c>
      <c r="C61" s="323" t="s">
        <v>7580</v>
      </c>
      <c r="D61" s="324">
        <f>SUMIF(Leerlingaantallen[Werkgevernummer],BevoegdGezag!A61,Leerlingaantallen[Bedrag])</f>
        <v>531858.66</v>
      </c>
    </row>
    <row r="62" spans="1:4" x14ac:dyDescent="0.25">
      <c r="A62" s="331">
        <v>27067</v>
      </c>
      <c r="B62" s="323" t="s">
        <v>7581</v>
      </c>
      <c r="C62" s="323" t="s">
        <v>7539</v>
      </c>
      <c r="D62" s="324">
        <f>SUMIF(Leerlingaantallen[Werkgevernummer],BevoegdGezag!A62,Leerlingaantallen[Bedrag])</f>
        <v>88521.180000000008</v>
      </c>
    </row>
    <row r="63" spans="1:4" x14ac:dyDescent="0.25">
      <c r="A63" s="331">
        <v>27237</v>
      </c>
      <c r="B63" s="323" t="s">
        <v>7582</v>
      </c>
      <c r="C63" s="323" t="s">
        <v>7539</v>
      </c>
      <c r="D63" s="324">
        <f>SUMIF(Leerlingaantallen[Werkgevernummer],BevoegdGezag!A63,Leerlingaantallen[Bedrag])</f>
        <v>13168.44</v>
      </c>
    </row>
    <row r="64" spans="1:4" x14ac:dyDescent="0.25">
      <c r="A64" s="331">
        <v>27340</v>
      </c>
      <c r="B64" s="323" t="s">
        <v>7583</v>
      </c>
      <c r="C64" s="323" t="s">
        <v>7539</v>
      </c>
      <c r="D64" s="324">
        <f>SUMIF(Leerlingaantallen[Werkgevernummer],BevoegdGezag!A64,Leerlingaantallen[Bedrag])</f>
        <v>16094.76</v>
      </c>
    </row>
    <row r="65" spans="1:4" x14ac:dyDescent="0.25">
      <c r="A65" s="331">
        <v>27770</v>
      </c>
      <c r="B65" s="323" t="s">
        <v>7584</v>
      </c>
      <c r="C65" s="323" t="s">
        <v>7542</v>
      </c>
      <c r="D65" s="324">
        <f>SUMIF(Leerlingaantallen[Werkgevernummer],BevoegdGezag!A65,Leerlingaantallen[Bedrag])</f>
        <v>446507.66</v>
      </c>
    </row>
    <row r="66" spans="1:4" x14ac:dyDescent="0.25">
      <c r="A66" s="331">
        <v>27910</v>
      </c>
      <c r="B66" s="323" t="s">
        <v>7585</v>
      </c>
      <c r="C66" s="323" t="s">
        <v>7539</v>
      </c>
      <c r="D66" s="324">
        <f>SUMIF(Leerlingaantallen[Werkgevernummer],BevoegdGezag!A66,Leerlingaantallen[Bedrag])</f>
        <v>961539.9800000001</v>
      </c>
    </row>
    <row r="67" spans="1:4" x14ac:dyDescent="0.25">
      <c r="A67" s="331">
        <v>28212</v>
      </c>
      <c r="B67" s="323" t="s">
        <v>7586</v>
      </c>
      <c r="C67" s="323" t="s">
        <v>7587</v>
      </c>
      <c r="D67" s="324">
        <f>SUMIF(Leerlingaantallen[Werkgevernummer],BevoegdGezag!A67,Leerlingaantallen[Bedrag])</f>
        <v>136073.88</v>
      </c>
    </row>
    <row r="68" spans="1:4" x14ac:dyDescent="0.25">
      <c r="A68" s="331">
        <v>28563</v>
      </c>
      <c r="B68" s="323" t="s">
        <v>7588</v>
      </c>
      <c r="C68" s="323" t="s">
        <v>7544</v>
      </c>
      <c r="D68" s="324">
        <f>SUMIF(Leerlingaantallen[Werkgevernummer],BevoegdGezag!A68,Leerlingaantallen[Bedrag])</f>
        <v>557463.96000000008</v>
      </c>
    </row>
    <row r="69" spans="1:4" x14ac:dyDescent="0.25">
      <c r="A69" s="331">
        <v>28601</v>
      </c>
      <c r="B69" s="323" t="s">
        <v>7589</v>
      </c>
      <c r="C69" s="323" t="s">
        <v>7544</v>
      </c>
      <c r="D69" s="324">
        <f>SUMIF(Leerlingaantallen[Werkgevernummer],BevoegdGezag!A69,Leerlingaantallen[Bedrag])</f>
        <v>1066399.78</v>
      </c>
    </row>
    <row r="70" spans="1:4" x14ac:dyDescent="0.25">
      <c r="A70" s="331">
        <v>28614</v>
      </c>
      <c r="B70" s="323" t="s">
        <v>7590</v>
      </c>
      <c r="C70" s="323" t="s">
        <v>7537</v>
      </c>
      <c r="D70" s="324">
        <f>SUMIF(Leerlingaantallen[Werkgevernummer],BevoegdGezag!A70,Leerlingaantallen[Bedrag])</f>
        <v>116565.08000000002</v>
      </c>
    </row>
    <row r="71" spans="1:4" x14ac:dyDescent="0.25">
      <c r="A71" s="331">
        <v>28849</v>
      </c>
      <c r="B71" s="323" t="s">
        <v>7591</v>
      </c>
      <c r="C71" s="323" t="s">
        <v>7544</v>
      </c>
      <c r="D71" s="324">
        <f>SUMIF(Leerlingaantallen[Werkgevernummer],BevoegdGezag!A71,Leerlingaantallen[Bedrag])</f>
        <v>386030.38</v>
      </c>
    </row>
    <row r="72" spans="1:4" x14ac:dyDescent="0.25">
      <c r="A72" s="331">
        <v>29056</v>
      </c>
      <c r="B72" s="323" t="s">
        <v>7592</v>
      </c>
      <c r="C72" s="323" t="s">
        <v>7539</v>
      </c>
      <c r="D72" s="324">
        <f>SUMIF(Leerlingaantallen[Werkgevernummer],BevoegdGezag!A72,Leerlingaantallen[Bedrag])</f>
        <v>271903.90000000002</v>
      </c>
    </row>
    <row r="73" spans="1:4" x14ac:dyDescent="0.25">
      <c r="A73" s="331">
        <v>29473</v>
      </c>
      <c r="B73" s="323" t="s">
        <v>7593</v>
      </c>
      <c r="C73" s="323" t="s">
        <v>7535</v>
      </c>
      <c r="D73" s="324">
        <f>SUMIF(Leerlingaantallen[Werkgevernummer],BevoegdGezag!A73,Leerlingaantallen[Bedrag])</f>
        <v>72426.42</v>
      </c>
    </row>
    <row r="74" spans="1:4" x14ac:dyDescent="0.25">
      <c r="A74" s="331">
        <v>29577</v>
      </c>
      <c r="B74" s="323" t="s">
        <v>7594</v>
      </c>
      <c r="C74" s="323" t="s">
        <v>7539</v>
      </c>
      <c r="D74" s="324">
        <f>SUMIF(Leerlingaantallen[Werkgevernummer],BevoegdGezag!A74,Leerlingaantallen[Bedrag])</f>
        <v>87301.88</v>
      </c>
    </row>
    <row r="75" spans="1:4" x14ac:dyDescent="0.25">
      <c r="A75" s="331">
        <v>29785</v>
      </c>
      <c r="B75" s="323" t="s">
        <v>7595</v>
      </c>
      <c r="C75" s="323" t="s">
        <v>7544</v>
      </c>
      <c r="D75" s="324">
        <f>SUMIF(Leerlingaantallen[Werkgevernummer],BevoegdGezag!A75,Leerlingaantallen[Bedrag])</f>
        <v>123637.01999999999</v>
      </c>
    </row>
    <row r="76" spans="1:4" x14ac:dyDescent="0.25">
      <c r="A76" s="331">
        <v>29810</v>
      </c>
      <c r="B76" s="323" t="s">
        <v>7596</v>
      </c>
      <c r="C76" s="323" t="s">
        <v>7544</v>
      </c>
      <c r="D76" s="324">
        <f>SUMIF(Leerlingaantallen[Werkgevernummer],BevoegdGezag!A76,Leerlingaantallen[Bedrag])</f>
        <v>2064031.0399999998</v>
      </c>
    </row>
    <row r="77" spans="1:4" x14ac:dyDescent="0.25">
      <c r="A77" s="331">
        <v>29823</v>
      </c>
      <c r="B77" s="323" t="s">
        <v>7597</v>
      </c>
      <c r="C77" s="323" t="s">
        <v>7539</v>
      </c>
      <c r="D77" s="324">
        <f>SUMIF(Leerlingaantallen[Werkgevernummer],BevoegdGezag!A77,Leerlingaantallen[Bedrag])</f>
        <v>69743.960000000006</v>
      </c>
    </row>
    <row r="78" spans="1:4" x14ac:dyDescent="0.25">
      <c r="A78" s="331">
        <v>30010</v>
      </c>
      <c r="B78" s="323" t="s">
        <v>7598</v>
      </c>
      <c r="C78" s="323" t="s">
        <v>7539</v>
      </c>
      <c r="D78" s="324">
        <f>SUMIF(Leerlingaantallen[Werkgevernummer],BevoegdGezag!A78,Leerlingaantallen[Bedrag])</f>
        <v>866312.65000000014</v>
      </c>
    </row>
    <row r="79" spans="1:4" x14ac:dyDescent="0.25">
      <c r="A79" s="331">
        <v>30013</v>
      </c>
      <c r="B79" s="323" t="s">
        <v>7599</v>
      </c>
      <c r="C79" s="323" t="s">
        <v>7537</v>
      </c>
      <c r="D79" s="324">
        <f>SUMIF(Leerlingaantallen[Werkgevernummer],BevoegdGezag!A79,Leerlingaantallen[Bedrag])</f>
        <v>38773.740000000005</v>
      </c>
    </row>
    <row r="80" spans="1:4" x14ac:dyDescent="0.25">
      <c r="A80" s="331">
        <v>30015</v>
      </c>
      <c r="B80" s="323" t="s">
        <v>7600</v>
      </c>
      <c r="C80" s="323" t="s">
        <v>7537</v>
      </c>
      <c r="D80" s="324">
        <f>SUMIF(Leerlingaantallen[Werkgevernummer],BevoegdGezag!A80,Leerlingaantallen[Bedrag])</f>
        <v>45845.68</v>
      </c>
    </row>
    <row r="81" spans="1:4" x14ac:dyDescent="0.25">
      <c r="A81" s="331">
        <v>30027</v>
      </c>
      <c r="B81" s="323" t="s">
        <v>7601</v>
      </c>
      <c r="C81" s="323" t="s">
        <v>7587</v>
      </c>
      <c r="D81" s="324">
        <f>SUMIF(Leerlingaantallen[Werkgevernummer],BevoegdGezag!A81,Leerlingaantallen[Bedrag])</f>
        <v>117052.8</v>
      </c>
    </row>
    <row r="82" spans="1:4" x14ac:dyDescent="0.25">
      <c r="A82" s="331">
        <v>30051</v>
      </c>
      <c r="B82" s="323" t="s">
        <v>7602</v>
      </c>
      <c r="C82" s="323" t="s">
        <v>7539</v>
      </c>
      <c r="D82" s="324">
        <f>SUMIF(Leerlingaantallen[Werkgevernummer],BevoegdGezag!A82,Leerlingaantallen[Bedrag])</f>
        <v>12680.720000000001</v>
      </c>
    </row>
    <row r="83" spans="1:4" x14ac:dyDescent="0.25">
      <c r="A83" s="331">
        <v>30117</v>
      </c>
      <c r="B83" s="323" t="s">
        <v>8414</v>
      </c>
      <c r="C83" s="323" t="s">
        <v>7535</v>
      </c>
      <c r="D83" s="324">
        <f>SUMIF(Leerlingaantallen[Werkgevernummer],BevoegdGezag!A83,Leerlingaantallen[Bedrag])</f>
        <v>161679.18000000002</v>
      </c>
    </row>
    <row r="84" spans="1:4" x14ac:dyDescent="0.25">
      <c r="A84" s="331">
        <v>30124</v>
      </c>
      <c r="B84" s="323" t="s">
        <v>7603</v>
      </c>
      <c r="C84" s="323" t="s">
        <v>7537</v>
      </c>
      <c r="D84" s="324">
        <f>SUMIF(Leerlingaantallen[Werkgevernummer],BevoegdGezag!A84,Leerlingaantallen[Bedrag])</f>
        <v>16582.48</v>
      </c>
    </row>
    <row r="85" spans="1:4" x14ac:dyDescent="0.25">
      <c r="A85" s="331">
        <v>30128</v>
      </c>
      <c r="B85" s="323" t="s">
        <v>7604</v>
      </c>
      <c r="C85" s="323" t="s">
        <v>7539</v>
      </c>
      <c r="D85" s="324">
        <f>SUMIF(Leerlingaantallen[Werkgevernummer],BevoegdGezag!A85,Leerlingaantallen[Bedrag])</f>
        <v>53405.340000000004</v>
      </c>
    </row>
    <row r="86" spans="1:4" x14ac:dyDescent="0.25">
      <c r="A86" s="331">
        <v>30133</v>
      </c>
      <c r="B86" s="323" t="s">
        <v>7605</v>
      </c>
      <c r="C86" s="323" t="s">
        <v>7535</v>
      </c>
      <c r="D86" s="324">
        <f>SUMIF(Leerlingaantallen[Werkgevernummer],BevoegdGezag!A86,Leerlingaantallen[Bedrag])</f>
        <v>193624.84000000003</v>
      </c>
    </row>
    <row r="87" spans="1:4" x14ac:dyDescent="0.25">
      <c r="A87" s="331">
        <v>30145</v>
      </c>
      <c r="B87" s="323" t="s">
        <v>7606</v>
      </c>
      <c r="C87" s="323" t="s">
        <v>7537</v>
      </c>
      <c r="D87" s="324">
        <f>SUMIF(Leerlingaantallen[Werkgevernummer],BevoegdGezag!A87,Leerlingaantallen[Bedrag])</f>
        <v>31457.940000000002</v>
      </c>
    </row>
    <row r="88" spans="1:4" x14ac:dyDescent="0.25">
      <c r="A88" s="331">
        <v>30198</v>
      </c>
      <c r="B88" s="323" t="s">
        <v>8415</v>
      </c>
      <c r="C88" s="323" t="s">
        <v>7544</v>
      </c>
      <c r="D88" s="324">
        <f>SUMIF(Leerlingaantallen[Werkgevernummer],BevoegdGezag!A88,Leerlingaantallen[Bedrag])</f>
        <v>75108.88</v>
      </c>
    </row>
    <row r="89" spans="1:4" x14ac:dyDescent="0.25">
      <c r="A89" s="331">
        <v>30235</v>
      </c>
      <c r="B89" s="323" t="s">
        <v>7607</v>
      </c>
      <c r="C89" s="323" t="s">
        <v>7539</v>
      </c>
      <c r="D89" s="324">
        <f>SUMIF(Leerlingaantallen[Werkgevernummer],BevoegdGezag!A89,Leerlingaantallen[Bedrag])</f>
        <v>88277.32</v>
      </c>
    </row>
    <row r="90" spans="1:4" x14ac:dyDescent="0.25">
      <c r="A90" s="331">
        <v>30240</v>
      </c>
      <c r="B90" s="323" t="s">
        <v>7608</v>
      </c>
      <c r="C90" s="323" t="s">
        <v>7544</v>
      </c>
      <c r="D90" s="324">
        <f>SUMIF(Leerlingaantallen[Werkgevernummer],BevoegdGezag!A90,Leerlingaantallen[Bedrag])</f>
        <v>975927.7200000002</v>
      </c>
    </row>
    <row r="91" spans="1:4" x14ac:dyDescent="0.25">
      <c r="A91" s="331">
        <v>30263</v>
      </c>
      <c r="B91" s="323" t="s">
        <v>7609</v>
      </c>
      <c r="C91" s="323" t="s">
        <v>7537</v>
      </c>
      <c r="D91" s="324">
        <f>SUMIF(Leerlingaantallen[Werkgevernummer],BevoegdGezag!A91,Leerlingaantallen[Bedrag])</f>
        <v>30238.640000000003</v>
      </c>
    </row>
    <row r="92" spans="1:4" x14ac:dyDescent="0.25">
      <c r="A92" s="331">
        <v>30320</v>
      </c>
      <c r="B92" s="323" t="s">
        <v>7610</v>
      </c>
      <c r="C92" s="323" t="s">
        <v>7537</v>
      </c>
      <c r="D92" s="324">
        <f>SUMIF(Leerlingaantallen[Werkgevernummer],BevoegdGezag!A92,Leerlingaantallen[Bedrag])</f>
        <v>50722.880000000005</v>
      </c>
    </row>
    <row r="93" spans="1:4" x14ac:dyDescent="0.25">
      <c r="A93" s="331">
        <v>30330</v>
      </c>
      <c r="B93" s="323" t="s">
        <v>7611</v>
      </c>
      <c r="C93" s="323" t="s">
        <v>7539</v>
      </c>
      <c r="D93" s="324">
        <f>SUMIF(Leerlingaantallen[Werkgevernummer],BevoegdGezag!A93,Leerlingaantallen[Bedrag])</f>
        <v>17314.060000000001</v>
      </c>
    </row>
    <row r="94" spans="1:4" x14ac:dyDescent="0.25">
      <c r="A94" s="331">
        <v>30357</v>
      </c>
      <c r="B94" s="323" t="s">
        <v>7612</v>
      </c>
      <c r="C94" s="323" t="s">
        <v>7544</v>
      </c>
      <c r="D94" s="324">
        <f>SUMIF(Leerlingaantallen[Werkgevernummer],BevoegdGezag!A94,Leerlingaantallen[Bedrag])</f>
        <v>79498.36</v>
      </c>
    </row>
    <row r="95" spans="1:4" x14ac:dyDescent="0.25">
      <c r="A95" s="331">
        <v>30582</v>
      </c>
      <c r="B95" s="323" t="s">
        <v>7613</v>
      </c>
      <c r="C95" s="323" t="s">
        <v>7539</v>
      </c>
      <c r="D95" s="324">
        <f>SUMIF(Leerlingaantallen[Werkgevernummer],BevoegdGezag!A95,Leerlingaantallen[Bedrag])</f>
        <v>742675.63</v>
      </c>
    </row>
    <row r="96" spans="1:4" x14ac:dyDescent="0.25">
      <c r="A96" s="331">
        <v>30605</v>
      </c>
      <c r="B96" s="323" t="s">
        <v>8416</v>
      </c>
      <c r="C96" s="323" t="s">
        <v>7544</v>
      </c>
      <c r="D96" s="324">
        <f>SUMIF(Leerlingaantallen[Werkgevernummer],BevoegdGezag!A96,Leerlingaantallen[Bedrag])</f>
        <v>111687.88</v>
      </c>
    </row>
    <row r="97" spans="1:4" x14ac:dyDescent="0.25">
      <c r="A97" s="331">
        <v>30673</v>
      </c>
      <c r="B97" s="323" t="s">
        <v>7614</v>
      </c>
      <c r="C97" s="323" t="s">
        <v>7539</v>
      </c>
      <c r="D97" s="324">
        <f>SUMIF(Leerlingaantallen[Werkgevernummer],BevoegdGezag!A97,Leerlingaantallen[Bedrag])</f>
        <v>126075.62</v>
      </c>
    </row>
    <row r="98" spans="1:4" x14ac:dyDescent="0.25">
      <c r="A98" s="331">
        <v>30700</v>
      </c>
      <c r="B98" s="323" t="s">
        <v>7615</v>
      </c>
      <c r="C98" s="323" t="s">
        <v>7535</v>
      </c>
      <c r="D98" s="324">
        <f>SUMIF(Leerlingaantallen[Werkgevernummer],BevoegdGezag!A98,Leerlingaantallen[Bedrag])</f>
        <v>19752.66</v>
      </c>
    </row>
    <row r="99" spans="1:4" x14ac:dyDescent="0.25">
      <c r="A99" s="331">
        <v>30701</v>
      </c>
      <c r="B99" s="323" t="s">
        <v>7616</v>
      </c>
      <c r="C99" s="323" t="s">
        <v>7537</v>
      </c>
      <c r="D99" s="324">
        <f>SUMIF(Leerlingaantallen[Werkgevernummer],BevoegdGezag!A99,Leerlingaantallen[Bedrag])</f>
        <v>46333.4</v>
      </c>
    </row>
    <row r="100" spans="1:4" x14ac:dyDescent="0.25">
      <c r="A100" s="331">
        <v>30709</v>
      </c>
      <c r="B100" s="323" t="s">
        <v>7617</v>
      </c>
      <c r="C100" s="323" t="s">
        <v>7618</v>
      </c>
      <c r="D100" s="324">
        <f>SUMIF(Leerlingaantallen[Werkgevernummer],BevoegdGezag!A100,Leerlingaantallen[Bedrag])</f>
        <v>279463.56000000006</v>
      </c>
    </row>
    <row r="101" spans="1:4" x14ac:dyDescent="0.25">
      <c r="A101" s="331">
        <v>30715</v>
      </c>
      <c r="B101" s="323" t="s">
        <v>7619</v>
      </c>
      <c r="C101" s="323" t="s">
        <v>7537</v>
      </c>
      <c r="D101" s="324">
        <f>SUMIF(Leerlingaantallen[Werkgevernummer],BevoegdGezag!A101,Leerlingaantallen[Bedrag])</f>
        <v>134610.72</v>
      </c>
    </row>
    <row r="102" spans="1:4" x14ac:dyDescent="0.25">
      <c r="A102" s="331">
        <v>30725</v>
      </c>
      <c r="B102" s="323" t="s">
        <v>7620</v>
      </c>
      <c r="C102" s="323" t="s">
        <v>7621</v>
      </c>
      <c r="D102" s="324">
        <f>SUMIF(Leerlingaantallen[Werkgevernummer],BevoegdGezag!A102,Leerlingaantallen[Bedrag])</f>
        <v>123393.15999999999</v>
      </c>
    </row>
    <row r="103" spans="1:4" x14ac:dyDescent="0.25">
      <c r="A103" s="331">
        <v>30731</v>
      </c>
      <c r="B103" s="323" t="s">
        <v>7622</v>
      </c>
      <c r="C103" s="323" t="s">
        <v>7621</v>
      </c>
      <c r="D103" s="324">
        <f>SUMIF(Leerlingaantallen[Werkgevernummer],BevoegdGezag!A103,Leerlingaantallen[Bedrag])</f>
        <v>461626.98000000004</v>
      </c>
    </row>
    <row r="104" spans="1:4" x14ac:dyDescent="0.25">
      <c r="A104" s="331">
        <v>30742</v>
      </c>
      <c r="B104" s="323" t="s">
        <v>8417</v>
      </c>
      <c r="C104" s="323" t="s">
        <v>7537</v>
      </c>
      <c r="D104" s="324">
        <f>SUMIF(Leerlingaantallen[Werkgevernummer],BevoegdGezag!A104,Leerlingaantallen[Bedrag])</f>
        <v>128758.08</v>
      </c>
    </row>
    <row r="105" spans="1:4" x14ac:dyDescent="0.25">
      <c r="A105" s="331">
        <v>30815</v>
      </c>
      <c r="B105" s="323" t="s">
        <v>8418</v>
      </c>
      <c r="C105" s="323" t="s">
        <v>7537</v>
      </c>
      <c r="D105" s="324">
        <f>SUMIF(Leerlingaantallen[Werkgevernummer],BevoegdGezag!A105,Leerlingaantallen[Bedrag])</f>
        <v>333600.48</v>
      </c>
    </row>
    <row r="106" spans="1:4" x14ac:dyDescent="0.25">
      <c r="A106" s="331">
        <v>30824</v>
      </c>
      <c r="B106" s="323" t="s">
        <v>7623</v>
      </c>
      <c r="C106" s="323" t="s">
        <v>7537</v>
      </c>
      <c r="D106" s="324">
        <f>SUMIF(Leerlingaantallen[Werkgevernummer],BevoegdGezag!A106,Leerlingaantallen[Bedrag])</f>
        <v>70719.400000000009</v>
      </c>
    </row>
    <row r="107" spans="1:4" x14ac:dyDescent="0.25">
      <c r="A107" s="331">
        <v>30835</v>
      </c>
      <c r="B107" s="323" t="s">
        <v>7624</v>
      </c>
      <c r="C107" s="323" t="s">
        <v>7537</v>
      </c>
      <c r="D107" s="324">
        <f>SUMIF(Leerlingaantallen[Werkgevernummer],BevoegdGezag!A107,Leerlingaantallen[Bedrag])</f>
        <v>94861.540000000008</v>
      </c>
    </row>
    <row r="108" spans="1:4" x14ac:dyDescent="0.25">
      <c r="A108" s="331">
        <v>30837</v>
      </c>
      <c r="B108" s="323" t="s">
        <v>8419</v>
      </c>
      <c r="C108" s="323" t="s">
        <v>7539</v>
      </c>
      <c r="D108" s="324">
        <f>SUMIF(Leerlingaantallen[Werkgevernummer],BevoegdGezag!A108,Leerlingaantallen[Bedrag])</f>
        <v>24873.72</v>
      </c>
    </row>
    <row r="109" spans="1:4" x14ac:dyDescent="0.25">
      <c r="A109" s="331">
        <v>30847</v>
      </c>
      <c r="B109" s="323" t="s">
        <v>7625</v>
      </c>
      <c r="C109" s="323" t="s">
        <v>7537</v>
      </c>
      <c r="D109" s="324">
        <f>SUMIF(Leerlingaantallen[Werkgevernummer],BevoegdGezag!A109,Leerlingaantallen[Bedrag])</f>
        <v>67061.5</v>
      </c>
    </row>
    <row r="110" spans="1:4" x14ac:dyDescent="0.25">
      <c r="A110" s="331">
        <v>30849</v>
      </c>
      <c r="B110" s="323" t="s">
        <v>7626</v>
      </c>
      <c r="C110" s="323" t="s">
        <v>7535</v>
      </c>
      <c r="D110" s="324">
        <f>SUMIF(Leerlingaantallen[Werkgevernummer],BevoegdGezag!A110,Leerlingaantallen[Bedrag])</f>
        <v>42431.64</v>
      </c>
    </row>
    <row r="111" spans="1:4" x14ac:dyDescent="0.25">
      <c r="A111" s="331">
        <v>30882</v>
      </c>
      <c r="B111" s="323" t="s">
        <v>8420</v>
      </c>
      <c r="C111" s="323" t="s">
        <v>7537</v>
      </c>
      <c r="D111" s="324">
        <f>SUMIF(Leerlingaantallen[Werkgevernummer],BevoegdGezag!A111,Leerlingaantallen[Bedrag])</f>
        <v>646229</v>
      </c>
    </row>
    <row r="112" spans="1:4" x14ac:dyDescent="0.25">
      <c r="A112" s="331">
        <v>30883</v>
      </c>
      <c r="B112" s="323" t="s">
        <v>7627</v>
      </c>
      <c r="C112" s="323" t="s">
        <v>7621</v>
      </c>
      <c r="D112" s="324">
        <f>SUMIF(Leerlingaantallen[Werkgevernummer],BevoegdGezag!A112,Leerlingaantallen[Bedrag])</f>
        <v>276293.38</v>
      </c>
    </row>
    <row r="113" spans="1:4" x14ac:dyDescent="0.25">
      <c r="A113" s="331">
        <v>30889</v>
      </c>
      <c r="B113" s="323" t="s">
        <v>7628</v>
      </c>
      <c r="C113" s="323" t="s">
        <v>7539</v>
      </c>
      <c r="D113" s="324">
        <f>SUMIF(Leerlingaantallen[Werkgevernummer],BevoegdGezag!A113,Leerlingaantallen[Bedrag])</f>
        <v>22678.98</v>
      </c>
    </row>
    <row r="114" spans="1:4" x14ac:dyDescent="0.25">
      <c r="A114" s="331">
        <v>30967</v>
      </c>
      <c r="B114" s="323" t="s">
        <v>7629</v>
      </c>
      <c r="C114" s="323" t="s">
        <v>7539</v>
      </c>
      <c r="D114" s="324">
        <f>SUMIF(Leerlingaantallen[Werkgevernummer],BevoegdGezag!A114,Leerlingaantallen[Bedrag])</f>
        <v>15850.900000000001</v>
      </c>
    </row>
    <row r="115" spans="1:4" x14ac:dyDescent="0.25">
      <c r="A115" s="331">
        <v>30968</v>
      </c>
      <c r="B115" s="323" t="s">
        <v>8421</v>
      </c>
      <c r="C115" s="323" t="s">
        <v>7537</v>
      </c>
      <c r="D115" s="324">
        <f>SUMIF(Leerlingaantallen[Werkgevernummer],BevoegdGezag!A115,Leerlingaantallen[Bedrag])</f>
        <v>511130.56</v>
      </c>
    </row>
    <row r="116" spans="1:4" x14ac:dyDescent="0.25">
      <c r="A116" s="331">
        <v>31017</v>
      </c>
      <c r="B116" s="323" t="s">
        <v>7630</v>
      </c>
      <c r="C116" s="323" t="s">
        <v>7544</v>
      </c>
      <c r="D116" s="324">
        <f>SUMIF(Leerlingaantallen[Werkgevernummer],BevoegdGezag!A116,Leerlingaantallen[Bedrag])</f>
        <v>830343.29999999993</v>
      </c>
    </row>
    <row r="117" spans="1:4" x14ac:dyDescent="0.25">
      <c r="A117" s="331">
        <v>31019</v>
      </c>
      <c r="B117" s="323" t="s">
        <v>7631</v>
      </c>
      <c r="C117" s="323" t="s">
        <v>7537</v>
      </c>
      <c r="D117" s="324">
        <f>SUMIF(Leerlingaantallen[Werkgevernummer],BevoegdGezag!A117,Leerlingaantallen[Bedrag])</f>
        <v>44626.380000000005</v>
      </c>
    </row>
    <row r="118" spans="1:4" x14ac:dyDescent="0.25">
      <c r="A118" s="331">
        <v>31032</v>
      </c>
      <c r="B118" s="323" t="s">
        <v>7632</v>
      </c>
      <c r="C118" s="323" t="s">
        <v>7539</v>
      </c>
      <c r="D118" s="324">
        <f>SUMIF(Leerlingaantallen[Werkgevernummer],BevoegdGezag!A118,Leerlingaantallen[Bedrag])</f>
        <v>37310.58</v>
      </c>
    </row>
    <row r="119" spans="1:4" x14ac:dyDescent="0.25">
      <c r="A119" s="331">
        <v>31075</v>
      </c>
      <c r="B119" s="323" t="s">
        <v>7633</v>
      </c>
      <c r="C119" s="323" t="s">
        <v>7537</v>
      </c>
      <c r="D119" s="324">
        <f>SUMIF(Leerlingaantallen[Werkgevernummer],BevoegdGezag!A119,Leerlingaantallen[Bedrag])</f>
        <v>90228.200000000012</v>
      </c>
    </row>
    <row r="120" spans="1:4" x14ac:dyDescent="0.25">
      <c r="A120" s="331">
        <v>31076</v>
      </c>
      <c r="B120" s="323" t="s">
        <v>7634</v>
      </c>
      <c r="C120" s="323" t="s">
        <v>7621</v>
      </c>
      <c r="D120" s="324">
        <f>SUMIF(Leerlingaantallen[Werkgevernummer],BevoegdGezag!A120,Leerlingaantallen[Bedrag])</f>
        <v>458944.52000000008</v>
      </c>
    </row>
    <row r="121" spans="1:4" x14ac:dyDescent="0.25">
      <c r="A121" s="331">
        <v>31077</v>
      </c>
      <c r="B121" s="323" t="s">
        <v>7635</v>
      </c>
      <c r="C121" s="323" t="s">
        <v>7539</v>
      </c>
      <c r="D121" s="324">
        <f>SUMIF(Leerlingaantallen[Werkgevernummer],BevoegdGezag!A121,Leerlingaantallen[Bedrag])</f>
        <v>185821.32</v>
      </c>
    </row>
    <row r="122" spans="1:4" x14ac:dyDescent="0.25">
      <c r="A122" s="331">
        <v>31080</v>
      </c>
      <c r="B122" s="323" t="s">
        <v>7636</v>
      </c>
      <c r="C122" s="323" t="s">
        <v>7621</v>
      </c>
      <c r="D122" s="324">
        <f>SUMIF(Leerlingaantallen[Werkgevernummer],BevoegdGezag!A122,Leerlingaantallen[Bedrag])</f>
        <v>217766.98</v>
      </c>
    </row>
    <row r="123" spans="1:4" x14ac:dyDescent="0.25">
      <c r="A123" s="331">
        <v>31088</v>
      </c>
      <c r="B123" s="323" t="s">
        <v>7637</v>
      </c>
      <c r="C123" s="323" t="s">
        <v>7621</v>
      </c>
      <c r="D123" s="324">
        <f>SUMIF(Leerlingaantallen[Werkgevernummer],BevoegdGezag!A123,Leerlingaantallen[Bedrag])</f>
        <v>46577.26</v>
      </c>
    </row>
    <row r="124" spans="1:4" x14ac:dyDescent="0.25">
      <c r="A124" s="331">
        <v>31118</v>
      </c>
      <c r="B124" s="323" t="s">
        <v>7638</v>
      </c>
      <c r="C124" s="323" t="s">
        <v>7621</v>
      </c>
      <c r="D124" s="324">
        <f>SUMIF(Leerlingaantallen[Werkgevernummer],BevoegdGezag!A124,Leerlingaantallen[Bedrag])</f>
        <v>182895</v>
      </c>
    </row>
    <row r="125" spans="1:4" x14ac:dyDescent="0.25">
      <c r="A125" s="331">
        <v>31162</v>
      </c>
      <c r="B125" s="323" t="s">
        <v>7639</v>
      </c>
      <c r="C125" s="323" t="s">
        <v>7537</v>
      </c>
      <c r="D125" s="324">
        <f>SUMIF(Leerlingaantallen[Werkgevernummer],BevoegdGezag!A125,Leerlingaantallen[Bedrag])</f>
        <v>52186.04</v>
      </c>
    </row>
    <row r="126" spans="1:4" x14ac:dyDescent="0.25">
      <c r="A126" s="331">
        <v>31189</v>
      </c>
      <c r="B126" s="323" t="s">
        <v>7640</v>
      </c>
      <c r="C126" s="323" t="s">
        <v>7539</v>
      </c>
      <c r="D126" s="324">
        <f>SUMIF(Leerlingaantallen[Werkgevernummer],BevoegdGezag!A126,Leerlingaantallen[Bedrag])</f>
        <v>195331.86</v>
      </c>
    </row>
    <row r="127" spans="1:4" x14ac:dyDescent="0.25">
      <c r="A127" s="331">
        <v>31204</v>
      </c>
      <c r="B127" s="323" t="s">
        <v>7641</v>
      </c>
      <c r="C127" s="323" t="s">
        <v>7539</v>
      </c>
      <c r="D127" s="324">
        <f>SUMIF(Leerlingaantallen[Werkgevernummer],BevoegdGezag!A127,Leerlingaantallen[Bedrag])</f>
        <v>65354.48</v>
      </c>
    </row>
    <row r="128" spans="1:4" x14ac:dyDescent="0.25">
      <c r="A128" s="331">
        <v>31227</v>
      </c>
      <c r="B128" s="323" t="s">
        <v>7642</v>
      </c>
      <c r="C128" s="323" t="s">
        <v>7539</v>
      </c>
      <c r="D128" s="324">
        <f>SUMIF(Leerlingaantallen[Werkgevernummer],BevoegdGezag!A128,Leerlingaantallen[Bedrag])</f>
        <v>59257.98</v>
      </c>
    </row>
    <row r="129" spans="1:4" x14ac:dyDescent="0.25">
      <c r="A129" s="331">
        <v>31237</v>
      </c>
      <c r="B129" s="323" t="s">
        <v>7643</v>
      </c>
      <c r="C129" s="323" t="s">
        <v>7544</v>
      </c>
      <c r="D129" s="324">
        <f>SUMIF(Leerlingaantallen[Werkgevernummer],BevoegdGezag!A129,Leerlingaantallen[Bedrag])</f>
        <v>617209.66000000015</v>
      </c>
    </row>
    <row r="130" spans="1:4" x14ac:dyDescent="0.25">
      <c r="A130" s="331">
        <v>31267</v>
      </c>
      <c r="B130" s="323" t="s">
        <v>7644</v>
      </c>
      <c r="C130" s="323" t="s">
        <v>7544</v>
      </c>
      <c r="D130" s="324">
        <f>SUMIF(Leerlingaantallen[Werkgevernummer],BevoegdGezag!A130,Leerlingaantallen[Bedrag])</f>
        <v>475039.28</v>
      </c>
    </row>
    <row r="131" spans="1:4" x14ac:dyDescent="0.25">
      <c r="A131" s="331">
        <v>31280</v>
      </c>
      <c r="B131" s="323" t="s">
        <v>7645</v>
      </c>
      <c r="C131" s="323" t="s">
        <v>7539</v>
      </c>
      <c r="D131" s="324">
        <f>SUMIF(Leerlingaantallen[Werkgevernummer],BevoegdGezag!A131,Leerlingaantallen[Bedrag])</f>
        <v>79498.36</v>
      </c>
    </row>
    <row r="132" spans="1:4" x14ac:dyDescent="0.25">
      <c r="A132" s="331">
        <v>31384</v>
      </c>
      <c r="B132" s="323" t="s">
        <v>7646</v>
      </c>
      <c r="C132" s="323" t="s">
        <v>7544</v>
      </c>
      <c r="D132" s="324">
        <f>SUMIF(Leerlingaantallen[Werkgevernummer],BevoegdGezag!A132,Leerlingaantallen[Bedrag])</f>
        <v>1325501.03</v>
      </c>
    </row>
    <row r="133" spans="1:4" x14ac:dyDescent="0.25">
      <c r="A133" s="331">
        <v>31552</v>
      </c>
      <c r="B133" s="323" t="s">
        <v>7647</v>
      </c>
      <c r="C133" s="323" t="s">
        <v>7537</v>
      </c>
      <c r="D133" s="324">
        <f>SUMIF(Leerlingaantallen[Werkgevernummer],BevoegdGezag!A133,Leerlingaantallen[Bedrag])</f>
        <v>50235.16</v>
      </c>
    </row>
    <row r="134" spans="1:4" x14ac:dyDescent="0.25">
      <c r="A134" s="331">
        <v>31657</v>
      </c>
      <c r="B134" s="323" t="s">
        <v>7648</v>
      </c>
      <c r="C134" s="323" t="s">
        <v>7542</v>
      </c>
      <c r="D134" s="324">
        <f>SUMIF(Leerlingaantallen[Werkgevernummer],BevoegdGezag!A134,Leerlingaantallen[Bedrag])</f>
        <v>770597.60000000009</v>
      </c>
    </row>
    <row r="135" spans="1:4" x14ac:dyDescent="0.25">
      <c r="A135" s="331">
        <v>31890</v>
      </c>
      <c r="B135" s="323" t="s">
        <v>7649</v>
      </c>
      <c r="C135" s="323" t="s">
        <v>7539</v>
      </c>
      <c r="D135" s="324">
        <f>SUMIF(Leerlingaantallen[Werkgevernummer],BevoegdGezag!A135,Leerlingaantallen[Bedrag])</f>
        <v>39993.040000000001</v>
      </c>
    </row>
    <row r="136" spans="1:4" x14ac:dyDescent="0.25">
      <c r="A136" s="331">
        <v>31969</v>
      </c>
      <c r="B136" s="323" t="s">
        <v>7650</v>
      </c>
      <c r="C136" s="323" t="s">
        <v>7544</v>
      </c>
      <c r="D136" s="324">
        <f>SUMIF(Leerlingaantallen[Werkgevernummer],BevoegdGezag!A136,Leerlingaantallen[Bedrag])</f>
        <v>95593.12000000001</v>
      </c>
    </row>
    <row r="137" spans="1:4" x14ac:dyDescent="0.25">
      <c r="A137" s="331">
        <v>32060</v>
      </c>
      <c r="B137" s="323" t="s">
        <v>7651</v>
      </c>
      <c r="C137" s="323" t="s">
        <v>7544</v>
      </c>
      <c r="D137" s="324">
        <f>SUMIF(Leerlingaantallen[Werkgevernummer],BevoegdGezag!A137,Leerlingaantallen[Bedrag])</f>
        <v>431632.2</v>
      </c>
    </row>
    <row r="138" spans="1:4" x14ac:dyDescent="0.25">
      <c r="A138" s="331">
        <v>32072</v>
      </c>
      <c r="B138" s="323" t="s">
        <v>7652</v>
      </c>
      <c r="C138" s="323" t="s">
        <v>7535</v>
      </c>
      <c r="D138" s="324">
        <f>SUMIF(Leerlingaantallen[Werkgevernummer],BevoegdGezag!A138,Leerlingaantallen[Bedrag])</f>
        <v>115345.78000000001</v>
      </c>
    </row>
    <row r="139" spans="1:4" x14ac:dyDescent="0.25">
      <c r="A139" s="331">
        <v>32073</v>
      </c>
      <c r="B139" s="323" t="s">
        <v>7653</v>
      </c>
      <c r="C139" s="323" t="s">
        <v>7539</v>
      </c>
      <c r="D139" s="324">
        <f>SUMIF(Leerlingaantallen[Werkgevernummer],BevoegdGezag!A139,Leerlingaantallen[Bedrag])</f>
        <v>1273680.78</v>
      </c>
    </row>
    <row r="140" spans="1:4" x14ac:dyDescent="0.25">
      <c r="A140" s="331">
        <v>32099</v>
      </c>
      <c r="B140" s="323" t="s">
        <v>7654</v>
      </c>
      <c r="C140" s="323" t="s">
        <v>7544</v>
      </c>
      <c r="D140" s="324">
        <f>SUMIF(Leerlingaantallen[Werkgevernummer],BevoegdGezag!A140,Leerlingaantallen[Bedrag])</f>
        <v>777181.82000000007</v>
      </c>
    </row>
    <row r="141" spans="1:4" x14ac:dyDescent="0.25">
      <c r="A141" s="331">
        <v>32177</v>
      </c>
      <c r="B141" s="323" t="s">
        <v>7655</v>
      </c>
      <c r="C141" s="323" t="s">
        <v>7544</v>
      </c>
      <c r="D141" s="324">
        <f>SUMIF(Leerlingaantallen[Werkgevernummer],BevoegdGezag!A141,Leerlingaantallen[Bedrag])</f>
        <v>681710.63000000012</v>
      </c>
    </row>
    <row r="142" spans="1:4" x14ac:dyDescent="0.25">
      <c r="A142" s="331">
        <v>32202</v>
      </c>
      <c r="B142" s="323" t="s">
        <v>7656</v>
      </c>
      <c r="C142" s="323" t="s">
        <v>7539</v>
      </c>
      <c r="D142" s="324">
        <f>SUMIF(Leerlingaantallen[Werkgevernummer],BevoegdGezag!A142,Leerlingaantallen[Bedrag])</f>
        <v>69012.38</v>
      </c>
    </row>
    <row r="143" spans="1:4" x14ac:dyDescent="0.25">
      <c r="A143" s="331">
        <v>32203</v>
      </c>
      <c r="B143" s="323" t="s">
        <v>7657</v>
      </c>
      <c r="C143" s="323" t="s">
        <v>7544</v>
      </c>
      <c r="D143" s="324">
        <f>SUMIF(Leerlingaantallen[Werkgevernummer],BevoegdGezag!A143,Leerlingaantallen[Bedrag])</f>
        <v>192161.68000000002</v>
      </c>
    </row>
    <row r="144" spans="1:4" x14ac:dyDescent="0.25">
      <c r="A144" s="331">
        <v>32216</v>
      </c>
      <c r="B144" s="323" t="s">
        <v>8422</v>
      </c>
      <c r="C144" s="323" t="s">
        <v>7544</v>
      </c>
      <c r="D144" s="324">
        <f>SUMIF(Leerlingaantallen[Werkgevernummer],BevoegdGezag!A144,Leerlingaantallen[Bedrag])</f>
        <v>200940.64</v>
      </c>
    </row>
    <row r="145" spans="1:4" x14ac:dyDescent="0.25">
      <c r="A145" s="331">
        <v>32515</v>
      </c>
      <c r="B145" s="323" t="s">
        <v>7658</v>
      </c>
      <c r="C145" s="323" t="s">
        <v>7539</v>
      </c>
      <c r="D145" s="324">
        <f>SUMIF(Leerlingaantallen[Werkgevernummer],BevoegdGezag!A145,Leerlingaantallen[Bedrag])</f>
        <v>51210.600000000006</v>
      </c>
    </row>
    <row r="146" spans="1:4" x14ac:dyDescent="0.25">
      <c r="A146" s="331">
        <v>32580</v>
      </c>
      <c r="B146" s="323" t="s">
        <v>7659</v>
      </c>
      <c r="C146" s="323" t="s">
        <v>7544</v>
      </c>
      <c r="D146" s="324">
        <f>SUMIF(Leerlingaantallen[Werkgevernummer],BevoegdGezag!A146,Leerlingaantallen[Bedrag])</f>
        <v>718899.28</v>
      </c>
    </row>
    <row r="147" spans="1:4" x14ac:dyDescent="0.25">
      <c r="A147" s="331">
        <v>32631</v>
      </c>
      <c r="B147" s="323" t="s">
        <v>7660</v>
      </c>
      <c r="C147" s="323" t="s">
        <v>7539</v>
      </c>
      <c r="D147" s="324">
        <f>SUMIF(Leerlingaantallen[Werkgevernummer],BevoegdGezag!A147,Leerlingaantallen[Bedrag])</f>
        <v>288974.10000000003</v>
      </c>
    </row>
    <row r="148" spans="1:4" x14ac:dyDescent="0.25">
      <c r="A148" s="331">
        <v>32813</v>
      </c>
      <c r="B148" s="323" t="s">
        <v>7661</v>
      </c>
      <c r="C148" s="323" t="s">
        <v>7539</v>
      </c>
      <c r="D148" s="324">
        <f>SUMIF(Leerlingaantallen[Werkgevernummer],BevoegdGezag!A148,Leerlingaantallen[Bedrag])</f>
        <v>37554.44</v>
      </c>
    </row>
    <row r="149" spans="1:4" x14ac:dyDescent="0.25">
      <c r="A149" s="331">
        <v>33034</v>
      </c>
      <c r="B149" s="323" t="s">
        <v>7662</v>
      </c>
      <c r="C149" s="323" t="s">
        <v>7539</v>
      </c>
      <c r="D149" s="324">
        <f>SUMIF(Leerlingaantallen[Werkgevernummer],BevoegdGezag!A149,Leerlingaantallen[Bedrag])</f>
        <v>48772</v>
      </c>
    </row>
    <row r="150" spans="1:4" x14ac:dyDescent="0.25">
      <c r="A150" s="331">
        <v>33151</v>
      </c>
      <c r="B150" s="323" t="s">
        <v>7663</v>
      </c>
      <c r="C150" s="323" t="s">
        <v>7537</v>
      </c>
      <c r="D150" s="324">
        <f>SUMIF(Leerlingaantallen[Werkgevernummer],BevoegdGezag!A150,Leerlingaantallen[Bedrag])</f>
        <v>56087.8</v>
      </c>
    </row>
    <row r="151" spans="1:4" x14ac:dyDescent="0.25">
      <c r="A151" s="331">
        <v>33268</v>
      </c>
      <c r="B151" s="323" t="s">
        <v>7664</v>
      </c>
      <c r="C151" s="323" t="s">
        <v>7537</v>
      </c>
      <c r="D151" s="324">
        <f>SUMIF(Leerlingaantallen[Werkgevernummer],BevoegdGezag!A151,Leerlingaantallen[Bedrag])</f>
        <v>53649.200000000004</v>
      </c>
    </row>
    <row r="152" spans="1:4" x14ac:dyDescent="0.25">
      <c r="A152" s="331">
        <v>33424</v>
      </c>
      <c r="B152" s="323" t="s">
        <v>7665</v>
      </c>
      <c r="C152" s="323" t="s">
        <v>7544</v>
      </c>
      <c r="D152" s="324">
        <f>SUMIF(Leerlingaantallen[Werkgevernummer],BevoegdGezag!A152,Leerlingaantallen[Bedrag])</f>
        <v>15363.18</v>
      </c>
    </row>
    <row r="153" spans="1:4" x14ac:dyDescent="0.25">
      <c r="A153" s="331">
        <v>33645</v>
      </c>
      <c r="B153" s="323" t="s">
        <v>7666</v>
      </c>
      <c r="C153" s="323" t="s">
        <v>7539</v>
      </c>
      <c r="D153" s="324">
        <f>SUMIF(Leerlingaantallen[Werkgevernummer],BevoegdGezag!A153,Leerlingaantallen[Bedrag])</f>
        <v>66573.78</v>
      </c>
    </row>
    <row r="154" spans="1:4" x14ac:dyDescent="0.25">
      <c r="A154" s="331">
        <v>33853</v>
      </c>
      <c r="B154" s="323" t="s">
        <v>7667</v>
      </c>
      <c r="C154" s="323" t="s">
        <v>7539</v>
      </c>
      <c r="D154" s="324">
        <f>SUMIF(Leerlingaantallen[Werkgevernummer],BevoegdGezag!A154,Leerlingaantallen[Bedrag])</f>
        <v>33896.54</v>
      </c>
    </row>
    <row r="155" spans="1:4" x14ac:dyDescent="0.25">
      <c r="A155" s="331">
        <v>33957</v>
      </c>
      <c r="B155" s="323" t="s">
        <v>7668</v>
      </c>
      <c r="C155" s="323" t="s">
        <v>7537</v>
      </c>
      <c r="D155" s="324">
        <f>SUMIF(Leerlingaantallen[Werkgevernummer],BevoegdGezag!A155,Leerlingaantallen[Bedrag])</f>
        <v>29507.06</v>
      </c>
    </row>
    <row r="156" spans="1:4" x14ac:dyDescent="0.25">
      <c r="A156" s="331">
        <v>34139</v>
      </c>
      <c r="B156" s="323" t="s">
        <v>7669</v>
      </c>
      <c r="C156" s="323" t="s">
        <v>7535</v>
      </c>
      <c r="D156" s="324">
        <f>SUMIF(Leerlingaantallen[Werkgevernummer],BevoegdGezag!A156,Leerlingaantallen[Bedrag])</f>
        <v>129733.52</v>
      </c>
    </row>
    <row r="157" spans="1:4" x14ac:dyDescent="0.25">
      <c r="A157" s="331">
        <v>34230</v>
      </c>
      <c r="B157" s="323" t="s">
        <v>7670</v>
      </c>
      <c r="C157" s="323" t="s">
        <v>7537</v>
      </c>
      <c r="D157" s="324">
        <f>SUMIF(Leerlingaantallen[Werkgevernummer],BevoegdGezag!A157,Leerlingaantallen[Bedrag])</f>
        <v>102908.92000000001</v>
      </c>
    </row>
    <row r="158" spans="1:4" x14ac:dyDescent="0.25">
      <c r="A158" s="331">
        <v>34646</v>
      </c>
      <c r="B158" s="323" t="s">
        <v>7671</v>
      </c>
      <c r="C158" s="323" t="s">
        <v>7539</v>
      </c>
      <c r="D158" s="324">
        <f>SUMIF(Leerlingaantallen[Werkgevernummer],BevoegdGezag!A158,Leerlingaantallen[Bedrag])</f>
        <v>47552.700000000004</v>
      </c>
    </row>
    <row r="159" spans="1:4" x14ac:dyDescent="0.25">
      <c r="A159" s="331">
        <v>34893</v>
      </c>
      <c r="B159" s="323" t="s">
        <v>7672</v>
      </c>
      <c r="C159" s="323" t="s">
        <v>7539</v>
      </c>
      <c r="D159" s="324">
        <f>SUMIF(Leerlingaantallen[Werkgevernummer],BevoegdGezag!A159,Leerlingaantallen[Bedrag])</f>
        <v>50479.020000000004</v>
      </c>
    </row>
    <row r="160" spans="1:4" x14ac:dyDescent="0.25">
      <c r="A160" s="331">
        <v>34919</v>
      </c>
      <c r="B160" s="323" t="s">
        <v>7673</v>
      </c>
      <c r="C160" s="323" t="s">
        <v>7539</v>
      </c>
      <c r="D160" s="324">
        <f>SUMIF(Leerlingaantallen[Werkgevernummer],BevoegdGezag!A160,Leerlingaantallen[Bedrag])</f>
        <v>105103.66</v>
      </c>
    </row>
    <row r="161" spans="1:4" x14ac:dyDescent="0.25">
      <c r="A161" s="331">
        <v>34932</v>
      </c>
      <c r="B161" s="323" t="s">
        <v>7674</v>
      </c>
      <c r="C161" s="323" t="s">
        <v>7539</v>
      </c>
      <c r="D161" s="324">
        <f>SUMIF(Leerlingaantallen[Werkgevernummer],BevoegdGezag!A161,Leerlingaantallen[Bedrag])</f>
        <v>151924.78000000003</v>
      </c>
    </row>
    <row r="162" spans="1:4" x14ac:dyDescent="0.25">
      <c r="A162" s="331">
        <v>35218</v>
      </c>
      <c r="B162" s="323" t="s">
        <v>7675</v>
      </c>
      <c r="C162" s="323" t="s">
        <v>7539</v>
      </c>
      <c r="D162" s="324">
        <f>SUMIF(Leerlingaantallen[Werkgevernummer],BevoegdGezag!A162,Leerlingaantallen[Bedrag])</f>
        <v>55112.36</v>
      </c>
    </row>
    <row r="163" spans="1:4" x14ac:dyDescent="0.25">
      <c r="A163" s="331">
        <v>35297</v>
      </c>
      <c r="B163" s="323" t="s">
        <v>7676</v>
      </c>
      <c r="C163" s="323" t="s">
        <v>7535</v>
      </c>
      <c r="D163" s="324">
        <f>SUMIF(Leerlingaantallen[Werkgevernummer],BevoegdGezag!A163,Leerlingaantallen[Bedrag])</f>
        <v>67061.5</v>
      </c>
    </row>
    <row r="164" spans="1:4" x14ac:dyDescent="0.25">
      <c r="A164" s="331">
        <v>35466</v>
      </c>
      <c r="B164" s="323" t="s">
        <v>7677</v>
      </c>
      <c r="C164" s="323" t="s">
        <v>7539</v>
      </c>
      <c r="D164" s="324">
        <f>SUMIF(Leerlingaantallen[Werkgevernummer],BevoegdGezag!A164,Leerlingaantallen[Bedrag])</f>
        <v>491865.62</v>
      </c>
    </row>
    <row r="165" spans="1:4" x14ac:dyDescent="0.25">
      <c r="A165" s="331">
        <v>35504</v>
      </c>
      <c r="B165" s="323" t="s">
        <v>7678</v>
      </c>
      <c r="C165" s="323" t="s">
        <v>7537</v>
      </c>
      <c r="D165" s="324">
        <f>SUMIF(Leerlingaantallen[Werkgevernummer],BevoegdGezag!A165,Leerlingaantallen[Bedrag])</f>
        <v>70963.260000000009</v>
      </c>
    </row>
    <row r="166" spans="1:4" x14ac:dyDescent="0.25">
      <c r="A166" s="331">
        <v>36063</v>
      </c>
      <c r="B166" s="323" t="s">
        <v>7679</v>
      </c>
      <c r="C166" s="323" t="s">
        <v>7539</v>
      </c>
      <c r="D166" s="324">
        <f>SUMIF(Leerlingaantallen[Werkgevernummer],BevoegdGezag!A166,Leerlingaantallen[Bedrag])</f>
        <v>18777.22</v>
      </c>
    </row>
    <row r="167" spans="1:4" x14ac:dyDescent="0.25">
      <c r="A167" s="331">
        <v>36336</v>
      </c>
      <c r="B167" s="323" t="s">
        <v>7680</v>
      </c>
      <c r="C167" s="323" t="s">
        <v>7539</v>
      </c>
      <c r="D167" s="324">
        <f>SUMIF(Leerlingaantallen[Werkgevernummer],BevoegdGezag!A167,Leerlingaantallen[Bedrag])</f>
        <v>35359.700000000004</v>
      </c>
    </row>
    <row r="168" spans="1:4" x14ac:dyDescent="0.25">
      <c r="A168" s="331">
        <v>36349</v>
      </c>
      <c r="B168" s="323" t="s">
        <v>7681</v>
      </c>
      <c r="C168" s="323" t="s">
        <v>7539</v>
      </c>
      <c r="D168" s="324">
        <f>SUMIF(Leerlingaantallen[Werkgevernummer],BevoegdGezag!A168,Leerlingaantallen[Bedrag])</f>
        <v>63159.740000000005</v>
      </c>
    </row>
    <row r="169" spans="1:4" x14ac:dyDescent="0.25">
      <c r="A169" s="331">
        <v>36440</v>
      </c>
      <c r="B169" s="323" t="s">
        <v>7682</v>
      </c>
      <c r="C169" s="323" t="s">
        <v>7537</v>
      </c>
      <c r="D169" s="324">
        <f>SUMIF(Leerlingaantallen[Werkgevernummer],BevoegdGezag!A169,Leerlingaantallen[Bedrag])</f>
        <v>44870.240000000005</v>
      </c>
    </row>
    <row r="170" spans="1:4" x14ac:dyDescent="0.25">
      <c r="A170" s="331">
        <v>36479</v>
      </c>
      <c r="B170" s="323" t="s">
        <v>7683</v>
      </c>
      <c r="C170" s="323" t="s">
        <v>7539</v>
      </c>
      <c r="D170" s="324">
        <f>SUMIF(Leerlingaantallen[Werkgevernummer],BevoegdGezag!A170,Leerlingaantallen[Bedrag])</f>
        <v>278731.98000000004</v>
      </c>
    </row>
    <row r="171" spans="1:4" x14ac:dyDescent="0.25">
      <c r="A171" s="331">
        <v>36700</v>
      </c>
      <c r="B171" s="323" t="s">
        <v>8423</v>
      </c>
      <c r="C171" s="323" t="s">
        <v>7537</v>
      </c>
      <c r="D171" s="324">
        <f>SUMIF(Leerlingaantallen[Werkgevernummer],BevoegdGezag!A171,Leerlingaantallen[Bedrag])</f>
        <v>120466.84000000001</v>
      </c>
    </row>
    <row r="172" spans="1:4" x14ac:dyDescent="0.25">
      <c r="A172" s="331">
        <v>36739</v>
      </c>
      <c r="B172" s="323" t="s">
        <v>7684</v>
      </c>
      <c r="C172" s="323" t="s">
        <v>7537</v>
      </c>
      <c r="D172" s="324">
        <f>SUMIF(Leerlingaantallen[Werkgevernummer],BevoegdGezag!A172,Leerlingaantallen[Bedrag])</f>
        <v>58526.400000000001</v>
      </c>
    </row>
    <row r="173" spans="1:4" x14ac:dyDescent="0.25">
      <c r="A173" s="331">
        <v>36778</v>
      </c>
      <c r="B173" s="323" t="s">
        <v>7685</v>
      </c>
      <c r="C173" s="323" t="s">
        <v>7539</v>
      </c>
      <c r="D173" s="324">
        <f>SUMIF(Leerlingaantallen[Werkgevernummer],BevoegdGezag!A173,Leerlingaantallen[Bedrag])</f>
        <v>22922.84</v>
      </c>
    </row>
    <row r="174" spans="1:4" x14ac:dyDescent="0.25">
      <c r="A174" s="331">
        <v>36817</v>
      </c>
      <c r="B174" s="323" t="s">
        <v>7686</v>
      </c>
      <c r="C174" s="323" t="s">
        <v>7537</v>
      </c>
      <c r="D174" s="324">
        <f>SUMIF(Leerlingaantallen[Werkgevernummer],BevoegdGezag!A174,Leerlingaantallen[Bedrag])</f>
        <v>48528.14</v>
      </c>
    </row>
    <row r="175" spans="1:4" x14ac:dyDescent="0.25">
      <c r="A175" s="331">
        <v>36831</v>
      </c>
      <c r="B175" s="323" t="s">
        <v>7687</v>
      </c>
      <c r="C175" s="323" t="s">
        <v>7539</v>
      </c>
      <c r="D175" s="324">
        <f>SUMIF(Leerlingaantallen[Werkgevernummer],BevoegdGezag!A175,Leerlingaantallen[Bedrag])</f>
        <v>74865.02</v>
      </c>
    </row>
    <row r="176" spans="1:4" x14ac:dyDescent="0.25">
      <c r="A176" s="331">
        <v>37038</v>
      </c>
      <c r="B176" s="323" t="s">
        <v>7688</v>
      </c>
      <c r="C176" s="323" t="s">
        <v>7539</v>
      </c>
      <c r="D176" s="324">
        <f>SUMIF(Leerlingaantallen[Werkgevernummer],BevoegdGezag!A176,Leerlingaantallen[Bedrag])</f>
        <v>44870.240000000005</v>
      </c>
    </row>
    <row r="177" spans="1:4" x14ac:dyDescent="0.25">
      <c r="A177" s="331">
        <v>37233</v>
      </c>
      <c r="B177" s="323" t="s">
        <v>7689</v>
      </c>
      <c r="C177" s="323" t="s">
        <v>7539</v>
      </c>
      <c r="D177" s="324">
        <f>SUMIF(Leerlingaantallen[Werkgevernummer],BevoegdGezag!A177,Leerlingaantallen[Bedrag])</f>
        <v>55112.36</v>
      </c>
    </row>
    <row r="178" spans="1:4" x14ac:dyDescent="0.25">
      <c r="A178" s="331">
        <v>37299</v>
      </c>
      <c r="B178" s="323" t="s">
        <v>7690</v>
      </c>
      <c r="C178" s="323" t="s">
        <v>7542</v>
      </c>
      <c r="D178" s="324">
        <f>SUMIF(Leerlingaantallen[Werkgevernummer],BevoegdGezag!A178,Leerlingaantallen[Bedrag])</f>
        <v>165580.94</v>
      </c>
    </row>
    <row r="179" spans="1:4" x14ac:dyDescent="0.25">
      <c r="A179" s="331">
        <v>37428</v>
      </c>
      <c r="B179" s="323" t="s">
        <v>7691</v>
      </c>
      <c r="C179" s="323" t="s">
        <v>7539</v>
      </c>
      <c r="D179" s="324">
        <f>SUMIF(Leerlingaantallen[Werkgevernummer],BevoegdGezag!A179,Leerlingaantallen[Bedrag])</f>
        <v>95593.12000000001</v>
      </c>
    </row>
    <row r="180" spans="1:4" x14ac:dyDescent="0.25">
      <c r="A180" s="331">
        <v>37545</v>
      </c>
      <c r="B180" s="323" t="s">
        <v>7692</v>
      </c>
      <c r="C180" s="323" t="s">
        <v>7537</v>
      </c>
      <c r="D180" s="324">
        <f>SUMIF(Leerlingaantallen[Werkgevernummer],BevoegdGezag!A180,Leerlingaantallen[Bedrag])</f>
        <v>114614.20000000001</v>
      </c>
    </row>
    <row r="181" spans="1:4" x14ac:dyDescent="0.25">
      <c r="A181" s="331">
        <v>37571</v>
      </c>
      <c r="B181" s="323" t="s">
        <v>7693</v>
      </c>
      <c r="C181" s="323" t="s">
        <v>7537</v>
      </c>
      <c r="D181" s="324">
        <f>SUMIF(Leerlingaantallen[Werkgevernummer],BevoegdGezag!A181,Leerlingaantallen[Bedrag])</f>
        <v>68768.52</v>
      </c>
    </row>
    <row r="182" spans="1:4" x14ac:dyDescent="0.25">
      <c r="A182" s="331">
        <v>37663</v>
      </c>
      <c r="B182" s="323" t="s">
        <v>7694</v>
      </c>
      <c r="C182" s="323" t="s">
        <v>7544</v>
      </c>
      <c r="D182" s="324">
        <f>SUMIF(Leerlingaantallen[Werkgevernummer],BevoegdGezag!A182,Leerlingaantallen[Bedrag])</f>
        <v>570144.67999999993</v>
      </c>
    </row>
    <row r="183" spans="1:4" x14ac:dyDescent="0.25">
      <c r="A183" s="331">
        <v>37857</v>
      </c>
      <c r="B183" s="323" t="s">
        <v>7695</v>
      </c>
      <c r="C183" s="323" t="s">
        <v>7535</v>
      </c>
      <c r="D183" s="324">
        <f>SUMIF(Leerlingaantallen[Werkgevernummer],BevoegdGezag!A183,Leerlingaantallen[Bedrag])</f>
        <v>70719.400000000009</v>
      </c>
    </row>
    <row r="184" spans="1:4" x14ac:dyDescent="0.25">
      <c r="A184" s="331">
        <v>37949</v>
      </c>
      <c r="B184" s="323" t="s">
        <v>7696</v>
      </c>
      <c r="C184" s="323" t="s">
        <v>7539</v>
      </c>
      <c r="D184" s="324">
        <f>SUMIF(Leerlingaantallen[Werkgevernummer],BevoegdGezag!A184,Leerlingaantallen[Bedrag])</f>
        <v>986901.41999999993</v>
      </c>
    </row>
    <row r="185" spans="1:4" x14ac:dyDescent="0.25">
      <c r="A185" s="331">
        <v>38001</v>
      </c>
      <c r="B185" s="323" t="s">
        <v>7697</v>
      </c>
      <c r="C185" s="323" t="s">
        <v>7698</v>
      </c>
      <c r="D185" s="324">
        <f>SUMIF(Leerlingaantallen[Werkgevernummer],BevoegdGezag!A185,Leerlingaantallen[Bedrag])</f>
        <v>815102.05000000016</v>
      </c>
    </row>
    <row r="186" spans="1:4" x14ac:dyDescent="0.25">
      <c r="A186" s="331">
        <v>38144</v>
      </c>
      <c r="B186" s="323" t="s">
        <v>7699</v>
      </c>
      <c r="C186" s="323" t="s">
        <v>7539</v>
      </c>
      <c r="D186" s="324">
        <f>SUMIF(Leerlingaantallen[Werkgevernummer],BevoegdGezag!A186,Leerlingaantallen[Bedrag])</f>
        <v>58282.54</v>
      </c>
    </row>
    <row r="187" spans="1:4" x14ac:dyDescent="0.25">
      <c r="A187" s="331">
        <v>38169</v>
      </c>
      <c r="B187" s="323" t="s">
        <v>7700</v>
      </c>
      <c r="C187" s="323" t="s">
        <v>7537</v>
      </c>
      <c r="D187" s="324">
        <f>SUMIF(Leerlingaantallen[Werkgevernummer],BevoegdGezag!A187,Leerlingaantallen[Bedrag])</f>
        <v>105835.24</v>
      </c>
    </row>
    <row r="188" spans="1:4" x14ac:dyDescent="0.25">
      <c r="A188" s="331">
        <v>38209</v>
      </c>
      <c r="B188" s="323" t="s">
        <v>8424</v>
      </c>
      <c r="C188" s="323" t="s">
        <v>7537</v>
      </c>
      <c r="D188" s="324">
        <f>SUMIF(Leerlingaantallen[Werkgevernummer],BevoegdGezag!A188,Leerlingaantallen[Bedrag])</f>
        <v>136073.88</v>
      </c>
    </row>
    <row r="189" spans="1:4" x14ac:dyDescent="0.25">
      <c r="A189" s="331">
        <v>38222</v>
      </c>
      <c r="B189" s="323" t="s">
        <v>7701</v>
      </c>
      <c r="C189" s="323" t="s">
        <v>7535</v>
      </c>
      <c r="D189" s="324">
        <f>SUMIF(Leerlingaantallen[Werkgevernummer],BevoegdGezag!A189,Leerlingaantallen[Bedrag])</f>
        <v>41700.060000000005</v>
      </c>
    </row>
    <row r="190" spans="1:4" x14ac:dyDescent="0.25">
      <c r="A190" s="331">
        <v>38235</v>
      </c>
      <c r="B190" s="323" t="s">
        <v>7702</v>
      </c>
      <c r="C190" s="323" t="s">
        <v>7544</v>
      </c>
      <c r="D190" s="324">
        <f>SUMIF(Leerlingaantallen[Werkgevernummer],BevoegdGezag!A190,Leerlingaantallen[Bedrag])</f>
        <v>26093.02</v>
      </c>
    </row>
    <row r="191" spans="1:4" x14ac:dyDescent="0.25">
      <c r="A191" s="331">
        <v>38351</v>
      </c>
      <c r="B191" s="323" t="s">
        <v>7703</v>
      </c>
      <c r="C191" s="323" t="s">
        <v>7539</v>
      </c>
      <c r="D191" s="324">
        <f>SUMIF(Leerlingaantallen[Werkgevernummer],BevoegdGezag!A191,Leerlingaantallen[Bedrag])</f>
        <v>44138.66</v>
      </c>
    </row>
    <row r="192" spans="1:4" x14ac:dyDescent="0.25">
      <c r="A192" s="331">
        <v>38650</v>
      </c>
      <c r="B192" s="323" t="s">
        <v>7704</v>
      </c>
      <c r="C192" s="323" t="s">
        <v>7539</v>
      </c>
      <c r="D192" s="324">
        <f>SUMIF(Leerlingaantallen[Werkgevernummer],BevoegdGezag!A192,Leerlingaantallen[Bedrag])</f>
        <v>67549.22</v>
      </c>
    </row>
    <row r="193" spans="1:4" x14ac:dyDescent="0.25">
      <c r="A193" s="331">
        <v>38819</v>
      </c>
      <c r="B193" s="323" t="s">
        <v>7705</v>
      </c>
      <c r="C193" s="323" t="s">
        <v>7539</v>
      </c>
      <c r="D193" s="324">
        <f>SUMIF(Leerlingaantallen[Werkgevernummer],BevoegdGezag!A193,Leerlingaantallen[Bedrag])</f>
        <v>80717.66</v>
      </c>
    </row>
    <row r="194" spans="1:4" x14ac:dyDescent="0.25">
      <c r="A194" s="331">
        <v>38910</v>
      </c>
      <c r="B194" s="323" t="s">
        <v>7706</v>
      </c>
      <c r="C194" s="323" t="s">
        <v>7539</v>
      </c>
      <c r="D194" s="324">
        <f>SUMIF(Leerlingaantallen[Werkgevernummer],BevoegdGezag!A194,Leerlingaantallen[Bedrag])</f>
        <v>157777.42000000001</v>
      </c>
    </row>
    <row r="195" spans="1:4" x14ac:dyDescent="0.25">
      <c r="A195" s="331">
        <v>39001</v>
      </c>
      <c r="B195" s="323" t="s">
        <v>7707</v>
      </c>
      <c r="C195" s="323" t="s">
        <v>7539</v>
      </c>
      <c r="D195" s="324">
        <f>SUMIF(Leerlingaantallen[Werkgevernummer],BevoegdGezag!A195,Leerlingaantallen[Bedrag])</f>
        <v>23898.280000000002</v>
      </c>
    </row>
    <row r="196" spans="1:4" x14ac:dyDescent="0.25">
      <c r="A196" s="331">
        <v>39275</v>
      </c>
      <c r="B196" s="323" t="s">
        <v>7708</v>
      </c>
      <c r="C196" s="323" t="s">
        <v>7539</v>
      </c>
      <c r="D196" s="324">
        <f>SUMIF(Leerlingaantallen[Werkgevernummer],BevoegdGezag!A196,Leerlingaantallen[Bedrag])</f>
        <v>130952.82</v>
      </c>
    </row>
    <row r="197" spans="1:4" x14ac:dyDescent="0.25">
      <c r="A197" s="331">
        <v>39352</v>
      </c>
      <c r="B197" s="323" t="s">
        <v>7709</v>
      </c>
      <c r="C197" s="323" t="s">
        <v>7537</v>
      </c>
      <c r="D197" s="324">
        <f>SUMIF(Leerlingaantallen[Werkgevernummer],BevoegdGezag!A197,Leerlingaantallen[Bedrag])</f>
        <v>182651.14</v>
      </c>
    </row>
    <row r="198" spans="1:4" x14ac:dyDescent="0.25">
      <c r="A198" s="331">
        <v>39534</v>
      </c>
      <c r="B198" s="323" t="s">
        <v>7710</v>
      </c>
      <c r="C198" s="323" t="s">
        <v>7544</v>
      </c>
      <c r="D198" s="324">
        <f>SUMIF(Leerlingaantallen[Werkgevernummer],BevoegdGezag!A198,Leerlingaantallen[Bedrag])</f>
        <v>45114.100000000006</v>
      </c>
    </row>
    <row r="199" spans="1:4" x14ac:dyDescent="0.25">
      <c r="A199" s="331">
        <v>39600</v>
      </c>
      <c r="B199" s="323" t="s">
        <v>7711</v>
      </c>
      <c r="C199" s="323" t="s">
        <v>7542</v>
      </c>
      <c r="D199" s="324">
        <f>SUMIF(Leerlingaantallen[Werkgevernummer],BevoegdGezag!A199,Leerlingaantallen[Bedrag])</f>
        <v>482111.22000000003</v>
      </c>
    </row>
    <row r="200" spans="1:4" x14ac:dyDescent="0.25">
      <c r="A200" s="331">
        <v>39859</v>
      </c>
      <c r="B200" s="323" t="s">
        <v>7712</v>
      </c>
      <c r="C200" s="323" t="s">
        <v>7537</v>
      </c>
      <c r="D200" s="324">
        <f>SUMIF(Leerlingaantallen[Werkgevernummer],BevoegdGezag!A200,Leerlingaantallen[Bedrag])</f>
        <v>58770.26</v>
      </c>
    </row>
    <row r="201" spans="1:4" x14ac:dyDescent="0.25">
      <c r="A201" s="331">
        <v>39912</v>
      </c>
      <c r="B201" s="323" t="s">
        <v>7713</v>
      </c>
      <c r="C201" s="323" t="s">
        <v>7544</v>
      </c>
      <c r="D201" s="324">
        <f>SUMIF(Leerlingaantallen[Werkgevernummer],BevoegdGezag!A201,Leerlingaantallen[Bedrag])</f>
        <v>79986.080000000002</v>
      </c>
    </row>
    <row r="202" spans="1:4" x14ac:dyDescent="0.25">
      <c r="A202" s="331">
        <v>40020</v>
      </c>
      <c r="B202" s="323" t="s">
        <v>7714</v>
      </c>
      <c r="C202" s="323" t="s">
        <v>7542</v>
      </c>
      <c r="D202" s="324">
        <f>SUMIF(Leerlingaantallen[Werkgevernummer],BevoegdGezag!A202,Leerlingaantallen[Bedrag])</f>
        <v>1057864.68</v>
      </c>
    </row>
    <row r="203" spans="1:4" x14ac:dyDescent="0.25">
      <c r="A203" s="331">
        <v>40048</v>
      </c>
      <c r="B203" s="323" t="s">
        <v>7715</v>
      </c>
      <c r="C203" s="323" t="s">
        <v>7621</v>
      </c>
      <c r="D203" s="324">
        <f>SUMIF(Leerlingaantallen[Werkgevernummer],BevoegdGezag!A203,Leerlingaantallen[Bedrag])</f>
        <v>21703.54</v>
      </c>
    </row>
    <row r="204" spans="1:4" x14ac:dyDescent="0.25">
      <c r="A204" s="331">
        <v>40077</v>
      </c>
      <c r="B204" s="323" t="s">
        <v>7716</v>
      </c>
      <c r="C204" s="323" t="s">
        <v>7621</v>
      </c>
      <c r="D204" s="324">
        <f>SUMIF(Leerlingaantallen[Werkgevernummer],BevoegdGezag!A204,Leerlingaantallen[Bedrag])</f>
        <v>249468.78000000003</v>
      </c>
    </row>
    <row r="205" spans="1:4" x14ac:dyDescent="0.25">
      <c r="A205" s="331">
        <v>40114</v>
      </c>
      <c r="B205" s="323" t="s">
        <v>7717</v>
      </c>
      <c r="C205" s="323" t="s">
        <v>7537</v>
      </c>
      <c r="D205" s="324">
        <f>SUMIF(Leerlingaantallen[Werkgevernummer],BevoegdGezag!A205,Leerlingaantallen[Bedrag])</f>
        <v>1288434.3100000003</v>
      </c>
    </row>
    <row r="206" spans="1:4" x14ac:dyDescent="0.25">
      <c r="A206" s="331">
        <v>40132</v>
      </c>
      <c r="B206" s="323" t="s">
        <v>8425</v>
      </c>
      <c r="C206" s="323" t="s">
        <v>7539</v>
      </c>
      <c r="D206" s="324">
        <f>SUMIF(Leerlingaantallen[Werkgevernummer],BevoegdGezag!A206,Leerlingaantallen[Bedrag])</f>
        <v>60965</v>
      </c>
    </row>
    <row r="207" spans="1:4" x14ac:dyDescent="0.25">
      <c r="A207" s="331">
        <v>40144</v>
      </c>
      <c r="B207" s="323" t="s">
        <v>7718</v>
      </c>
      <c r="C207" s="323" t="s">
        <v>7537</v>
      </c>
      <c r="D207" s="324">
        <f>SUMIF(Leerlingaantallen[Werkgevernummer],BevoegdGezag!A207,Leerlingaantallen[Bedrag])</f>
        <v>59014.12</v>
      </c>
    </row>
    <row r="208" spans="1:4" x14ac:dyDescent="0.25">
      <c r="A208" s="331">
        <v>40189</v>
      </c>
      <c r="B208" s="323" t="s">
        <v>7719</v>
      </c>
      <c r="C208" s="323" t="s">
        <v>7720</v>
      </c>
      <c r="D208" s="324">
        <f>SUMIF(Leerlingaantallen[Werkgevernummer],BevoegdGezag!A208,Leerlingaantallen[Bedrag])</f>
        <v>85351</v>
      </c>
    </row>
    <row r="209" spans="1:4" x14ac:dyDescent="0.25">
      <c r="A209" s="331">
        <v>40207</v>
      </c>
      <c r="B209" s="323" t="s">
        <v>7721</v>
      </c>
      <c r="C209" s="323" t="s">
        <v>7537</v>
      </c>
      <c r="D209" s="324">
        <f>SUMIF(Leerlingaantallen[Werkgevernummer],BevoegdGezag!A209,Leerlingaantallen[Bedrag])</f>
        <v>65354.48</v>
      </c>
    </row>
    <row r="210" spans="1:4" x14ac:dyDescent="0.25">
      <c r="A210" s="331">
        <v>40257</v>
      </c>
      <c r="B210" s="323" t="s">
        <v>7722</v>
      </c>
      <c r="C210" s="323" t="s">
        <v>7542</v>
      </c>
      <c r="D210" s="324">
        <f>SUMIF(Leerlingaantallen[Werkgevernummer],BevoegdGezag!A210,Leerlingaantallen[Bedrag])</f>
        <v>692806.26000000013</v>
      </c>
    </row>
    <row r="211" spans="1:4" x14ac:dyDescent="0.25">
      <c r="A211" s="331">
        <v>40269</v>
      </c>
      <c r="B211" s="323" t="s">
        <v>7723</v>
      </c>
      <c r="C211" s="323" t="s">
        <v>7537</v>
      </c>
      <c r="D211" s="324">
        <f>SUMIF(Leerlingaantallen[Werkgevernummer],BevoegdGezag!A211,Leerlingaantallen[Bedrag])</f>
        <v>89252.760000000009</v>
      </c>
    </row>
    <row r="212" spans="1:4" x14ac:dyDescent="0.25">
      <c r="A212" s="331">
        <v>40272</v>
      </c>
      <c r="B212" s="323" t="s">
        <v>7724</v>
      </c>
      <c r="C212" s="323" t="s">
        <v>7621</v>
      </c>
      <c r="D212" s="324">
        <f>SUMIF(Leerlingaantallen[Werkgevernummer],BevoegdGezag!A212,Leerlingaantallen[Bedrag])</f>
        <v>304337.28000000003</v>
      </c>
    </row>
    <row r="213" spans="1:4" x14ac:dyDescent="0.25">
      <c r="A213" s="331">
        <v>40278</v>
      </c>
      <c r="B213" s="323" t="s">
        <v>7725</v>
      </c>
      <c r="C213" s="323" t="s">
        <v>7544</v>
      </c>
      <c r="D213" s="324">
        <f>SUMIF(Leerlingaantallen[Werkgevernummer],BevoegdGezag!A213,Leerlingaantallen[Bedrag])</f>
        <v>997753.19000000018</v>
      </c>
    </row>
    <row r="214" spans="1:4" x14ac:dyDescent="0.25">
      <c r="A214" s="331">
        <v>40281</v>
      </c>
      <c r="B214" s="323" t="s">
        <v>7726</v>
      </c>
      <c r="C214" s="323" t="s">
        <v>7537</v>
      </c>
      <c r="D214" s="324">
        <f>SUMIF(Leerlingaantallen[Werkgevernummer],BevoegdGezag!A214,Leerlingaantallen[Bedrag])</f>
        <v>55843.94</v>
      </c>
    </row>
    <row r="215" spans="1:4" x14ac:dyDescent="0.25">
      <c r="A215" s="331">
        <v>40284</v>
      </c>
      <c r="B215" s="323" t="s">
        <v>7727</v>
      </c>
      <c r="C215" s="323" t="s">
        <v>7537</v>
      </c>
      <c r="D215" s="324">
        <f>SUMIF(Leerlingaantallen[Werkgevernummer],BevoegdGezag!A215,Leerlingaantallen[Bedrag])</f>
        <v>57550.960000000006</v>
      </c>
    </row>
    <row r="216" spans="1:4" x14ac:dyDescent="0.25">
      <c r="A216" s="331">
        <v>40294</v>
      </c>
      <c r="B216" s="323" t="s">
        <v>7728</v>
      </c>
      <c r="C216" s="323" t="s">
        <v>7621</v>
      </c>
      <c r="D216" s="324">
        <f>SUMIF(Leerlingaantallen[Werkgevernummer],BevoegdGezag!A216,Leerlingaantallen[Bedrag])</f>
        <v>173140.6</v>
      </c>
    </row>
    <row r="217" spans="1:4" x14ac:dyDescent="0.25">
      <c r="A217" s="331">
        <v>40301</v>
      </c>
      <c r="B217" s="323" t="s">
        <v>7729</v>
      </c>
      <c r="C217" s="323" t="s">
        <v>7539</v>
      </c>
      <c r="D217" s="324">
        <f>SUMIF(Leerlingaantallen[Werkgevernummer],BevoegdGezag!A217,Leerlingaantallen[Bedrag])</f>
        <v>98275.58</v>
      </c>
    </row>
    <row r="218" spans="1:4" x14ac:dyDescent="0.25">
      <c r="A218" s="331">
        <v>40306</v>
      </c>
      <c r="B218" s="323" t="s">
        <v>7730</v>
      </c>
      <c r="C218" s="323" t="s">
        <v>7537</v>
      </c>
      <c r="D218" s="324">
        <f>SUMIF(Leerlingaantallen[Werkgevernummer],BevoegdGezag!A218,Leerlingaantallen[Bedrag])</f>
        <v>116077.36000000002</v>
      </c>
    </row>
    <row r="219" spans="1:4" x14ac:dyDescent="0.25">
      <c r="A219" s="331">
        <v>40307</v>
      </c>
      <c r="B219" s="323" t="s">
        <v>7731</v>
      </c>
      <c r="C219" s="323" t="s">
        <v>7621</v>
      </c>
      <c r="D219" s="324">
        <f>SUMIF(Leerlingaantallen[Werkgevernummer],BevoegdGezag!A219,Leerlingaantallen[Bedrag])</f>
        <v>47796.560000000005</v>
      </c>
    </row>
    <row r="220" spans="1:4" x14ac:dyDescent="0.25">
      <c r="A220" s="331">
        <v>40327</v>
      </c>
      <c r="B220" s="323" t="s">
        <v>7732</v>
      </c>
      <c r="C220" s="323" t="s">
        <v>7539</v>
      </c>
      <c r="D220" s="324">
        <f>SUMIF(Leerlingaantallen[Werkgevernummer],BevoegdGezag!A220,Leerlingaantallen[Bedrag])</f>
        <v>64379.040000000001</v>
      </c>
    </row>
    <row r="221" spans="1:4" x14ac:dyDescent="0.25">
      <c r="A221" s="331">
        <v>40329</v>
      </c>
      <c r="B221" s="323" t="s">
        <v>7733</v>
      </c>
      <c r="C221" s="323" t="s">
        <v>7537</v>
      </c>
      <c r="D221" s="324">
        <f>SUMIF(Leerlingaantallen[Werkgevernummer],BevoegdGezag!A221,Leerlingaantallen[Bedrag])</f>
        <v>41456.200000000004</v>
      </c>
    </row>
    <row r="222" spans="1:4" x14ac:dyDescent="0.25">
      <c r="A222" s="331">
        <v>40340</v>
      </c>
      <c r="B222" s="323" t="s">
        <v>7734</v>
      </c>
      <c r="C222" s="323" t="s">
        <v>7537</v>
      </c>
      <c r="D222" s="324">
        <f>SUMIF(Leerlingaantallen[Werkgevernummer],BevoegdGezag!A222,Leerlingaantallen[Bedrag])</f>
        <v>55356.22</v>
      </c>
    </row>
    <row r="223" spans="1:4" x14ac:dyDescent="0.25">
      <c r="A223" s="331">
        <v>40342</v>
      </c>
      <c r="B223" s="323" t="s">
        <v>7735</v>
      </c>
      <c r="C223" s="323" t="s">
        <v>7539</v>
      </c>
      <c r="D223" s="324">
        <f>SUMIF(Leerlingaantallen[Werkgevernummer],BevoegdGezag!A223,Leerlingaantallen[Bedrag])</f>
        <v>531492.87</v>
      </c>
    </row>
    <row r="224" spans="1:4" x14ac:dyDescent="0.25">
      <c r="A224" s="331">
        <v>40350</v>
      </c>
      <c r="B224" s="323" t="s">
        <v>7736</v>
      </c>
      <c r="C224" s="323" t="s">
        <v>7537</v>
      </c>
      <c r="D224" s="324">
        <f>SUMIF(Leerlingaantallen[Werkgevernummer],BevoegdGezag!A224,Leerlingaantallen[Bedrag])</f>
        <v>80473.8</v>
      </c>
    </row>
    <row r="225" spans="1:4" x14ac:dyDescent="0.25">
      <c r="A225" s="331">
        <v>40355</v>
      </c>
      <c r="B225" s="323" t="s">
        <v>7737</v>
      </c>
      <c r="C225" s="323" t="s">
        <v>7537</v>
      </c>
      <c r="D225" s="324">
        <f>SUMIF(Leerlingaantallen[Werkgevernummer],BevoegdGezag!A225,Leerlingaantallen[Bedrag])</f>
        <v>18777.22</v>
      </c>
    </row>
    <row r="226" spans="1:4" x14ac:dyDescent="0.25">
      <c r="A226" s="331">
        <v>40363</v>
      </c>
      <c r="B226" s="323" t="s">
        <v>7738</v>
      </c>
      <c r="C226" s="323" t="s">
        <v>7537</v>
      </c>
      <c r="D226" s="324">
        <f>SUMIF(Leerlingaantallen[Werkgevernummer],BevoegdGezag!A226,Leerlingaantallen[Bedrag])</f>
        <v>76084.320000000007</v>
      </c>
    </row>
    <row r="227" spans="1:4" x14ac:dyDescent="0.25">
      <c r="A227" s="331">
        <v>40367</v>
      </c>
      <c r="B227" s="323" t="s">
        <v>8426</v>
      </c>
      <c r="C227" s="323" t="s">
        <v>7537</v>
      </c>
      <c r="D227" s="324">
        <f>SUMIF(Leerlingaantallen[Werkgevernummer],BevoegdGezag!A227,Leerlingaantallen[Bedrag])</f>
        <v>205330.12000000002</v>
      </c>
    </row>
    <row r="228" spans="1:4" x14ac:dyDescent="0.25">
      <c r="A228" s="331">
        <v>40377</v>
      </c>
      <c r="B228" s="323" t="s">
        <v>7739</v>
      </c>
      <c r="C228" s="323" t="s">
        <v>7539</v>
      </c>
      <c r="D228" s="324">
        <f>SUMIF(Leerlingaantallen[Werkgevernummer],BevoegdGezag!A228,Leerlingaantallen[Bedrag])</f>
        <v>1512785.5100000002</v>
      </c>
    </row>
    <row r="229" spans="1:4" x14ac:dyDescent="0.25">
      <c r="A229" s="331">
        <v>40378</v>
      </c>
      <c r="B229" s="323" t="s">
        <v>7740</v>
      </c>
      <c r="C229" s="323" t="s">
        <v>7537</v>
      </c>
      <c r="D229" s="324">
        <f>SUMIF(Leerlingaantallen[Werkgevernummer],BevoegdGezag!A229,Leerlingaantallen[Bedrag])</f>
        <v>2584306.35</v>
      </c>
    </row>
    <row r="230" spans="1:4" x14ac:dyDescent="0.25">
      <c r="A230" s="331">
        <v>40389</v>
      </c>
      <c r="B230" s="323" t="s">
        <v>7741</v>
      </c>
      <c r="C230" s="323" t="s">
        <v>7621</v>
      </c>
      <c r="D230" s="324">
        <f>SUMIF(Leerlingaantallen[Werkgevernummer],BevoegdGezag!A230,Leerlingaantallen[Bedrag])</f>
        <v>121930</v>
      </c>
    </row>
    <row r="231" spans="1:4" x14ac:dyDescent="0.25">
      <c r="A231" s="331">
        <v>40390</v>
      </c>
      <c r="B231" s="323" t="s">
        <v>7742</v>
      </c>
      <c r="C231" s="323" t="s">
        <v>7621</v>
      </c>
      <c r="D231" s="324">
        <f>SUMIF(Leerlingaantallen[Werkgevernummer],BevoegdGezag!A231,Leerlingaantallen[Bedrag])</f>
        <v>131928.26</v>
      </c>
    </row>
    <row r="232" spans="1:4" x14ac:dyDescent="0.25">
      <c r="A232" s="331">
        <v>40400</v>
      </c>
      <c r="B232" s="323" t="s">
        <v>7743</v>
      </c>
      <c r="C232" s="323" t="s">
        <v>7621</v>
      </c>
      <c r="D232" s="324">
        <f>SUMIF(Leerlingaantallen[Werkgevernummer],BevoegdGezag!A232,Leerlingaantallen[Bedrag])</f>
        <v>337014.52</v>
      </c>
    </row>
    <row r="233" spans="1:4" x14ac:dyDescent="0.25">
      <c r="A233" s="331">
        <v>40419</v>
      </c>
      <c r="B233" s="323" t="s">
        <v>7744</v>
      </c>
      <c r="C233" s="323" t="s">
        <v>7537</v>
      </c>
      <c r="D233" s="324">
        <f>SUMIF(Leerlingaantallen[Werkgevernummer],BevoegdGezag!A233,Leerlingaantallen[Bedrag])</f>
        <v>171677.44</v>
      </c>
    </row>
    <row r="234" spans="1:4" x14ac:dyDescent="0.25">
      <c r="A234" s="331">
        <v>40470</v>
      </c>
      <c r="B234" s="323" t="s">
        <v>7745</v>
      </c>
      <c r="C234" s="323" t="s">
        <v>7537</v>
      </c>
      <c r="D234" s="324">
        <f>SUMIF(Leerlingaantallen[Werkgevernummer],BevoegdGezag!A234,Leerlingaantallen[Bedrag])</f>
        <v>0</v>
      </c>
    </row>
    <row r="235" spans="1:4" x14ac:dyDescent="0.25">
      <c r="A235" s="331">
        <v>40508</v>
      </c>
      <c r="B235" s="323" t="s">
        <v>7746</v>
      </c>
      <c r="C235" s="323" t="s">
        <v>7539</v>
      </c>
      <c r="D235" s="324">
        <f>SUMIF(Leerlingaantallen[Werkgevernummer],BevoegdGezag!A235,Leerlingaantallen[Bedrag])</f>
        <v>840341.56</v>
      </c>
    </row>
    <row r="236" spans="1:4" x14ac:dyDescent="0.25">
      <c r="A236" s="331">
        <v>40514</v>
      </c>
      <c r="B236" s="323" t="s">
        <v>7747</v>
      </c>
      <c r="C236" s="323" t="s">
        <v>7537</v>
      </c>
      <c r="D236" s="324">
        <f>SUMIF(Leerlingaantallen[Werkgevernummer],BevoegdGezag!A236,Leerlingaantallen[Bedrag])</f>
        <v>82424.680000000008</v>
      </c>
    </row>
    <row r="237" spans="1:4" x14ac:dyDescent="0.25">
      <c r="A237" s="331">
        <v>40517</v>
      </c>
      <c r="B237" s="323" t="s">
        <v>7748</v>
      </c>
      <c r="C237" s="323" t="s">
        <v>7544</v>
      </c>
      <c r="D237" s="324">
        <f>SUMIF(Leerlingaantallen[Werkgevernummer],BevoegdGezag!A237,Leerlingaantallen[Bedrag])</f>
        <v>1491935.48</v>
      </c>
    </row>
    <row r="238" spans="1:4" x14ac:dyDescent="0.25">
      <c r="A238" s="331">
        <v>40530</v>
      </c>
      <c r="B238" s="323" t="s">
        <v>7749</v>
      </c>
      <c r="C238" s="323" t="s">
        <v>7539</v>
      </c>
      <c r="D238" s="324">
        <f>SUMIF(Leerlingaantallen[Werkgevernummer],BevoegdGezag!A238,Leerlingaantallen[Bedrag])</f>
        <v>769134.44000000006</v>
      </c>
    </row>
    <row r="239" spans="1:4" x14ac:dyDescent="0.25">
      <c r="A239" s="331">
        <v>40535</v>
      </c>
      <c r="B239" s="323" t="s">
        <v>7750</v>
      </c>
      <c r="C239" s="323" t="s">
        <v>7539</v>
      </c>
      <c r="D239" s="324">
        <f>SUMIF(Leerlingaantallen[Werkgevernummer],BevoegdGezag!A239,Leerlingaantallen[Bedrag])</f>
        <v>44138.66</v>
      </c>
    </row>
    <row r="240" spans="1:4" x14ac:dyDescent="0.25">
      <c r="A240" s="331">
        <v>40540</v>
      </c>
      <c r="B240" s="323" t="s">
        <v>7751</v>
      </c>
      <c r="C240" s="323" t="s">
        <v>7539</v>
      </c>
      <c r="D240" s="324">
        <f>SUMIF(Leerlingaantallen[Werkgevernummer],BevoegdGezag!A240,Leerlingaantallen[Bedrag])</f>
        <v>209475.74</v>
      </c>
    </row>
    <row r="241" spans="1:4" x14ac:dyDescent="0.25">
      <c r="A241" s="331">
        <v>40557</v>
      </c>
      <c r="B241" s="323" t="s">
        <v>7752</v>
      </c>
      <c r="C241" s="323" t="s">
        <v>7542</v>
      </c>
      <c r="D241" s="324">
        <f>SUMIF(Leerlingaantallen[Werkgevernummer],BevoegdGezag!A241,Leerlingaantallen[Bedrag])</f>
        <v>1266486.9099999997</v>
      </c>
    </row>
    <row r="242" spans="1:4" x14ac:dyDescent="0.25">
      <c r="A242" s="331">
        <v>40558</v>
      </c>
      <c r="B242" s="323" t="s">
        <v>7753</v>
      </c>
      <c r="C242" s="323" t="s">
        <v>7537</v>
      </c>
      <c r="D242" s="324">
        <f>SUMIF(Leerlingaantallen[Werkgevernummer],BevoegdGezag!A242,Leerlingaantallen[Bedrag])</f>
        <v>22191.260000000002</v>
      </c>
    </row>
    <row r="243" spans="1:4" x14ac:dyDescent="0.25">
      <c r="A243" s="331">
        <v>40581</v>
      </c>
      <c r="B243" s="323" t="s">
        <v>7754</v>
      </c>
      <c r="C243" s="323" t="s">
        <v>7542</v>
      </c>
      <c r="D243" s="324">
        <f>SUMIF(Leerlingaantallen[Werkgevernummer],BevoegdGezag!A243,Leerlingaantallen[Bedrag])</f>
        <v>520641.10000000009</v>
      </c>
    </row>
    <row r="244" spans="1:4" x14ac:dyDescent="0.25">
      <c r="A244" s="331">
        <v>40586</v>
      </c>
      <c r="B244" s="323" t="s">
        <v>7755</v>
      </c>
      <c r="C244" s="323" t="s">
        <v>7537</v>
      </c>
      <c r="D244" s="324">
        <f>SUMIF(Leerlingaantallen[Werkgevernummer],BevoegdGezag!A244,Leerlingaantallen[Bedrag])</f>
        <v>606479.82000000007</v>
      </c>
    </row>
    <row r="245" spans="1:4" x14ac:dyDescent="0.25">
      <c r="A245" s="331">
        <v>40631</v>
      </c>
      <c r="B245" s="323" t="s">
        <v>8427</v>
      </c>
      <c r="C245" s="323" t="s">
        <v>7580</v>
      </c>
      <c r="D245" s="324">
        <f>SUMIF(Leerlingaantallen[Werkgevernummer],BevoegdGezag!A245,Leerlingaantallen[Bedrag])</f>
        <v>1117854.24</v>
      </c>
    </row>
    <row r="246" spans="1:4" x14ac:dyDescent="0.25">
      <c r="A246" s="331">
        <v>40636</v>
      </c>
      <c r="B246" s="323" t="s">
        <v>8428</v>
      </c>
      <c r="C246" s="323" t="s">
        <v>7539</v>
      </c>
      <c r="D246" s="324">
        <f>SUMIF(Leerlingaantallen[Werkgevernummer],BevoegdGezag!A246,Leerlingaantallen[Bedrag])</f>
        <v>107176.47</v>
      </c>
    </row>
    <row r="247" spans="1:4" x14ac:dyDescent="0.25">
      <c r="A247" s="331">
        <v>40637</v>
      </c>
      <c r="B247" s="323" t="s">
        <v>7756</v>
      </c>
      <c r="C247" s="323" t="s">
        <v>7537</v>
      </c>
      <c r="D247" s="324">
        <f>SUMIF(Leerlingaantallen[Werkgevernummer],BevoegdGezag!A247,Leerlingaantallen[Bedrag])</f>
        <v>449190.12</v>
      </c>
    </row>
    <row r="248" spans="1:4" x14ac:dyDescent="0.25">
      <c r="A248" s="331">
        <v>40655</v>
      </c>
      <c r="B248" s="323" t="s">
        <v>7757</v>
      </c>
      <c r="C248" s="323" t="s">
        <v>7539</v>
      </c>
      <c r="D248" s="324">
        <f>SUMIF(Leerlingaantallen[Werkgevernummer],BevoegdGezag!A248,Leerlingaantallen[Bedrag])</f>
        <v>71450.98000000001</v>
      </c>
    </row>
    <row r="249" spans="1:4" x14ac:dyDescent="0.25">
      <c r="A249" s="331">
        <v>40662</v>
      </c>
      <c r="B249" s="323" t="s">
        <v>7758</v>
      </c>
      <c r="C249" s="323" t="s">
        <v>7759</v>
      </c>
      <c r="D249" s="324">
        <f>SUMIF(Leerlingaantallen[Werkgevernummer],BevoegdGezag!A249,Leerlingaantallen[Bedrag])</f>
        <v>1149799.9000000001</v>
      </c>
    </row>
    <row r="250" spans="1:4" x14ac:dyDescent="0.25">
      <c r="A250" s="331">
        <v>40672</v>
      </c>
      <c r="B250" s="323" t="s">
        <v>7760</v>
      </c>
      <c r="C250" s="323" t="s">
        <v>7544</v>
      </c>
      <c r="D250" s="324">
        <f>SUMIF(Leerlingaantallen[Werkgevernummer],BevoegdGezag!A250,Leerlingaantallen[Bedrag])</f>
        <v>314335.54000000004</v>
      </c>
    </row>
    <row r="251" spans="1:4" x14ac:dyDescent="0.25">
      <c r="A251" s="331">
        <v>40676</v>
      </c>
      <c r="B251" s="323" t="s">
        <v>7761</v>
      </c>
      <c r="C251" s="323" t="s">
        <v>7544</v>
      </c>
      <c r="D251" s="324">
        <f>SUMIF(Leerlingaantallen[Werkgevernummer],BevoegdGezag!A251,Leerlingaantallen[Bedrag])</f>
        <v>822539.78000000014</v>
      </c>
    </row>
    <row r="252" spans="1:4" x14ac:dyDescent="0.25">
      <c r="A252" s="331">
        <v>40681</v>
      </c>
      <c r="B252" s="323" t="s">
        <v>7762</v>
      </c>
      <c r="C252" s="323" t="s">
        <v>7539</v>
      </c>
      <c r="D252" s="324">
        <f>SUMIF(Leerlingaantallen[Werkgevernummer],BevoegdGezag!A252,Leerlingaantallen[Bedrag])</f>
        <v>176798.5</v>
      </c>
    </row>
    <row r="253" spans="1:4" x14ac:dyDescent="0.25">
      <c r="A253" s="331">
        <v>40706</v>
      </c>
      <c r="B253" s="323" t="s">
        <v>7763</v>
      </c>
      <c r="C253" s="323" t="s">
        <v>7544</v>
      </c>
      <c r="D253" s="324">
        <f>SUMIF(Leerlingaantallen[Werkgevernummer],BevoegdGezag!A253,Leerlingaantallen[Bedrag])</f>
        <v>331405.74</v>
      </c>
    </row>
    <row r="254" spans="1:4" x14ac:dyDescent="0.25">
      <c r="A254" s="331">
        <v>40712</v>
      </c>
      <c r="B254" s="323" t="s">
        <v>7764</v>
      </c>
      <c r="C254" s="323" t="s">
        <v>7542</v>
      </c>
      <c r="D254" s="324">
        <f>SUMIF(Leerlingaantallen[Werkgevernummer],BevoegdGezag!A254,Leerlingaantallen[Bedrag])</f>
        <v>1395610.7800000003</v>
      </c>
    </row>
    <row r="255" spans="1:4" x14ac:dyDescent="0.25">
      <c r="A255" s="331">
        <v>40714</v>
      </c>
      <c r="B255" s="323" t="s">
        <v>7765</v>
      </c>
      <c r="C255" s="323" t="s">
        <v>7537</v>
      </c>
      <c r="D255" s="324">
        <f>SUMIF(Leerlingaantallen[Werkgevernummer],BevoegdGezag!A255,Leerlingaantallen[Bedrag])</f>
        <v>98519.44</v>
      </c>
    </row>
    <row r="256" spans="1:4" x14ac:dyDescent="0.25">
      <c r="A256" s="331">
        <v>40717</v>
      </c>
      <c r="B256" s="323" t="s">
        <v>7766</v>
      </c>
      <c r="C256" s="323" t="s">
        <v>7539</v>
      </c>
      <c r="D256" s="324">
        <f>SUMIF(Leerlingaantallen[Werkgevernummer],BevoegdGezag!A256,Leerlingaantallen[Bedrag])</f>
        <v>37798.300000000003</v>
      </c>
    </row>
    <row r="257" spans="1:4" x14ac:dyDescent="0.25">
      <c r="A257" s="331">
        <v>40720</v>
      </c>
      <c r="B257" s="323" t="s">
        <v>7767</v>
      </c>
      <c r="C257" s="323" t="s">
        <v>7542</v>
      </c>
      <c r="D257" s="324">
        <f>SUMIF(Leerlingaantallen[Werkgevernummer],BevoegdGezag!A257,Leerlingaantallen[Bedrag])</f>
        <v>57307.100000000006</v>
      </c>
    </row>
    <row r="258" spans="1:4" x14ac:dyDescent="0.25">
      <c r="A258" s="331">
        <v>40740</v>
      </c>
      <c r="B258" s="323" t="s">
        <v>7768</v>
      </c>
      <c r="C258" s="323" t="s">
        <v>7618</v>
      </c>
      <c r="D258" s="324">
        <f>SUMIF(Leerlingaantallen[Werkgevernummer],BevoegdGezag!A258,Leerlingaantallen[Bedrag])</f>
        <v>86082.58</v>
      </c>
    </row>
    <row r="259" spans="1:4" x14ac:dyDescent="0.25">
      <c r="A259" s="331">
        <v>40745</v>
      </c>
      <c r="B259" s="323" t="s">
        <v>7769</v>
      </c>
      <c r="C259" s="323" t="s">
        <v>7573</v>
      </c>
      <c r="D259" s="324">
        <f>SUMIF(Leerlingaantallen[Werkgevernummer],BevoegdGezag!A259,Leerlingaantallen[Bedrag])</f>
        <v>56087.8</v>
      </c>
    </row>
    <row r="260" spans="1:4" x14ac:dyDescent="0.25">
      <c r="A260" s="331">
        <v>40753</v>
      </c>
      <c r="B260" s="323" t="s">
        <v>7770</v>
      </c>
      <c r="C260" s="323" t="s">
        <v>7537</v>
      </c>
      <c r="D260" s="324">
        <f>SUMIF(Leerlingaantallen[Werkgevernummer],BevoegdGezag!A260,Leerlingaantallen[Bedrag])</f>
        <v>62428.160000000003</v>
      </c>
    </row>
    <row r="261" spans="1:4" x14ac:dyDescent="0.25">
      <c r="A261" s="331">
        <v>40765</v>
      </c>
      <c r="B261" s="323" t="s">
        <v>7771</v>
      </c>
      <c r="C261" s="323" t="s">
        <v>7544</v>
      </c>
      <c r="D261" s="324">
        <f>SUMIF(Leerlingaantallen[Werkgevernummer],BevoegdGezag!A261,Leerlingaantallen[Bedrag])</f>
        <v>1163090.27</v>
      </c>
    </row>
    <row r="262" spans="1:4" x14ac:dyDescent="0.25">
      <c r="A262" s="331">
        <v>40774</v>
      </c>
      <c r="B262" s="323" t="s">
        <v>7772</v>
      </c>
      <c r="C262" s="323" t="s">
        <v>7539</v>
      </c>
      <c r="D262" s="324">
        <f>SUMIF(Leerlingaantallen[Werkgevernummer],BevoegdGezag!A262,Leerlingaantallen[Bedrag])</f>
        <v>372861.94</v>
      </c>
    </row>
    <row r="263" spans="1:4" x14ac:dyDescent="0.25">
      <c r="A263" s="331">
        <v>40775</v>
      </c>
      <c r="B263" s="323" t="s">
        <v>7773</v>
      </c>
      <c r="C263" s="323" t="s">
        <v>7542</v>
      </c>
      <c r="D263" s="324">
        <f>SUMIF(Leerlingaantallen[Werkgevernummer],BevoegdGezag!A263,Leerlingaantallen[Bedrag])</f>
        <v>1291238.7000000002</v>
      </c>
    </row>
    <row r="264" spans="1:4" x14ac:dyDescent="0.25">
      <c r="A264" s="331">
        <v>40788</v>
      </c>
      <c r="B264" s="323" t="s">
        <v>7774</v>
      </c>
      <c r="C264" s="323" t="s">
        <v>7539</v>
      </c>
      <c r="D264" s="324">
        <f>SUMIF(Leerlingaantallen[Werkgevernummer],BevoegdGezag!A264,Leerlingaantallen[Bedrag])</f>
        <v>611357.0199999999</v>
      </c>
    </row>
    <row r="265" spans="1:4" x14ac:dyDescent="0.25">
      <c r="A265" s="331">
        <v>40789</v>
      </c>
      <c r="B265" s="323" t="s">
        <v>7775</v>
      </c>
      <c r="C265" s="323" t="s">
        <v>7539</v>
      </c>
      <c r="D265" s="324">
        <f>SUMIF(Leerlingaantallen[Werkgevernummer],BevoegdGezag!A265,Leerlingaantallen[Bedrag])</f>
        <v>163142.34</v>
      </c>
    </row>
    <row r="266" spans="1:4" x14ac:dyDescent="0.25">
      <c r="A266" s="331">
        <v>40794</v>
      </c>
      <c r="B266" s="323" t="s">
        <v>7776</v>
      </c>
      <c r="C266" s="323" t="s">
        <v>7539</v>
      </c>
      <c r="D266" s="324">
        <f>SUMIF(Leerlingaantallen[Werkgevernummer],BevoegdGezag!A266,Leerlingaantallen[Bedrag])</f>
        <v>102908.92000000001</v>
      </c>
    </row>
    <row r="267" spans="1:4" x14ac:dyDescent="0.25">
      <c r="A267" s="331">
        <v>40803</v>
      </c>
      <c r="B267" s="323" t="s">
        <v>7777</v>
      </c>
      <c r="C267" s="323" t="s">
        <v>7759</v>
      </c>
      <c r="D267" s="324">
        <f>SUMIF(Leerlingaantallen[Werkgevernummer],BevoegdGezag!A267,Leerlingaantallen[Bedrag])</f>
        <v>796446.76</v>
      </c>
    </row>
    <row r="268" spans="1:4" x14ac:dyDescent="0.25">
      <c r="A268" s="331">
        <v>40804</v>
      </c>
      <c r="B268" s="323" t="s">
        <v>7778</v>
      </c>
      <c r="C268" s="323" t="s">
        <v>7542</v>
      </c>
      <c r="D268" s="324">
        <f>SUMIF(Leerlingaantallen[Werkgevernummer],BevoegdGezag!A268,Leerlingaantallen[Bedrag])</f>
        <v>22435.120000000003</v>
      </c>
    </row>
    <row r="269" spans="1:4" x14ac:dyDescent="0.25">
      <c r="A269" s="331">
        <v>40812</v>
      </c>
      <c r="B269" s="323" t="s">
        <v>7779</v>
      </c>
      <c r="C269" s="323" t="s">
        <v>7544</v>
      </c>
      <c r="D269" s="324">
        <f>SUMIF(Leerlingaantallen[Werkgevernummer],BevoegdGezag!A269,Leerlingaantallen[Bedrag])</f>
        <v>1366591.4400000002</v>
      </c>
    </row>
    <row r="270" spans="1:4" x14ac:dyDescent="0.25">
      <c r="A270" s="331">
        <v>40814</v>
      </c>
      <c r="B270" s="323" t="s">
        <v>7780</v>
      </c>
      <c r="C270" s="323" t="s">
        <v>7544</v>
      </c>
      <c r="D270" s="324">
        <f>SUMIF(Leerlingaantallen[Werkgevernummer],BevoegdGezag!A270,Leerlingaantallen[Bedrag])</f>
        <v>426998.86000000004</v>
      </c>
    </row>
    <row r="271" spans="1:4" x14ac:dyDescent="0.25">
      <c r="A271" s="331">
        <v>40837</v>
      </c>
      <c r="B271" s="323" t="s">
        <v>8429</v>
      </c>
      <c r="C271" s="323" t="s">
        <v>7537</v>
      </c>
      <c r="D271" s="324">
        <f>SUMIF(Leerlingaantallen[Werkgevernummer],BevoegdGezag!A271,Leerlingaantallen[Bedrag])</f>
        <v>513569.16000000003</v>
      </c>
    </row>
    <row r="272" spans="1:4" x14ac:dyDescent="0.25">
      <c r="A272" s="331">
        <v>40843</v>
      </c>
      <c r="B272" s="323" t="s">
        <v>7781</v>
      </c>
      <c r="C272" s="323" t="s">
        <v>7539</v>
      </c>
      <c r="D272" s="324">
        <f>SUMIF(Leerlingaantallen[Werkgevernummer],BevoegdGezag!A272,Leerlingaantallen[Bedrag])</f>
        <v>231910.86000000002</v>
      </c>
    </row>
    <row r="273" spans="1:4" x14ac:dyDescent="0.25">
      <c r="A273" s="331">
        <v>40848</v>
      </c>
      <c r="B273" s="323" t="s">
        <v>7782</v>
      </c>
      <c r="C273" s="323" t="s">
        <v>7544</v>
      </c>
      <c r="D273" s="324">
        <f>SUMIF(Leerlingaantallen[Werkgevernummer],BevoegdGezag!A273,Leerlingaantallen[Bedrag])</f>
        <v>696220.3</v>
      </c>
    </row>
    <row r="274" spans="1:4" x14ac:dyDescent="0.25">
      <c r="A274" s="331">
        <v>40851</v>
      </c>
      <c r="B274" s="323" t="s">
        <v>8430</v>
      </c>
      <c r="C274" s="323" t="s">
        <v>7539</v>
      </c>
      <c r="D274" s="324">
        <f>SUMIF(Leerlingaantallen[Werkgevernummer],BevoegdGezag!A274,Leerlingaantallen[Bedrag])</f>
        <v>198623.97000000003</v>
      </c>
    </row>
    <row r="275" spans="1:4" x14ac:dyDescent="0.25">
      <c r="A275" s="331">
        <v>40862</v>
      </c>
      <c r="B275" s="323" t="s">
        <v>7783</v>
      </c>
      <c r="C275" s="323" t="s">
        <v>7539</v>
      </c>
      <c r="D275" s="324">
        <f>SUMIF(Leerlingaantallen[Werkgevernummer],BevoegdGezag!A275,Leerlingaantallen[Bedrag])</f>
        <v>288486.38</v>
      </c>
    </row>
    <row r="276" spans="1:4" x14ac:dyDescent="0.25">
      <c r="A276" s="331">
        <v>40865</v>
      </c>
      <c r="B276" s="323" t="s">
        <v>7784</v>
      </c>
      <c r="C276" s="323" t="s">
        <v>7537</v>
      </c>
      <c r="D276" s="324">
        <f>SUMIF(Leerlingaantallen[Werkgevernummer],BevoegdGezag!A276,Leerlingaantallen[Bedrag])</f>
        <v>98519.44</v>
      </c>
    </row>
    <row r="277" spans="1:4" x14ac:dyDescent="0.25">
      <c r="A277" s="331">
        <v>40874</v>
      </c>
      <c r="B277" s="323" t="s">
        <v>7785</v>
      </c>
      <c r="C277" s="323" t="s">
        <v>7544</v>
      </c>
      <c r="D277" s="324">
        <f>SUMIF(Leerlingaantallen[Werkgevernummer],BevoegdGezag!A277,Leerlingaantallen[Bedrag])</f>
        <v>467357.69000000006</v>
      </c>
    </row>
    <row r="278" spans="1:4" x14ac:dyDescent="0.25">
      <c r="A278" s="331">
        <v>40876</v>
      </c>
      <c r="B278" s="323" t="s">
        <v>8431</v>
      </c>
      <c r="C278" s="323" t="s">
        <v>7759</v>
      </c>
      <c r="D278" s="324">
        <f>SUMIF(Leerlingaantallen[Werkgevernummer],BevoegdGezag!A278,Leerlingaantallen[Bedrag])</f>
        <v>505034.05999999994</v>
      </c>
    </row>
    <row r="279" spans="1:4" x14ac:dyDescent="0.25">
      <c r="A279" s="331">
        <v>40887</v>
      </c>
      <c r="B279" s="323" t="s">
        <v>7786</v>
      </c>
      <c r="C279" s="323" t="s">
        <v>7539</v>
      </c>
      <c r="D279" s="324">
        <f>SUMIF(Leerlingaantallen[Werkgevernummer],BevoegdGezag!A279,Leerlingaantallen[Bedrag])</f>
        <v>48528.14</v>
      </c>
    </row>
    <row r="280" spans="1:4" x14ac:dyDescent="0.25">
      <c r="A280" s="331">
        <v>40888</v>
      </c>
      <c r="B280" s="323" t="s">
        <v>7787</v>
      </c>
      <c r="C280" s="323" t="s">
        <v>7544</v>
      </c>
      <c r="D280" s="324">
        <f>SUMIF(Leerlingaantallen[Werkgevernummer],BevoegdGezag!A280,Leerlingaantallen[Bedrag])</f>
        <v>1221250.8800000001</v>
      </c>
    </row>
    <row r="281" spans="1:4" x14ac:dyDescent="0.25">
      <c r="A281" s="331">
        <v>40894</v>
      </c>
      <c r="B281" s="323" t="s">
        <v>7788</v>
      </c>
      <c r="C281" s="323" t="s">
        <v>7580</v>
      </c>
      <c r="D281" s="324">
        <f>SUMIF(Leerlingaantallen[Werkgevernummer],BevoegdGezag!A281,Leerlingaantallen[Bedrag])</f>
        <v>909963.59000000008</v>
      </c>
    </row>
    <row r="282" spans="1:4" x14ac:dyDescent="0.25">
      <c r="A282" s="331">
        <v>40901</v>
      </c>
      <c r="B282" s="323" t="s">
        <v>8432</v>
      </c>
      <c r="C282" s="323" t="s">
        <v>7537</v>
      </c>
      <c r="D282" s="324">
        <f>SUMIF(Leerlingaantallen[Werkgevernummer],BevoegdGezag!A282,Leerlingaantallen[Bedrag])</f>
        <v>85229.07</v>
      </c>
    </row>
    <row r="283" spans="1:4" x14ac:dyDescent="0.25">
      <c r="A283" s="331">
        <v>40903</v>
      </c>
      <c r="B283" s="323" t="s">
        <v>7789</v>
      </c>
      <c r="C283" s="323" t="s">
        <v>7544</v>
      </c>
      <c r="D283" s="324">
        <f>SUMIF(Leerlingaantallen[Werkgevernummer],BevoegdGezag!A283,Leerlingaantallen[Bedrag])</f>
        <v>210938.9</v>
      </c>
    </row>
    <row r="284" spans="1:4" x14ac:dyDescent="0.25">
      <c r="A284" s="331">
        <v>40928</v>
      </c>
      <c r="B284" s="323" t="s">
        <v>7790</v>
      </c>
      <c r="C284" s="323" t="s">
        <v>7544</v>
      </c>
      <c r="D284" s="324">
        <f>SUMIF(Leerlingaantallen[Werkgevernummer],BevoegdGezag!A284,Leerlingaantallen[Bedrag])</f>
        <v>2155234.6800000006</v>
      </c>
    </row>
    <row r="285" spans="1:4" x14ac:dyDescent="0.25">
      <c r="A285" s="331">
        <v>40934</v>
      </c>
      <c r="B285" s="323" t="s">
        <v>7791</v>
      </c>
      <c r="C285" s="323" t="s">
        <v>7539</v>
      </c>
      <c r="D285" s="324">
        <f>SUMIF(Leerlingaantallen[Werkgevernummer],BevoegdGezag!A285,Leerlingaantallen[Bedrag])</f>
        <v>903623.23</v>
      </c>
    </row>
    <row r="286" spans="1:4" x14ac:dyDescent="0.25">
      <c r="A286" s="331">
        <v>40941</v>
      </c>
      <c r="B286" s="323" t="s">
        <v>7792</v>
      </c>
      <c r="C286" s="323" t="s">
        <v>7544</v>
      </c>
      <c r="D286" s="324">
        <f>SUMIF(Leerlingaantallen[Werkgevernummer],BevoegdGezag!A286,Leerlingaantallen[Bedrag])</f>
        <v>246054.74000000002</v>
      </c>
    </row>
    <row r="287" spans="1:4" x14ac:dyDescent="0.25">
      <c r="A287" s="331">
        <v>40945</v>
      </c>
      <c r="B287" s="323" t="s">
        <v>7793</v>
      </c>
      <c r="C287" s="323" t="s">
        <v>7794</v>
      </c>
      <c r="D287" s="324">
        <f>SUMIF(Leerlingaantallen[Werkgevernummer],BevoegdGezag!A287,Leerlingaantallen[Bedrag])</f>
        <v>789740.61</v>
      </c>
    </row>
    <row r="288" spans="1:4" x14ac:dyDescent="0.25">
      <c r="A288" s="331">
        <v>40946</v>
      </c>
      <c r="B288" s="323" t="s">
        <v>7795</v>
      </c>
      <c r="C288" s="323" t="s">
        <v>7539</v>
      </c>
      <c r="D288" s="324">
        <f>SUMIF(Leerlingaantallen[Werkgevernummer],BevoegdGezag!A288,Leerlingaantallen[Bedrag])</f>
        <v>695732.58000000007</v>
      </c>
    </row>
    <row r="289" spans="1:4" x14ac:dyDescent="0.25">
      <c r="A289" s="331">
        <v>40947</v>
      </c>
      <c r="B289" s="323" t="s">
        <v>7796</v>
      </c>
      <c r="C289" s="323" t="s">
        <v>7544</v>
      </c>
      <c r="D289" s="324">
        <f>SUMIF(Leerlingaantallen[Werkgevernummer],BevoegdGezag!A289,Leerlingaantallen[Bedrag])</f>
        <v>412489.19</v>
      </c>
    </row>
    <row r="290" spans="1:4" x14ac:dyDescent="0.25">
      <c r="A290" s="331">
        <v>40950</v>
      </c>
      <c r="B290" s="323" t="s">
        <v>7797</v>
      </c>
      <c r="C290" s="323" t="s">
        <v>7544</v>
      </c>
      <c r="D290" s="324">
        <f>SUMIF(Leerlingaantallen[Werkgevernummer],BevoegdGezag!A290,Leerlingaantallen[Bedrag])</f>
        <v>1654346.2400000002</v>
      </c>
    </row>
    <row r="291" spans="1:4" x14ac:dyDescent="0.25">
      <c r="A291" s="331">
        <v>40959</v>
      </c>
      <c r="B291" s="323" t="s">
        <v>7798</v>
      </c>
      <c r="C291" s="323" t="s">
        <v>7539</v>
      </c>
      <c r="D291" s="324">
        <f>SUMIF(Leerlingaantallen[Werkgevernummer],BevoegdGezag!A291,Leerlingaantallen[Bedrag])</f>
        <v>208012.58000000002</v>
      </c>
    </row>
    <row r="292" spans="1:4" x14ac:dyDescent="0.25">
      <c r="A292" s="331">
        <v>40964</v>
      </c>
      <c r="B292" s="323" t="s">
        <v>7799</v>
      </c>
      <c r="C292" s="323" t="s">
        <v>7537</v>
      </c>
      <c r="D292" s="324">
        <f>SUMIF(Leerlingaantallen[Werkgevernummer],BevoegdGezag!A292,Leerlingaantallen[Bedrag])</f>
        <v>53649.200000000004</v>
      </c>
    </row>
    <row r="293" spans="1:4" x14ac:dyDescent="0.25">
      <c r="A293" s="331">
        <v>40967</v>
      </c>
      <c r="B293" s="323" t="s">
        <v>7800</v>
      </c>
      <c r="C293" s="323" t="s">
        <v>7544</v>
      </c>
      <c r="D293" s="324">
        <f>SUMIF(Leerlingaantallen[Werkgevernummer],BevoegdGezag!A293,Leerlingaantallen[Bedrag])</f>
        <v>1688974.36</v>
      </c>
    </row>
    <row r="294" spans="1:4" x14ac:dyDescent="0.25">
      <c r="A294" s="331">
        <v>40969</v>
      </c>
      <c r="B294" s="323" t="s">
        <v>7801</v>
      </c>
      <c r="C294" s="323" t="s">
        <v>7542</v>
      </c>
      <c r="D294" s="324">
        <f>SUMIF(Leerlingaantallen[Werkgevernummer],BevoegdGezag!A294,Leerlingaantallen[Bedrag])</f>
        <v>303605.69999999995</v>
      </c>
    </row>
    <row r="295" spans="1:4" x14ac:dyDescent="0.25">
      <c r="A295" s="331">
        <v>40971</v>
      </c>
      <c r="B295" s="323" t="s">
        <v>7802</v>
      </c>
      <c r="C295" s="323" t="s">
        <v>7544</v>
      </c>
      <c r="D295" s="324">
        <f>SUMIF(Leerlingaantallen[Werkgevernummer],BevoegdGezag!A295,Leerlingaantallen[Bedrag])</f>
        <v>1168089.4000000001</v>
      </c>
    </row>
    <row r="296" spans="1:4" x14ac:dyDescent="0.25">
      <c r="A296" s="331">
        <v>40974</v>
      </c>
      <c r="B296" s="323" t="s">
        <v>7803</v>
      </c>
      <c r="C296" s="323" t="s">
        <v>7544</v>
      </c>
      <c r="D296" s="324">
        <f>SUMIF(Leerlingaantallen[Werkgevernummer],BevoegdGezag!A296,Leerlingaantallen[Bedrag])</f>
        <v>755722.1399999999</v>
      </c>
    </row>
    <row r="297" spans="1:4" x14ac:dyDescent="0.25">
      <c r="A297" s="331">
        <v>40980</v>
      </c>
      <c r="B297" s="323" t="s">
        <v>7804</v>
      </c>
      <c r="C297" s="323" t="s">
        <v>7537</v>
      </c>
      <c r="D297" s="324">
        <f>SUMIF(Leerlingaantallen[Werkgevernummer],BevoegdGezag!A297,Leerlingaantallen[Bedrag])</f>
        <v>319212.74</v>
      </c>
    </row>
    <row r="298" spans="1:4" x14ac:dyDescent="0.25">
      <c r="A298" s="331">
        <v>40982</v>
      </c>
      <c r="B298" s="323" t="s">
        <v>7805</v>
      </c>
      <c r="C298" s="323" t="s">
        <v>7544</v>
      </c>
      <c r="D298" s="324">
        <f>SUMIF(Leerlingaantallen[Werkgevernummer],BevoegdGezag!A298,Leerlingaantallen[Bedrag])</f>
        <v>290193.40000000002</v>
      </c>
    </row>
    <row r="299" spans="1:4" x14ac:dyDescent="0.25">
      <c r="A299" s="331">
        <v>40987</v>
      </c>
      <c r="B299" s="323" t="s">
        <v>7806</v>
      </c>
      <c r="C299" s="323" t="s">
        <v>7544</v>
      </c>
      <c r="D299" s="324">
        <f>SUMIF(Leerlingaantallen[Werkgevernummer],BevoegdGezag!A299,Leerlingaantallen[Bedrag])</f>
        <v>477721.74</v>
      </c>
    </row>
    <row r="300" spans="1:4" x14ac:dyDescent="0.25">
      <c r="A300" s="331">
        <v>40994</v>
      </c>
      <c r="B300" s="323" t="s">
        <v>7807</v>
      </c>
      <c r="C300" s="323" t="s">
        <v>7808</v>
      </c>
      <c r="D300" s="324">
        <f>SUMIF(Leerlingaantallen[Werkgevernummer],BevoegdGezag!A300,Leerlingaantallen[Bedrag])</f>
        <v>24873.72</v>
      </c>
    </row>
    <row r="301" spans="1:4" x14ac:dyDescent="0.25">
      <c r="A301" s="331">
        <v>41000</v>
      </c>
      <c r="B301" s="323" t="s">
        <v>7809</v>
      </c>
      <c r="C301" s="323" t="s">
        <v>7544</v>
      </c>
      <c r="D301" s="324">
        <f>SUMIF(Leerlingaantallen[Werkgevernummer],BevoegdGezag!A301,Leerlingaantallen[Bedrag])</f>
        <v>1511932</v>
      </c>
    </row>
    <row r="302" spans="1:4" x14ac:dyDescent="0.25">
      <c r="A302" s="331">
        <v>41001</v>
      </c>
      <c r="B302" s="323" t="s">
        <v>7810</v>
      </c>
      <c r="C302" s="323" t="s">
        <v>7539</v>
      </c>
      <c r="D302" s="324">
        <f>SUMIF(Leerlingaantallen[Werkgevernummer],BevoegdGezag!A302,Leerlingaantallen[Bedrag])</f>
        <v>609406.14</v>
      </c>
    </row>
    <row r="303" spans="1:4" x14ac:dyDescent="0.25">
      <c r="A303" s="331">
        <v>41005</v>
      </c>
      <c r="B303" s="323" t="s">
        <v>7811</v>
      </c>
      <c r="C303" s="323" t="s">
        <v>7539</v>
      </c>
      <c r="D303" s="324">
        <f>SUMIF(Leerlingaantallen[Werkgevernummer],BevoegdGezag!A303,Leerlingaantallen[Bedrag])</f>
        <v>385786.52000000008</v>
      </c>
    </row>
    <row r="304" spans="1:4" x14ac:dyDescent="0.25">
      <c r="A304" s="331">
        <v>41008</v>
      </c>
      <c r="B304" s="323" t="s">
        <v>8433</v>
      </c>
      <c r="C304" s="323" t="s">
        <v>7544</v>
      </c>
      <c r="D304" s="324">
        <f>SUMIF(Leerlingaantallen[Werkgevernummer],BevoegdGezag!A304,Leerlingaantallen[Bedrag])</f>
        <v>1675074.3400000003</v>
      </c>
    </row>
    <row r="305" spans="1:4" x14ac:dyDescent="0.25">
      <c r="A305" s="331">
        <v>41011</v>
      </c>
      <c r="B305" s="323" t="s">
        <v>7812</v>
      </c>
      <c r="C305" s="323" t="s">
        <v>7539</v>
      </c>
      <c r="D305" s="324">
        <f>SUMIF(Leerlingaantallen[Werkgevernummer],BevoegdGezag!A305,Leerlingaantallen[Bedrag])</f>
        <v>525518.30000000016</v>
      </c>
    </row>
    <row r="306" spans="1:4" x14ac:dyDescent="0.25">
      <c r="A306" s="331">
        <v>41012</v>
      </c>
      <c r="B306" s="323" t="s">
        <v>7813</v>
      </c>
      <c r="C306" s="323" t="s">
        <v>7542</v>
      </c>
      <c r="D306" s="324">
        <f>SUMIF(Leerlingaantallen[Werkgevernummer],BevoegdGezag!A306,Leerlingaantallen[Bedrag])</f>
        <v>833757.34</v>
      </c>
    </row>
    <row r="307" spans="1:4" x14ac:dyDescent="0.25">
      <c r="A307" s="331">
        <v>41013</v>
      </c>
      <c r="B307" s="323" t="s">
        <v>7814</v>
      </c>
      <c r="C307" s="323" t="s">
        <v>7523</v>
      </c>
      <c r="D307" s="324">
        <f>SUMIF(Leerlingaantallen[Werkgevernummer],BevoegdGezag!A307,Leerlingaantallen[Bedrag])</f>
        <v>212402.06</v>
      </c>
    </row>
    <row r="308" spans="1:4" x14ac:dyDescent="0.25">
      <c r="A308" s="331">
        <v>41018</v>
      </c>
      <c r="B308" s="323" t="s">
        <v>7815</v>
      </c>
      <c r="C308" s="323" t="s">
        <v>7542</v>
      </c>
      <c r="D308" s="324">
        <f>SUMIF(Leerlingaantallen[Werkgevernummer],BevoegdGezag!A308,Leerlingaantallen[Bedrag])</f>
        <v>601968.41000000015</v>
      </c>
    </row>
    <row r="309" spans="1:4" x14ac:dyDescent="0.25">
      <c r="A309" s="331">
        <v>41020</v>
      </c>
      <c r="B309" s="323" t="s">
        <v>7816</v>
      </c>
      <c r="C309" s="323" t="s">
        <v>7544</v>
      </c>
      <c r="D309" s="324">
        <f>SUMIF(Leerlingaantallen[Werkgevernummer],BevoegdGezag!A309,Leerlingaantallen[Bedrag])</f>
        <v>298728.5</v>
      </c>
    </row>
    <row r="310" spans="1:4" x14ac:dyDescent="0.25">
      <c r="A310" s="331">
        <v>41023</v>
      </c>
      <c r="B310" s="323" t="s">
        <v>7817</v>
      </c>
      <c r="C310" s="323" t="s">
        <v>7544</v>
      </c>
      <c r="D310" s="324">
        <f>SUMIF(Leerlingaantallen[Werkgevernummer],BevoegdGezag!A310,Leerlingaantallen[Bedrag])</f>
        <v>2201811.9400000004</v>
      </c>
    </row>
    <row r="311" spans="1:4" x14ac:dyDescent="0.25">
      <c r="A311" s="331">
        <v>41039</v>
      </c>
      <c r="B311" s="323" t="s">
        <v>7818</v>
      </c>
      <c r="C311" s="323" t="s">
        <v>7539</v>
      </c>
      <c r="D311" s="324">
        <f>SUMIF(Leerlingaantallen[Werkgevernummer],BevoegdGezag!A311,Leerlingaantallen[Bedrag])</f>
        <v>246298.60000000003</v>
      </c>
    </row>
    <row r="312" spans="1:4" x14ac:dyDescent="0.25">
      <c r="A312" s="331">
        <v>41047</v>
      </c>
      <c r="B312" s="323" t="s">
        <v>8434</v>
      </c>
      <c r="C312" s="323" t="s">
        <v>7984</v>
      </c>
      <c r="D312" s="324">
        <f>SUMIF(Leerlingaantallen[Werkgevernummer],BevoegdGezag!A312,Leerlingaantallen[Bedrag])</f>
        <v>100592.25</v>
      </c>
    </row>
    <row r="313" spans="1:4" x14ac:dyDescent="0.25">
      <c r="A313" s="331">
        <v>41052</v>
      </c>
      <c r="B313" s="323" t="s">
        <v>7819</v>
      </c>
      <c r="C313" s="323" t="s">
        <v>7539</v>
      </c>
      <c r="D313" s="324">
        <f>SUMIF(Leerlingaantallen[Werkgevernummer],BevoegdGezag!A313,Leerlingaantallen[Bedrag])</f>
        <v>185089.74000000002</v>
      </c>
    </row>
    <row r="314" spans="1:4" x14ac:dyDescent="0.25">
      <c r="A314" s="331">
        <v>41053</v>
      </c>
      <c r="B314" s="323" t="s">
        <v>7820</v>
      </c>
      <c r="C314" s="323" t="s">
        <v>7537</v>
      </c>
      <c r="D314" s="324">
        <f>SUMIF(Leerlingaantallen[Werkgevernummer],BevoegdGezag!A314,Leerlingaantallen[Bedrag])</f>
        <v>187040.62000000002</v>
      </c>
    </row>
    <row r="315" spans="1:4" x14ac:dyDescent="0.25">
      <c r="A315" s="331">
        <v>41081</v>
      </c>
      <c r="B315" s="323" t="s">
        <v>7821</v>
      </c>
      <c r="C315" s="323" t="s">
        <v>7537</v>
      </c>
      <c r="D315" s="324">
        <f>SUMIF(Leerlingaantallen[Werkgevernummer],BevoegdGezag!A315,Leerlingaantallen[Bedrag])</f>
        <v>202403.8</v>
      </c>
    </row>
    <row r="316" spans="1:4" x14ac:dyDescent="0.25">
      <c r="A316" s="331">
        <v>41090</v>
      </c>
      <c r="B316" s="323" t="s">
        <v>7822</v>
      </c>
      <c r="C316" s="323" t="s">
        <v>7544</v>
      </c>
      <c r="D316" s="324">
        <f>SUMIF(Leerlingaantallen[Werkgevernummer],BevoegdGezag!A316,Leerlingaantallen[Bedrag])</f>
        <v>383104.06</v>
      </c>
    </row>
    <row r="317" spans="1:4" x14ac:dyDescent="0.25">
      <c r="A317" s="331">
        <v>41125</v>
      </c>
      <c r="B317" s="323" t="s">
        <v>7823</v>
      </c>
      <c r="C317" s="323" t="s">
        <v>7539</v>
      </c>
      <c r="D317" s="324">
        <f>SUMIF(Leerlingaantallen[Werkgevernummer],BevoegdGezag!A317,Leerlingaantallen[Bedrag])</f>
        <v>595749.98</v>
      </c>
    </row>
    <row r="318" spans="1:4" x14ac:dyDescent="0.25">
      <c r="A318" s="331">
        <v>41127</v>
      </c>
      <c r="B318" s="323" t="s">
        <v>7824</v>
      </c>
      <c r="C318" s="323" t="s">
        <v>7539</v>
      </c>
      <c r="D318" s="324">
        <f>SUMIF(Leerlingaantallen[Werkgevernummer],BevoegdGezag!A318,Leerlingaantallen[Bedrag])</f>
        <v>713656.28999999992</v>
      </c>
    </row>
    <row r="319" spans="1:4" x14ac:dyDescent="0.25">
      <c r="A319" s="331">
        <v>41138</v>
      </c>
      <c r="B319" s="323" t="s">
        <v>7825</v>
      </c>
      <c r="C319" s="323" t="s">
        <v>7539</v>
      </c>
      <c r="D319" s="324">
        <f>SUMIF(Leerlingaantallen[Werkgevernummer],BevoegdGezag!A319,Leerlingaantallen[Bedrag])</f>
        <v>595506.12</v>
      </c>
    </row>
    <row r="320" spans="1:4" x14ac:dyDescent="0.25">
      <c r="A320" s="331">
        <v>41142</v>
      </c>
      <c r="B320" s="323" t="s">
        <v>7826</v>
      </c>
      <c r="C320" s="323" t="s">
        <v>7808</v>
      </c>
      <c r="D320" s="324">
        <f>SUMIF(Leerlingaantallen[Werkgevernummer],BevoegdGezag!A320,Leerlingaantallen[Bedrag])</f>
        <v>62672.020000000004</v>
      </c>
    </row>
    <row r="321" spans="1:4" x14ac:dyDescent="0.25">
      <c r="A321" s="331">
        <v>41148</v>
      </c>
      <c r="B321" s="323" t="s">
        <v>7827</v>
      </c>
      <c r="C321" s="323" t="s">
        <v>7544</v>
      </c>
      <c r="D321" s="324">
        <f>SUMIF(Leerlingaantallen[Werkgevernummer],BevoegdGezag!A321,Leerlingaantallen[Bedrag])</f>
        <v>596237.69999999995</v>
      </c>
    </row>
    <row r="322" spans="1:4" x14ac:dyDescent="0.25">
      <c r="A322" s="331">
        <v>41154</v>
      </c>
      <c r="B322" s="323" t="s">
        <v>7828</v>
      </c>
      <c r="C322" s="323" t="s">
        <v>7539</v>
      </c>
      <c r="D322" s="324">
        <f>SUMIF(Leerlingaantallen[Werkgevernummer],BevoegdGezag!A322,Leerlingaantallen[Bedrag])</f>
        <v>851315.26000000013</v>
      </c>
    </row>
    <row r="323" spans="1:4" x14ac:dyDescent="0.25">
      <c r="A323" s="331">
        <v>41167</v>
      </c>
      <c r="B323" s="323" t="s">
        <v>7829</v>
      </c>
      <c r="C323" s="323" t="s">
        <v>7830</v>
      </c>
      <c r="D323" s="324">
        <f>SUMIF(Leerlingaantallen[Werkgevernummer],BevoegdGezag!A323,Leerlingaantallen[Bedrag])</f>
        <v>182895</v>
      </c>
    </row>
    <row r="324" spans="1:4" x14ac:dyDescent="0.25">
      <c r="A324" s="331">
        <v>41184</v>
      </c>
      <c r="B324" s="323" t="s">
        <v>7831</v>
      </c>
      <c r="C324" s="323" t="s">
        <v>7537</v>
      </c>
      <c r="D324" s="324">
        <f>SUMIF(Leerlingaantallen[Werkgevernummer],BevoegdGezag!A324,Leerlingaantallen[Bedrag])</f>
        <v>154363.38</v>
      </c>
    </row>
    <row r="325" spans="1:4" x14ac:dyDescent="0.25">
      <c r="A325" s="331">
        <v>41191</v>
      </c>
      <c r="B325" s="323" t="s">
        <v>7832</v>
      </c>
      <c r="C325" s="323" t="s">
        <v>7523</v>
      </c>
      <c r="D325" s="324">
        <f>SUMIF(Leerlingaantallen[Werkgevernummer],BevoegdGezag!A325,Leerlingaantallen[Bedrag])</f>
        <v>607699.12000000011</v>
      </c>
    </row>
    <row r="326" spans="1:4" x14ac:dyDescent="0.25">
      <c r="A326" s="331">
        <v>41194</v>
      </c>
      <c r="B326" s="323" t="s">
        <v>7833</v>
      </c>
      <c r="C326" s="323" t="s">
        <v>7539</v>
      </c>
      <c r="D326" s="324">
        <f>SUMIF(Leerlingaantallen[Werkgevernummer],BevoegdGezag!A326,Leerlingaantallen[Bedrag])</f>
        <v>694879.07000000007</v>
      </c>
    </row>
    <row r="327" spans="1:4" x14ac:dyDescent="0.25">
      <c r="A327" s="331">
        <v>41196</v>
      </c>
      <c r="B327" s="323" t="s">
        <v>7834</v>
      </c>
      <c r="C327" s="323" t="s">
        <v>7539</v>
      </c>
      <c r="D327" s="324">
        <f>SUMIF(Leerlingaantallen[Werkgevernummer],BevoegdGezag!A327,Leerlingaantallen[Bedrag])</f>
        <v>204354.68000000002</v>
      </c>
    </row>
    <row r="328" spans="1:4" x14ac:dyDescent="0.25">
      <c r="A328" s="331">
        <v>41200</v>
      </c>
      <c r="B328" s="323" t="s">
        <v>8435</v>
      </c>
      <c r="C328" s="323" t="s">
        <v>7839</v>
      </c>
      <c r="D328" s="324">
        <f>SUMIF(Leerlingaantallen[Werkgevernummer],BevoegdGezag!A328,Leerlingaantallen[Bedrag])</f>
        <v>786204.64000000013</v>
      </c>
    </row>
    <row r="329" spans="1:4" x14ac:dyDescent="0.25">
      <c r="A329" s="331">
        <v>41202</v>
      </c>
      <c r="B329" s="323" t="s">
        <v>8436</v>
      </c>
      <c r="C329" s="323" t="s">
        <v>7587</v>
      </c>
      <c r="D329" s="324">
        <f>SUMIF(Leerlingaantallen[Werkgevernummer],BevoegdGezag!A329,Leerlingaantallen[Bedrag])</f>
        <v>19752.66</v>
      </c>
    </row>
    <row r="330" spans="1:4" x14ac:dyDescent="0.25">
      <c r="A330" s="331">
        <v>41208</v>
      </c>
      <c r="B330" s="323" t="s">
        <v>8437</v>
      </c>
      <c r="C330" s="323" t="s">
        <v>7523</v>
      </c>
      <c r="D330" s="324">
        <f>SUMIF(Leerlingaantallen[Werkgevernummer],BevoegdGezag!A330,Leerlingaantallen[Bedrag])</f>
        <v>168263.40000000002</v>
      </c>
    </row>
    <row r="331" spans="1:4" x14ac:dyDescent="0.25">
      <c r="A331" s="331">
        <v>41213</v>
      </c>
      <c r="B331" s="323" t="s">
        <v>7835</v>
      </c>
      <c r="C331" s="323" t="s">
        <v>7808</v>
      </c>
      <c r="D331" s="324">
        <f>SUMIF(Leerlingaantallen[Werkgevernummer],BevoegdGezag!A331,Leerlingaantallen[Bedrag])</f>
        <v>86082.58</v>
      </c>
    </row>
    <row r="332" spans="1:4" x14ac:dyDescent="0.25">
      <c r="A332" s="331">
        <v>41223</v>
      </c>
      <c r="B332" s="323" t="s">
        <v>7836</v>
      </c>
      <c r="C332" s="323" t="s">
        <v>7542</v>
      </c>
      <c r="D332" s="324">
        <f>SUMIF(Leerlingaantallen[Werkgevernummer],BevoegdGezag!A332,Leerlingaantallen[Bedrag])</f>
        <v>1076032.25</v>
      </c>
    </row>
    <row r="333" spans="1:4" x14ac:dyDescent="0.25">
      <c r="A333" s="331">
        <v>41226</v>
      </c>
      <c r="B333" s="323" t="s">
        <v>7837</v>
      </c>
      <c r="C333" s="323" t="s">
        <v>7830</v>
      </c>
      <c r="D333" s="324">
        <f>SUMIF(Leerlingaantallen[Werkgevernummer],BevoegdGezag!A333,Leerlingaantallen[Bedrag])</f>
        <v>374812.82</v>
      </c>
    </row>
    <row r="334" spans="1:4" x14ac:dyDescent="0.25">
      <c r="A334" s="331">
        <v>41228</v>
      </c>
      <c r="B334" s="323" t="s">
        <v>7838</v>
      </c>
      <c r="C334" s="323" t="s">
        <v>7839</v>
      </c>
      <c r="D334" s="324">
        <f>SUMIF(Leerlingaantallen[Werkgevernummer],BevoegdGezag!A334,Leerlingaantallen[Bedrag])</f>
        <v>799129.2200000002</v>
      </c>
    </row>
    <row r="335" spans="1:4" x14ac:dyDescent="0.25">
      <c r="A335" s="331">
        <v>41233</v>
      </c>
      <c r="B335" s="323" t="s">
        <v>7840</v>
      </c>
      <c r="C335" s="323" t="s">
        <v>7544</v>
      </c>
      <c r="D335" s="324">
        <f>SUMIF(Leerlingaantallen[Werkgevernummer],BevoegdGezag!A335,Leerlingaantallen[Bedrag])</f>
        <v>145828.28000000003</v>
      </c>
    </row>
    <row r="336" spans="1:4" x14ac:dyDescent="0.25">
      <c r="A336" s="331">
        <v>41239</v>
      </c>
      <c r="B336" s="323" t="s">
        <v>7841</v>
      </c>
      <c r="C336" s="323" t="s">
        <v>7539</v>
      </c>
      <c r="D336" s="324">
        <f>SUMIF(Leerlingaantallen[Werkgevernummer],BevoegdGezag!A336,Leerlingaantallen[Bedrag])</f>
        <v>481623.5</v>
      </c>
    </row>
    <row r="337" spans="1:4" x14ac:dyDescent="0.25">
      <c r="A337" s="331">
        <v>41240</v>
      </c>
      <c r="B337" s="323" t="s">
        <v>7842</v>
      </c>
      <c r="C337" s="323" t="s">
        <v>7544</v>
      </c>
      <c r="D337" s="324">
        <f>SUMIF(Leerlingaantallen[Werkgevernummer],BevoegdGezag!A337,Leerlingaantallen[Bedrag])</f>
        <v>317993.44</v>
      </c>
    </row>
    <row r="338" spans="1:4" x14ac:dyDescent="0.25">
      <c r="A338" s="331">
        <v>41241</v>
      </c>
      <c r="B338" s="323" t="s">
        <v>7843</v>
      </c>
      <c r="C338" s="323" t="s">
        <v>7539</v>
      </c>
      <c r="D338" s="324">
        <f>SUMIF(Leerlingaantallen[Werkgevernummer],BevoegdGezag!A338,Leerlingaantallen[Bedrag])</f>
        <v>302386.40000000002</v>
      </c>
    </row>
    <row r="339" spans="1:4" x14ac:dyDescent="0.25">
      <c r="A339" s="331">
        <v>41242</v>
      </c>
      <c r="B339" s="323" t="s">
        <v>7844</v>
      </c>
      <c r="C339" s="323" t="s">
        <v>7539</v>
      </c>
      <c r="D339" s="324">
        <f>SUMIF(Leerlingaantallen[Werkgevernummer],BevoegdGezag!A339,Leerlingaantallen[Bedrag])</f>
        <v>530883.22000000009</v>
      </c>
    </row>
    <row r="340" spans="1:4" x14ac:dyDescent="0.25">
      <c r="A340" s="331">
        <v>41246</v>
      </c>
      <c r="B340" s="323" t="s">
        <v>7845</v>
      </c>
      <c r="C340" s="323" t="s">
        <v>7587</v>
      </c>
      <c r="D340" s="324">
        <f>SUMIF(Leerlingaantallen[Werkgevernummer],BevoegdGezag!A340,Leerlingaantallen[Bedrag])</f>
        <v>804250.2799999998</v>
      </c>
    </row>
    <row r="341" spans="1:4" x14ac:dyDescent="0.25">
      <c r="A341" s="331">
        <v>41248</v>
      </c>
      <c r="B341" s="323" t="s">
        <v>7846</v>
      </c>
      <c r="C341" s="323" t="s">
        <v>7537</v>
      </c>
      <c r="D341" s="324">
        <f>SUMIF(Leerlingaantallen[Werkgevernummer],BevoegdGezag!A341,Leerlingaantallen[Bedrag])</f>
        <v>1609354.0699999998</v>
      </c>
    </row>
    <row r="342" spans="1:4" x14ac:dyDescent="0.25">
      <c r="A342" s="331">
        <v>41251</v>
      </c>
      <c r="B342" s="323" t="s">
        <v>7847</v>
      </c>
      <c r="C342" s="323" t="s">
        <v>7542</v>
      </c>
      <c r="D342" s="324">
        <f>SUMIF(Leerlingaantallen[Werkgevernummer],BevoegdGezag!A342,Leerlingaantallen[Bedrag])</f>
        <v>1600575.11</v>
      </c>
    </row>
    <row r="343" spans="1:4" x14ac:dyDescent="0.25">
      <c r="A343" s="331">
        <v>41256</v>
      </c>
      <c r="B343" s="323" t="s">
        <v>7848</v>
      </c>
      <c r="C343" s="323" t="s">
        <v>7621</v>
      </c>
      <c r="D343" s="324">
        <f>SUMIF(Leerlingaantallen[Werkgevernummer],BevoegdGezag!A343,Leerlingaantallen[Bedrag])</f>
        <v>75596.600000000006</v>
      </c>
    </row>
    <row r="344" spans="1:4" x14ac:dyDescent="0.25">
      <c r="A344" s="331">
        <v>41261</v>
      </c>
      <c r="B344" s="323" t="s">
        <v>7849</v>
      </c>
      <c r="C344" s="323" t="s">
        <v>7539</v>
      </c>
      <c r="D344" s="324">
        <f>SUMIF(Leerlingaantallen[Werkgevernummer],BevoegdGezag!A344,Leerlingaantallen[Bedrag])</f>
        <v>366521.58</v>
      </c>
    </row>
    <row r="345" spans="1:4" x14ac:dyDescent="0.25">
      <c r="A345" s="331">
        <v>41270</v>
      </c>
      <c r="B345" s="323" t="s">
        <v>7850</v>
      </c>
      <c r="C345" s="323" t="s">
        <v>7539</v>
      </c>
      <c r="D345" s="324">
        <f>SUMIF(Leerlingaantallen[Werkgevernummer],BevoegdGezag!A345,Leerlingaantallen[Bedrag])</f>
        <v>459919.96000000008</v>
      </c>
    </row>
    <row r="346" spans="1:4" x14ac:dyDescent="0.25">
      <c r="A346" s="331">
        <v>41274</v>
      </c>
      <c r="B346" s="323" t="s">
        <v>8438</v>
      </c>
      <c r="C346" s="323" t="s">
        <v>7537</v>
      </c>
      <c r="D346" s="324">
        <f>SUMIF(Leerlingaantallen[Werkgevernummer],BevoegdGezag!A346,Leerlingaantallen[Bedrag])</f>
        <v>110468.58</v>
      </c>
    </row>
    <row r="347" spans="1:4" x14ac:dyDescent="0.25">
      <c r="A347" s="331">
        <v>41278</v>
      </c>
      <c r="B347" s="323" t="s">
        <v>7851</v>
      </c>
      <c r="C347" s="323" t="s">
        <v>7539</v>
      </c>
      <c r="D347" s="324">
        <f>SUMIF(Leerlingaantallen[Werkgevernummer],BevoegdGezag!A347,Leerlingaantallen[Bedrag])</f>
        <v>38286.020000000004</v>
      </c>
    </row>
    <row r="348" spans="1:4" x14ac:dyDescent="0.25">
      <c r="A348" s="331">
        <v>41282</v>
      </c>
      <c r="B348" s="323" t="s">
        <v>7852</v>
      </c>
      <c r="C348" s="323" t="s">
        <v>7830</v>
      </c>
      <c r="D348" s="324">
        <f>SUMIF(Leerlingaantallen[Werkgevernummer],BevoegdGezag!A348,Leerlingaantallen[Bedrag])</f>
        <v>271903.90000000002</v>
      </c>
    </row>
    <row r="349" spans="1:4" x14ac:dyDescent="0.25">
      <c r="A349" s="331">
        <v>41286</v>
      </c>
      <c r="B349" s="323" t="s">
        <v>7853</v>
      </c>
      <c r="C349" s="323" t="s">
        <v>7539</v>
      </c>
      <c r="D349" s="324">
        <f>SUMIF(Leerlingaantallen[Werkgevernummer],BevoegdGezag!A349,Leerlingaantallen[Bedrag])</f>
        <v>637693.9</v>
      </c>
    </row>
    <row r="350" spans="1:4" x14ac:dyDescent="0.25">
      <c r="A350" s="331">
        <v>41290</v>
      </c>
      <c r="B350" s="323" t="s">
        <v>8439</v>
      </c>
      <c r="C350" s="323" t="s">
        <v>7537</v>
      </c>
      <c r="D350" s="324">
        <f>SUMIF(Leerlingaantallen[Werkgevernummer],BevoegdGezag!A350,Leerlingaantallen[Bedrag])</f>
        <v>94129.96</v>
      </c>
    </row>
    <row r="351" spans="1:4" x14ac:dyDescent="0.25">
      <c r="A351" s="331">
        <v>41293</v>
      </c>
      <c r="B351" s="323" t="s">
        <v>7854</v>
      </c>
      <c r="C351" s="323" t="s">
        <v>7539</v>
      </c>
      <c r="D351" s="324">
        <f>SUMIF(Leerlingaantallen[Werkgevernummer],BevoegdGezag!A351,Leerlingaantallen[Bedrag])</f>
        <v>267026.7</v>
      </c>
    </row>
    <row r="352" spans="1:4" x14ac:dyDescent="0.25">
      <c r="A352" s="331">
        <v>41296</v>
      </c>
      <c r="B352" s="323" t="s">
        <v>7855</v>
      </c>
      <c r="C352" s="323" t="s">
        <v>7537</v>
      </c>
      <c r="D352" s="324">
        <f>SUMIF(Leerlingaantallen[Werkgevernummer],BevoegdGezag!A352,Leerlingaantallen[Bedrag])</f>
        <v>600139.46</v>
      </c>
    </row>
    <row r="353" spans="1:4" x14ac:dyDescent="0.25">
      <c r="A353" s="331">
        <v>41312</v>
      </c>
      <c r="B353" s="323" t="s">
        <v>8440</v>
      </c>
      <c r="C353" s="323" t="s">
        <v>7984</v>
      </c>
      <c r="D353" s="324">
        <f>SUMIF(Leerlingaantallen[Werkgevernummer],BevoegdGezag!A353,Leerlingaantallen[Bedrag])</f>
        <v>239958.24000000002</v>
      </c>
    </row>
    <row r="354" spans="1:4" x14ac:dyDescent="0.25">
      <c r="A354" s="331">
        <v>41314</v>
      </c>
      <c r="B354" s="323" t="s">
        <v>8441</v>
      </c>
      <c r="C354" s="323" t="s">
        <v>7978</v>
      </c>
      <c r="D354" s="324">
        <f>SUMIF(Leerlingaantallen[Werkgevernummer],BevoegdGezag!A354,Leerlingaantallen[Bedrag])</f>
        <v>1287580.7999999998</v>
      </c>
    </row>
    <row r="355" spans="1:4" x14ac:dyDescent="0.25">
      <c r="A355" s="331">
        <v>41316</v>
      </c>
      <c r="B355" s="323" t="s">
        <v>7856</v>
      </c>
      <c r="C355" s="323" t="s">
        <v>7539</v>
      </c>
      <c r="D355" s="324">
        <f>SUMIF(Leerlingaantallen[Werkgevernummer],BevoegdGezag!A355,Leerlingaantallen[Bedrag])</f>
        <v>181675.7</v>
      </c>
    </row>
    <row r="356" spans="1:4" x14ac:dyDescent="0.25">
      <c r="A356" s="331">
        <v>41324</v>
      </c>
      <c r="B356" s="323" t="s">
        <v>7857</v>
      </c>
      <c r="C356" s="323" t="s">
        <v>7537</v>
      </c>
      <c r="D356" s="324">
        <f>SUMIF(Leerlingaantallen[Werkgevernummer],BevoegdGezag!A356,Leerlingaantallen[Bedrag])</f>
        <v>290193.40000000002</v>
      </c>
    </row>
    <row r="357" spans="1:4" x14ac:dyDescent="0.25">
      <c r="A357" s="331">
        <v>41335</v>
      </c>
      <c r="B357" s="323" t="s">
        <v>7858</v>
      </c>
      <c r="C357" s="323" t="s">
        <v>7537</v>
      </c>
      <c r="D357" s="324">
        <f>SUMIF(Leerlingaantallen[Werkgevernummer],BevoegdGezag!A357,Leerlingaantallen[Bedrag])</f>
        <v>16338.62</v>
      </c>
    </row>
    <row r="358" spans="1:4" x14ac:dyDescent="0.25">
      <c r="A358" s="331">
        <v>41337</v>
      </c>
      <c r="B358" s="323" t="s">
        <v>7859</v>
      </c>
      <c r="C358" s="323" t="s">
        <v>7539</v>
      </c>
      <c r="D358" s="324">
        <f>SUMIF(Leerlingaantallen[Werkgevernummer],BevoegdGezag!A358,Leerlingaantallen[Bedrag])</f>
        <v>700609.78</v>
      </c>
    </row>
    <row r="359" spans="1:4" x14ac:dyDescent="0.25">
      <c r="A359" s="331">
        <v>41338</v>
      </c>
      <c r="B359" s="323" t="s">
        <v>7860</v>
      </c>
      <c r="C359" s="323" t="s">
        <v>7830</v>
      </c>
      <c r="D359" s="324">
        <f>SUMIF(Leerlingaantallen[Werkgevernummer],BevoegdGezag!A359,Leerlingaantallen[Bedrag])</f>
        <v>1124438.46</v>
      </c>
    </row>
    <row r="360" spans="1:4" x14ac:dyDescent="0.25">
      <c r="A360" s="331">
        <v>41340</v>
      </c>
      <c r="B360" s="323" t="s">
        <v>7861</v>
      </c>
      <c r="C360" s="323" t="s">
        <v>7862</v>
      </c>
      <c r="D360" s="324">
        <f>SUMIF(Leerlingaantallen[Werkgevernummer],BevoegdGezag!A360,Leerlingaantallen[Bedrag])</f>
        <v>701463.28999999992</v>
      </c>
    </row>
    <row r="361" spans="1:4" x14ac:dyDescent="0.25">
      <c r="A361" s="331">
        <v>41343</v>
      </c>
      <c r="B361" s="323" t="s">
        <v>7863</v>
      </c>
      <c r="C361" s="323" t="s">
        <v>7539</v>
      </c>
      <c r="D361" s="324">
        <f>SUMIF(Leerlingaantallen[Werkgevernummer],BevoegdGezag!A361,Leerlingaantallen[Bedrag])</f>
        <v>126075.62000000001</v>
      </c>
    </row>
    <row r="362" spans="1:4" x14ac:dyDescent="0.25">
      <c r="A362" s="331">
        <v>41345</v>
      </c>
      <c r="B362" s="323" t="s">
        <v>7864</v>
      </c>
      <c r="C362" s="323" t="s">
        <v>7523</v>
      </c>
      <c r="D362" s="324">
        <f>SUMIF(Leerlingaantallen[Werkgevernummer],BevoegdGezag!A362,Leerlingaantallen[Bedrag])</f>
        <v>546002.54</v>
      </c>
    </row>
    <row r="363" spans="1:4" x14ac:dyDescent="0.25">
      <c r="A363" s="331">
        <v>41349</v>
      </c>
      <c r="B363" s="323" t="s">
        <v>7865</v>
      </c>
      <c r="C363" s="323" t="s">
        <v>7523</v>
      </c>
      <c r="D363" s="324">
        <f>SUMIF(Leerlingaantallen[Werkgevernummer],BevoegdGezag!A363,Leerlingaantallen[Bedrag])</f>
        <v>526006.02</v>
      </c>
    </row>
    <row r="364" spans="1:4" x14ac:dyDescent="0.25">
      <c r="A364" s="331">
        <v>41358</v>
      </c>
      <c r="B364" s="323" t="s">
        <v>7866</v>
      </c>
      <c r="C364" s="323" t="s">
        <v>7539</v>
      </c>
      <c r="D364" s="324">
        <f>SUMIF(Leerlingaantallen[Werkgevernummer],BevoegdGezag!A364,Leerlingaantallen[Bedrag])</f>
        <v>531370.94000000018</v>
      </c>
    </row>
    <row r="365" spans="1:4" x14ac:dyDescent="0.25">
      <c r="A365" s="331">
        <v>41359</v>
      </c>
      <c r="B365" s="323" t="s">
        <v>7867</v>
      </c>
      <c r="C365" s="323" t="s">
        <v>7587</v>
      </c>
      <c r="D365" s="324">
        <f>SUMIF(Leerlingaantallen[Werkgevernummer],BevoegdGezag!A365,Leerlingaantallen[Bedrag])</f>
        <v>155826.54</v>
      </c>
    </row>
    <row r="366" spans="1:4" x14ac:dyDescent="0.25">
      <c r="A366" s="331">
        <v>41362</v>
      </c>
      <c r="B366" s="323" t="s">
        <v>7868</v>
      </c>
      <c r="C366" s="323" t="s">
        <v>7523</v>
      </c>
      <c r="D366" s="324">
        <f>SUMIF(Leerlingaantallen[Werkgevernummer],BevoegdGezag!A366,Leerlingaantallen[Bedrag])</f>
        <v>729629.12000000011</v>
      </c>
    </row>
    <row r="367" spans="1:4" x14ac:dyDescent="0.25">
      <c r="A367" s="331">
        <v>41364</v>
      </c>
      <c r="B367" s="323" t="s">
        <v>7869</v>
      </c>
      <c r="C367" s="323" t="s">
        <v>7523</v>
      </c>
      <c r="D367" s="324">
        <f>SUMIF(Leerlingaantallen[Werkgevernummer],BevoegdGezag!A367,Leerlingaantallen[Bedrag])</f>
        <v>606479.82000000007</v>
      </c>
    </row>
    <row r="368" spans="1:4" x14ac:dyDescent="0.25">
      <c r="A368" s="331">
        <v>41371</v>
      </c>
      <c r="B368" s="323" t="s">
        <v>7870</v>
      </c>
      <c r="C368" s="323" t="s">
        <v>7523</v>
      </c>
      <c r="D368" s="324">
        <f>SUMIF(Leerlingaantallen[Werkgevernummer],BevoegdGezag!A368,Leerlingaantallen[Bedrag])</f>
        <v>734750.18</v>
      </c>
    </row>
    <row r="369" spans="1:4" x14ac:dyDescent="0.25">
      <c r="A369" s="331">
        <v>41373</v>
      </c>
      <c r="B369" s="323" t="s">
        <v>7871</v>
      </c>
      <c r="C369" s="323" t="s">
        <v>7830</v>
      </c>
      <c r="D369" s="324">
        <f>SUMIF(Leerlingaantallen[Werkgevernummer],BevoegdGezag!A369,Leerlingaantallen[Bedrag])</f>
        <v>1359885.29</v>
      </c>
    </row>
    <row r="370" spans="1:4" x14ac:dyDescent="0.25">
      <c r="A370" s="331">
        <v>41375</v>
      </c>
      <c r="B370" s="323" t="s">
        <v>7872</v>
      </c>
      <c r="C370" s="323" t="s">
        <v>7523</v>
      </c>
      <c r="D370" s="324">
        <f>SUMIF(Leerlingaantallen[Werkgevernummer],BevoegdGezag!A370,Leerlingaantallen[Bedrag])</f>
        <v>815345.90999999992</v>
      </c>
    </row>
    <row r="371" spans="1:4" x14ac:dyDescent="0.25">
      <c r="A371" s="331">
        <v>41376</v>
      </c>
      <c r="B371" s="323" t="s">
        <v>7873</v>
      </c>
      <c r="C371" s="323" t="s">
        <v>7830</v>
      </c>
      <c r="D371" s="324">
        <f>SUMIF(Leerlingaantallen[Werkgevernummer],BevoegdGezag!A371,Leerlingaantallen[Bedrag])</f>
        <v>1149312.18</v>
      </c>
    </row>
    <row r="372" spans="1:4" x14ac:dyDescent="0.25">
      <c r="A372" s="331">
        <v>41385</v>
      </c>
      <c r="B372" s="323" t="s">
        <v>7874</v>
      </c>
      <c r="C372" s="323" t="s">
        <v>7537</v>
      </c>
      <c r="D372" s="324">
        <f>SUMIF(Leerlingaantallen[Werkgevernummer],BevoegdGezag!A372,Leerlingaantallen[Bedrag])</f>
        <v>265319.68000000005</v>
      </c>
    </row>
    <row r="373" spans="1:4" x14ac:dyDescent="0.25">
      <c r="A373" s="331">
        <v>41386</v>
      </c>
      <c r="B373" s="323" t="s">
        <v>7875</v>
      </c>
      <c r="C373" s="323" t="s">
        <v>7523</v>
      </c>
      <c r="D373" s="324">
        <f>SUMIF(Leerlingaantallen[Werkgevernummer],BevoegdGezag!A373,Leerlingaantallen[Bedrag])</f>
        <v>475527.00000000006</v>
      </c>
    </row>
    <row r="374" spans="1:4" x14ac:dyDescent="0.25">
      <c r="A374" s="331">
        <v>41388</v>
      </c>
      <c r="B374" s="323" t="s">
        <v>8442</v>
      </c>
      <c r="C374" s="323" t="s">
        <v>7537</v>
      </c>
      <c r="D374" s="324">
        <f>SUMIF(Leerlingaantallen[Werkgevernummer],BevoegdGezag!A374,Leerlingaantallen[Bedrag])</f>
        <v>261905.63999999998</v>
      </c>
    </row>
    <row r="375" spans="1:4" x14ac:dyDescent="0.25">
      <c r="A375" s="331">
        <v>41390</v>
      </c>
      <c r="B375" s="323" t="s">
        <v>7876</v>
      </c>
      <c r="C375" s="323" t="s">
        <v>7830</v>
      </c>
      <c r="D375" s="324">
        <f>SUMIF(Leerlingaantallen[Werkgevernummer],BevoegdGezag!A375,Leerlingaantallen[Bedrag])</f>
        <v>1171259.58</v>
      </c>
    </row>
    <row r="376" spans="1:4" x14ac:dyDescent="0.25">
      <c r="A376" s="331">
        <v>41396</v>
      </c>
      <c r="B376" s="323" t="s">
        <v>7877</v>
      </c>
      <c r="C376" s="323" t="s">
        <v>7539</v>
      </c>
      <c r="D376" s="324">
        <f>SUMIF(Leerlingaantallen[Werkgevernummer],BevoegdGezag!A376,Leerlingaantallen[Bedrag])</f>
        <v>592214.01</v>
      </c>
    </row>
    <row r="377" spans="1:4" x14ac:dyDescent="0.25">
      <c r="A377" s="331">
        <v>41398</v>
      </c>
      <c r="B377" s="323" t="s">
        <v>7878</v>
      </c>
      <c r="C377" s="323" t="s">
        <v>7830</v>
      </c>
      <c r="D377" s="324">
        <f>SUMIF(Leerlingaantallen[Werkgevernummer],BevoegdGezag!A377,Leerlingaantallen[Bedrag])</f>
        <v>531127.07999999996</v>
      </c>
    </row>
    <row r="378" spans="1:4" x14ac:dyDescent="0.25">
      <c r="A378" s="331">
        <v>41400</v>
      </c>
      <c r="B378" s="323" t="s">
        <v>7879</v>
      </c>
      <c r="C378" s="323" t="s">
        <v>7523</v>
      </c>
      <c r="D378" s="324">
        <f>SUMIF(Leerlingaantallen[Werkgevernummer],BevoegdGezag!A378,Leerlingaantallen[Bedrag])</f>
        <v>2546873.8399999994</v>
      </c>
    </row>
    <row r="379" spans="1:4" x14ac:dyDescent="0.25">
      <c r="A379" s="331">
        <v>41401</v>
      </c>
      <c r="B379" s="323" t="s">
        <v>7880</v>
      </c>
      <c r="C379" s="323" t="s">
        <v>7523</v>
      </c>
      <c r="D379" s="324">
        <f>SUMIF(Leerlingaantallen[Werkgevernummer],BevoegdGezag!A379,Leerlingaantallen[Bedrag])</f>
        <v>673297.4600000002</v>
      </c>
    </row>
    <row r="380" spans="1:4" x14ac:dyDescent="0.25">
      <c r="A380" s="331">
        <v>41407</v>
      </c>
      <c r="B380" s="323" t="s">
        <v>7881</v>
      </c>
      <c r="C380" s="323" t="s">
        <v>7544</v>
      </c>
      <c r="D380" s="324">
        <f>SUMIF(Leerlingaantallen[Werkgevernummer],BevoegdGezag!A380,Leerlingaantallen[Bedrag])</f>
        <v>2530291.3599999994</v>
      </c>
    </row>
    <row r="381" spans="1:4" x14ac:dyDescent="0.25">
      <c r="A381" s="331">
        <v>41413</v>
      </c>
      <c r="B381" s="323" t="s">
        <v>7882</v>
      </c>
      <c r="C381" s="323" t="s">
        <v>7523</v>
      </c>
      <c r="D381" s="324">
        <f>SUMIF(Leerlingaantallen[Werkgevernummer],BevoegdGezag!A381,Leerlingaantallen[Bedrag])</f>
        <v>465528.74</v>
      </c>
    </row>
    <row r="382" spans="1:4" x14ac:dyDescent="0.25">
      <c r="A382" s="331">
        <v>41414</v>
      </c>
      <c r="B382" s="323" t="s">
        <v>8443</v>
      </c>
      <c r="C382" s="323" t="s">
        <v>7537</v>
      </c>
      <c r="D382" s="324">
        <f>SUMIF(Leerlingaantallen[Werkgevernummer],BevoegdGezag!A382,Leerlingaantallen[Bedrag])</f>
        <v>1096516.4900000002</v>
      </c>
    </row>
    <row r="383" spans="1:4" x14ac:dyDescent="0.25">
      <c r="A383" s="331">
        <v>41417</v>
      </c>
      <c r="B383" s="323" t="s">
        <v>8444</v>
      </c>
      <c r="C383" s="323" t="s">
        <v>7537</v>
      </c>
      <c r="D383" s="324">
        <f>SUMIF(Leerlingaantallen[Werkgevernummer],BevoegdGezag!A383,Leerlingaantallen[Bedrag])</f>
        <v>390541.79000000004</v>
      </c>
    </row>
    <row r="384" spans="1:4" x14ac:dyDescent="0.25">
      <c r="A384" s="331">
        <v>41419</v>
      </c>
      <c r="B384" s="323" t="s">
        <v>7883</v>
      </c>
      <c r="C384" s="323" t="s">
        <v>7539</v>
      </c>
      <c r="D384" s="324">
        <f>SUMIF(Leerlingaantallen[Werkgevernummer],BevoegdGezag!A384,Leerlingaantallen[Bedrag])</f>
        <v>785229.2</v>
      </c>
    </row>
    <row r="385" spans="1:4" x14ac:dyDescent="0.25">
      <c r="A385" s="331">
        <v>41421</v>
      </c>
      <c r="B385" s="323" t="s">
        <v>7884</v>
      </c>
      <c r="C385" s="323" t="s">
        <v>7523</v>
      </c>
      <c r="D385" s="324">
        <f>SUMIF(Leerlingaantallen[Werkgevernummer],BevoegdGezag!A385,Leerlingaantallen[Bedrag])</f>
        <v>439923.44000000006</v>
      </c>
    </row>
    <row r="386" spans="1:4" x14ac:dyDescent="0.25">
      <c r="A386" s="331">
        <v>41424</v>
      </c>
      <c r="B386" s="323" t="s">
        <v>7885</v>
      </c>
      <c r="C386" s="323" t="s">
        <v>7539</v>
      </c>
      <c r="D386" s="324">
        <f>SUMIF(Leerlingaantallen[Werkgevernummer],BevoegdGezag!A386,Leerlingaantallen[Bedrag])</f>
        <v>832659.96999999986</v>
      </c>
    </row>
    <row r="387" spans="1:4" x14ac:dyDescent="0.25">
      <c r="A387" s="331">
        <v>41434</v>
      </c>
      <c r="B387" s="323" t="s">
        <v>7886</v>
      </c>
      <c r="C387" s="323" t="s">
        <v>7830</v>
      </c>
      <c r="D387" s="324">
        <f>SUMIF(Leerlingaantallen[Werkgevernummer],BevoegdGezag!A387,Leerlingaantallen[Bedrag])</f>
        <v>1015433.0400000002</v>
      </c>
    </row>
    <row r="388" spans="1:4" x14ac:dyDescent="0.25">
      <c r="A388" s="331">
        <v>41435</v>
      </c>
      <c r="B388" s="323" t="s">
        <v>7887</v>
      </c>
      <c r="C388" s="323" t="s">
        <v>7523</v>
      </c>
      <c r="D388" s="324">
        <f>SUMIF(Leerlingaantallen[Werkgevernummer],BevoegdGezag!A388,Leerlingaantallen[Bedrag])</f>
        <v>496498.95999999996</v>
      </c>
    </row>
    <row r="389" spans="1:4" x14ac:dyDescent="0.25">
      <c r="A389" s="331">
        <v>41438</v>
      </c>
      <c r="B389" s="323" t="s">
        <v>7888</v>
      </c>
      <c r="C389" s="323" t="s">
        <v>7523</v>
      </c>
      <c r="D389" s="324">
        <f>SUMIF(Leerlingaantallen[Werkgevernummer],BevoegdGezag!A389,Leerlingaantallen[Bedrag])</f>
        <v>810834.49999999988</v>
      </c>
    </row>
    <row r="390" spans="1:4" x14ac:dyDescent="0.25">
      <c r="A390" s="331">
        <v>41439</v>
      </c>
      <c r="B390" s="323" t="s">
        <v>7889</v>
      </c>
      <c r="C390" s="323" t="s">
        <v>7539</v>
      </c>
      <c r="D390" s="324">
        <f>SUMIF(Leerlingaantallen[Werkgevernummer],BevoegdGezag!A390,Leerlingaantallen[Bedrag])</f>
        <v>598188.57999999996</v>
      </c>
    </row>
    <row r="391" spans="1:4" x14ac:dyDescent="0.25">
      <c r="A391" s="331">
        <v>41440</v>
      </c>
      <c r="B391" s="323" t="s">
        <v>7890</v>
      </c>
      <c r="C391" s="323" t="s">
        <v>7542</v>
      </c>
      <c r="D391" s="324">
        <f>SUMIF(Leerlingaantallen[Werkgevernummer],BevoegdGezag!A391,Leerlingaantallen[Bedrag])</f>
        <v>46089.54</v>
      </c>
    </row>
    <row r="392" spans="1:4" x14ac:dyDescent="0.25">
      <c r="A392" s="331">
        <v>41441</v>
      </c>
      <c r="B392" s="323" t="s">
        <v>7891</v>
      </c>
      <c r="C392" s="323" t="s">
        <v>7523</v>
      </c>
      <c r="D392" s="324">
        <f>SUMIF(Leerlingaantallen[Werkgevernummer],BevoegdGezag!A392,Leerlingaantallen[Bedrag])</f>
        <v>778157.26</v>
      </c>
    </row>
    <row r="393" spans="1:4" x14ac:dyDescent="0.25">
      <c r="A393" s="331">
        <v>41443</v>
      </c>
      <c r="B393" s="323" t="s">
        <v>7892</v>
      </c>
      <c r="C393" s="323" t="s">
        <v>7523</v>
      </c>
      <c r="D393" s="324">
        <f>SUMIF(Leerlingaantallen[Werkgevernummer],BevoegdGezag!A393,Leerlingaantallen[Bedrag])</f>
        <v>437240.98000000004</v>
      </c>
    </row>
    <row r="394" spans="1:4" x14ac:dyDescent="0.25">
      <c r="A394" s="331">
        <v>41444</v>
      </c>
      <c r="B394" s="323" t="s">
        <v>7893</v>
      </c>
      <c r="C394" s="323" t="s">
        <v>7523</v>
      </c>
      <c r="D394" s="324">
        <f>SUMIF(Leerlingaantallen[Werkgevernummer],BevoegdGezag!A394,Leerlingaantallen[Bedrag])</f>
        <v>775474.79999999981</v>
      </c>
    </row>
    <row r="395" spans="1:4" x14ac:dyDescent="0.25">
      <c r="A395" s="331">
        <v>41447</v>
      </c>
      <c r="B395" s="323" t="s">
        <v>7894</v>
      </c>
      <c r="C395" s="323" t="s">
        <v>7573</v>
      </c>
      <c r="D395" s="324">
        <f>SUMIF(Leerlingaantallen[Werkgevernummer],BevoegdGezag!A395,Leerlingaantallen[Bedrag])</f>
        <v>1138582.3400000003</v>
      </c>
    </row>
    <row r="396" spans="1:4" x14ac:dyDescent="0.25">
      <c r="A396" s="331">
        <v>41448</v>
      </c>
      <c r="B396" s="323" t="s">
        <v>8445</v>
      </c>
      <c r="C396" s="323" t="s">
        <v>7830</v>
      </c>
      <c r="D396" s="324">
        <f>SUMIF(Leerlingaantallen[Werkgevernummer],BevoegdGezag!A396,Leerlingaantallen[Bedrag])</f>
        <v>151680.92000000001</v>
      </c>
    </row>
    <row r="397" spans="1:4" x14ac:dyDescent="0.25">
      <c r="A397" s="331">
        <v>41450</v>
      </c>
      <c r="B397" s="323" t="s">
        <v>8446</v>
      </c>
      <c r="C397" s="323" t="s">
        <v>7978</v>
      </c>
      <c r="D397" s="324">
        <f>SUMIF(Leerlingaantallen[Werkgevernummer],BevoegdGezag!A397,Leerlingaantallen[Bedrag])</f>
        <v>132172.12</v>
      </c>
    </row>
    <row r="398" spans="1:4" x14ac:dyDescent="0.25">
      <c r="A398" s="331">
        <v>41454</v>
      </c>
      <c r="B398" s="323" t="s">
        <v>7895</v>
      </c>
      <c r="C398" s="323" t="s">
        <v>7539</v>
      </c>
      <c r="D398" s="324">
        <f>SUMIF(Leerlingaantallen[Werkgevernummer],BevoegdGezag!A398,Leerlingaantallen[Bedrag])</f>
        <v>1053597.1299999999</v>
      </c>
    </row>
    <row r="399" spans="1:4" x14ac:dyDescent="0.25">
      <c r="A399" s="331">
        <v>41455</v>
      </c>
      <c r="B399" s="323" t="s">
        <v>7896</v>
      </c>
      <c r="C399" s="323" t="s">
        <v>7523</v>
      </c>
      <c r="D399" s="324">
        <f>SUMIF(Leerlingaantallen[Werkgevernummer],BevoegdGezag!A399,Leerlingaantallen[Bedrag])</f>
        <v>437484.83999999997</v>
      </c>
    </row>
    <row r="400" spans="1:4" x14ac:dyDescent="0.25">
      <c r="A400" s="331">
        <v>41456</v>
      </c>
      <c r="B400" s="323" t="s">
        <v>7897</v>
      </c>
      <c r="C400" s="323" t="s">
        <v>7523</v>
      </c>
      <c r="D400" s="324">
        <f>SUMIF(Leerlingaantallen[Werkgevernummer],BevoegdGezag!A400,Leerlingaantallen[Bedrag])</f>
        <v>190454.66000000003</v>
      </c>
    </row>
    <row r="401" spans="1:4" x14ac:dyDescent="0.25">
      <c r="A401" s="331">
        <v>41460</v>
      </c>
      <c r="B401" s="323" t="s">
        <v>7898</v>
      </c>
      <c r="C401" s="323" t="s">
        <v>7539</v>
      </c>
      <c r="D401" s="324">
        <f>SUMIF(Leerlingaantallen[Werkgevernummer],BevoegdGezag!A401,Leerlingaantallen[Bedrag])</f>
        <v>618916.68000000005</v>
      </c>
    </row>
    <row r="402" spans="1:4" x14ac:dyDescent="0.25">
      <c r="A402" s="331">
        <v>41461</v>
      </c>
      <c r="B402" s="323" t="s">
        <v>7899</v>
      </c>
      <c r="C402" s="323" t="s">
        <v>7523</v>
      </c>
      <c r="D402" s="324">
        <f>SUMIF(Leerlingaantallen[Werkgevernummer],BevoegdGezag!A402,Leerlingaantallen[Bedrag])</f>
        <v>451872.58</v>
      </c>
    </row>
    <row r="403" spans="1:4" x14ac:dyDescent="0.25">
      <c r="A403" s="331">
        <v>41463</v>
      </c>
      <c r="B403" s="323" t="s">
        <v>8447</v>
      </c>
      <c r="C403" s="323" t="s">
        <v>7537</v>
      </c>
      <c r="D403" s="324">
        <f>SUMIF(Leerlingaantallen[Werkgevernummer],BevoegdGezag!A403,Leerlingaantallen[Bedrag])</f>
        <v>42431.64</v>
      </c>
    </row>
    <row r="404" spans="1:4" x14ac:dyDescent="0.25">
      <c r="A404" s="331">
        <v>41471</v>
      </c>
      <c r="B404" s="323" t="s">
        <v>7900</v>
      </c>
      <c r="C404" s="323" t="s">
        <v>7523</v>
      </c>
      <c r="D404" s="324">
        <f>SUMIF(Leerlingaantallen[Werkgevernummer],BevoegdGezag!A404,Leerlingaantallen[Bedrag])</f>
        <v>726946.66</v>
      </c>
    </row>
    <row r="405" spans="1:4" x14ac:dyDescent="0.25">
      <c r="A405" s="331">
        <v>41472</v>
      </c>
      <c r="B405" s="323" t="s">
        <v>7901</v>
      </c>
      <c r="C405" s="323" t="s">
        <v>7539</v>
      </c>
      <c r="D405" s="324">
        <f>SUMIF(Leerlingaantallen[Werkgevernummer],BevoegdGezag!A405,Leerlingaantallen[Bedrag])</f>
        <v>411635.67999999993</v>
      </c>
    </row>
    <row r="406" spans="1:4" x14ac:dyDescent="0.25">
      <c r="A406" s="331">
        <v>41473</v>
      </c>
      <c r="B406" s="323" t="s">
        <v>7902</v>
      </c>
      <c r="C406" s="323" t="s">
        <v>7539</v>
      </c>
      <c r="D406" s="324">
        <f>SUMIF(Leerlingaantallen[Werkgevernummer],BevoegdGezag!A406,Leerlingaantallen[Bedrag])</f>
        <v>357254.9</v>
      </c>
    </row>
    <row r="407" spans="1:4" x14ac:dyDescent="0.25">
      <c r="A407" s="331">
        <v>41476</v>
      </c>
      <c r="B407" s="323" t="s">
        <v>7903</v>
      </c>
      <c r="C407" s="323" t="s">
        <v>7523</v>
      </c>
      <c r="D407" s="324">
        <f>SUMIF(Leerlingaantallen[Werkgevernummer],BevoegdGezag!A407,Leerlingaantallen[Bedrag])</f>
        <v>306288.15999999997</v>
      </c>
    </row>
    <row r="408" spans="1:4" x14ac:dyDescent="0.25">
      <c r="A408" s="331">
        <v>41479</v>
      </c>
      <c r="B408" s="323" t="s">
        <v>8448</v>
      </c>
      <c r="C408" s="323" t="s">
        <v>7523</v>
      </c>
      <c r="D408" s="324">
        <f>SUMIF(Leerlingaantallen[Werkgevernummer],BevoegdGezag!A408,Leerlingaantallen[Bedrag])</f>
        <v>588190.32000000007</v>
      </c>
    </row>
    <row r="409" spans="1:4" x14ac:dyDescent="0.25">
      <c r="A409" s="331">
        <v>41481</v>
      </c>
      <c r="B409" s="323" t="s">
        <v>7904</v>
      </c>
      <c r="C409" s="323" t="s">
        <v>7523</v>
      </c>
      <c r="D409" s="324">
        <f>SUMIF(Leerlingaantallen[Werkgevernummer],BevoegdGezag!A409,Leerlingaantallen[Bedrag])</f>
        <v>464065.57999999996</v>
      </c>
    </row>
    <row r="410" spans="1:4" x14ac:dyDescent="0.25">
      <c r="A410" s="331">
        <v>41483</v>
      </c>
      <c r="B410" s="323" t="s">
        <v>7905</v>
      </c>
      <c r="C410" s="323" t="s">
        <v>7539</v>
      </c>
      <c r="D410" s="324">
        <f>SUMIF(Leerlingaantallen[Werkgevernummer],BevoegdGezag!A410,Leerlingaantallen[Bedrag])</f>
        <v>434070.80000000005</v>
      </c>
    </row>
    <row r="411" spans="1:4" x14ac:dyDescent="0.25">
      <c r="A411" s="331">
        <v>41487</v>
      </c>
      <c r="B411" s="323" t="s">
        <v>7906</v>
      </c>
      <c r="C411" s="323" t="s">
        <v>7539</v>
      </c>
      <c r="D411" s="324">
        <f>SUMIF(Leerlingaantallen[Werkgevernummer],BevoegdGezag!A411,Leerlingaantallen[Bedrag])</f>
        <v>500644.57999999996</v>
      </c>
    </row>
    <row r="412" spans="1:4" x14ac:dyDescent="0.25">
      <c r="A412" s="331">
        <v>41488</v>
      </c>
      <c r="B412" s="323" t="s">
        <v>7907</v>
      </c>
      <c r="C412" s="323" t="s">
        <v>7523</v>
      </c>
      <c r="D412" s="324">
        <f>SUMIF(Leerlingaantallen[Werkgevernummer],BevoegdGezag!A412,Leerlingaantallen[Bedrag])</f>
        <v>909597.8</v>
      </c>
    </row>
    <row r="413" spans="1:4" x14ac:dyDescent="0.25">
      <c r="A413" s="331">
        <v>41491</v>
      </c>
      <c r="B413" s="323" t="s">
        <v>7908</v>
      </c>
      <c r="C413" s="323" t="s">
        <v>7523</v>
      </c>
      <c r="D413" s="324">
        <f>SUMIF(Leerlingaantallen[Werkgevernummer],BevoegdGezag!A413,Leerlingaantallen[Bedrag])</f>
        <v>258247.74</v>
      </c>
    </row>
    <row r="414" spans="1:4" x14ac:dyDescent="0.25">
      <c r="A414" s="331">
        <v>41492</v>
      </c>
      <c r="B414" s="323" t="s">
        <v>7909</v>
      </c>
      <c r="C414" s="323" t="s">
        <v>7523</v>
      </c>
      <c r="D414" s="324">
        <f>SUMIF(Leerlingaantallen[Werkgevernummer],BevoegdGezag!A414,Leerlingaantallen[Bedrag])</f>
        <v>467967.34</v>
      </c>
    </row>
    <row r="415" spans="1:4" x14ac:dyDescent="0.25">
      <c r="A415" s="331">
        <v>41493</v>
      </c>
      <c r="B415" s="323" t="s">
        <v>7910</v>
      </c>
      <c r="C415" s="323" t="s">
        <v>7523</v>
      </c>
      <c r="D415" s="324">
        <f>SUMIF(Leerlingaantallen[Werkgevernummer],BevoegdGezag!A415,Leerlingaantallen[Bedrag])</f>
        <v>818394.16</v>
      </c>
    </row>
    <row r="416" spans="1:4" x14ac:dyDescent="0.25">
      <c r="A416" s="331">
        <v>41494</v>
      </c>
      <c r="B416" s="323" t="s">
        <v>7911</v>
      </c>
      <c r="C416" s="323" t="s">
        <v>7523</v>
      </c>
      <c r="D416" s="324">
        <f>SUMIF(Leerlingaantallen[Werkgevernummer],BevoegdGezag!A416,Leerlingaantallen[Bedrag])</f>
        <v>275805.66000000003</v>
      </c>
    </row>
    <row r="417" spans="1:4" x14ac:dyDescent="0.25">
      <c r="A417" s="331">
        <v>41496</v>
      </c>
      <c r="B417" s="323" t="s">
        <v>7912</v>
      </c>
      <c r="C417" s="323" t="s">
        <v>7523</v>
      </c>
      <c r="D417" s="324">
        <f>SUMIF(Leerlingaantallen[Werkgevernummer],BevoegdGezag!A417,Leerlingaantallen[Bedrag])</f>
        <v>1194182.4200000002</v>
      </c>
    </row>
    <row r="418" spans="1:4" x14ac:dyDescent="0.25">
      <c r="A418" s="331">
        <v>41500</v>
      </c>
      <c r="B418" s="323" t="s">
        <v>7913</v>
      </c>
      <c r="C418" s="323" t="s">
        <v>7523</v>
      </c>
      <c r="D418" s="324">
        <f>SUMIF(Leerlingaantallen[Werkgevernummer],BevoegdGezag!A418,Leerlingaantallen[Bedrag])</f>
        <v>532834.1</v>
      </c>
    </row>
    <row r="419" spans="1:4" x14ac:dyDescent="0.25">
      <c r="A419" s="331">
        <v>41501</v>
      </c>
      <c r="B419" s="323" t="s">
        <v>7914</v>
      </c>
      <c r="C419" s="323" t="s">
        <v>7523</v>
      </c>
      <c r="D419" s="324">
        <f>SUMIF(Leerlingaantallen[Werkgevernummer],BevoegdGezag!A419,Leerlingaantallen[Bedrag])</f>
        <v>261905.64</v>
      </c>
    </row>
    <row r="420" spans="1:4" x14ac:dyDescent="0.25">
      <c r="A420" s="331">
        <v>41502</v>
      </c>
      <c r="B420" s="323" t="s">
        <v>7915</v>
      </c>
      <c r="C420" s="323" t="s">
        <v>7523</v>
      </c>
      <c r="D420" s="324">
        <f>SUMIF(Leerlingaantallen[Werkgevernummer],BevoegdGezag!A420,Leerlingaantallen[Bedrag])</f>
        <v>360059.29000000004</v>
      </c>
    </row>
    <row r="421" spans="1:4" x14ac:dyDescent="0.25">
      <c r="A421" s="331">
        <v>41506</v>
      </c>
      <c r="B421" s="323" t="s">
        <v>7916</v>
      </c>
      <c r="C421" s="323" t="s">
        <v>7544</v>
      </c>
      <c r="D421" s="324">
        <f>SUMIF(Leerlingaantallen[Werkgevernummer],BevoegdGezag!A421,Leerlingaantallen[Bedrag])</f>
        <v>2427016.6500000004</v>
      </c>
    </row>
    <row r="422" spans="1:4" x14ac:dyDescent="0.25">
      <c r="A422" s="331">
        <v>41507</v>
      </c>
      <c r="B422" s="323" t="s">
        <v>7917</v>
      </c>
      <c r="C422" s="323" t="s">
        <v>7539</v>
      </c>
      <c r="D422" s="324">
        <f>SUMIF(Leerlingaantallen[Werkgevernummer],BevoegdGezag!A422,Leerlingaantallen[Bedrag])</f>
        <v>387493.54000000004</v>
      </c>
    </row>
    <row r="423" spans="1:4" x14ac:dyDescent="0.25">
      <c r="A423" s="331">
        <v>41514</v>
      </c>
      <c r="B423" s="323" t="s">
        <v>7918</v>
      </c>
      <c r="C423" s="323" t="s">
        <v>7523</v>
      </c>
      <c r="D423" s="324">
        <f>SUMIF(Leerlingaantallen[Werkgevernummer],BevoegdGezag!A423,Leerlingaantallen[Bedrag])</f>
        <v>1054328.7100000002</v>
      </c>
    </row>
    <row r="424" spans="1:4" x14ac:dyDescent="0.25">
      <c r="A424" s="331">
        <v>41515</v>
      </c>
      <c r="B424" s="323" t="s">
        <v>7919</v>
      </c>
      <c r="C424" s="323" t="s">
        <v>7537</v>
      </c>
      <c r="D424" s="324">
        <f>SUMIF(Leerlingaantallen[Werkgevernummer],BevoegdGezag!A424,Leerlingaantallen[Bedrag])</f>
        <v>173140.6</v>
      </c>
    </row>
    <row r="425" spans="1:4" x14ac:dyDescent="0.25">
      <c r="A425" s="331">
        <v>41516</v>
      </c>
      <c r="B425" s="323" t="s">
        <v>7920</v>
      </c>
      <c r="C425" s="323" t="s">
        <v>7830</v>
      </c>
      <c r="D425" s="324">
        <f>SUMIF(Leerlingaantallen[Werkgevernummer],BevoegdGezag!A425,Leerlingaantallen[Bedrag])</f>
        <v>2867427.81</v>
      </c>
    </row>
    <row r="426" spans="1:4" x14ac:dyDescent="0.25">
      <c r="A426" s="331">
        <v>41518</v>
      </c>
      <c r="B426" s="323" t="s">
        <v>7921</v>
      </c>
      <c r="C426" s="323" t="s">
        <v>7523</v>
      </c>
      <c r="D426" s="324">
        <f>SUMIF(Leerlingaantallen[Werkgevernummer],BevoegdGezag!A426,Leerlingaantallen[Bedrag])</f>
        <v>826319.60999999987</v>
      </c>
    </row>
    <row r="427" spans="1:4" x14ac:dyDescent="0.25">
      <c r="A427" s="331">
        <v>41519</v>
      </c>
      <c r="B427" s="323" t="s">
        <v>7922</v>
      </c>
      <c r="C427" s="323" t="s">
        <v>7830</v>
      </c>
      <c r="D427" s="324">
        <f>SUMIF(Leerlingaantallen[Werkgevernummer],BevoegdGezag!A427,Leerlingaantallen[Bedrag])</f>
        <v>0</v>
      </c>
    </row>
    <row r="428" spans="1:4" x14ac:dyDescent="0.25">
      <c r="A428" s="331">
        <v>41522</v>
      </c>
      <c r="B428" s="323" t="s">
        <v>7923</v>
      </c>
      <c r="C428" s="323" t="s">
        <v>7523</v>
      </c>
      <c r="D428" s="324">
        <f>SUMIF(Leerlingaantallen[Werkgevernummer],BevoegdGezag!A428,Leerlingaantallen[Bedrag])</f>
        <v>601114.9</v>
      </c>
    </row>
    <row r="429" spans="1:4" x14ac:dyDescent="0.25">
      <c r="A429" s="331">
        <v>41527</v>
      </c>
      <c r="B429" s="323" t="s">
        <v>7924</v>
      </c>
      <c r="C429" s="323" t="s">
        <v>7523</v>
      </c>
      <c r="D429" s="324">
        <f>SUMIF(Leerlingaantallen[Werkgevernummer],BevoegdGezag!A429,Leerlingaantallen[Bedrag])</f>
        <v>758038.81</v>
      </c>
    </row>
    <row r="430" spans="1:4" x14ac:dyDescent="0.25">
      <c r="A430" s="331">
        <v>41528</v>
      </c>
      <c r="B430" s="323" t="s">
        <v>7925</v>
      </c>
      <c r="C430" s="323" t="s">
        <v>7539</v>
      </c>
      <c r="D430" s="324">
        <f>SUMIF(Leerlingaantallen[Werkgevernummer],BevoegdGezag!A430,Leerlingaantallen[Bedrag])</f>
        <v>1085908.5799999998</v>
      </c>
    </row>
    <row r="431" spans="1:4" x14ac:dyDescent="0.25">
      <c r="A431" s="331">
        <v>41530</v>
      </c>
      <c r="B431" s="323" t="s">
        <v>7926</v>
      </c>
      <c r="C431" s="323" t="s">
        <v>7573</v>
      </c>
      <c r="D431" s="324">
        <f>SUMIF(Leerlingaantallen[Werkgevernummer],BevoegdGezag!A431,Leerlingaantallen[Bedrag])</f>
        <v>934715.38</v>
      </c>
    </row>
    <row r="432" spans="1:4" x14ac:dyDescent="0.25">
      <c r="A432" s="331">
        <v>41531</v>
      </c>
      <c r="B432" s="323" t="s">
        <v>8449</v>
      </c>
      <c r="C432" s="323" t="s">
        <v>7573</v>
      </c>
      <c r="D432" s="324">
        <f>SUMIF(Leerlingaantallen[Werkgevernummer],BevoegdGezag!A432,Leerlingaantallen[Bedrag])</f>
        <v>519909.52</v>
      </c>
    </row>
    <row r="433" spans="1:4" x14ac:dyDescent="0.25">
      <c r="A433" s="331">
        <v>41532</v>
      </c>
      <c r="B433" s="323" t="s">
        <v>7927</v>
      </c>
      <c r="C433" s="323" t="s">
        <v>7539</v>
      </c>
      <c r="D433" s="324">
        <f>SUMIF(Leerlingaantallen[Werkgevernummer],BevoegdGezag!A433,Leerlingaantallen[Bedrag])</f>
        <v>362375.96</v>
      </c>
    </row>
    <row r="434" spans="1:4" x14ac:dyDescent="0.25">
      <c r="A434" s="331">
        <v>41534</v>
      </c>
      <c r="B434" s="323" t="s">
        <v>7928</v>
      </c>
      <c r="C434" s="323" t="s">
        <v>7535</v>
      </c>
      <c r="D434" s="324">
        <f>SUMIF(Leerlingaantallen[Werkgevernummer],BevoegdGezag!A434,Leerlingaantallen[Bedrag])</f>
        <v>368960.18000000005</v>
      </c>
    </row>
    <row r="435" spans="1:4" x14ac:dyDescent="0.25">
      <c r="A435" s="331">
        <v>41535</v>
      </c>
      <c r="B435" s="323" t="s">
        <v>7929</v>
      </c>
      <c r="C435" s="323" t="s">
        <v>7523</v>
      </c>
      <c r="D435" s="324">
        <f>SUMIF(Leerlingaantallen[Werkgevernummer],BevoegdGezag!A435,Leerlingaantallen[Bedrag])</f>
        <v>684149.2300000001</v>
      </c>
    </row>
    <row r="436" spans="1:4" x14ac:dyDescent="0.25">
      <c r="A436" s="331">
        <v>41538</v>
      </c>
      <c r="B436" s="323" t="s">
        <v>7930</v>
      </c>
      <c r="C436" s="323" t="s">
        <v>7830</v>
      </c>
      <c r="D436" s="324">
        <f>SUMIF(Leerlingaantallen[Werkgevernummer],BevoegdGezag!A436,Leerlingaantallen[Bedrag])</f>
        <v>340916.27999999997</v>
      </c>
    </row>
    <row r="437" spans="1:4" x14ac:dyDescent="0.25">
      <c r="A437" s="331">
        <v>41544</v>
      </c>
      <c r="B437" s="323" t="s">
        <v>7931</v>
      </c>
      <c r="C437" s="323" t="s">
        <v>7523</v>
      </c>
      <c r="D437" s="324">
        <f>SUMIF(Leerlingaantallen[Werkgevernummer],BevoegdGezag!A437,Leerlingaantallen[Bedrag])</f>
        <v>468942.78</v>
      </c>
    </row>
    <row r="438" spans="1:4" x14ac:dyDescent="0.25">
      <c r="A438" s="331">
        <v>41545</v>
      </c>
      <c r="B438" s="323" t="s">
        <v>7932</v>
      </c>
      <c r="C438" s="323" t="s">
        <v>7523</v>
      </c>
      <c r="D438" s="324">
        <f>SUMIF(Leerlingaantallen[Werkgevernummer],BevoegdGezag!A438,Leerlingaantallen[Bedrag])</f>
        <v>648057.95000000007</v>
      </c>
    </row>
    <row r="439" spans="1:4" x14ac:dyDescent="0.25">
      <c r="A439" s="331">
        <v>41547</v>
      </c>
      <c r="B439" s="323" t="s">
        <v>7933</v>
      </c>
      <c r="C439" s="323" t="s">
        <v>7537</v>
      </c>
      <c r="D439" s="324">
        <f>SUMIF(Leerlingaantallen[Werkgevernummer],BevoegdGezag!A439,Leerlingaantallen[Bedrag])</f>
        <v>56575.520000000004</v>
      </c>
    </row>
    <row r="440" spans="1:4" x14ac:dyDescent="0.25">
      <c r="A440" s="331">
        <v>41548</v>
      </c>
      <c r="B440" s="323" t="s">
        <v>7934</v>
      </c>
      <c r="C440" s="323" t="s">
        <v>7537</v>
      </c>
      <c r="D440" s="324">
        <f>SUMIF(Leerlingaantallen[Werkgevernummer],BevoegdGezag!A440,Leerlingaantallen[Bedrag])</f>
        <v>81449.240000000005</v>
      </c>
    </row>
    <row r="441" spans="1:4" x14ac:dyDescent="0.25">
      <c r="A441" s="331">
        <v>41551</v>
      </c>
      <c r="B441" s="323" t="s">
        <v>7935</v>
      </c>
      <c r="C441" s="323" t="s">
        <v>7539</v>
      </c>
      <c r="D441" s="324">
        <f>SUMIF(Leerlingaantallen[Werkgevernummer],BevoegdGezag!A441,Leerlingaantallen[Bedrag])</f>
        <v>442362.04</v>
      </c>
    </row>
    <row r="442" spans="1:4" x14ac:dyDescent="0.25">
      <c r="A442" s="331">
        <v>41557</v>
      </c>
      <c r="B442" s="323" t="s">
        <v>7936</v>
      </c>
      <c r="C442" s="323" t="s">
        <v>7523</v>
      </c>
      <c r="D442" s="324">
        <f>SUMIF(Leerlingaantallen[Werkgevernummer],BevoegdGezag!A442,Leerlingaantallen[Bedrag])</f>
        <v>309214.48000000004</v>
      </c>
    </row>
    <row r="443" spans="1:4" x14ac:dyDescent="0.25">
      <c r="A443" s="331">
        <v>41558</v>
      </c>
      <c r="B443" s="323" t="s">
        <v>7937</v>
      </c>
      <c r="C443" s="323" t="s">
        <v>7539</v>
      </c>
      <c r="D443" s="324">
        <f>SUMIF(Leerlingaantallen[Werkgevernummer],BevoegdGezag!A443,Leerlingaantallen[Bedrag])</f>
        <v>311896.94</v>
      </c>
    </row>
    <row r="444" spans="1:4" x14ac:dyDescent="0.25">
      <c r="A444" s="331">
        <v>41560</v>
      </c>
      <c r="B444" s="323" t="s">
        <v>7938</v>
      </c>
      <c r="C444" s="323" t="s">
        <v>7523</v>
      </c>
      <c r="D444" s="324">
        <f>SUMIF(Leerlingaantallen[Werkgevernummer],BevoegdGezag!A444,Leerlingaantallen[Bedrag])</f>
        <v>461139.25999999995</v>
      </c>
    </row>
    <row r="445" spans="1:4" x14ac:dyDescent="0.25">
      <c r="A445" s="331">
        <v>41561</v>
      </c>
      <c r="B445" s="323" t="s">
        <v>7939</v>
      </c>
      <c r="C445" s="323" t="s">
        <v>7523</v>
      </c>
      <c r="D445" s="324">
        <f>SUMIF(Leerlingaantallen[Werkgevernummer],BevoegdGezag!A445,Leerlingaantallen[Bedrag])</f>
        <v>519177.94</v>
      </c>
    </row>
    <row r="446" spans="1:4" x14ac:dyDescent="0.25">
      <c r="A446" s="331">
        <v>41563</v>
      </c>
      <c r="B446" s="323" t="s">
        <v>7940</v>
      </c>
      <c r="C446" s="323" t="s">
        <v>7544</v>
      </c>
      <c r="D446" s="324">
        <f>SUMIF(Leerlingaantallen[Werkgevernummer],BevoegdGezag!A446,Leerlingaantallen[Bedrag])</f>
        <v>74133.440000000002</v>
      </c>
    </row>
    <row r="447" spans="1:4" x14ac:dyDescent="0.25">
      <c r="A447" s="331">
        <v>41565</v>
      </c>
      <c r="B447" s="323" t="s">
        <v>7941</v>
      </c>
      <c r="C447" s="323" t="s">
        <v>7523</v>
      </c>
      <c r="D447" s="324">
        <f>SUMIF(Leerlingaantallen[Werkgevernummer],BevoegdGezag!A447,Leerlingaantallen[Bedrag])</f>
        <v>1706044.5600000003</v>
      </c>
    </row>
    <row r="448" spans="1:4" x14ac:dyDescent="0.25">
      <c r="A448" s="331">
        <v>41566</v>
      </c>
      <c r="B448" s="323" t="s">
        <v>7942</v>
      </c>
      <c r="C448" s="323" t="s">
        <v>7523</v>
      </c>
      <c r="D448" s="324">
        <f>SUMIF(Leerlingaantallen[Werkgevernummer],BevoegdGezag!A448,Leerlingaantallen[Bedrag])</f>
        <v>763647.59</v>
      </c>
    </row>
    <row r="449" spans="1:4" x14ac:dyDescent="0.25">
      <c r="A449" s="331">
        <v>41567</v>
      </c>
      <c r="B449" s="323" t="s">
        <v>7943</v>
      </c>
      <c r="C449" s="323" t="s">
        <v>7523</v>
      </c>
      <c r="D449" s="324">
        <f>SUMIF(Leerlingaantallen[Werkgevernummer],BevoegdGezag!A449,Leerlingaantallen[Bedrag])</f>
        <v>837415.24000000011</v>
      </c>
    </row>
    <row r="450" spans="1:4" x14ac:dyDescent="0.25">
      <c r="A450" s="331">
        <v>41570</v>
      </c>
      <c r="B450" s="323" t="s">
        <v>7944</v>
      </c>
      <c r="C450" s="323" t="s">
        <v>7523</v>
      </c>
      <c r="D450" s="324">
        <f>SUMIF(Leerlingaantallen[Werkgevernummer],BevoegdGezag!A450,Leerlingaantallen[Bedrag])</f>
        <v>903989.0199999999</v>
      </c>
    </row>
    <row r="451" spans="1:4" x14ac:dyDescent="0.25">
      <c r="A451" s="331">
        <v>41571</v>
      </c>
      <c r="B451" s="323" t="s">
        <v>7945</v>
      </c>
      <c r="C451" s="323" t="s">
        <v>7539</v>
      </c>
      <c r="D451" s="324">
        <f>SUMIF(Leerlingaantallen[Werkgevernummer],BevoegdGezag!A451,Leerlingaantallen[Bedrag])</f>
        <v>1203692.9600000004</v>
      </c>
    </row>
    <row r="452" spans="1:4" x14ac:dyDescent="0.25">
      <c r="A452" s="331">
        <v>41572</v>
      </c>
      <c r="B452" s="323" t="s">
        <v>7946</v>
      </c>
      <c r="C452" s="323" t="s">
        <v>7523</v>
      </c>
      <c r="D452" s="324">
        <f>SUMIF(Leerlingaantallen[Werkgevernummer],BevoegdGezag!A452,Leerlingaantallen[Bedrag])</f>
        <v>3900296.8400000017</v>
      </c>
    </row>
    <row r="453" spans="1:4" x14ac:dyDescent="0.25">
      <c r="A453" s="331">
        <v>41573</v>
      </c>
      <c r="B453" s="323" t="s">
        <v>7947</v>
      </c>
      <c r="C453" s="323" t="s">
        <v>7523</v>
      </c>
      <c r="D453" s="324">
        <f>SUMIF(Leerlingaantallen[Werkgevernummer],BevoegdGezag!A453,Leerlingaantallen[Bedrag])</f>
        <v>610869.30000000005</v>
      </c>
    </row>
    <row r="454" spans="1:4" x14ac:dyDescent="0.25">
      <c r="A454" s="331">
        <v>41574</v>
      </c>
      <c r="B454" s="323" t="s">
        <v>7948</v>
      </c>
      <c r="C454" s="323" t="s">
        <v>7523</v>
      </c>
      <c r="D454" s="324">
        <f>SUMIF(Leerlingaantallen[Werkgevernummer],BevoegdGezag!A454,Leerlingaantallen[Bedrag])</f>
        <v>587458.74</v>
      </c>
    </row>
    <row r="455" spans="1:4" x14ac:dyDescent="0.25">
      <c r="A455" s="331">
        <v>41579</v>
      </c>
      <c r="B455" s="323" t="s">
        <v>7949</v>
      </c>
      <c r="C455" s="323" t="s">
        <v>7523</v>
      </c>
      <c r="D455" s="324">
        <f>SUMIF(Leerlingaantallen[Werkgevernummer],BevoegdGezag!A455,Leerlingaantallen[Bedrag])</f>
        <v>1297822.9200000004</v>
      </c>
    </row>
    <row r="456" spans="1:4" x14ac:dyDescent="0.25">
      <c r="A456" s="331">
        <v>41580</v>
      </c>
      <c r="B456" s="323" t="s">
        <v>7950</v>
      </c>
      <c r="C456" s="323" t="s">
        <v>7523</v>
      </c>
      <c r="D456" s="324">
        <f>SUMIF(Leerlingaantallen[Werkgevernummer],BevoegdGezag!A456,Leerlingaantallen[Bedrag])</f>
        <v>835952.08</v>
      </c>
    </row>
    <row r="457" spans="1:4" x14ac:dyDescent="0.25">
      <c r="A457" s="331">
        <v>41582</v>
      </c>
      <c r="B457" s="323" t="s">
        <v>7951</v>
      </c>
      <c r="C457" s="323" t="s">
        <v>7830</v>
      </c>
      <c r="D457" s="324">
        <f>SUMIF(Leerlingaantallen[Werkgevernummer],BevoegdGezag!A457,Leerlingaantallen[Bedrag])</f>
        <v>884724.08</v>
      </c>
    </row>
    <row r="458" spans="1:4" x14ac:dyDescent="0.25">
      <c r="A458" s="331">
        <v>41583</v>
      </c>
      <c r="B458" s="323" t="s">
        <v>7952</v>
      </c>
      <c r="C458" s="323" t="s">
        <v>7539</v>
      </c>
      <c r="D458" s="324">
        <f>SUMIF(Leerlingaantallen[Werkgevernummer],BevoegdGezag!A458,Leerlingaantallen[Bedrag])</f>
        <v>125100.18</v>
      </c>
    </row>
    <row r="459" spans="1:4" x14ac:dyDescent="0.25">
      <c r="A459" s="331">
        <v>41588</v>
      </c>
      <c r="B459" s="323" t="s">
        <v>7953</v>
      </c>
      <c r="C459" s="323" t="s">
        <v>7539</v>
      </c>
      <c r="D459" s="324">
        <f>SUMIF(Leerlingaantallen[Werkgevernummer],BevoegdGezag!A459,Leerlingaantallen[Bedrag])</f>
        <v>27800.04</v>
      </c>
    </row>
    <row r="460" spans="1:4" x14ac:dyDescent="0.25">
      <c r="A460" s="331">
        <v>41595</v>
      </c>
      <c r="B460" s="323" t="s">
        <v>7954</v>
      </c>
      <c r="C460" s="323" t="s">
        <v>7830</v>
      </c>
      <c r="D460" s="324">
        <f>SUMIF(Leerlingaantallen[Werkgevernummer],BevoegdGezag!A460,Leerlingaantallen[Bedrag])</f>
        <v>815955.56000000017</v>
      </c>
    </row>
    <row r="461" spans="1:4" x14ac:dyDescent="0.25">
      <c r="A461" s="331">
        <v>41596</v>
      </c>
      <c r="B461" s="323" t="s">
        <v>7955</v>
      </c>
      <c r="C461" s="323" t="s">
        <v>7537</v>
      </c>
      <c r="D461" s="324">
        <f>SUMIF(Leerlingaantallen[Werkgevernummer],BevoegdGezag!A461,Leerlingaantallen[Bedrag])</f>
        <v>52429.9</v>
      </c>
    </row>
    <row r="462" spans="1:4" x14ac:dyDescent="0.25">
      <c r="A462" s="331">
        <v>41604</v>
      </c>
      <c r="B462" s="323" t="s">
        <v>7956</v>
      </c>
      <c r="C462" s="323" t="s">
        <v>7523</v>
      </c>
      <c r="D462" s="324">
        <f>SUMIF(Leerlingaantallen[Werkgevernummer],BevoegdGezag!A462,Leerlingaantallen[Bedrag])</f>
        <v>159972.16</v>
      </c>
    </row>
    <row r="463" spans="1:4" x14ac:dyDescent="0.25">
      <c r="A463" s="331">
        <v>41611</v>
      </c>
      <c r="B463" s="323" t="s">
        <v>7957</v>
      </c>
      <c r="C463" s="323" t="s">
        <v>7523</v>
      </c>
      <c r="D463" s="324">
        <f>SUMIF(Leerlingaantallen[Werkgevernummer],BevoegdGezag!A463,Leerlingaantallen[Bedrag])</f>
        <v>913743.42000000016</v>
      </c>
    </row>
    <row r="464" spans="1:4" x14ac:dyDescent="0.25">
      <c r="A464" s="331">
        <v>41613</v>
      </c>
      <c r="B464" s="323" t="s">
        <v>7958</v>
      </c>
      <c r="C464" s="323" t="s">
        <v>7523</v>
      </c>
      <c r="D464" s="324">
        <f>SUMIF(Leerlingaantallen[Werkgevernummer],BevoegdGezag!A464,Leerlingaantallen[Bedrag])</f>
        <v>735603.69</v>
      </c>
    </row>
    <row r="465" spans="1:4" x14ac:dyDescent="0.25">
      <c r="A465" s="331">
        <v>41616</v>
      </c>
      <c r="B465" s="323" t="s">
        <v>7959</v>
      </c>
      <c r="C465" s="323" t="s">
        <v>7523</v>
      </c>
      <c r="D465" s="324">
        <f>SUMIF(Leerlingaantallen[Werkgevernummer],BevoegdGezag!A465,Leerlingaantallen[Bedrag])</f>
        <v>883260.91999999993</v>
      </c>
    </row>
    <row r="466" spans="1:4" x14ac:dyDescent="0.25">
      <c r="A466" s="331">
        <v>41617</v>
      </c>
      <c r="B466" s="323" t="s">
        <v>7960</v>
      </c>
      <c r="C466" s="323" t="s">
        <v>7523</v>
      </c>
      <c r="D466" s="324">
        <f>SUMIF(Leerlingaantallen[Werkgevernummer],BevoegdGezag!A466,Leerlingaantallen[Bedrag])</f>
        <v>419073.41000000003</v>
      </c>
    </row>
    <row r="467" spans="1:4" x14ac:dyDescent="0.25">
      <c r="A467" s="331">
        <v>41621</v>
      </c>
      <c r="B467" s="323" t="s">
        <v>7961</v>
      </c>
      <c r="C467" s="323" t="s">
        <v>7539</v>
      </c>
      <c r="D467" s="324">
        <f>SUMIF(Leerlingaantallen[Werkgevernummer],BevoegdGezag!A467,Leerlingaantallen[Bedrag])</f>
        <v>421633.94000000006</v>
      </c>
    </row>
    <row r="468" spans="1:4" x14ac:dyDescent="0.25">
      <c r="A468" s="331">
        <v>41624</v>
      </c>
      <c r="B468" s="323" t="s">
        <v>7962</v>
      </c>
      <c r="C468" s="323" t="s">
        <v>7794</v>
      </c>
      <c r="D468" s="324">
        <f>SUMIF(Leerlingaantallen[Werkgevernummer],BevoegdGezag!A468,Leerlingaantallen[Bedrag])</f>
        <v>432851.5</v>
      </c>
    </row>
    <row r="469" spans="1:4" x14ac:dyDescent="0.25">
      <c r="A469" s="331">
        <v>41626</v>
      </c>
      <c r="B469" s="323" t="s">
        <v>7963</v>
      </c>
      <c r="C469" s="323" t="s">
        <v>7537</v>
      </c>
      <c r="D469" s="324">
        <f>SUMIF(Leerlingaantallen[Werkgevernummer],BevoegdGezag!A469,Leerlingaantallen[Bedrag])</f>
        <v>77303.62000000001</v>
      </c>
    </row>
    <row r="470" spans="1:4" x14ac:dyDescent="0.25">
      <c r="A470" s="331">
        <v>41629</v>
      </c>
      <c r="B470" s="323" t="s">
        <v>7964</v>
      </c>
      <c r="C470" s="323" t="s">
        <v>7523</v>
      </c>
      <c r="D470" s="324">
        <f>SUMIF(Leerlingaantallen[Werkgevernummer],BevoegdGezag!A470,Leerlingaantallen[Bedrag])</f>
        <v>379324.23</v>
      </c>
    </row>
    <row r="471" spans="1:4" x14ac:dyDescent="0.25">
      <c r="A471" s="331">
        <v>41630</v>
      </c>
      <c r="B471" s="323" t="s">
        <v>7965</v>
      </c>
      <c r="C471" s="323" t="s">
        <v>7523</v>
      </c>
      <c r="D471" s="324">
        <f>SUMIF(Leerlingaantallen[Werkgevernummer],BevoegdGezag!A471,Leerlingaantallen[Bedrag])</f>
        <v>632816.70000000007</v>
      </c>
    </row>
    <row r="472" spans="1:4" x14ac:dyDescent="0.25">
      <c r="A472" s="331">
        <v>41631</v>
      </c>
      <c r="B472" s="323" t="s">
        <v>7966</v>
      </c>
      <c r="C472" s="323" t="s">
        <v>7523</v>
      </c>
      <c r="D472" s="324">
        <f>SUMIF(Leerlingaantallen[Werkgevernummer],BevoegdGezag!A472,Leerlingaantallen[Bedrag])</f>
        <v>1013604.0900000003</v>
      </c>
    </row>
    <row r="473" spans="1:4" x14ac:dyDescent="0.25">
      <c r="A473" s="331">
        <v>41632</v>
      </c>
      <c r="B473" s="323" t="s">
        <v>7967</v>
      </c>
      <c r="C473" s="323" t="s">
        <v>7794</v>
      </c>
      <c r="D473" s="324">
        <f>SUMIF(Leerlingaantallen[Werkgevernummer],BevoegdGezag!A473,Leerlingaantallen[Bedrag])</f>
        <v>874116.17000000016</v>
      </c>
    </row>
    <row r="474" spans="1:4" x14ac:dyDescent="0.25">
      <c r="A474" s="331">
        <v>41633</v>
      </c>
      <c r="B474" s="323" t="s">
        <v>7968</v>
      </c>
      <c r="C474" s="323" t="s">
        <v>7523</v>
      </c>
      <c r="D474" s="324">
        <f>SUMIF(Leerlingaantallen[Werkgevernummer],BevoegdGezag!A474,Leerlingaantallen[Bedrag])</f>
        <v>709876.46</v>
      </c>
    </row>
    <row r="475" spans="1:4" x14ac:dyDescent="0.25">
      <c r="A475" s="331">
        <v>41634</v>
      </c>
      <c r="B475" s="323" t="s">
        <v>7969</v>
      </c>
      <c r="C475" s="323" t="s">
        <v>7537</v>
      </c>
      <c r="D475" s="324">
        <f>SUMIF(Leerlingaantallen[Werkgevernummer],BevoegdGezag!A475,Leerlingaantallen[Bedrag])</f>
        <v>39261.46</v>
      </c>
    </row>
    <row r="476" spans="1:4" x14ac:dyDescent="0.25">
      <c r="A476" s="331">
        <v>41635</v>
      </c>
      <c r="B476" s="323" t="s">
        <v>8450</v>
      </c>
      <c r="C476" s="323" t="s">
        <v>7539</v>
      </c>
      <c r="D476" s="324">
        <f>SUMIF(Leerlingaantallen[Werkgevernummer],BevoegdGezag!A476,Leerlingaantallen[Bedrag])</f>
        <v>57063.240000000005</v>
      </c>
    </row>
    <row r="477" spans="1:4" x14ac:dyDescent="0.25">
      <c r="A477" s="331">
        <v>41637</v>
      </c>
      <c r="B477" s="323" t="s">
        <v>7970</v>
      </c>
      <c r="C477" s="323" t="s">
        <v>7523</v>
      </c>
      <c r="D477" s="324">
        <f>SUMIF(Leerlingaantallen[Werkgevernummer],BevoegdGezag!A477,Leerlingaantallen[Bedrag])</f>
        <v>145828.28</v>
      </c>
    </row>
    <row r="478" spans="1:4" x14ac:dyDescent="0.25">
      <c r="A478" s="331">
        <v>41638</v>
      </c>
      <c r="B478" s="323" t="s">
        <v>7971</v>
      </c>
      <c r="C478" s="323" t="s">
        <v>7523</v>
      </c>
      <c r="D478" s="324">
        <f>SUMIF(Leerlingaantallen[Werkgevernummer],BevoegdGezag!A478,Leerlingaantallen[Bedrag])</f>
        <v>672322.02000000014</v>
      </c>
    </row>
    <row r="479" spans="1:4" x14ac:dyDescent="0.25">
      <c r="A479" s="331">
        <v>41639</v>
      </c>
      <c r="B479" s="323" t="s">
        <v>7972</v>
      </c>
      <c r="C479" s="323" t="s">
        <v>7523</v>
      </c>
      <c r="D479" s="324">
        <f>SUMIF(Leerlingaantallen[Werkgevernummer],BevoegdGezag!A479,Leerlingaantallen[Bedrag])</f>
        <v>516129.69000000006</v>
      </c>
    </row>
    <row r="480" spans="1:4" x14ac:dyDescent="0.25">
      <c r="A480" s="331">
        <v>41645</v>
      </c>
      <c r="B480" s="323" t="s">
        <v>7973</v>
      </c>
      <c r="C480" s="323" t="s">
        <v>7523</v>
      </c>
      <c r="D480" s="324">
        <f>SUMIF(Leerlingaantallen[Werkgevernummer],BevoegdGezag!A480,Leerlingaantallen[Bedrag])</f>
        <v>1344400.18</v>
      </c>
    </row>
    <row r="481" spans="1:4" x14ac:dyDescent="0.25">
      <c r="A481" s="331">
        <v>41646</v>
      </c>
      <c r="B481" s="323" t="s">
        <v>7974</v>
      </c>
      <c r="C481" s="323" t="s">
        <v>7794</v>
      </c>
      <c r="D481" s="324">
        <f>SUMIF(Leerlingaantallen[Werkgevernummer],BevoegdGezag!A481,Leerlingaantallen[Bedrag])</f>
        <v>945567.15000000026</v>
      </c>
    </row>
    <row r="482" spans="1:4" x14ac:dyDescent="0.25">
      <c r="A482" s="331">
        <v>41651</v>
      </c>
      <c r="B482" s="323" t="s">
        <v>7975</v>
      </c>
      <c r="C482" s="323" t="s">
        <v>7539</v>
      </c>
      <c r="D482" s="324">
        <f>SUMIF(Leerlingaantallen[Werkgevernummer],BevoegdGezag!A482,Leerlingaantallen[Bedrag])</f>
        <v>112175.6</v>
      </c>
    </row>
    <row r="483" spans="1:4" x14ac:dyDescent="0.25">
      <c r="A483" s="331">
        <v>41662</v>
      </c>
      <c r="B483" s="323" t="s">
        <v>7976</v>
      </c>
      <c r="C483" s="323" t="s">
        <v>7523</v>
      </c>
      <c r="D483" s="324">
        <f>SUMIF(Leerlingaantallen[Werkgevernummer],BevoegdGezag!A483,Leerlingaantallen[Bedrag])</f>
        <v>791569.56</v>
      </c>
    </row>
    <row r="484" spans="1:4" x14ac:dyDescent="0.25">
      <c r="A484" s="331">
        <v>41663</v>
      </c>
      <c r="B484" s="323" t="s">
        <v>7977</v>
      </c>
      <c r="C484" s="323" t="s">
        <v>7978</v>
      </c>
      <c r="D484" s="324">
        <f>SUMIF(Leerlingaantallen[Werkgevernummer],BevoegdGezag!A484,Leerlingaantallen[Bedrag])</f>
        <v>1225884.22</v>
      </c>
    </row>
    <row r="485" spans="1:4" x14ac:dyDescent="0.25">
      <c r="A485" s="331">
        <v>41664</v>
      </c>
      <c r="B485" s="323" t="s">
        <v>8451</v>
      </c>
      <c r="C485" s="323" t="s">
        <v>7980</v>
      </c>
      <c r="D485" s="324">
        <f>SUMIF(Leerlingaantallen[Werkgevernummer],BevoegdGezag!A485,Leerlingaantallen[Bedrag])</f>
        <v>211182.76</v>
      </c>
    </row>
    <row r="486" spans="1:4" x14ac:dyDescent="0.25">
      <c r="A486" s="331">
        <v>41671</v>
      </c>
      <c r="B486" s="323" t="s">
        <v>8452</v>
      </c>
      <c r="C486" s="323" t="s">
        <v>7539</v>
      </c>
      <c r="D486" s="324">
        <f>SUMIF(Leerlingaantallen[Werkgevernummer],BevoegdGezag!A486,Leerlingaantallen[Bedrag])</f>
        <v>272635.48000000004</v>
      </c>
    </row>
    <row r="487" spans="1:4" x14ac:dyDescent="0.25">
      <c r="A487" s="331">
        <v>41672</v>
      </c>
      <c r="B487" s="323" t="s">
        <v>7979</v>
      </c>
      <c r="C487" s="323" t="s">
        <v>7980</v>
      </c>
      <c r="D487" s="324">
        <f>SUMIF(Leerlingaantallen[Werkgevernummer],BevoegdGezag!A487,Leerlingaantallen[Bedrag])</f>
        <v>1192963.1200000001</v>
      </c>
    </row>
    <row r="488" spans="1:4" x14ac:dyDescent="0.25">
      <c r="A488" s="331">
        <v>41674</v>
      </c>
      <c r="B488" s="323" t="s">
        <v>7981</v>
      </c>
      <c r="C488" s="323" t="s">
        <v>7523</v>
      </c>
      <c r="D488" s="324">
        <f>SUMIF(Leerlingaantallen[Werkgevernummer],BevoegdGezag!A488,Leerlingaantallen[Bedrag])</f>
        <v>414318.14</v>
      </c>
    </row>
    <row r="489" spans="1:4" x14ac:dyDescent="0.25">
      <c r="A489" s="331">
        <v>41676</v>
      </c>
      <c r="B489" s="323" t="s">
        <v>7982</v>
      </c>
      <c r="C489" s="323" t="s">
        <v>7523</v>
      </c>
      <c r="D489" s="324">
        <f>SUMIF(Leerlingaantallen[Werkgevernummer],BevoegdGezag!A489,Leerlingaantallen[Bedrag])</f>
        <v>2166939.96</v>
      </c>
    </row>
    <row r="490" spans="1:4" x14ac:dyDescent="0.25">
      <c r="A490" s="331">
        <v>41692</v>
      </c>
      <c r="B490" s="323" t="s">
        <v>7983</v>
      </c>
      <c r="C490" s="323" t="s">
        <v>7984</v>
      </c>
      <c r="D490" s="324">
        <f>SUMIF(Leerlingaantallen[Werkgevernummer],BevoegdGezag!A490,Leerlingaantallen[Bedrag])</f>
        <v>1357080.9000000004</v>
      </c>
    </row>
    <row r="491" spans="1:4" x14ac:dyDescent="0.25">
      <c r="A491" s="331">
        <v>41693</v>
      </c>
      <c r="B491" s="323" t="s">
        <v>7985</v>
      </c>
      <c r="C491" s="323" t="s">
        <v>7980</v>
      </c>
      <c r="D491" s="324">
        <f>SUMIF(Leerlingaantallen[Werkgevernummer],BevoegdGezag!A491,Leerlingaantallen[Bedrag])</f>
        <v>511618.28</v>
      </c>
    </row>
    <row r="492" spans="1:4" x14ac:dyDescent="0.25">
      <c r="A492" s="331">
        <v>41716</v>
      </c>
      <c r="B492" s="323" t="s">
        <v>7986</v>
      </c>
      <c r="C492" s="323" t="s">
        <v>7523</v>
      </c>
      <c r="D492" s="324">
        <f>SUMIF(Leerlingaantallen[Werkgevernummer],BevoegdGezag!A492,Leerlingaantallen[Bedrag])</f>
        <v>755234.42</v>
      </c>
    </row>
    <row r="493" spans="1:4" x14ac:dyDescent="0.25">
      <c r="A493" s="331">
        <v>41731</v>
      </c>
      <c r="B493" s="323" t="s">
        <v>7987</v>
      </c>
      <c r="C493" s="323" t="s">
        <v>7544</v>
      </c>
      <c r="D493" s="324">
        <f>SUMIF(Leerlingaantallen[Werkgevernummer],BevoegdGezag!A493,Leerlingaantallen[Bedrag])</f>
        <v>307507.46000000002</v>
      </c>
    </row>
    <row r="494" spans="1:4" x14ac:dyDescent="0.25">
      <c r="A494" s="331">
        <v>41735</v>
      </c>
      <c r="B494" s="323" t="s">
        <v>7988</v>
      </c>
      <c r="C494" s="323" t="s">
        <v>7523</v>
      </c>
      <c r="D494" s="324">
        <f>SUMIF(Leerlingaantallen[Werkgevernummer],BevoegdGezag!A494,Leerlingaantallen[Bedrag])</f>
        <v>662445.69000000006</v>
      </c>
    </row>
    <row r="495" spans="1:4" x14ac:dyDescent="0.25">
      <c r="A495" s="331">
        <v>41736</v>
      </c>
      <c r="B495" s="323" t="s">
        <v>7989</v>
      </c>
      <c r="C495" s="323" t="s">
        <v>7539</v>
      </c>
      <c r="D495" s="324">
        <f>SUMIF(Leerlingaantallen[Werkgevernummer],BevoegdGezag!A495,Leerlingaantallen[Bedrag])</f>
        <v>210938.90000000002</v>
      </c>
    </row>
    <row r="496" spans="1:4" x14ac:dyDescent="0.25">
      <c r="A496" s="331">
        <v>41772</v>
      </c>
      <c r="B496" s="323" t="s">
        <v>7990</v>
      </c>
      <c r="C496" s="323" t="s">
        <v>7523</v>
      </c>
      <c r="D496" s="324">
        <f>SUMIF(Leerlingaantallen[Werkgevernummer],BevoegdGezag!A496,Leerlingaantallen[Bedrag])</f>
        <v>625744.76</v>
      </c>
    </row>
    <row r="497" spans="1:4" x14ac:dyDescent="0.25">
      <c r="A497" s="331">
        <v>41774</v>
      </c>
      <c r="B497" s="323" t="s">
        <v>7991</v>
      </c>
      <c r="C497" s="323" t="s">
        <v>7523</v>
      </c>
      <c r="D497" s="324">
        <f>SUMIF(Leerlingaantallen[Werkgevernummer],BevoegdGezag!A497,Leerlingaantallen[Bedrag])</f>
        <v>1437554.7</v>
      </c>
    </row>
    <row r="498" spans="1:4" x14ac:dyDescent="0.25">
      <c r="A498" s="331">
        <v>41775</v>
      </c>
      <c r="B498" s="323" t="s">
        <v>131</v>
      </c>
      <c r="C498" s="323" t="s">
        <v>7523</v>
      </c>
      <c r="D498" s="324">
        <f>SUMIF(Leerlingaantallen[Werkgevernummer],BevoegdGezag!A498,Leerlingaantallen[Bedrag])</f>
        <v>5327975.21</v>
      </c>
    </row>
    <row r="499" spans="1:4" x14ac:dyDescent="0.25">
      <c r="A499" s="331">
        <v>41777</v>
      </c>
      <c r="B499" s="323" t="s">
        <v>7992</v>
      </c>
      <c r="C499" s="323" t="s">
        <v>7523</v>
      </c>
      <c r="D499" s="324">
        <f>SUMIF(Leerlingaantallen[Werkgevernummer],BevoegdGezag!A499,Leerlingaantallen[Bedrag])</f>
        <v>168994.98</v>
      </c>
    </row>
    <row r="500" spans="1:4" x14ac:dyDescent="0.25">
      <c r="A500" s="331">
        <v>41778</v>
      </c>
      <c r="B500" s="323" t="s">
        <v>7993</v>
      </c>
      <c r="C500" s="323" t="s">
        <v>7830</v>
      </c>
      <c r="D500" s="324">
        <f>SUMIF(Leerlingaantallen[Werkgevernummer],BevoegdGezag!A500,Leerlingaantallen[Bedrag])</f>
        <v>266295.12</v>
      </c>
    </row>
    <row r="501" spans="1:4" x14ac:dyDescent="0.25">
      <c r="A501" s="331">
        <v>41780</v>
      </c>
      <c r="B501" s="323" t="s">
        <v>7994</v>
      </c>
      <c r="C501" s="323" t="s">
        <v>7523</v>
      </c>
      <c r="D501" s="324">
        <f>SUMIF(Leerlingaantallen[Werkgevernummer],BevoegdGezag!A501,Leerlingaantallen[Bedrag])</f>
        <v>631109.68000000005</v>
      </c>
    </row>
    <row r="502" spans="1:4" x14ac:dyDescent="0.25">
      <c r="A502" s="331">
        <v>41781</v>
      </c>
      <c r="B502" s="323" t="s">
        <v>7995</v>
      </c>
      <c r="C502" s="323" t="s">
        <v>7523</v>
      </c>
      <c r="D502" s="324">
        <f>SUMIF(Leerlingaantallen[Werkgevernummer],BevoegdGezag!A502,Leerlingaantallen[Bedrag])</f>
        <v>1859676.3600000003</v>
      </c>
    </row>
    <row r="503" spans="1:4" x14ac:dyDescent="0.25">
      <c r="A503" s="331">
        <v>41782</v>
      </c>
      <c r="B503" s="323" t="s">
        <v>7996</v>
      </c>
      <c r="C503" s="323" t="s">
        <v>7580</v>
      </c>
      <c r="D503" s="324">
        <f>SUMIF(Leerlingaantallen[Werkgevernummer],BevoegdGezag!A503,Leerlingaantallen[Bedrag])</f>
        <v>674394.83</v>
      </c>
    </row>
    <row r="504" spans="1:4" x14ac:dyDescent="0.25">
      <c r="A504" s="331">
        <v>41785</v>
      </c>
      <c r="B504" s="323" t="s">
        <v>7997</v>
      </c>
      <c r="C504" s="323" t="s">
        <v>7523</v>
      </c>
      <c r="D504" s="324">
        <f>SUMIF(Leerlingaantallen[Werkgevernummer],BevoegdGezag!A504,Leerlingaantallen[Bedrag])</f>
        <v>250200.36000000004</v>
      </c>
    </row>
    <row r="505" spans="1:4" x14ac:dyDescent="0.25">
      <c r="A505" s="331">
        <v>41787</v>
      </c>
      <c r="B505" s="323" t="s">
        <v>7998</v>
      </c>
      <c r="C505" s="323" t="s">
        <v>7539</v>
      </c>
      <c r="D505" s="324">
        <f>SUMIF(Leerlingaantallen[Werkgevernummer],BevoegdGezag!A505,Leerlingaantallen[Bedrag])</f>
        <v>723776.4800000001</v>
      </c>
    </row>
    <row r="506" spans="1:4" x14ac:dyDescent="0.25">
      <c r="A506" s="331">
        <v>41792</v>
      </c>
      <c r="B506" s="323" t="s">
        <v>7999</v>
      </c>
      <c r="C506" s="323" t="s">
        <v>7523</v>
      </c>
      <c r="D506" s="324">
        <f>SUMIF(Leerlingaantallen[Werkgevernummer],BevoegdGezag!A506,Leerlingaantallen[Bedrag])</f>
        <v>561121.8600000001</v>
      </c>
    </row>
    <row r="507" spans="1:4" x14ac:dyDescent="0.25">
      <c r="A507" s="331">
        <v>41794</v>
      </c>
      <c r="B507" s="323" t="s">
        <v>8000</v>
      </c>
      <c r="C507" s="323" t="s">
        <v>7542</v>
      </c>
      <c r="D507" s="324">
        <f>SUMIF(Leerlingaantallen[Werkgevernummer],BevoegdGezag!A507,Leerlingaantallen[Bedrag])</f>
        <v>630865.82000000007</v>
      </c>
    </row>
    <row r="508" spans="1:4" x14ac:dyDescent="0.25">
      <c r="A508" s="331">
        <v>41797</v>
      </c>
      <c r="B508" s="323" t="s">
        <v>8001</v>
      </c>
      <c r="C508" s="323" t="s">
        <v>7544</v>
      </c>
      <c r="D508" s="324">
        <f>SUMIF(Leerlingaantallen[Werkgevernummer],BevoegdGezag!A508,Leerlingaantallen[Bedrag])</f>
        <v>408709.36000000004</v>
      </c>
    </row>
    <row r="509" spans="1:4" x14ac:dyDescent="0.25">
      <c r="A509" s="331">
        <v>41800</v>
      </c>
      <c r="B509" s="323" t="s">
        <v>8002</v>
      </c>
      <c r="C509" s="323" t="s">
        <v>7537</v>
      </c>
      <c r="D509" s="324">
        <f>SUMIF(Leerlingaantallen[Werkgevernummer],BevoegdGezag!A509,Leerlingaantallen[Bedrag])</f>
        <v>116565.08</v>
      </c>
    </row>
    <row r="510" spans="1:4" x14ac:dyDescent="0.25">
      <c r="A510" s="331">
        <v>41803</v>
      </c>
      <c r="B510" s="323" t="s">
        <v>8003</v>
      </c>
      <c r="C510" s="323" t="s">
        <v>7535</v>
      </c>
      <c r="D510" s="324">
        <f>SUMIF(Leerlingaantallen[Werkgevernummer],BevoegdGezag!A510,Leerlingaantallen[Bedrag])</f>
        <v>45357.96</v>
      </c>
    </row>
    <row r="511" spans="1:4" x14ac:dyDescent="0.25">
      <c r="A511" s="331">
        <v>41805</v>
      </c>
      <c r="B511" s="323" t="s">
        <v>8453</v>
      </c>
      <c r="C511" s="323" t="s">
        <v>7537</v>
      </c>
      <c r="D511" s="324">
        <f>SUMIF(Leerlingaantallen[Werkgevernummer],BevoegdGezag!A511,Leerlingaantallen[Bedrag])</f>
        <v>544295.52</v>
      </c>
    </row>
    <row r="512" spans="1:4" x14ac:dyDescent="0.25">
      <c r="A512" s="331">
        <v>41812</v>
      </c>
      <c r="B512" s="323" t="s">
        <v>8004</v>
      </c>
      <c r="C512" s="323" t="s">
        <v>7523</v>
      </c>
      <c r="D512" s="324">
        <f>SUMIF(Leerlingaantallen[Werkgevernummer],BevoegdGezag!A512,Leerlingaantallen[Bedrag])</f>
        <v>336526.8</v>
      </c>
    </row>
    <row r="513" spans="1:4" x14ac:dyDescent="0.25">
      <c r="A513" s="331">
        <v>41813</v>
      </c>
      <c r="B513" s="323" t="s">
        <v>8005</v>
      </c>
      <c r="C513" s="323" t="s">
        <v>7523</v>
      </c>
      <c r="D513" s="324">
        <f>SUMIF(Leerlingaantallen[Werkgevernummer],BevoegdGezag!A513,Leerlingaantallen[Bedrag])</f>
        <v>459676.10000000003</v>
      </c>
    </row>
    <row r="514" spans="1:4" x14ac:dyDescent="0.25">
      <c r="A514" s="331">
        <v>41814</v>
      </c>
      <c r="B514" s="323" t="s">
        <v>8006</v>
      </c>
      <c r="C514" s="323" t="s">
        <v>7523</v>
      </c>
      <c r="D514" s="324">
        <f>SUMIF(Leerlingaantallen[Werkgevernummer],BevoegdGezag!A514,Leerlingaantallen[Bedrag])</f>
        <v>311409.21999999997</v>
      </c>
    </row>
    <row r="515" spans="1:4" x14ac:dyDescent="0.25">
      <c r="A515" s="331">
        <v>41816</v>
      </c>
      <c r="B515" s="323" t="s">
        <v>8007</v>
      </c>
      <c r="C515" s="323" t="s">
        <v>7523</v>
      </c>
      <c r="D515" s="324">
        <f>SUMIF(Leerlingaantallen[Werkgevernummer],BevoegdGezag!A515,Leerlingaantallen[Bedrag])</f>
        <v>398711.10000000003</v>
      </c>
    </row>
    <row r="516" spans="1:4" x14ac:dyDescent="0.25">
      <c r="A516" s="331">
        <v>41820</v>
      </c>
      <c r="B516" s="323" t="s">
        <v>8008</v>
      </c>
      <c r="C516" s="323" t="s">
        <v>7830</v>
      </c>
      <c r="D516" s="324">
        <f>SUMIF(Leerlingaantallen[Werkgevernummer],BevoegdGezag!A516,Leerlingaantallen[Bedrag])</f>
        <v>205330.12000000002</v>
      </c>
    </row>
    <row r="517" spans="1:4" x14ac:dyDescent="0.25">
      <c r="A517" s="331">
        <v>41821</v>
      </c>
      <c r="B517" s="323" t="s">
        <v>8454</v>
      </c>
      <c r="C517" s="323" t="s">
        <v>7537</v>
      </c>
      <c r="D517" s="324">
        <f>SUMIF(Leerlingaantallen[Werkgevernummer],BevoegdGezag!A517,Leerlingaantallen[Bedrag])</f>
        <v>196063.44000000003</v>
      </c>
    </row>
    <row r="518" spans="1:4" x14ac:dyDescent="0.25">
      <c r="A518" s="331">
        <v>41825</v>
      </c>
      <c r="B518" s="323" t="s">
        <v>8009</v>
      </c>
      <c r="C518" s="323" t="s">
        <v>7535</v>
      </c>
      <c r="D518" s="324">
        <f>SUMIF(Leerlingaantallen[Werkgevernummer],BevoegdGezag!A518,Leerlingaantallen[Bedrag])</f>
        <v>58038.68</v>
      </c>
    </row>
    <row r="519" spans="1:4" x14ac:dyDescent="0.25">
      <c r="A519" s="331">
        <v>41827</v>
      </c>
      <c r="B519" s="323" t="s">
        <v>8010</v>
      </c>
      <c r="C519" s="323" t="s">
        <v>7539</v>
      </c>
      <c r="D519" s="324">
        <f>SUMIF(Leerlingaantallen[Werkgevernummer],BevoegdGezag!A519,Leerlingaantallen[Bedrag])</f>
        <v>256296.86</v>
      </c>
    </row>
    <row r="520" spans="1:4" x14ac:dyDescent="0.25">
      <c r="A520" s="331">
        <v>41829</v>
      </c>
      <c r="B520" s="323" t="s">
        <v>8011</v>
      </c>
      <c r="C520" s="323" t="s">
        <v>7523</v>
      </c>
      <c r="D520" s="324">
        <f>SUMIF(Leerlingaantallen[Werkgevernummer],BevoegdGezag!A520,Leerlingaantallen[Bedrag])</f>
        <v>101689.62000000001</v>
      </c>
    </row>
    <row r="521" spans="1:4" x14ac:dyDescent="0.25">
      <c r="A521" s="331">
        <v>41840</v>
      </c>
      <c r="B521" s="323" t="s">
        <v>8012</v>
      </c>
      <c r="C521" s="323" t="s">
        <v>7523</v>
      </c>
      <c r="D521" s="324">
        <f>SUMIF(Leerlingaantallen[Werkgevernummer],BevoegdGezag!A521,Leerlingaantallen[Bedrag])</f>
        <v>173140.6</v>
      </c>
    </row>
    <row r="522" spans="1:4" x14ac:dyDescent="0.25">
      <c r="A522" s="331">
        <v>41841</v>
      </c>
      <c r="B522" s="323" t="s">
        <v>8013</v>
      </c>
      <c r="C522" s="323" t="s">
        <v>7830</v>
      </c>
      <c r="D522" s="324">
        <f>SUMIF(Leerlingaantallen[Werkgevernummer],BevoegdGezag!A522,Leerlingaantallen[Bedrag])</f>
        <v>99251.02</v>
      </c>
    </row>
    <row r="523" spans="1:4" x14ac:dyDescent="0.25">
      <c r="A523" s="331">
        <v>41842</v>
      </c>
      <c r="B523" s="323" t="s">
        <v>8014</v>
      </c>
      <c r="C523" s="323" t="s">
        <v>7523</v>
      </c>
      <c r="D523" s="324">
        <f>SUMIF(Leerlingaantallen[Werkgevernummer],BevoegdGezag!A523,Leerlingaantallen[Bedrag])</f>
        <v>197282.74000000005</v>
      </c>
    </row>
    <row r="524" spans="1:4" x14ac:dyDescent="0.25">
      <c r="A524" s="331">
        <v>41843</v>
      </c>
      <c r="B524" s="323" t="s">
        <v>8015</v>
      </c>
      <c r="C524" s="323" t="s">
        <v>7523</v>
      </c>
      <c r="D524" s="324">
        <f>SUMIF(Leerlingaantallen[Werkgevernummer],BevoegdGezag!A524,Leerlingaantallen[Bedrag])</f>
        <v>91203.64</v>
      </c>
    </row>
    <row r="525" spans="1:4" x14ac:dyDescent="0.25">
      <c r="A525" s="331">
        <v>41844</v>
      </c>
      <c r="B525" s="323" t="s">
        <v>8016</v>
      </c>
      <c r="C525" s="323" t="s">
        <v>7523</v>
      </c>
      <c r="D525" s="324">
        <f>SUMIF(Leerlingaantallen[Werkgevernummer],BevoegdGezag!A525,Leerlingaantallen[Bedrag])</f>
        <v>42431.64</v>
      </c>
    </row>
    <row r="526" spans="1:4" x14ac:dyDescent="0.25">
      <c r="A526" s="331">
        <v>41845</v>
      </c>
      <c r="B526" s="323" t="s">
        <v>8017</v>
      </c>
      <c r="C526" s="323" t="s">
        <v>7830</v>
      </c>
      <c r="D526" s="324">
        <f>SUMIF(Leerlingaantallen[Werkgevernummer],BevoegdGezag!A526,Leerlingaantallen[Bedrag])</f>
        <v>593311.38000000012</v>
      </c>
    </row>
    <row r="527" spans="1:4" x14ac:dyDescent="0.25">
      <c r="A527" s="331">
        <v>41850</v>
      </c>
      <c r="B527" s="323" t="s">
        <v>8018</v>
      </c>
      <c r="C527" s="323" t="s">
        <v>7523</v>
      </c>
      <c r="D527" s="324">
        <f>SUMIF(Leerlingaantallen[Werkgevernummer],BevoegdGezag!A527,Leerlingaantallen[Bedrag])</f>
        <v>924229.40000000014</v>
      </c>
    </row>
    <row r="528" spans="1:4" x14ac:dyDescent="0.25">
      <c r="A528" s="331">
        <v>41851</v>
      </c>
      <c r="B528" s="323" t="s">
        <v>8019</v>
      </c>
      <c r="C528" s="323" t="s">
        <v>7830</v>
      </c>
      <c r="D528" s="324">
        <f>SUMIF(Leerlingaantallen[Werkgevernummer],BevoegdGezag!A528,Leerlingaantallen[Bedrag])</f>
        <v>613064.03999999992</v>
      </c>
    </row>
    <row r="529" spans="1:4" x14ac:dyDescent="0.25">
      <c r="A529" s="331">
        <v>41852</v>
      </c>
      <c r="B529" s="323" t="s">
        <v>8020</v>
      </c>
      <c r="C529" s="323" t="s">
        <v>7523</v>
      </c>
      <c r="D529" s="324">
        <f>SUMIF(Leerlingaantallen[Werkgevernummer],BevoegdGezag!A529,Leerlingaantallen[Bedrag])</f>
        <v>1648737.46</v>
      </c>
    </row>
    <row r="530" spans="1:4" x14ac:dyDescent="0.25">
      <c r="A530" s="331">
        <v>41853</v>
      </c>
      <c r="B530" s="323" t="s">
        <v>8021</v>
      </c>
      <c r="C530" s="323" t="s">
        <v>7523</v>
      </c>
      <c r="D530" s="324">
        <f>SUMIF(Leerlingaantallen[Werkgevernummer],BevoegdGezag!A530,Leerlingaantallen[Bedrag])</f>
        <v>1790298.1899999997</v>
      </c>
    </row>
    <row r="531" spans="1:4" x14ac:dyDescent="0.25">
      <c r="A531" s="331">
        <v>41856</v>
      </c>
      <c r="B531" s="323" t="s">
        <v>8022</v>
      </c>
      <c r="C531" s="323" t="s">
        <v>7537</v>
      </c>
      <c r="D531" s="324">
        <f>SUMIF(Leerlingaantallen[Werkgevernummer],BevoegdGezag!A531,Leerlingaantallen[Bedrag])</f>
        <v>430900.61999999994</v>
      </c>
    </row>
    <row r="532" spans="1:4" x14ac:dyDescent="0.25">
      <c r="A532" s="331">
        <v>41857</v>
      </c>
      <c r="B532" s="323" t="s">
        <v>8023</v>
      </c>
      <c r="C532" s="323" t="s">
        <v>7537</v>
      </c>
      <c r="D532" s="324">
        <f>SUMIF(Leerlingaantallen[Werkgevernummer],BevoegdGezag!A532,Leerlingaantallen[Bedrag])</f>
        <v>534297.26</v>
      </c>
    </row>
    <row r="533" spans="1:4" x14ac:dyDescent="0.25">
      <c r="A533" s="331">
        <v>41858</v>
      </c>
      <c r="B533" s="323" t="s">
        <v>8024</v>
      </c>
      <c r="C533" s="323" t="s">
        <v>7523</v>
      </c>
      <c r="D533" s="324">
        <f>SUMIF(Leerlingaantallen[Werkgevernummer],BevoegdGezag!A533,Leerlingaantallen[Bedrag])</f>
        <v>390176</v>
      </c>
    </row>
    <row r="534" spans="1:4" x14ac:dyDescent="0.25">
      <c r="A534" s="331">
        <v>41860</v>
      </c>
      <c r="B534" s="323" t="s">
        <v>8025</v>
      </c>
      <c r="C534" s="323" t="s">
        <v>7523</v>
      </c>
      <c r="D534" s="324">
        <f>SUMIF(Leerlingaantallen[Werkgevernummer],BevoegdGezag!A534,Leerlingaantallen[Bedrag])</f>
        <v>770109.88000000012</v>
      </c>
    </row>
    <row r="535" spans="1:4" x14ac:dyDescent="0.25">
      <c r="A535" s="331">
        <v>41861</v>
      </c>
      <c r="B535" s="323" t="s">
        <v>8026</v>
      </c>
      <c r="C535" s="323" t="s">
        <v>7539</v>
      </c>
      <c r="D535" s="324">
        <f>SUMIF(Leerlingaantallen[Werkgevernummer],BevoegdGezag!A535,Leerlingaantallen[Bedrag])</f>
        <v>9510.5400000000009</v>
      </c>
    </row>
    <row r="536" spans="1:4" x14ac:dyDescent="0.25">
      <c r="A536" s="331">
        <v>41862</v>
      </c>
      <c r="B536" s="323" t="s">
        <v>8027</v>
      </c>
      <c r="C536" s="323" t="s">
        <v>7830</v>
      </c>
      <c r="D536" s="324">
        <f>SUMIF(Leerlingaantallen[Werkgevernummer],BevoegdGezag!A536,Leerlingaantallen[Bedrag])</f>
        <v>848632.80000000016</v>
      </c>
    </row>
    <row r="537" spans="1:4" x14ac:dyDescent="0.25">
      <c r="A537" s="331">
        <v>41863</v>
      </c>
      <c r="B537" s="323" t="s">
        <v>8028</v>
      </c>
      <c r="C537" s="323" t="s">
        <v>7621</v>
      </c>
      <c r="D537" s="324">
        <f>SUMIF(Leerlingaantallen[Werkgevernummer],BevoegdGezag!A537,Leerlingaantallen[Bedrag])</f>
        <v>205573.98</v>
      </c>
    </row>
    <row r="538" spans="1:4" x14ac:dyDescent="0.25">
      <c r="A538" s="331">
        <v>41866</v>
      </c>
      <c r="B538" s="323" t="s">
        <v>8029</v>
      </c>
      <c r="C538" s="323" t="s">
        <v>7523</v>
      </c>
      <c r="D538" s="324">
        <f>SUMIF(Leerlingaantallen[Werkgevernummer],BevoegdGezag!A538,Leerlingaantallen[Bedrag])</f>
        <v>312140.80000000005</v>
      </c>
    </row>
    <row r="539" spans="1:4" x14ac:dyDescent="0.25">
      <c r="A539" s="331">
        <v>41868</v>
      </c>
      <c r="B539" s="323" t="s">
        <v>8030</v>
      </c>
      <c r="C539" s="323" t="s">
        <v>7523</v>
      </c>
      <c r="D539" s="324">
        <f>SUMIF(Leerlingaantallen[Werkgevernummer],BevoegdGezag!A539,Leerlingaantallen[Bedrag])</f>
        <v>253370.54</v>
      </c>
    </row>
    <row r="540" spans="1:4" x14ac:dyDescent="0.25">
      <c r="A540" s="331">
        <v>41869</v>
      </c>
      <c r="B540" s="323" t="s">
        <v>8031</v>
      </c>
      <c r="C540" s="323" t="s">
        <v>7523</v>
      </c>
      <c r="D540" s="324">
        <f>SUMIF(Leerlingaantallen[Werkgevernummer],BevoegdGezag!A540,Leerlingaantallen[Bedrag])</f>
        <v>505034.06</v>
      </c>
    </row>
    <row r="541" spans="1:4" x14ac:dyDescent="0.25">
      <c r="A541" s="331">
        <v>41871</v>
      </c>
      <c r="B541" s="323" t="s">
        <v>8032</v>
      </c>
      <c r="C541" s="323" t="s">
        <v>7523</v>
      </c>
      <c r="D541" s="324">
        <f>SUMIF(Leerlingaantallen[Werkgevernummer],BevoegdGezag!A541,Leerlingaantallen[Bedrag])</f>
        <v>239226.66</v>
      </c>
    </row>
    <row r="542" spans="1:4" x14ac:dyDescent="0.25">
      <c r="A542" s="331">
        <v>41876</v>
      </c>
      <c r="B542" s="323" t="s">
        <v>8033</v>
      </c>
      <c r="C542" s="323" t="s">
        <v>7523</v>
      </c>
      <c r="D542" s="324">
        <f>SUMIF(Leerlingaantallen[Werkgevernummer],BevoegdGezag!A542,Leerlingaantallen[Bedrag])</f>
        <v>457237.50000000006</v>
      </c>
    </row>
    <row r="543" spans="1:4" x14ac:dyDescent="0.25">
      <c r="A543" s="331">
        <v>41878</v>
      </c>
      <c r="B543" s="323" t="s">
        <v>8034</v>
      </c>
      <c r="C543" s="323" t="s">
        <v>7523</v>
      </c>
      <c r="D543" s="324">
        <f>SUMIF(Leerlingaantallen[Werkgevernummer],BevoegdGezag!A543,Leerlingaantallen[Bedrag])</f>
        <v>189966.94000000003</v>
      </c>
    </row>
    <row r="544" spans="1:4" x14ac:dyDescent="0.25">
      <c r="A544" s="331">
        <v>41879</v>
      </c>
      <c r="B544" s="323" t="s">
        <v>8455</v>
      </c>
      <c r="C544" s="323" t="s">
        <v>7830</v>
      </c>
      <c r="D544" s="324">
        <f>SUMIF(Leerlingaantallen[Werkgevernummer],BevoegdGezag!A544,Leerlingaantallen[Bedrag])</f>
        <v>345305.76</v>
      </c>
    </row>
    <row r="545" spans="1:4" x14ac:dyDescent="0.25">
      <c r="A545" s="331">
        <v>41880</v>
      </c>
      <c r="B545" s="323" t="s">
        <v>8456</v>
      </c>
      <c r="C545" s="323" t="s">
        <v>7830</v>
      </c>
      <c r="D545" s="324">
        <f>SUMIF(Leerlingaantallen[Werkgevernummer],BevoegdGezag!A545,Leerlingaantallen[Bedrag])</f>
        <v>192161.68000000002</v>
      </c>
    </row>
    <row r="546" spans="1:4" x14ac:dyDescent="0.25">
      <c r="A546" s="331">
        <v>41884</v>
      </c>
      <c r="B546" s="323" t="s">
        <v>8035</v>
      </c>
      <c r="C546" s="323" t="s">
        <v>8036</v>
      </c>
      <c r="D546" s="324">
        <f>SUMIF(Leerlingaantallen[Werkgevernummer],BevoegdGezag!A546,Leerlingaantallen[Bedrag])</f>
        <v>200209.06</v>
      </c>
    </row>
    <row r="547" spans="1:4" x14ac:dyDescent="0.25">
      <c r="A547" s="331">
        <v>41886</v>
      </c>
      <c r="B547" s="323" t="s">
        <v>8037</v>
      </c>
      <c r="C547" s="323" t="s">
        <v>7759</v>
      </c>
      <c r="D547" s="324">
        <f>SUMIF(Leerlingaantallen[Werkgevernummer],BevoegdGezag!A547,Leerlingaantallen[Bedrag])</f>
        <v>499913.00000000006</v>
      </c>
    </row>
    <row r="548" spans="1:4" x14ac:dyDescent="0.25">
      <c r="A548" s="331">
        <v>41891</v>
      </c>
      <c r="B548" s="323" t="s">
        <v>8038</v>
      </c>
      <c r="C548" s="323" t="s">
        <v>7621</v>
      </c>
      <c r="D548" s="324">
        <f>SUMIF(Leerlingaantallen[Werkgevernummer],BevoegdGezag!A548,Leerlingaantallen[Bedrag])</f>
        <v>89008.900000000009</v>
      </c>
    </row>
    <row r="549" spans="1:4" x14ac:dyDescent="0.25">
      <c r="A549" s="331">
        <v>41895</v>
      </c>
      <c r="B549" s="323" t="s">
        <v>8039</v>
      </c>
      <c r="C549" s="323" t="s">
        <v>7523</v>
      </c>
      <c r="D549" s="324">
        <f>SUMIF(Leerlingaantallen[Werkgevernummer],BevoegdGezag!A549,Leerlingaantallen[Bedrag])</f>
        <v>307019.74</v>
      </c>
    </row>
    <row r="550" spans="1:4" x14ac:dyDescent="0.25">
      <c r="A550" s="331">
        <v>41898</v>
      </c>
      <c r="B550" s="323" t="s">
        <v>8040</v>
      </c>
      <c r="C550" s="323" t="s">
        <v>7539</v>
      </c>
      <c r="D550" s="324">
        <f>SUMIF(Leerlingaantallen[Werkgevernummer],BevoegdGezag!A550,Leerlingaantallen[Bedrag])</f>
        <v>165580.94</v>
      </c>
    </row>
    <row r="551" spans="1:4" x14ac:dyDescent="0.25">
      <c r="A551" s="331">
        <v>41899</v>
      </c>
      <c r="B551" s="323" t="s">
        <v>8041</v>
      </c>
      <c r="C551" s="323" t="s">
        <v>7830</v>
      </c>
      <c r="D551" s="324">
        <f>SUMIF(Leerlingaantallen[Werkgevernummer],BevoegdGezag!A551,Leerlingaantallen[Bedrag])</f>
        <v>384567.22</v>
      </c>
    </row>
    <row r="552" spans="1:4" x14ac:dyDescent="0.25">
      <c r="A552" s="331">
        <v>41978</v>
      </c>
      <c r="B552" s="323" t="s">
        <v>8042</v>
      </c>
      <c r="C552" s="323" t="s">
        <v>7544</v>
      </c>
      <c r="D552" s="324">
        <f>SUMIF(Leerlingaantallen[Werkgevernummer],BevoegdGezag!A552,Leerlingaantallen[Bedrag])</f>
        <v>426023.42000000004</v>
      </c>
    </row>
    <row r="553" spans="1:4" x14ac:dyDescent="0.25">
      <c r="A553" s="331">
        <v>42122</v>
      </c>
      <c r="B553" s="323" t="s">
        <v>8043</v>
      </c>
      <c r="C553" s="323" t="s">
        <v>7535</v>
      </c>
      <c r="D553" s="324">
        <f>SUMIF(Leerlingaantallen[Werkgevernummer],BevoegdGezag!A553,Leerlingaantallen[Bedrag])</f>
        <v>306532.02</v>
      </c>
    </row>
    <row r="554" spans="1:4" x14ac:dyDescent="0.25">
      <c r="A554" s="331">
        <v>42148</v>
      </c>
      <c r="B554" s="323" t="s">
        <v>8044</v>
      </c>
      <c r="C554" s="323" t="s">
        <v>7542</v>
      </c>
      <c r="D554" s="324">
        <f>SUMIF(Leerlingaantallen[Werkgevernummer],BevoegdGezag!A554,Leerlingaantallen[Bedrag])</f>
        <v>491621.75999999995</v>
      </c>
    </row>
    <row r="555" spans="1:4" x14ac:dyDescent="0.25">
      <c r="A555" s="331">
        <v>42330</v>
      </c>
      <c r="B555" s="323" t="s">
        <v>8045</v>
      </c>
      <c r="C555" s="323" t="s">
        <v>7539</v>
      </c>
      <c r="D555" s="324">
        <f>SUMIF(Leerlingaantallen[Werkgevernummer],BevoegdGezag!A555,Leerlingaantallen[Bedrag])</f>
        <v>64866.76</v>
      </c>
    </row>
    <row r="556" spans="1:4" x14ac:dyDescent="0.25">
      <c r="A556" s="331">
        <v>42486</v>
      </c>
      <c r="B556" s="323" t="s">
        <v>8046</v>
      </c>
      <c r="C556" s="323" t="s">
        <v>7862</v>
      </c>
      <c r="D556" s="324">
        <f>SUMIF(Leerlingaantallen[Werkgevernummer],BevoegdGezag!A556,Leerlingaantallen[Bedrag])</f>
        <v>317018.00000000006</v>
      </c>
    </row>
    <row r="557" spans="1:4" x14ac:dyDescent="0.25">
      <c r="A557" s="331">
        <v>42504</v>
      </c>
      <c r="B557" s="323" t="s">
        <v>8047</v>
      </c>
      <c r="C557" s="323" t="s">
        <v>7523</v>
      </c>
      <c r="D557" s="324">
        <f>SUMIF(Leerlingaantallen[Werkgevernummer],BevoegdGezag!A557,Leerlingaantallen[Bedrag])</f>
        <v>1106880.5400000003</v>
      </c>
    </row>
    <row r="558" spans="1:4" x14ac:dyDescent="0.25">
      <c r="A558" s="331">
        <v>42510</v>
      </c>
      <c r="B558" s="323" t="s">
        <v>8048</v>
      </c>
      <c r="C558" s="323" t="s">
        <v>7523</v>
      </c>
      <c r="D558" s="324">
        <f>SUMIF(Leerlingaantallen[Werkgevernummer],BevoegdGezag!A558,Leerlingaantallen[Bedrag])</f>
        <v>1881014.1100000003</v>
      </c>
    </row>
    <row r="559" spans="1:4" x14ac:dyDescent="0.25">
      <c r="A559" s="331">
        <v>42514</v>
      </c>
      <c r="B559" s="323" t="s">
        <v>8049</v>
      </c>
      <c r="C559" s="323" t="s">
        <v>7830</v>
      </c>
      <c r="D559" s="324">
        <f>SUMIF(Leerlingaantallen[Werkgevernummer],BevoegdGezag!A559,Leerlingaantallen[Bedrag])</f>
        <v>1162114.8300000003</v>
      </c>
    </row>
    <row r="560" spans="1:4" x14ac:dyDescent="0.25">
      <c r="A560" s="331">
        <v>42523</v>
      </c>
      <c r="B560" s="323" t="s">
        <v>8050</v>
      </c>
      <c r="C560" s="323" t="s">
        <v>7553</v>
      </c>
      <c r="D560" s="324">
        <f>SUMIF(Leerlingaantallen[Werkgevernummer],BevoegdGezag!A560,Leerlingaantallen[Bedrag])</f>
        <v>71207.12000000001</v>
      </c>
    </row>
    <row r="561" spans="1:4" x14ac:dyDescent="0.25">
      <c r="A561" s="331">
        <v>42524</v>
      </c>
      <c r="B561" s="323" t="s">
        <v>8051</v>
      </c>
      <c r="C561" s="323" t="s">
        <v>7539</v>
      </c>
      <c r="D561" s="324">
        <f>SUMIF(Leerlingaantallen[Werkgevernummer],BevoegdGezag!A561,Leerlingaantallen[Bedrag])</f>
        <v>82424.680000000008</v>
      </c>
    </row>
    <row r="562" spans="1:4" x14ac:dyDescent="0.25">
      <c r="A562" s="331">
        <v>42535</v>
      </c>
      <c r="B562" s="323" t="s">
        <v>8052</v>
      </c>
      <c r="C562" s="323" t="s">
        <v>7523</v>
      </c>
      <c r="D562" s="324">
        <f>SUMIF(Leerlingaantallen[Werkgevernummer],BevoegdGezag!A562,Leerlingaantallen[Bedrag])</f>
        <v>587458.74</v>
      </c>
    </row>
    <row r="563" spans="1:4" x14ac:dyDescent="0.25">
      <c r="A563" s="331">
        <v>42536</v>
      </c>
      <c r="B563" s="323" t="s">
        <v>8457</v>
      </c>
      <c r="C563" s="323" t="s">
        <v>7537</v>
      </c>
      <c r="D563" s="324">
        <f>SUMIF(Leerlingaantallen[Werkgevernummer],BevoegdGezag!A563,Leerlingaantallen[Bedrag])</f>
        <v>204354.68</v>
      </c>
    </row>
    <row r="564" spans="1:4" x14ac:dyDescent="0.25">
      <c r="A564" s="331">
        <v>42538</v>
      </c>
      <c r="B564" s="323" t="s">
        <v>8053</v>
      </c>
      <c r="C564" s="323" t="s">
        <v>7523</v>
      </c>
      <c r="D564" s="324">
        <f>SUMIF(Leerlingaantallen[Werkgevernummer],BevoegdGezag!A564,Leerlingaantallen[Bedrag])</f>
        <v>415781.30000000005</v>
      </c>
    </row>
    <row r="565" spans="1:4" x14ac:dyDescent="0.25">
      <c r="A565" s="331">
        <v>42540</v>
      </c>
      <c r="B565" s="323" t="s">
        <v>8054</v>
      </c>
      <c r="C565" s="323" t="s">
        <v>7539</v>
      </c>
      <c r="D565" s="324">
        <f>SUMIF(Leerlingaantallen[Werkgevernummer],BevoegdGezag!A565,Leerlingaantallen[Bedrag])</f>
        <v>664762.3600000001</v>
      </c>
    </row>
    <row r="566" spans="1:4" x14ac:dyDescent="0.25">
      <c r="A566" s="331">
        <v>42541</v>
      </c>
      <c r="B566" s="323" t="s">
        <v>8055</v>
      </c>
      <c r="C566" s="323" t="s">
        <v>8036</v>
      </c>
      <c r="D566" s="324">
        <f>SUMIF(Leerlingaantallen[Werkgevernummer],BevoegdGezag!A566,Leerlingaantallen[Bedrag])</f>
        <v>103640.5</v>
      </c>
    </row>
    <row r="567" spans="1:4" x14ac:dyDescent="0.25">
      <c r="A567" s="331">
        <v>42542</v>
      </c>
      <c r="B567" s="323" t="s">
        <v>8056</v>
      </c>
      <c r="C567" s="323" t="s">
        <v>7830</v>
      </c>
      <c r="D567" s="324">
        <f>SUMIF(Leerlingaantallen[Werkgevernummer],BevoegdGezag!A567,Leerlingaantallen[Bedrag])</f>
        <v>108029.98000000001</v>
      </c>
    </row>
    <row r="568" spans="1:4" x14ac:dyDescent="0.25">
      <c r="A568" s="331">
        <v>42545</v>
      </c>
      <c r="B568" s="323" t="s">
        <v>8057</v>
      </c>
      <c r="C568" s="323" t="s">
        <v>7539</v>
      </c>
      <c r="D568" s="324">
        <f>SUMIF(Leerlingaantallen[Werkgevernummer],BevoegdGezag!A568,Leerlingaantallen[Bedrag])</f>
        <v>535760.41999999993</v>
      </c>
    </row>
    <row r="569" spans="1:4" x14ac:dyDescent="0.25">
      <c r="A569" s="331">
        <v>42546</v>
      </c>
      <c r="B569" s="323" t="s">
        <v>8058</v>
      </c>
      <c r="C569" s="323" t="s">
        <v>7523</v>
      </c>
      <c r="D569" s="324">
        <f>SUMIF(Leerlingaantallen[Werkgevernummer],BevoegdGezag!A569,Leerlingaantallen[Bedrag])</f>
        <v>522104.25999999995</v>
      </c>
    </row>
    <row r="570" spans="1:4" x14ac:dyDescent="0.25">
      <c r="A570" s="331">
        <v>42552</v>
      </c>
      <c r="B570" s="323" t="s">
        <v>8059</v>
      </c>
      <c r="C570" s="323" t="s">
        <v>7523</v>
      </c>
      <c r="D570" s="324">
        <f>SUMIF(Leerlingaantallen[Werkgevernummer],BevoegdGezag!A570,Leerlingaantallen[Bedrag])</f>
        <v>1075056.8099999998</v>
      </c>
    </row>
    <row r="571" spans="1:4" x14ac:dyDescent="0.25">
      <c r="A571" s="331">
        <v>42553</v>
      </c>
      <c r="B571" s="323" t="s">
        <v>8060</v>
      </c>
      <c r="C571" s="323" t="s">
        <v>7523</v>
      </c>
      <c r="D571" s="324">
        <f>SUMIF(Leerlingaantallen[Werkgevernummer],BevoegdGezag!A571,Leerlingaantallen[Bedrag])</f>
        <v>1027382.18</v>
      </c>
    </row>
    <row r="572" spans="1:4" x14ac:dyDescent="0.25">
      <c r="A572" s="331">
        <v>42554</v>
      </c>
      <c r="B572" s="323" t="s">
        <v>8061</v>
      </c>
      <c r="C572" s="323" t="s">
        <v>7523</v>
      </c>
      <c r="D572" s="324">
        <f>SUMIF(Leerlingaantallen[Werkgevernummer],BevoegdGezag!A572,Leerlingaantallen[Bedrag])</f>
        <v>245567.02</v>
      </c>
    </row>
    <row r="573" spans="1:4" x14ac:dyDescent="0.25">
      <c r="A573" s="331">
        <v>42557</v>
      </c>
      <c r="B573" s="323" t="s">
        <v>8062</v>
      </c>
      <c r="C573" s="323" t="s">
        <v>7523</v>
      </c>
      <c r="D573" s="324">
        <f>SUMIF(Leerlingaantallen[Werkgevernummer],BevoegdGezag!A573,Leerlingaantallen[Bedrag])</f>
        <v>320919.75999999995</v>
      </c>
    </row>
    <row r="574" spans="1:4" x14ac:dyDescent="0.25">
      <c r="A574" s="331">
        <v>42558</v>
      </c>
      <c r="B574" s="323" t="s">
        <v>8063</v>
      </c>
      <c r="C574" s="323" t="s">
        <v>7523</v>
      </c>
      <c r="D574" s="324">
        <f>SUMIF(Leerlingaantallen[Werkgevernummer],BevoegdGezag!A574,Leerlingaantallen[Bedrag])</f>
        <v>931057.4800000001</v>
      </c>
    </row>
    <row r="575" spans="1:4" x14ac:dyDescent="0.25">
      <c r="A575" s="331">
        <v>42559</v>
      </c>
      <c r="B575" s="323" t="s">
        <v>8064</v>
      </c>
      <c r="C575" s="323" t="s">
        <v>7539</v>
      </c>
      <c r="D575" s="324">
        <f>SUMIF(Leerlingaantallen[Werkgevernummer],BevoegdGezag!A575,Leerlingaantallen[Bedrag])</f>
        <v>118272.1</v>
      </c>
    </row>
    <row r="576" spans="1:4" x14ac:dyDescent="0.25">
      <c r="A576" s="331">
        <v>42561</v>
      </c>
      <c r="B576" s="323" t="s">
        <v>8065</v>
      </c>
      <c r="C576" s="323" t="s">
        <v>7523</v>
      </c>
      <c r="D576" s="324">
        <f>SUMIF(Leerlingaantallen[Werkgevernummer],BevoegdGezag!A576,Leerlingaantallen[Bedrag])</f>
        <v>387249.68000000005</v>
      </c>
    </row>
    <row r="577" spans="1:4" x14ac:dyDescent="0.25">
      <c r="A577" s="331">
        <v>42562</v>
      </c>
      <c r="B577" s="323" t="s">
        <v>8066</v>
      </c>
      <c r="C577" s="323" t="s">
        <v>7523</v>
      </c>
      <c r="D577" s="324">
        <f>SUMIF(Leerlingaantallen[Werkgevernummer],BevoegdGezag!A577,Leerlingaantallen[Bedrag])</f>
        <v>396028.64</v>
      </c>
    </row>
    <row r="578" spans="1:4" x14ac:dyDescent="0.25">
      <c r="A578" s="331">
        <v>42564</v>
      </c>
      <c r="B578" s="323" t="s">
        <v>8067</v>
      </c>
      <c r="C578" s="323" t="s">
        <v>7544</v>
      </c>
      <c r="D578" s="324">
        <f>SUMIF(Leerlingaantallen[Werkgevernummer],BevoegdGezag!A578,Leerlingaantallen[Bedrag])</f>
        <v>114126.48000000001</v>
      </c>
    </row>
    <row r="579" spans="1:4" x14ac:dyDescent="0.25">
      <c r="A579" s="331">
        <v>42567</v>
      </c>
      <c r="B579" s="323" t="s">
        <v>8068</v>
      </c>
      <c r="C579" s="323" t="s">
        <v>7523</v>
      </c>
      <c r="D579" s="324">
        <f>SUMIF(Leerlingaantallen[Werkgevernummer],BevoegdGezag!A579,Leerlingaantallen[Bedrag])</f>
        <v>221181.02000000002</v>
      </c>
    </row>
    <row r="580" spans="1:4" x14ac:dyDescent="0.25">
      <c r="A580" s="331">
        <v>42569</v>
      </c>
      <c r="B580" s="323" t="s">
        <v>8069</v>
      </c>
      <c r="C580" s="323" t="s">
        <v>7523</v>
      </c>
      <c r="D580" s="324">
        <f>SUMIF(Leerlingaantallen[Werkgevernummer],BevoegdGezag!A580,Leerlingaantallen[Bedrag])</f>
        <v>129733.52000000002</v>
      </c>
    </row>
    <row r="581" spans="1:4" x14ac:dyDescent="0.25">
      <c r="A581" s="331">
        <v>42570</v>
      </c>
      <c r="B581" s="323" t="s">
        <v>8070</v>
      </c>
      <c r="C581" s="323" t="s">
        <v>7535</v>
      </c>
      <c r="D581" s="324">
        <f>SUMIF(Leerlingaantallen[Werkgevernummer],BevoegdGezag!A581,Leerlingaantallen[Bedrag])</f>
        <v>139731.78000000003</v>
      </c>
    </row>
    <row r="582" spans="1:4" x14ac:dyDescent="0.25">
      <c r="A582" s="331">
        <v>42572</v>
      </c>
      <c r="B582" s="323" t="s">
        <v>8458</v>
      </c>
      <c r="C582" s="323" t="s">
        <v>7537</v>
      </c>
      <c r="D582" s="324">
        <f>SUMIF(Leerlingaantallen[Werkgevernummer],BevoegdGezag!A582,Leerlingaantallen[Bedrag])</f>
        <v>266782.83999999997</v>
      </c>
    </row>
    <row r="583" spans="1:4" x14ac:dyDescent="0.25">
      <c r="A583" s="331">
        <v>42579</v>
      </c>
      <c r="B583" s="323" t="s">
        <v>8071</v>
      </c>
      <c r="C583" s="323" t="s">
        <v>7537</v>
      </c>
      <c r="D583" s="324">
        <f>SUMIF(Leerlingaantallen[Werkgevernummer],BevoegdGezag!A583,Leerlingaantallen[Bedrag])</f>
        <v>78766.78</v>
      </c>
    </row>
    <row r="584" spans="1:4" x14ac:dyDescent="0.25">
      <c r="A584" s="331">
        <v>42580</v>
      </c>
      <c r="B584" s="323" t="s">
        <v>8072</v>
      </c>
      <c r="C584" s="323" t="s">
        <v>7808</v>
      </c>
      <c r="D584" s="324">
        <f>SUMIF(Leerlingaantallen[Werkgevernummer],BevoegdGezag!A584,Leerlingaantallen[Bedrag])</f>
        <v>66817.64</v>
      </c>
    </row>
    <row r="585" spans="1:4" x14ac:dyDescent="0.25">
      <c r="A585" s="331">
        <v>42587</v>
      </c>
      <c r="B585" s="323" t="s">
        <v>8073</v>
      </c>
      <c r="C585" s="323" t="s">
        <v>7539</v>
      </c>
      <c r="D585" s="324">
        <f>SUMIF(Leerlingaantallen[Werkgevernummer],BevoegdGezag!A585,Leerlingaantallen[Bedrag])</f>
        <v>715485.24000000011</v>
      </c>
    </row>
    <row r="586" spans="1:4" x14ac:dyDescent="0.25">
      <c r="A586" s="331">
        <v>42594</v>
      </c>
      <c r="B586" s="323" t="s">
        <v>8074</v>
      </c>
      <c r="C586" s="323" t="s">
        <v>8075</v>
      </c>
      <c r="D586" s="324">
        <f>SUMIF(Leerlingaantallen[Werkgevernummer],BevoegdGezag!A586,Leerlingaantallen[Bedrag])</f>
        <v>67061.5</v>
      </c>
    </row>
    <row r="587" spans="1:4" x14ac:dyDescent="0.25">
      <c r="A587" s="331">
        <v>42596</v>
      </c>
      <c r="B587" s="323" t="s">
        <v>8076</v>
      </c>
      <c r="C587" s="323" t="s">
        <v>7539</v>
      </c>
      <c r="D587" s="324">
        <f>SUMIF(Leerlingaantallen[Werkgevernummer],BevoegdGezag!A587,Leerlingaantallen[Bedrag])</f>
        <v>256053</v>
      </c>
    </row>
    <row r="588" spans="1:4" x14ac:dyDescent="0.25">
      <c r="A588" s="331">
        <v>42600</v>
      </c>
      <c r="B588" s="323" t="s">
        <v>8077</v>
      </c>
      <c r="C588" s="323" t="s">
        <v>7539</v>
      </c>
      <c r="D588" s="324">
        <f>SUMIF(Leerlingaantallen[Werkgevernummer],BevoegdGezag!A588,Leerlingaantallen[Bedrag])</f>
        <v>458456.80000000005</v>
      </c>
    </row>
    <row r="589" spans="1:4" x14ac:dyDescent="0.25">
      <c r="A589" s="331">
        <v>42604</v>
      </c>
      <c r="B589" s="323" t="s">
        <v>8078</v>
      </c>
      <c r="C589" s="323" t="s">
        <v>7539</v>
      </c>
      <c r="D589" s="324">
        <f>SUMIF(Leerlingaantallen[Werkgevernummer],BevoegdGezag!A589,Leerlingaantallen[Bedrag])</f>
        <v>216059.96000000005</v>
      </c>
    </row>
    <row r="590" spans="1:4" x14ac:dyDescent="0.25">
      <c r="A590" s="331">
        <v>42607</v>
      </c>
      <c r="B590" s="323" t="s">
        <v>8079</v>
      </c>
      <c r="C590" s="323" t="s">
        <v>7794</v>
      </c>
      <c r="D590" s="324">
        <f>SUMIF(Leerlingaantallen[Werkgevernummer],BevoegdGezag!A590,Leerlingaantallen[Bedrag])</f>
        <v>1006532.1500000001</v>
      </c>
    </row>
    <row r="591" spans="1:4" x14ac:dyDescent="0.25">
      <c r="A591" s="331">
        <v>42610</v>
      </c>
      <c r="B591" s="323" t="s">
        <v>8080</v>
      </c>
      <c r="C591" s="323" t="s">
        <v>7523</v>
      </c>
      <c r="D591" s="324">
        <f>SUMIF(Leerlingaantallen[Werkgevernummer],BevoegdGezag!A591,Leerlingaantallen[Bedrag])</f>
        <v>625988.61999999988</v>
      </c>
    </row>
    <row r="592" spans="1:4" x14ac:dyDescent="0.25">
      <c r="A592" s="331">
        <v>42616</v>
      </c>
      <c r="B592" s="323" t="s">
        <v>8081</v>
      </c>
      <c r="C592" s="323" t="s">
        <v>7544</v>
      </c>
      <c r="D592" s="324">
        <f>SUMIF(Leerlingaantallen[Werkgevernummer],BevoegdGezag!A592,Leerlingaantallen[Bedrag])</f>
        <v>675736.06</v>
      </c>
    </row>
    <row r="593" spans="1:4" x14ac:dyDescent="0.25">
      <c r="A593" s="331">
        <v>42623</v>
      </c>
      <c r="B593" s="323" t="s">
        <v>8082</v>
      </c>
      <c r="C593" s="323" t="s">
        <v>7978</v>
      </c>
      <c r="D593" s="324">
        <f>SUMIF(Leerlingaantallen[Werkgevernummer],BevoegdGezag!A593,Leerlingaantallen[Bedrag])</f>
        <v>1609841.79</v>
      </c>
    </row>
    <row r="594" spans="1:4" x14ac:dyDescent="0.25">
      <c r="A594" s="331">
        <v>42631</v>
      </c>
      <c r="B594" s="323" t="s">
        <v>8459</v>
      </c>
      <c r="C594" s="323" t="s">
        <v>7830</v>
      </c>
      <c r="D594" s="324">
        <f>SUMIF(Leerlingaantallen[Werkgevernummer],BevoegdGezag!A594,Leerlingaantallen[Bedrag])</f>
        <v>143389.68000000002</v>
      </c>
    </row>
    <row r="595" spans="1:4" x14ac:dyDescent="0.25">
      <c r="A595" s="331">
        <v>42632</v>
      </c>
      <c r="B595" s="323" t="s">
        <v>8083</v>
      </c>
      <c r="C595" s="323" t="s">
        <v>7830</v>
      </c>
      <c r="D595" s="324">
        <f>SUMIF(Leerlingaantallen[Werkgevernummer],BevoegdGezag!A595,Leerlingaantallen[Bedrag])</f>
        <v>456018.19999999995</v>
      </c>
    </row>
    <row r="596" spans="1:4" x14ac:dyDescent="0.25">
      <c r="A596" s="331">
        <v>42634</v>
      </c>
      <c r="B596" s="323" t="s">
        <v>8084</v>
      </c>
      <c r="C596" s="323" t="s">
        <v>7830</v>
      </c>
      <c r="D596" s="324">
        <f>SUMIF(Leerlingaantallen[Werkgevernummer],BevoegdGezag!A596,Leerlingaantallen[Bedrag])</f>
        <v>75840.460000000006</v>
      </c>
    </row>
    <row r="597" spans="1:4" x14ac:dyDescent="0.25">
      <c r="A597" s="331">
        <v>42635</v>
      </c>
      <c r="B597" s="323" t="s">
        <v>8460</v>
      </c>
      <c r="C597" s="323" t="s">
        <v>7978</v>
      </c>
      <c r="D597" s="324">
        <f>SUMIF(Leerlingaantallen[Werkgevernummer],BevoegdGezag!A597,Leerlingaantallen[Bedrag])</f>
        <v>355060.16000000003</v>
      </c>
    </row>
    <row r="598" spans="1:4" x14ac:dyDescent="0.25">
      <c r="A598" s="331">
        <v>42636</v>
      </c>
      <c r="B598" s="323" t="s">
        <v>8085</v>
      </c>
      <c r="C598" s="323" t="s">
        <v>7830</v>
      </c>
      <c r="D598" s="324">
        <f>SUMIF(Leerlingaantallen[Werkgevernummer],BevoegdGezag!A598,Leerlingaantallen[Bedrag])</f>
        <v>11705.28</v>
      </c>
    </row>
    <row r="599" spans="1:4" x14ac:dyDescent="0.25">
      <c r="A599" s="331">
        <v>42653</v>
      </c>
      <c r="B599" s="323" t="s">
        <v>8086</v>
      </c>
      <c r="C599" s="323" t="s">
        <v>7542</v>
      </c>
      <c r="D599" s="324">
        <f>SUMIF(Leerlingaantallen[Werkgevernummer],BevoegdGezag!A599,Leerlingaantallen[Bedrag])</f>
        <v>722313.32000000007</v>
      </c>
    </row>
    <row r="600" spans="1:4" x14ac:dyDescent="0.25">
      <c r="A600" s="331">
        <v>42656</v>
      </c>
      <c r="B600" s="323" t="s">
        <v>8087</v>
      </c>
      <c r="C600" s="323" t="s">
        <v>7830</v>
      </c>
      <c r="D600" s="324">
        <f>SUMIF(Leerlingaantallen[Werkgevernummer],BevoegdGezag!A600,Leerlingaantallen[Bedrag])</f>
        <v>540149.9</v>
      </c>
    </row>
    <row r="601" spans="1:4" x14ac:dyDescent="0.25">
      <c r="A601" s="331">
        <v>42658</v>
      </c>
      <c r="B601" s="323" t="s">
        <v>8088</v>
      </c>
      <c r="C601" s="323" t="s">
        <v>7539</v>
      </c>
      <c r="D601" s="324">
        <f>SUMIF(Leerlingaantallen[Werkgevernummer],BevoegdGezag!A601,Leerlingaantallen[Bedrag])</f>
        <v>179968.68</v>
      </c>
    </row>
    <row r="602" spans="1:4" x14ac:dyDescent="0.25">
      <c r="A602" s="331">
        <v>42665</v>
      </c>
      <c r="B602" s="323" t="s">
        <v>8461</v>
      </c>
      <c r="C602" s="323" t="s">
        <v>7539</v>
      </c>
      <c r="D602" s="324">
        <f>SUMIF(Leerlingaantallen[Werkgevernummer],BevoegdGezag!A602,Leerlingaantallen[Bedrag])</f>
        <v>556488.52000000014</v>
      </c>
    </row>
    <row r="603" spans="1:4" x14ac:dyDescent="0.25">
      <c r="A603" s="331">
        <v>42669</v>
      </c>
      <c r="B603" s="323" t="s">
        <v>8089</v>
      </c>
      <c r="C603" s="323" t="s">
        <v>7537</v>
      </c>
      <c r="D603" s="324">
        <f>SUMIF(Leerlingaantallen[Werkgevernummer],BevoegdGezag!A603,Leerlingaantallen[Bedrag])</f>
        <v>873018.79999999993</v>
      </c>
    </row>
    <row r="604" spans="1:4" x14ac:dyDescent="0.25">
      <c r="A604" s="331">
        <v>42674</v>
      </c>
      <c r="B604" s="323" t="s">
        <v>8090</v>
      </c>
      <c r="C604" s="323" t="s">
        <v>7537</v>
      </c>
      <c r="D604" s="324">
        <f>SUMIF(Leerlingaantallen[Werkgevernummer],BevoegdGezag!A604,Leerlingaantallen[Bedrag])</f>
        <v>33164.959999999999</v>
      </c>
    </row>
    <row r="605" spans="1:4" x14ac:dyDescent="0.25">
      <c r="A605" s="331">
        <v>42679</v>
      </c>
      <c r="B605" s="323" t="s">
        <v>8091</v>
      </c>
      <c r="C605" s="323" t="s">
        <v>7830</v>
      </c>
      <c r="D605" s="324">
        <f>SUMIF(Leerlingaantallen[Werkgevernummer],BevoegdGezag!A605,Leerlingaantallen[Bedrag])</f>
        <v>65598.34</v>
      </c>
    </row>
    <row r="606" spans="1:4" x14ac:dyDescent="0.25">
      <c r="A606" s="331">
        <v>42683</v>
      </c>
      <c r="B606" s="323" t="s">
        <v>8092</v>
      </c>
      <c r="C606" s="323" t="s">
        <v>7542</v>
      </c>
      <c r="D606" s="324">
        <f>SUMIF(Leerlingaantallen[Werkgevernummer],BevoegdGezag!A606,Leerlingaantallen[Bedrag])</f>
        <v>1255391.28</v>
      </c>
    </row>
    <row r="607" spans="1:4" x14ac:dyDescent="0.25">
      <c r="A607" s="331">
        <v>42686</v>
      </c>
      <c r="B607" s="323" t="s">
        <v>8093</v>
      </c>
      <c r="C607" s="323" t="s">
        <v>7830</v>
      </c>
      <c r="D607" s="324">
        <f>SUMIF(Leerlingaantallen[Werkgevernummer],BevoegdGezag!A607,Leerlingaantallen[Bedrag])</f>
        <v>43894.8</v>
      </c>
    </row>
    <row r="608" spans="1:4" x14ac:dyDescent="0.25">
      <c r="A608" s="331">
        <v>42687</v>
      </c>
      <c r="B608" s="323" t="s">
        <v>8462</v>
      </c>
      <c r="C608" s="323" t="s">
        <v>7830</v>
      </c>
      <c r="D608" s="324">
        <f>SUMIF(Leerlingaantallen[Werkgevernummer],BevoegdGezag!A608,Leerlingaantallen[Bedrag])</f>
        <v>395297.06000000006</v>
      </c>
    </row>
    <row r="609" spans="1:4" x14ac:dyDescent="0.25">
      <c r="A609" s="331">
        <v>42709</v>
      </c>
      <c r="B609" s="323" t="s">
        <v>8094</v>
      </c>
      <c r="C609" s="323" t="s">
        <v>7523</v>
      </c>
      <c r="D609" s="324">
        <f>SUMIF(Leerlingaantallen[Werkgevernummer],BevoegdGezag!A609,Leerlingaantallen[Bedrag])</f>
        <v>967392.62000000011</v>
      </c>
    </row>
    <row r="610" spans="1:4" x14ac:dyDescent="0.25">
      <c r="A610" s="331">
        <v>42715</v>
      </c>
      <c r="B610" s="323" t="s">
        <v>8095</v>
      </c>
      <c r="C610" s="323" t="s">
        <v>7537</v>
      </c>
      <c r="D610" s="324">
        <f>SUMIF(Leerlingaantallen[Werkgevernummer],BevoegdGezag!A610,Leerlingaantallen[Bedrag])</f>
        <v>52186.04</v>
      </c>
    </row>
    <row r="611" spans="1:4" x14ac:dyDescent="0.25">
      <c r="A611" s="331">
        <v>42719</v>
      </c>
      <c r="B611" s="323" t="s">
        <v>8096</v>
      </c>
      <c r="C611" s="323" t="s">
        <v>7830</v>
      </c>
      <c r="D611" s="324">
        <f>SUMIF(Leerlingaantallen[Werkgevernummer],BevoegdGezag!A611,Leerlingaantallen[Bedrag])</f>
        <v>822539.78000000014</v>
      </c>
    </row>
    <row r="612" spans="1:4" x14ac:dyDescent="0.25">
      <c r="A612" s="331">
        <v>42723</v>
      </c>
      <c r="B612" s="323" t="s">
        <v>8097</v>
      </c>
      <c r="C612" s="323" t="s">
        <v>7830</v>
      </c>
      <c r="D612" s="324">
        <f>SUMIF(Leerlingaantallen[Werkgevernummer],BevoegdGezag!A612,Leerlingaantallen[Bedrag])</f>
        <v>102908.92000000001</v>
      </c>
    </row>
    <row r="613" spans="1:4" x14ac:dyDescent="0.25">
      <c r="A613" s="331">
        <v>42724</v>
      </c>
      <c r="B613" s="323" t="s">
        <v>8098</v>
      </c>
      <c r="C613" s="323" t="s">
        <v>7830</v>
      </c>
      <c r="D613" s="324">
        <f>SUMIF(Leerlingaantallen[Werkgevernummer],BevoegdGezag!A613,Leerlingaantallen[Bedrag])</f>
        <v>525274.44000000006</v>
      </c>
    </row>
    <row r="614" spans="1:4" x14ac:dyDescent="0.25">
      <c r="A614" s="331">
        <v>42728</v>
      </c>
      <c r="B614" s="323" t="s">
        <v>8099</v>
      </c>
      <c r="C614" s="323" t="s">
        <v>7830</v>
      </c>
      <c r="D614" s="324">
        <f>SUMIF(Leerlingaantallen[Werkgevernummer],BevoegdGezag!A614,Leerlingaantallen[Bedrag])</f>
        <v>25605.300000000003</v>
      </c>
    </row>
    <row r="615" spans="1:4" x14ac:dyDescent="0.25">
      <c r="A615" s="331">
        <v>42736</v>
      </c>
      <c r="B615" s="323" t="s">
        <v>8100</v>
      </c>
      <c r="C615" s="323" t="s">
        <v>7830</v>
      </c>
      <c r="D615" s="324">
        <f>SUMIF(Leerlingaantallen[Werkgevernummer],BevoegdGezag!A615,Leerlingaantallen[Bedrag])</f>
        <v>23898.280000000002</v>
      </c>
    </row>
    <row r="616" spans="1:4" x14ac:dyDescent="0.25">
      <c r="A616" s="331">
        <v>42738</v>
      </c>
      <c r="B616" s="323" t="s">
        <v>8101</v>
      </c>
      <c r="C616" s="323" t="s">
        <v>7523</v>
      </c>
      <c r="D616" s="324">
        <f>SUMIF(Leerlingaantallen[Werkgevernummer],BevoegdGezag!A616,Leerlingaantallen[Bedrag])</f>
        <v>204354.68</v>
      </c>
    </row>
    <row r="617" spans="1:4" x14ac:dyDescent="0.25">
      <c r="A617" s="331">
        <v>42744</v>
      </c>
      <c r="B617" s="323" t="s">
        <v>8102</v>
      </c>
      <c r="C617" s="323" t="s">
        <v>7539</v>
      </c>
      <c r="D617" s="324">
        <f>SUMIF(Leerlingaantallen[Werkgevernummer],BevoegdGezag!A617,Leerlingaantallen[Bedrag])</f>
        <v>308726.76000000007</v>
      </c>
    </row>
    <row r="618" spans="1:4" x14ac:dyDescent="0.25">
      <c r="A618" s="331">
        <v>42747</v>
      </c>
      <c r="B618" s="323" t="s">
        <v>8463</v>
      </c>
      <c r="C618" s="323" t="s">
        <v>7539</v>
      </c>
      <c r="D618" s="324">
        <f>SUMIF(Leerlingaantallen[Werkgevernummer],BevoegdGezag!A618,Leerlingaantallen[Bedrag])</f>
        <v>80473.799999999988</v>
      </c>
    </row>
    <row r="619" spans="1:4" x14ac:dyDescent="0.25">
      <c r="A619" s="331">
        <v>42751</v>
      </c>
      <c r="B619" s="323" t="s">
        <v>8103</v>
      </c>
      <c r="C619" s="323" t="s">
        <v>7537</v>
      </c>
      <c r="D619" s="324">
        <f>SUMIF(Leerlingaantallen[Werkgevernummer],BevoegdGezag!A619,Leerlingaantallen[Bedrag])</f>
        <v>21947.4</v>
      </c>
    </row>
    <row r="620" spans="1:4" x14ac:dyDescent="0.25">
      <c r="A620" s="331">
        <v>42754</v>
      </c>
      <c r="B620" s="323" t="s">
        <v>8104</v>
      </c>
      <c r="C620" s="323" t="s">
        <v>7539</v>
      </c>
      <c r="D620" s="324">
        <f>SUMIF(Leerlingaantallen[Werkgevernummer],BevoegdGezag!A620,Leerlingaantallen[Bedrag])</f>
        <v>434802.38000000006</v>
      </c>
    </row>
    <row r="621" spans="1:4" x14ac:dyDescent="0.25">
      <c r="A621" s="331">
        <v>42755</v>
      </c>
      <c r="B621" s="323" t="s">
        <v>8105</v>
      </c>
      <c r="C621" s="323" t="s">
        <v>7573</v>
      </c>
      <c r="D621" s="324">
        <f>SUMIF(Leerlingaantallen[Werkgevernummer],BevoegdGezag!A621,Leerlingaantallen[Bedrag])</f>
        <v>34871.980000000003</v>
      </c>
    </row>
    <row r="622" spans="1:4" x14ac:dyDescent="0.25">
      <c r="A622" s="331">
        <v>42756</v>
      </c>
      <c r="B622" s="323" t="s">
        <v>8464</v>
      </c>
      <c r="C622" s="323" t="s">
        <v>7537</v>
      </c>
      <c r="D622" s="324">
        <f>SUMIF(Leerlingaantallen[Werkgevernummer],BevoegdGezag!A622,Leerlingaantallen[Bedrag])</f>
        <v>42919.360000000001</v>
      </c>
    </row>
    <row r="623" spans="1:4" x14ac:dyDescent="0.25">
      <c r="A623" s="331">
        <v>42759</v>
      </c>
      <c r="B623" s="323" t="s">
        <v>8106</v>
      </c>
      <c r="C623" s="323" t="s">
        <v>7539</v>
      </c>
      <c r="D623" s="324">
        <f>SUMIF(Leerlingaantallen[Werkgevernummer],BevoegdGezag!A623,Leerlingaantallen[Bedrag])</f>
        <v>234349.46000000002</v>
      </c>
    </row>
    <row r="624" spans="1:4" x14ac:dyDescent="0.25">
      <c r="A624" s="331">
        <v>42760</v>
      </c>
      <c r="B624" s="323" t="s">
        <v>8107</v>
      </c>
      <c r="C624" s="323" t="s">
        <v>7830</v>
      </c>
      <c r="D624" s="324">
        <f>SUMIF(Leerlingaantallen[Werkgevernummer],BevoegdGezag!A624,Leerlingaantallen[Bedrag])</f>
        <v>139487.92000000001</v>
      </c>
    </row>
    <row r="625" spans="1:4" x14ac:dyDescent="0.25">
      <c r="A625" s="331">
        <v>42761</v>
      </c>
      <c r="B625" s="323" t="s">
        <v>8108</v>
      </c>
      <c r="C625" s="323" t="s">
        <v>7523</v>
      </c>
      <c r="D625" s="324">
        <f>SUMIF(Leerlingaantallen[Werkgevernummer],BevoegdGezag!A625,Leerlingaantallen[Bedrag])</f>
        <v>372374.22000000003</v>
      </c>
    </row>
    <row r="626" spans="1:4" x14ac:dyDescent="0.25">
      <c r="A626" s="331">
        <v>42765</v>
      </c>
      <c r="B626" s="323" t="s">
        <v>8109</v>
      </c>
      <c r="C626" s="323" t="s">
        <v>7523</v>
      </c>
      <c r="D626" s="324">
        <f>SUMIF(Leerlingaantallen[Werkgevernummer],BevoegdGezag!A626,Leerlingaantallen[Bedrag])</f>
        <v>13412.300000000001</v>
      </c>
    </row>
    <row r="627" spans="1:4" x14ac:dyDescent="0.25">
      <c r="A627" s="331">
        <v>42767</v>
      </c>
      <c r="B627" s="323" t="s">
        <v>8110</v>
      </c>
      <c r="C627" s="323" t="s">
        <v>7537</v>
      </c>
      <c r="D627" s="324">
        <f>SUMIF(Leerlingaantallen[Werkgevernummer],BevoegdGezag!A627,Leerlingaantallen[Bedrag])</f>
        <v>9998.26</v>
      </c>
    </row>
    <row r="628" spans="1:4" x14ac:dyDescent="0.25">
      <c r="A628" s="331">
        <v>42768</v>
      </c>
      <c r="B628" s="323" t="s">
        <v>8111</v>
      </c>
      <c r="C628" s="323" t="s">
        <v>7830</v>
      </c>
      <c r="D628" s="324">
        <f>SUMIF(Leerlingaantallen[Werkgevernummer],BevoegdGezag!A628,Leerlingaantallen[Bedrag])</f>
        <v>10729.84</v>
      </c>
    </row>
    <row r="629" spans="1:4" x14ac:dyDescent="0.25">
      <c r="A629" s="331">
        <v>42769</v>
      </c>
      <c r="B629" s="323" t="s">
        <v>8112</v>
      </c>
      <c r="C629" s="323" t="s">
        <v>7830</v>
      </c>
      <c r="D629" s="324">
        <f>SUMIF(Leerlingaantallen[Werkgevernummer],BevoegdGezag!A629,Leerlingaantallen[Bedrag])</f>
        <v>35603.560000000005</v>
      </c>
    </row>
    <row r="630" spans="1:4" x14ac:dyDescent="0.25">
      <c r="A630" s="331">
        <v>42774</v>
      </c>
      <c r="B630" s="323" t="s">
        <v>8113</v>
      </c>
      <c r="C630" s="323" t="s">
        <v>7830</v>
      </c>
      <c r="D630" s="324">
        <f>SUMIF(Leerlingaantallen[Werkgevernummer],BevoegdGezag!A630,Leerlingaantallen[Bedrag])</f>
        <v>0</v>
      </c>
    </row>
    <row r="631" spans="1:4" x14ac:dyDescent="0.25">
      <c r="A631" s="331">
        <v>42782</v>
      </c>
      <c r="B631" s="323" t="s">
        <v>8114</v>
      </c>
      <c r="C631" s="323" t="s">
        <v>7537</v>
      </c>
      <c r="D631" s="324">
        <f>SUMIF(Leerlingaantallen[Werkgevernummer],BevoegdGezag!A631,Leerlingaantallen[Bedrag])</f>
        <v>3170.1800000000003</v>
      </c>
    </row>
    <row r="632" spans="1:4" x14ac:dyDescent="0.25">
      <c r="A632" s="331">
        <v>42786</v>
      </c>
      <c r="B632" s="323" t="s">
        <v>8115</v>
      </c>
      <c r="C632" s="323" t="s">
        <v>7830</v>
      </c>
      <c r="D632" s="324">
        <f>SUMIF(Leerlingaantallen[Werkgevernummer],BevoegdGezag!A632,Leerlingaantallen[Bedrag])</f>
        <v>7071.9400000000005</v>
      </c>
    </row>
    <row r="633" spans="1:4" x14ac:dyDescent="0.25">
      <c r="A633" s="331">
        <v>42787</v>
      </c>
      <c r="B633" s="323" t="s">
        <v>8465</v>
      </c>
      <c r="C633" s="323" t="s">
        <v>7830</v>
      </c>
      <c r="D633" s="324">
        <f>SUMIF(Leerlingaantallen[Werkgevernummer],BevoegdGezag!A633,Leerlingaantallen[Bedrag])</f>
        <v>76450.11</v>
      </c>
    </row>
    <row r="634" spans="1:4" x14ac:dyDescent="0.25">
      <c r="A634" s="331">
        <v>42788</v>
      </c>
      <c r="B634" s="323" t="s">
        <v>8116</v>
      </c>
      <c r="C634" s="323" t="s">
        <v>7539</v>
      </c>
      <c r="D634" s="324">
        <f>SUMIF(Leerlingaantallen[Werkgevernummer],BevoegdGezag!A634,Leerlingaantallen[Bedrag])</f>
        <v>95349.260000000009</v>
      </c>
    </row>
    <row r="635" spans="1:4" x14ac:dyDescent="0.25">
      <c r="A635" s="331">
        <v>42789</v>
      </c>
      <c r="B635" s="323" t="s">
        <v>8117</v>
      </c>
      <c r="C635" s="323" t="s">
        <v>7523</v>
      </c>
      <c r="D635" s="324">
        <f>SUMIF(Leerlingaantallen[Werkgevernummer],BevoegdGezag!A635,Leerlingaantallen[Bedrag])</f>
        <v>8291.24</v>
      </c>
    </row>
    <row r="636" spans="1:4" x14ac:dyDescent="0.25">
      <c r="A636" s="331">
        <v>42790</v>
      </c>
      <c r="B636" s="323" t="s">
        <v>8466</v>
      </c>
      <c r="C636" s="323" t="s">
        <v>7830</v>
      </c>
      <c r="D636" s="324">
        <f>SUMIF(Leerlingaantallen[Werkgevernummer],BevoegdGezag!A636,Leerlingaantallen[Bedrag])</f>
        <v>301898.68</v>
      </c>
    </row>
    <row r="637" spans="1:4" x14ac:dyDescent="0.25">
      <c r="A637" s="331">
        <v>42791</v>
      </c>
      <c r="B637" s="323" t="s">
        <v>8118</v>
      </c>
      <c r="C637" s="323" t="s">
        <v>7537</v>
      </c>
      <c r="D637" s="324">
        <f>SUMIF(Leerlingaantallen[Werkgevernummer],BevoegdGezag!A637,Leerlingaantallen[Bedrag])</f>
        <v>8291.24</v>
      </c>
    </row>
    <row r="638" spans="1:4" x14ac:dyDescent="0.25">
      <c r="A638" s="331">
        <v>42793</v>
      </c>
      <c r="B638" s="323" t="s">
        <v>8119</v>
      </c>
      <c r="C638" s="323" t="s">
        <v>7537</v>
      </c>
      <c r="D638" s="324">
        <f>SUMIF(Leerlingaantallen[Werkgevernummer],BevoegdGezag!A638,Leerlingaantallen[Bedrag])</f>
        <v>2438.6000000000004</v>
      </c>
    </row>
    <row r="639" spans="1:4" x14ac:dyDescent="0.25">
      <c r="A639" s="331">
        <v>42794</v>
      </c>
      <c r="B639" s="323" t="s">
        <v>8120</v>
      </c>
      <c r="C639" s="323" t="s">
        <v>7830</v>
      </c>
      <c r="D639" s="324">
        <f>SUMIF(Leerlingaantallen[Werkgevernummer],BevoegdGezag!A639,Leerlingaantallen[Bedrag])</f>
        <v>114370.34</v>
      </c>
    </row>
    <row r="640" spans="1:4" x14ac:dyDescent="0.25">
      <c r="A640" s="331">
        <v>42795</v>
      </c>
      <c r="B640" s="323" t="s">
        <v>8121</v>
      </c>
      <c r="C640" s="323" t="s">
        <v>7537</v>
      </c>
      <c r="D640" s="324">
        <f>SUMIF(Leerlingaantallen[Werkgevernummer],BevoegdGezag!A640,Leerlingaantallen[Bedrag])</f>
        <v>1219.3000000000002</v>
      </c>
    </row>
    <row r="641" spans="1:4" x14ac:dyDescent="0.25">
      <c r="A641" s="331">
        <v>42803</v>
      </c>
      <c r="B641" s="323" t="s">
        <v>8122</v>
      </c>
      <c r="C641" s="323" t="s">
        <v>7537</v>
      </c>
      <c r="D641" s="324">
        <f>SUMIF(Leerlingaantallen[Werkgevernummer],BevoegdGezag!A641,Leerlingaantallen[Bedrag])</f>
        <v>0</v>
      </c>
    </row>
    <row r="642" spans="1:4" x14ac:dyDescent="0.25">
      <c r="A642" s="331">
        <v>42804</v>
      </c>
      <c r="B642" s="323" t="s">
        <v>8123</v>
      </c>
      <c r="C642" s="323" t="s">
        <v>7830</v>
      </c>
      <c r="D642" s="324">
        <f>SUMIF(Leerlingaantallen[Werkgevernummer],BevoegdGezag!A642,Leerlingaantallen[Bedrag])</f>
        <v>0</v>
      </c>
    </row>
    <row r="643" spans="1:4" x14ac:dyDescent="0.25">
      <c r="A643" s="331">
        <v>42836</v>
      </c>
      <c r="B643" s="323" t="s">
        <v>8124</v>
      </c>
      <c r="C643" s="323" t="s">
        <v>7539</v>
      </c>
      <c r="D643" s="324">
        <f>SUMIF(Leerlingaantallen[Werkgevernummer],BevoegdGezag!A643,Leerlingaantallen[Bedrag])</f>
        <v>89008.900000000009</v>
      </c>
    </row>
    <row r="644" spans="1:4" x14ac:dyDescent="0.25">
      <c r="A644" s="331">
        <v>42980</v>
      </c>
      <c r="B644" s="323" t="s">
        <v>8125</v>
      </c>
      <c r="C644" s="323" t="s">
        <v>7539</v>
      </c>
      <c r="D644" s="324">
        <f>SUMIF(Leerlingaantallen[Werkgevernummer],BevoegdGezag!A644,Leerlingaantallen[Bedrag])</f>
        <v>69012.38</v>
      </c>
    </row>
    <row r="645" spans="1:4" x14ac:dyDescent="0.25">
      <c r="A645" s="331">
        <v>43005</v>
      </c>
      <c r="B645" s="323" t="s">
        <v>8126</v>
      </c>
      <c r="C645" s="323" t="s">
        <v>7535</v>
      </c>
      <c r="D645" s="324">
        <f>SUMIF(Leerlingaantallen[Werkgevernummer],BevoegdGezag!A645,Leerlingaantallen[Bedrag])</f>
        <v>49503.58</v>
      </c>
    </row>
    <row r="646" spans="1:4" x14ac:dyDescent="0.25">
      <c r="A646" s="331">
        <v>43058</v>
      </c>
      <c r="B646" s="323" t="s">
        <v>8467</v>
      </c>
      <c r="C646" s="323" t="s">
        <v>7544</v>
      </c>
      <c r="D646" s="324">
        <f>SUMIF(Leerlingaantallen[Werkgevernummer],BevoegdGezag!A646,Leerlingaantallen[Bedrag])</f>
        <v>69256.240000000005</v>
      </c>
    </row>
    <row r="647" spans="1:4" x14ac:dyDescent="0.25">
      <c r="A647" s="331">
        <v>43175</v>
      </c>
      <c r="B647" s="323" t="s">
        <v>8127</v>
      </c>
      <c r="C647" s="323" t="s">
        <v>7535</v>
      </c>
      <c r="D647" s="324">
        <f>SUMIF(Leerlingaantallen[Werkgevernummer],BevoegdGezag!A647,Leerlingaantallen[Bedrag])</f>
        <v>52186.04</v>
      </c>
    </row>
    <row r="648" spans="1:4" x14ac:dyDescent="0.25">
      <c r="A648" s="331">
        <v>43188</v>
      </c>
      <c r="B648" s="323" t="s">
        <v>8128</v>
      </c>
      <c r="C648" s="323" t="s">
        <v>7535</v>
      </c>
      <c r="D648" s="324">
        <f>SUMIF(Leerlingaantallen[Werkgevernummer],BevoegdGezag!A648,Leerlingaantallen[Bedrag])</f>
        <v>47308.840000000004</v>
      </c>
    </row>
    <row r="649" spans="1:4" x14ac:dyDescent="0.25">
      <c r="A649" s="331">
        <v>43227</v>
      </c>
      <c r="B649" s="323" t="s">
        <v>8129</v>
      </c>
      <c r="C649" s="323" t="s">
        <v>7539</v>
      </c>
      <c r="D649" s="324">
        <f>SUMIF(Leerlingaantallen[Werkgevernummer],BevoegdGezag!A649,Leerlingaantallen[Bedrag])</f>
        <v>530029.71</v>
      </c>
    </row>
    <row r="650" spans="1:4" x14ac:dyDescent="0.25">
      <c r="A650" s="331">
        <v>43305</v>
      </c>
      <c r="B650" s="323" t="s">
        <v>8130</v>
      </c>
      <c r="C650" s="323" t="s">
        <v>7544</v>
      </c>
      <c r="D650" s="324">
        <f>SUMIF(Leerlingaantallen[Werkgevernummer],BevoegdGezag!A650,Leerlingaantallen[Bedrag])</f>
        <v>158752.86000000002</v>
      </c>
    </row>
    <row r="651" spans="1:4" x14ac:dyDescent="0.25">
      <c r="A651" s="331">
        <v>43318</v>
      </c>
      <c r="B651" s="323" t="s">
        <v>8131</v>
      </c>
      <c r="C651" s="323" t="s">
        <v>7544</v>
      </c>
      <c r="D651" s="324">
        <f>SUMIF(Leerlingaantallen[Werkgevernummer],BevoegdGezag!A651,Leerlingaantallen[Bedrag])</f>
        <v>675248.34</v>
      </c>
    </row>
    <row r="652" spans="1:4" x14ac:dyDescent="0.25">
      <c r="A652" s="331">
        <v>43383</v>
      </c>
      <c r="B652" s="323" t="s">
        <v>8132</v>
      </c>
      <c r="C652" s="323" t="s">
        <v>7535</v>
      </c>
      <c r="D652" s="324">
        <f>SUMIF(Leerlingaantallen[Werkgevernummer],BevoegdGezag!A652,Leerlingaantallen[Bedrag])</f>
        <v>76815.900000000009</v>
      </c>
    </row>
    <row r="653" spans="1:4" x14ac:dyDescent="0.25">
      <c r="A653" s="331">
        <v>43824</v>
      </c>
      <c r="B653" s="323" t="s">
        <v>8133</v>
      </c>
      <c r="C653" s="323" t="s">
        <v>7539</v>
      </c>
      <c r="D653" s="324">
        <f>SUMIF(Leerlingaantallen[Werkgevernummer],BevoegdGezag!A653,Leerlingaantallen[Bedrag])</f>
        <v>74133.440000000002</v>
      </c>
    </row>
    <row r="654" spans="1:4" x14ac:dyDescent="0.25">
      <c r="A654" s="331">
        <v>43825</v>
      </c>
      <c r="B654" s="323" t="s">
        <v>8134</v>
      </c>
      <c r="C654" s="323" t="s">
        <v>7544</v>
      </c>
      <c r="D654" s="324">
        <f>SUMIF(Leerlingaantallen[Werkgevernummer],BevoegdGezag!A654,Leerlingaantallen[Bedrag])</f>
        <v>39017.600000000006</v>
      </c>
    </row>
    <row r="655" spans="1:4" x14ac:dyDescent="0.25">
      <c r="A655" s="331">
        <v>43928</v>
      </c>
      <c r="B655" s="323" t="s">
        <v>8135</v>
      </c>
      <c r="C655" s="323" t="s">
        <v>7539</v>
      </c>
      <c r="D655" s="324">
        <f>SUMIF(Leerlingaantallen[Werkgevernummer],BevoegdGezag!A655,Leerlingaantallen[Bedrag])</f>
        <v>593311.38</v>
      </c>
    </row>
    <row r="656" spans="1:4" x14ac:dyDescent="0.25">
      <c r="A656" s="331">
        <v>43967</v>
      </c>
      <c r="B656" s="323" t="s">
        <v>8136</v>
      </c>
      <c r="C656" s="323" t="s">
        <v>7544</v>
      </c>
      <c r="D656" s="324">
        <f>SUMIF(Leerlingaantallen[Werkgevernummer],BevoegdGezag!A656,Leerlingaantallen[Bedrag])</f>
        <v>359205.78</v>
      </c>
    </row>
    <row r="657" spans="1:4" x14ac:dyDescent="0.25">
      <c r="A657" s="331">
        <v>44071</v>
      </c>
      <c r="B657" s="323" t="s">
        <v>8137</v>
      </c>
      <c r="C657" s="323" t="s">
        <v>7539</v>
      </c>
      <c r="D657" s="324">
        <f>SUMIF(Leerlingaantallen[Werkgevernummer],BevoegdGezag!A657,Leerlingaantallen[Bedrag])</f>
        <v>47796.560000000005</v>
      </c>
    </row>
    <row r="658" spans="1:4" x14ac:dyDescent="0.25">
      <c r="A658" s="331">
        <v>44175</v>
      </c>
      <c r="B658" s="323" t="s">
        <v>8138</v>
      </c>
      <c r="C658" s="323" t="s">
        <v>7539</v>
      </c>
      <c r="D658" s="324">
        <f>SUMIF(Leerlingaantallen[Werkgevernummer],BevoegdGezag!A658,Leerlingaantallen[Bedrag])</f>
        <v>101201.90000000001</v>
      </c>
    </row>
    <row r="659" spans="1:4" x14ac:dyDescent="0.25">
      <c r="A659" s="331">
        <v>44201</v>
      </c>
      <c r="B659" s="323" t="s">
        <v>8139</v>
      </c>
      <c r="C659" s="323" t="s">
        <v>7544</v>
      </c>
      <c r="D659" s="324">
        <f>SUMIF(Leerlingaantallen[Werkgevernummer],BevoegdGezag!A659,Leerlingaantallen[Bedrag])</f>
        <v>854119.65</v>
      </c>
    </row>
    <row r="660" spans="1:4" x14ac:dyDescent="0.25">
      <c r="A660" s="331">
        <v>44318</v>
      </c>
      <c r="B660" s="323" t="s">
        <v>8140</v>
      </c>
      <c r="C660" s="323" t="s">
        <v>7539</v>
      </c>
      <c r="D660" s="324">
        <f>SUMIF(Leerlingaantallen[Werkgevernummer],BevoegdGezag!A660,Leerlingaantallen[Bedrag])</f>
        <v>145828.28</v>
      </c>
    </row>
    <row r="661" spans="1:4" x14ac:dyDescent="0.25">
      <c r="A661" s="331">
        <v>44397</v>
      </c>
      <c r="B661" s="323" t="s">
        <v>8141</v>
      </c>
      <c r="C661" s="323" t="s">
        <v>7984</v>
      </c>
      <c r="D661" s="324">
        <f>SUMIF(Leerlingaantallen[Werkgevernummer],BevoegdGezag!A661,Leerlingaantallen[Bedrag])</f>
        <v>694635.2100000002</v>
      </c>
    </row>
    <row r="662" spans="1:4" x14ac:dyDescent="0.25">
      <c r="A662" s="331">
        <v>44813</v>
      </c>
      <c r="B662" s="323" t="s">
        <v>8468</v>
      </c>
      <c r="C662" s="323" t="s">
        <v>7537</v>
      </c>
      <c r="D662" s="324">
        <f>SUMIF(Leerlingaantallen[Werkgevernummer],BevoegdGezag!A662,Leerlingaantallen[Bedrag])</f>
        <v>304825</v>
      </c>
    </row>
    <row r="663" spans="1:4" x14ac:dyDescent="0.25">
      <c r="A663" s="331">
        <v>45000</v>
      </c>
      <c r="B663" s="323" t="s">
        <v>8142</v>
      </c>
      <c r="C663" s="323" t="s">
        <v>7544</v>
      </c>
      <c r="D663" s="324">
        <f>SUMIF(Leerlingaantallen[Werkgevernummer],BevoegdGezag!A663,Leerlingaantallen[Bedrag])</f>
        <v>1205765.77</v>
      </c>
    </row>
    <row r="664" spans="1:4" x14ac:dyDescent="0.25">
      <c r="A664" s="331">
        <v>45059</v>
      </c>
      <c r="B664" s="323" t="s">
        <v>8143</v>
      </c>
      <c r="C664" s="323" t="s">
        <v>7537</v>
      </c>
      <c r="D664" s="324">
        <f>SUMIF(Leerlingaantallen[Werkgevernummer],BevoegdGezag!A664,Leerlingaantallen[Bedrag])</f>
        <v>65110.62</v>
      </c>
    </row>
    <row r="665" spans="1:4" x14ac:dyDescent="0.25">
      <c r="A665" s="331">
        <v>45189</v>
      </c>
      <c r="B665" s="323" t="s">
        <v>8144</v>
      </c>
      <c r="C665" s="323" t="s">
        <v>7544</v>
      </c>
      <c r="D665" s="324">
        <f>SUMIF(Leerlingaantallen[Werkgevernummer],BevoegdGezag!A665,Leerlingaantallen[Bedrag])</f>
        <v>53649.200000000004</v>
      </c>
    </row>
    <row r="666" spans="1:4" x14ac:dyDescent="0.25">
      <c r="A666" s="331">
        <v>45722</v>
      </c>
      <c r="B666" s="323" t="s">
        <v>8145</v>
      </c>
      <c r="C666" s="323" t="s">
        <v>7539</v>
      </c>
      <c r="D666" s="324">
        <f>SUMIF(Leerlingaantallen[Werkgevernummer],BevoegdGezag!A666,Leerlingaantallen[Bedrag])</f>
        <v>126563.34</v>
      </c>
    </row>
    <row r="667" spans="1:4" x14ac:dyDescent="0.25">
      <c r="A667" s="331">
        <v>45774</v>
      </c>
      <c r="B667" s="323" t="s">
        <v>8146</v>
      </c>
      <c r="C667" s="323" t="s">
        <v>7539</v>
      </c>
      <c r="D667" s="324">
        <f>SUMIF(Leerlingaantallen[Werkgevernummer],BevoegdGezag!A667,Leerlingaantallen[Bedrag])</f>
        <v>30238.640000000003</v>
      </c>
    </row>
    <row r="668" spans="1:4" x14ac:dyDescent="0.25">
      <c r="A668" s="331">
        <v>45917</v>
      </c>
      <c r="B668" s="323" t="s">
        <v>8147</v>
      </c>
      <c r="C668" s="323" t="s">
        <v>7539</v>
      </c>
      <c r="D668" s="324">
        <f>SUMIF(Leerlingaantallen[Werkgevernummer],BevoegdGezag!A668,Leerlingaantallen[Bedrag])</f>
        <v>491743.69000000006</v>
      </c>
    </row>
    <row r="669" spans="1:4" x14ac:dyDescent="0.25">
      <c r="A669" s="331">
        <v>45969</v>
      </c>
      <c r="B669" s="323" t="s">
        <v>8148</v>
      </c>
      <c r="C669" s="323" t="s">
        <v>7539</v>
      </c>
      <c r="D669" s="324">
        <f>SUMIF(Leerlingaantallen[Werkgevernummer],BevoegdGezag!A669,Leerlingaantallen[Bedrag])</f>
        <v>156801.98000000001</v>
      </c>
    </row>
    <row r="670" spans="1:4" x14ac:dyDescent="0.25">
      <c r="A670" s="331">
        <v>46021</v>
      </c>
      <c r="B670" s="323" t="s">
        <v>8149</v>
      </c>
      <c r="C670" s="323" t="s">
        <v>7539</v>
      </c>
      <c r="D670" s="324">
        <f>SUMIF(Leerlingaantallen[Werkgevernummer],BevoegdGezag!A670,Leerlingaantallen[Bedrag])</f>
        <v>51942.18</v>
      </c>
    </row>
    <row r="671" spans="1:4" x14ac:dyDescent="0.25">
      <c r="A671" s="331">
        <v>46060</v>
      </c>
      <c r="B671" s="323" t="s">
        <v>8150</v>
      </c>
      <c r="C671" s="323" t="s">
        <v>7539</v>
      </c>
      <c r="D671" s="324">
        <f>SUMIF(Leerlingaantallen[Werkgevernummer],BevoegdGezag!A671,Leerlingaantallen[Bedrag])</f>
        <v>47064.98</v>
      </c>
    </row>
    <row r="672" spans="1:4" x14ac:dyDescent="0.25">
      <c r="A672" s="331">
        <v>46152</v>
      </c>
      <c r="B672" s="323" t="s">
        <v>8151</v>
      </c>
      <c r="C672" s="323" t="s">
        <v>7535</v>
      </c>
      <c r="D672" s="324">
        <f>SUMIF(Leerlingaantallen[Werkgevernummer],BevoegdGezag!A672,Leerlingaantallen[Bedrag])</f>
        <v>58526.400000000001</v>
      </c>
    </row>
    <row r="673" spans="1:4" x14ac:dyDescent="0.25">
      <c r="A673" s="331">
        <v>46243</v>
      </c>
      <c r="B673" s="323" t="s">
        <v>8152</v>
      </c>
      <c r="C673" s="323" t="s">
        <v>7537</v>
      </c>
      <c r="D673" s="324">
        <f>SUMIF(Leerlingaantallen[Werkgevernummer],BevoegdGezag!A673,Leerlingaantallen[Bedrag])</f>
        <v>58526.400000000001</v>
      </c>
    </row>
    <row r="674" spans="1:4" x14ac:dyDescent="0.25">
      <c r="A674" s="331">
        <v>46385</v>
      </c>
      <c r="B674" s="323" t="s">
        <v>8153</v>
      </c>
      <c r="C674" s="323" t="s">
        <v>7544</v>
      </c>
      <c r="D674" s="324">
        <f>SUMIF(Leerlingaantallen[Werkgevernummer],BevoegdGezag!A674,Leerlingaantallen[Bedrag])</f>
        <v>411147.96</v>
      </c>
    </row>
    <row r="675" spans="1:4" x14ac:dyDescent="0.25">
      <c r="A675" s="331">
        <v>46697</v>
      </c>
      <c r="B675" s="323" t="s">
        <v>8154</v>
      </c>
      <c r="C675" s="323" t="s">
        <v>7535</v>
      </c>
      <c r="D675" s="324">
        <f>SUMIF(Leerlingaantallen[Werkgevernummer],BevoegdGezag!A675,Leerlingaantallen[Bedrag])</f>
        <v>41212.340000000004</v>
      </c>
    </row>
    <row r="676" spans="1:4" x14ac:dyDescent="0.25">
      <c r="A676" s="331">
        <v>46723</v>
      </c>
      <c r="B676" s="323" t="s">
        <v>8155</v>
      </c>
      <c r="C676" s="323" t="s">
        <v>7537</v>
      </c>
      <c r="D676" s="324">
        <f>SUMIF(Leerlingaantallen[Werkgevernummer],BevoegdGezag!A676,Leerlingaantallen[Bedrag])</f>
        <v>136317.74000000002</v>
      </c>
    </row>
    <row r="677" spans="1:4" x14ac:dyDescent="0.25">
      <c r="A677" s="331">
        <v>46724</v>
      </c>
      <c r="B677" s="323" t="s">
        <v>8156</v>
      </c>
      <c r="C677" s="323" t="s">
        <v>7544</v>
      </c>
      <c r="D677" s="324">
        <f>SUMIF(Leerlingaantallen[Werkgevernummer],BevoegdGezag!A677,Leerlingaantallen[Bedrag])</f>
        <v>386883.89000000007</v>
      </c>
    </row>
    <row r="678" spans="1:4" x14ac:dyDescent="0.25">
      <c r="A678" s="331">
        <v>46879</v>
      </c>
      <c r="B678" s="323" t="s">
        <v>8157</v>
      </c>
      <c r="C678" s="323" t="s">
        <v>7537</v>
      </c>
      <c r="D678" s="324">
        <f>SUMIF(Leerlingaantallen[Werkgevernummer],BevoegdGezag!A678,Leerlingaantallen[Bedrag])</f>
        <v>442605.9</v>
      </c>
    </row>
    <row r="679" spans="1:4" x14ac:dyDescent="0.25">
      <c r="A679" s="331">
        <v>47100</v>
      </c>
      <c r="B679" s="323" t="s">
        <v>8158</v>
      </c>
      <c r="C679" s="323" t="s">
        <v>7544</v>
      </c>
      <c r="D679" s="324">
        <f>SUMIF(Leerlingaantallen[Werkgevernummer],BevoegdGezag!A679,Leerlingaantallen[Bedrag])</f>
        <v>915694.3</v>
      </c>
    </row>
    <row r="680" spans="1:4" x14ac:dyDescent="0.25">
      <c r="A680" s="331">
        <v>47322</v>
      </c>
      <c r="B680" s="323" t="s">
        <v>8159</v>
      </c>
      <c r="C680" s="323" t="s">
        <v>7544</v>
      </c>
      <c r="D680" s="324">
        <f>SUMIF(Leerlingaantallen[Werkgevernummer],BevoegdGezag!A680,Leerlingaantallen[Bedrag])</f>
        <v>223375.76</v>
      </c>
    </row>
    <row r="681" spans="1:4" x14ac:dyDescent="0.25">
      <c r="A681" s="331">
        <v>47438</v>
      </c>
      <c r="B681" s="323" t="s">
        <v>8160</v>
      </c>
      <c r="C681" s="323" t="s">
        <v>7539</v>
      </c>
      <c r="D681" s="324">
        <f>SUMIF(Leerlingaantallen[Werkgevernummer],BevoegdGezag!A681,Leerlingaantallen[Bedrag])</f>
        <v>16582.48</v>
      </c>
    </row>
    <row r="682" spans="1:4" x14ac:dyDescent="0.25">
      <c r="A682" s="331">
        <v>47595</v>
      </c>
      <c r="B682" s="323" t="s">
        <v>8161</v>
      </c>
      <c r="C682" s="323" t="s">
        <v>7539</v>
      </c>
      <c r="D682" s="324">
        <f>SUMIF(Leerlingaantallen[Werkgevernummer],BevoegdGezag!A682,Leerlingaantallen[Bedrag])</f>
        <v>1740916.54</v>
      </c>
    </row>
    <row r="683" spans="1:4" x14ac:dyDescent="0.25">
      <c r="A683" s="331">
        <v>47659</v>
      </c>
      <c r="B683" s="323" t="s">
        <v>8162</v>
      </c>
      <c r="C683" s="323" t="s">
        <v>7544</v>
      </c>
      <c r="D683" s="324">
        <f>SUMIF(Leerlingaantallen[Werkgevernummer],BevoegdGezag!A683,Leerlingaantallen[Bedrag])</f>
        <v>52186.04</v>
      </c>
    </row>
    <row r="684" spans="1:4" x14ac:dyDescent="0.25">
      <c r="A684" s="331">
        <v>47685</v>
      </c>
      <c r="B684" s="323" t="s">
        <v>8163</v>
      </c>
      <c r="C684" s="323" t="s">
        <v>7539</v>
      </c>
      <c r="D684" s="324">
        <f>SUMIF(Leerlingaantallen[Werkgevernummer],BevoegdGezag!A684,Leerlingaantallen[Bedrag])</f>
        <v>33652.68</v>
      </c>
    </row>
    <row r="685" spans="1:4" x14ac:dyDescent="0.25">
      <c r="A685" s="331">
        <v>47867</v>
      </c>
      <c r="B685" s="323" t="s">
        <v>7534</v>
      </c>
      <c r="C685" s="323" t="s">
        <v>7535</v>
      </c>
      <c r="D685" s="324">
        <f>SUMIF(Leerlingaantallen[Werkgevernummer],BevoegdGezag!A685,Leerlingaantallen[Bedrag])</f>
        <v>118515.96</v>
      </c>
    </row>
    <row r="686" spans="1:4" x14ac:dyDescent="0.25">
      <c r="A686" s="331">
        <v>47920</v>
      </c>
      <c r="B686" s="323" t="s">
        <v>8164</v>
      </c>
      <c r="C686" s="323" t="s">
        <v>7573</v>
      </c>
      <c r="D686" s="324">
        <f>SUMIF(Leerlingaantallen[Werkgevernummer],BevoegdGezag!A686,Leerlingaantallen[Bedrag])</f>
        <v>773767.78000000014</v>
      </c>
    </row>
    <row r="687" spans="1:4" x14ac:dyDescent="0.25">
      <c r="A687" s="331">
        <v>47932</v>
      </c>
      <c r="B687" s="323" t="s">
        <v>8165</v>
      </c>
      <c r="C687" s="323" t="s">
        <v>7535</v>
      </c>
      <c r="D687" s="324">
        <f>SUMIF(Leerlingaantallen[Werkgevernummer],BevoegdGezag!A687,Leerlingaantallen[Bedrag])</f>
        <v>57550.960000000006</v>
      </c>
    </row>
    <row r="688" spans="1:4" x14ac:dyDescent="0.25">
      <c r="A688" s="331">
        <v>47959</v>
      </c>
      <c r="B688" s="323" t="s">
        <v>8166</v>
      </c>
      <c r="C688" s="323" t="s">
        <v>7544</v>
      </c>
      <c r="D688" s="324">
        <f>SUMIF(Leerlingaantallen[Werkgevernummer],BevoegdGezag!A688,Leerlingaantallen[Bedrag])</f>
        <v>403954.08999999997</v>
      </c>
    </row>
    <row r="689" spans="1:4" x14ac:dyDescent="0.25">
      <c r="A689" s="331">
        <v>48101</v>
      </c>
      <c r="B689" s="323" t="s">
        <v>8167</v>
      </c>
      <c r="C689" s="323" t="s">
        <v>7544</v>
      </c>
      <c r="D689" s="324">
        <f>SUMIF(Leerlingaantallen[Werkgevernummer],BevoegdGezag!A689,Leerlingaantallen[Bedrag])</f>
        <v>1555582.94</v>
      </c>
    </row>
    <row r="690" spans="1:4" x14ac:dyDescent="0.25">
      <c r="A690" s="331">
        <v>48348</v>
      </c>
      <c r="B690" s="323" t="s">
        <v>8168</v>
      </c>
      <c r="C690" s="323" t="s">
        <v>7544</v>
      </c>
      <c r="D690" s="324">
        <f>SUMIF(Leerlingaantallen[Werkgevernummer],BevoegdGezag!A690,Leerlingaantallen[Bedrag])</f>
        <v>1163699.9200000002</v>
      </c>
    </row>
    <row r="691" spans="1:4" x14ac:dyDescent="0.25">
      <c r="A691" s="331">
        <v>48622</v>
      </c>
      <c r="B691" s="323" t="s">
        <v>8169</v>
      </c>
      <c r="C691" s="323" t="s">
        <v>7537</v>
      </c>
      <c r="D691" s="324">
        <f>SUMIF(Leerlingaantallen[Werkgevernummer],BevoegdGezag!A691,Leerlingaantallen[Bedrag])</f>
        <v>74133.440000000002</v>
      </c>
    </row>
    <row r="692" spans="1:4" x14ac:dyDescent="0.25">
      <c r="A692" s="331">
        <v>48856</v>
      </c>
      <c r="B692" s="323" t="s">
        <v>8469</v>
      </c>
      <c r="C692" s="323" t="s">
        <v>7537</v>
      </c>
      <c r="D692" s="324">
        <f>SUMIF(Leerlingaantallen[Werkgevernummer],BevoegdGezag!A692,Leerlingaantallen[Bedrag])</f>
        <v>31701.800000000003</v>
      </c>
    </row>
    <row r="693" spans="1:4" x14ac:dyDescent="0.25">
      <c r="A693" s="331">
        <v>48933</v>
      </c>
      <c r="B693" s="323" t="s">
        <v>8170</v>
      </c>
      <c r="C693" s="323" t="s">
        <v>7535</v>
      </c>
      <c r="D693" s="324">
        <f>SUMIF(Leerlingaantallen[Werkgevernummer],BevoegdGezag!A693,Leerlingaantallen[Bedrag])</f>
        <v>52917.62</v>
      </c>
    </row>
    <row r="694" spans="1:4" x14ac:dyDescent="0.25">
      <c r="A694" s="331">
        <v>49180</v>
      </c>
      <c r="B694" s="323" t="s">
        <v>8171</v>
      </c>
      <c r="C694" s="323" t="s">
        <v>7537</v>
      </c>
      <c r="D694" s="324">
        <f>SUMIF(Leerlingaantallen[Werkgevernummer],BevoegdGezag!A694,Leerlingaantallen[Bedrag])</f>
        <v>52429.9</v>
      </c>
    </row>
    <row r="695" spans="1:4" x14ac:dyDescent="0.25">
      <c r="A695" s="331">
        <v>49844</v>
      </c>
      <c r="B695" s="323" t="s">
        <v>8172</v>
      </c>
      <c r="C695" s="323" t="s">
        <v>7535</v>
      </c>
      <c r="D695" s="324">
        <f>SUMIF(Leerlingaantallen[Werkgevernummer],BevoegdGezag!A695,Leerlingaantallen[Bedrag])</f>
        <v>164117.78000000003</v>
      </c>
    </row>
    <row r="696" spans="1:4" x14ac:dyDescent="0.25">
      <c r="A696" s="331">
        <v>49960</v>
      </c>
      <c r="B696" s="323" t="s">
        <v>8173</v>
      </c>
      <c r="C696" s="323" t="s">
        <v>7794</v>
      </c>
      <c r="D696" s="324">
        <f>SUMIF(Leerlingaantallen[Werkgevernummer],BevoegdGezag!A696,Leerlingaantallen[Bedrag])</f>
        <v>181431.84000000003</v>
      </c>
    </row>
    <row r="697" spans="1:4" x14ac:dyDescent="0.25">
      <c r="A697" s="331">
        <v>50104</v>
      </c>
      <c r="B697" s="323" t="s">
        <v>8174</v>
      </c>
      <c r="C697" s="323" t="s">
        <v>7539</v>
      </c>
      <c r="D697" s="324">
        <f>SUMIF(Leerlingaantallen[Werkgevernummer],BevoegdGezag!A697,Leerlingaantallen[Bedrag])</f>
        <v>73158</v>
      </c>
    </row>
    <row r="698" spans="1:4" x14ac:dyDescent="0.25">
      <c r="A698" s="331">
        <v>50129</v>
      </c>
      <c r="B698" s="323" t="s">
        <v>8175</v>
      </c>
      <c r="C698" s="323" t="s">
        <v>7544</v>
      </c>
      <c r="D698" s="324">
        <f>SUMIF(Leerlingaantallen[Werkgevernummer],BevoegdGezag!A698,Leerlingaantallen[Bedrag])</f>
        <v>329698.71999999997</v>
      </c>
    </row>
    <row r="699" spans="1:4" x14ac:dyDescent="0.25">
      <c r="A699" s="331">
        <v>50143</v>
      </c>
      <c r="B699" s="323" t="s">
        <v>8470</v>
      </c>
      <c r="C699" s="323" t="s">
        <v>7544</v>
      </c>
      <c r="D699" s="324">
        <f>SUMIF(Leerlingaantallen[Werkgevernummer],BevoegdGezag!A699,Leerlingaantallen[Bedrag])</f>
        <v>249712.64000000001</v>
      </c>
    </row>
    <row r="700" spans="1:4" x14ac:dyDescent="0.25">
      <c r="A700" s="331">
        <v>50195</v>
      </c>
      <c r="B700" s="323" t="s">
        <v>8176</v>
      </c>
      <c r="C700" s="323" t="s">
        <v>7539</v>
      </c>
      <c r="D700" s="324">
        <f>SUMIF(Leerlingaantallen[Werkgevernummer],BevoegdGezag!A700,Leerlingaantallen[Bedrag])</f>
        <v>367984.74</v>
      </c>
    </row>
    <row r="701" spans="1:4" x14ac:dyDescent="0.25">
      <c r="A701" s="331">
        <v>50299</v>
      </c>
      <c r="B701" s="323" t="s">
        <v>8177</v>
      </c>
      <c r="C701" s="323" t="s">
        <v>7535</v>
      </c>
      <c r="D701" s="324">
        <f>SUMIF(Leerlingaantallen[Werkgevernummer],BevoegdGezag!A701,Leerlingaantallen[Bedrag])</f>
        <v>43407.08</v>
      </c>
    </row>
    <row r="702" spans="1:4" x14ac:dyDescent="0.25">
      <c r="A702" s="331">
        <v>50819</v>
      </c>
      <c r="B702" s="323" t="s">
        <v>8178</v>
      </c>
      <c r="C702" s="323" t="s">
        <v>7544</v>
      </c>
      <c r="D702" s="324">
        <f>SUMIF(Leerlingaantallen[Werkgevernummer],BevoegdGezag!A702,Leerlingaantallen[Bedrag])</f>
        <v>673053.6</v>
      </c>
    </row>
    <row r="703" spans="1:4" x14ac:dyDescent="0.25">
      <c r="A703" s="331">
        <v>50844</v>
      </c>
      <c r="B703" s="323" t="s">
        <v>8179</v>
      </c>
      <c r="C703" s="323" t="s">
        <v>7839</v>
      </c>
      <c r="D703" s="324">
        <f>SUMIF(Leerlingaantallen[Werkgevernummer],BevoegdGezag!A703,Leerlingaantallen[Bedrag])</f>
        <v>663055.34000000008</v>
      </c>
    </row>
    <row r="704" spans="1:4" x14ac:dyDescent="0.25">
      <c r="A704" s="331">
        <v>50949</v>
      </c>
      <c r="B704" s="323" t="s">
        <v>8180</v>
      </c>
      <c r="C704" s="323" t="s">
        <v>7580</v>
      </c>
      <c r="D704" s="324">
        <f>SUMIF(Leerlingaantallen[Werkgevernummer],BevoegdGezag!A704,Leerlingaantallen[Bedrag])</f>
        <v>446995.38</v>
      </c>
    </row>
    <row r="705" spans="1:4" x14ac:dyDescent="0.25">
      <c r="A705" s="331">
        <v>50988</v>
      </c>
      <c r="B705" s="323" t="s">
        <v>8181</v>
      </c>
      <c r="C705" s="323" t="s">
        <v>7535</v>
      </c>
      <c r="D705" s="324">
        <f>SUMIF(Leerlingaantallen[Werkgevernummer],BevoegdGezag!A705,Leerlingaantallen[Bedrag])</f>
        <v>69987.820000000007</v>
      </c>
    </row>
    <row r="706" spans="1:4" x14ac:dyDescent="0.25">
      <c r="A706" s="331">
        <v>52131</v>
      </c>
      <c r="B706" s="323" t="s">
        <v>8182</v>
      </c>
      <c r="C706" s="323" t="s">
        <v>7544</v>
      </c>
      <c r="D706" s="324">
        <f>SUMIF(Leerlingaantallen[Werkgevernummer],BevoegdGezag!A706,Leerlingaantallen[Bedrag])</f>
        <v>299216.22000000003</v>
      </c>
    </row>
    <row r="707" spans="1:4" x14ac:dyDescent="0.25">
      <c r="A707" s="331">
        <v>53015</v>
      </c>
      <c r="B707" s="323" t="s">
        <v>8183</v>
      </c>
      <c r="C707" s="323" t="s">
        <v>7539</v>
      </c>
      <c r="D707" s="324">
        <f>SUMIF(Leerlingaantallen[Werkgevernummer],BevoegdGezag!A707,Leerlingaantallen[Bedrag])</f>
        <v>501863.88</v>
      </c>
    </row>
    <row r="708" spans="1:4" x14ac:dyDescent="0.25">
      <c r="A708" s="331">
        <v>53197</v>
      </c>
      <c r="B708" s="323" t="s">
        <v>8184</v>
      </c>
      <c r="C708" s="323" t="s">
        <v>7544</v>
      </c>
      <c r="D708" s="324">
        <f>SUMIF(Leerlingaantallen[Werkgevernummer],BevoegdGezag!A708,Leerlingaantallen[Bedrag])</f>
        <v>114126.48000000001</v>
      </c>
    </row>
    <row r="709" spans="1:4" x14ac:dyDescent="0.25">
      <c r="A709" s="331">
        <v>53210</v>
      </c>
      <c r="B709" s="323" t="s">
        <v>8185</v>
      </c>
      <c r="C709" s="323" t="s">
        <v>7544</v>
      </c>
      <c r="D709" s="324">
        <f>SUMIF(Leerlingaantallen[Werkgevernummer],BevoegdGezag!A709,Leerlingaantallen[Bedrag])</f>
        <v>93642.240000000005</v>
      </c>
    </row>
    <row r="710" spans="1:4" x14ac:dyDescent="0.25">
      <c r="A710" s="331">
        <v>53262</v>
      </c>
      <c r="B710" s="323" t="s">
        <v>8186</v>
      </c>
      <c r="C710" s="323" t="s">
        <v>7539</v>
      </c>
      <c r="D710" s="324">
        <f>SUMIF(Leerlingaantallen[Werkgevernummer],BevoegdGezag!A710,Leerlingaantallen[Bedrag])</f>
        <v>66086.06</v>
      </c>
    </row>
    <row r="711" spans="1:4" x14ac:dyDescent="0.25">
      <c r="A711" s="331">
        <v>53406</v>
      </c>
      <c r="B711" s="323" t="s">
        <v>8187</v>
      </c>
      <c r="C711" s="323" t="s">
        <v>7544</v>
      </c>
      <c r="D711" s="324">
        <f>SUMIF(Leerlingaantallen[Werkgevernummer],BevoegdGezag!A711,Leerlingaantallen[Bedrag])</f>
        <v>53649.200000000004</v>
      </c>
    </row>
    <row r="712" spans="1:4" x14ac:dyDescent="0.25">
      <c r="A712" s="331">
        <v>53444</v>
      </c>
      <c r="B712" s="323" t="s">
        <v>8188</v>
      </c>
      <c r="C712" s="323" t="s">
        <v>7544</v>
      </c>
      <c r="D712" s="324">
        <f>SUMIF(Leerlingaantallen[Werkgevernummer],BevoegdGezag!A712,Leerlingaantallen[Bedrag])</f>
        <v>69256.240000000005</v>
      </c>
    </row>
    <row r="713" spans="1:4" x14ac:dyDescent="0.25">
      <c r="A713" s="331">
        <v>53730</v>
      </c>
      <c r="B713" s="323" t="s">
        <v>8189</v>
      </c>
      <c r="C713" s="323" t="s">
        <v>7544</v>
      </c>
      <c r="D713" s="324">
        <f>SUMIF(Leerlingaantallen[Werkgevernummer],BevoegdGezag!A713,Leerlingaantallen[Bedrag])</f>
        <v>107054.54000000001</v>
      </c>
    </row>
    <row r="714" spans="1:4" x14ac:dyDescent="0.25">
      <c r="A714" s="331">
        <v>53860</v>
      </c>
      <c r="B714" s="323" t="s">
        <v>8190</v>
      </c>
      <c r="C714" s="323" t="s">
        <v>7544</v>
      </c>
      <c r="D714" s="324">
        <f>SUMIF(Leerlingaantallen[Werkgevernummer],BevoegdGezag!A714,Leerlingaantallen[Bedrag])</f>
        <v>146803.72</v>
      </c>
    </row>
    <row r="715" spans="1:4" x14ac:dyDescent="0.25">
      <c r="A715" s="331">
        <v>54679</v>
      </c>
      <c r="B715" s="323" t="s">
        <v>8471</v>
      </c>
      <c r="C715" s="323" t="s">
        <v>7553</v>
      </c>
      <c r="D715" s="324">
        <f>SUMIF(Leerlingaantallen[Werkgevernummer],BevoegdGezag!A715,Leerlingaantallen[Bedrag])</f>
        <v>1629472.52</v>
      </c>
    </row>
    <row r="716" spans="1:4" x14ac:dyDescent="0.25">
      <c r="A716" s="331">
        <v>55238</v>
      </c>
      <c r="B716" s="323" t="s">
        <v>8191</v>
      </c>
      <c r="C716" s="323" t="s">
        <v>7544</v>
      </c>
      <c r="D716" s="324">
        <f>SUMIF(Leerlingaantallen[Werkgevernummer],BevoegdGezag!A716,Leerlingaantallen[Bedrag])</f>
        <v>1012019</v>
      </c>
    </row>
    <row r="717" spans="1:4" x14ac:dyDescent="0.25">
      <c r="A717" s="331">
        <v>55303</v>
      </c>
      <c r="B717" s="323" t="s">
        <v>8192</v>
      </c>
      <c r="C717" s="323" t="s">
        <v>7544</v>
      </c>
      <c r="D717" s="324">
        <f>SUMIF(Leerlingaantallen[Werkgevernummer],BevoegdGezag!A717,Leerlingaantallen[Bedrag])</f>
        <v>698415.03999999992</v>
      </c>
    </row>
    <row r="718" spans="1:4" x14ac:dyDescent="0.25">
      <c r="A718" s="331">
        <v>57266</v>
      </c>
      <c r="B718" s="323" t="s">
        <v>8193</v>
      </c>
      <c r="C718" s="323" t="s">
        <v>7544</v>
      </c>
      <c r="D718" s="324">
        <f>SUMIF(Leerlingaantallen[Werkgevernummer],BevoegdGezag!A718,Leerlingaantallen[Bedrag])</f>
        <v>1030064.64</v>
      </c>
    </row>
    <row r="719" spans="1:4" x14ac:dyDescent="0.25">
      <c r="A719" s="331">
        <v>57969</v>
      </c>
      <c r="B719" s="323" t="s">
        <v>8194</v>
      </c>
      <c r="C719" s="323" t="s">
        <v>7535</v>
      </c>
      <c r="D719" s="324">
        <f>SUMIF(Leerlingaantallen[Werkgevernummer],BevoegdGezag!A719,Leerlingaantallen[Bedrag])</f>
        <v>58038.68</v>
      </c>
    </row>
    <row r="720" spans="1:4" x14ac:dyDescent="0.25">
      <c r="A720" s="331">
        <v>58761</v>
      </c>
      <c r="B720" s="323" t="s">
        <v>8195</v>
      </c>
      <c r="C720" s="323" t="s">
        <v>7542</v>
      </c>
      <c r="D720" s="324">
        <f>SUMIF(Leerlingaantallen[Werkgevernummer],BevoegdGezag!A720,Leerlingaantallen[Bedrag])</f>
        <v>1006166.3600000001</v>
      </c>
    </row>
    <row r="721" spans="1:4" x14ac:dyDescent="0.25">
      <c r="A721" s="331">
        <v>58826</v>
      </c>
      <c r="B721" s="323" t="s">
        <v>8196</v>
      </c>
      <c r="C721" s="323" t="s">
        <v>7544</v>
      </c>
      <c r="D721" s="324">
        <f>SUMIF(Leerlingaantallen[Werkgevernummer],BevoegdGezag!A721,Leerlingaantallen[Bedrag])</f>
        <v>56087.8</v>
      </c>
    </row>
    <row r="722" spans="1:4" x14ac:dyDescent="0.25">
      <c r="A722" s="331">
        <v>59451</v>
      </c>
      <c r="B722" s="323" t="s">
        <v>8197</v>
      </c>
      <c r="C722" s="323" t="s">
        <v>7587</v>
      </c>
      <c r="D722" s="324">
        <f>SUMIF(Leerlingaantallen[Werkgevernummer],BevoegdGezag!A722,Leerlingaantallen[Bedrag])</f>
        <v>51454.460000000006</v>
      </c>
    </row>
    <row r="723" spans="1:4" x14ac:dyDescent="0.25">
      <c r="A723" s="331">
        <v>59516</v>
      </c>
      <c r="B723" s="323" t="s">
        <v>8198</v>
      </c>
      <c r="C723" s="323" t="s">
        <v>7535</v>
      </c>
      <c r="D723" s="324">
        <f>SUMIF(Leerlingaantallen[Werkgevernummer],BevoegdGezag!A723,Leerlingaantallen[Bedrag])</f>
        <v>21947.4</v>
      </c>
    </row>
    <row r="724" spans="1:4" x14ac:dyDescent="0.25">
      <c r="A724" s="331">
        <v>59555</v>
      </c>
      <c r="B724" s="323" t="s">
        <v>8199</v>
      </c>
      <c r="C724" s="323" t="s">
        <v>7539</v>
      </c>
      <c r="D724" s="324">
        <f>SUMIF(Leerlingaantallen[Werkgevernummer],BevoegdGezag!A724,Leerlingaantallen[Bedrag])</f>
        <v>259954.76</v>
      </c>
    </row>
    <row r="725" spans="1:4" x14ac:dyDescent="0.25">
      <c r="A725" s="331">
        <v>59750</v>
      </c>
      <c r="B725" s="323" t="s">
        <v>8200</v>
      </c>
      <c r="C725" s="323" t="s">
        <v>7537</v>
      </c>
      <c r="D725" s="324">
        <f>SUMIF(Leerlingaantallen[Werkgevernummer],BevoegdGezag!A725,Leerlingaantallen[Bedrag])</f>
        <v>33652.68</v>
      </c>
    </row>
    <row r="726" spans="1:4" x14ac:dyDescent="0.25">
      <c r="A726" s="331">
        <v>59919</v>
      </c>
      <c r="B726" s="323" t="s">
        <v>8201</v>
      </c>
      <c r="C726" s="323" t="s">
        <v>7587</v>
      </c>
      <c r="D726" s="324">
        <f>SUMIF(Leerlingaantallen[Werkgevernummer],BevoegdGezag!A726,Leerlingaantallen[Bedrag])</f>
        <v>64622.9</v>
      </c>
    </row>
    <row r="727" spans="1:4" x14ac:dyDescent="0.25">
      <c r="A727" s="331">
        <v>59984</v>
      </c>
      <c r="B727" s="323" t="s">
        <v>8202</v>
      </c>
      <c r="C727" s="323" t="s">
        <v>7587</v>
      </c>
      <c r="D727" s="324">
        <f>SUMIF(Leerlingaantallen[Werkgevernummer],BevoegdGezag!A727,Leerlingaantallen[Bedrag])</f>
        <v>54868.5</v>
      </c>
    </row>
    <row r="728" spans="1:4" x14ac:dyDescent="0.25">
      <c r="A728" s="331">
        <v>60061</v>
      </c>
      <c r="B728" s="323" t="s">
        <v>8203</v>
      </c>
      <c r="C728" s="323" t="s">
        <v>7544</v>
      </c>
      <c r="D728" s="324">
        <f>SUMIF(Leerlingaantallen[Werkgevernummer],BevoegdGezag!A728,Leerlingaantallen[Bedrag])</f>
        <v>86814.16</v>
      </c>
    </row>
    <row r="729" spans="1:4" x14ac:dyDescent="0.25">
      <c r="A729" s="331">
        <v>60322</v>
      </c>
      <c r="B729" s="323" t="s">
        <v>8204</v>
      </c>
      <c r="C729" s="323" t="s">
        <v>7535</v>
      </c>
      <c r="D729" s="324">
        <f>SUMIF(Leerlingaantallen[Werkgevernummer],BevoegdGezag!A729,Leerlingaantallen[Bedrag])</f>
        <v>18289.5</v>
      </c>
    </row>
    <row r="730" spans="1:4" x14ac:dyDescent="0.25">
      <c r="A730" s="331">
        <v>60686</v>
      </c>
      <c r="B730" s="323" t="s">
        <v>8205</v>
      </c>
      <c r="C730" s="323" t="s">
        <v>7537</v>
      </c>
      <c r="D730" s="324">
        <f>SUMIF(Leerlingaantallen[Werkgevernummer],BevoegdGezag!A730,Leerlingaantallen[Bedrag])</f>
        <v>20484.240000000002</v>
      </c>
    </row>
    <row r="731" spans="1:4" x14ac:dyDescent="0.25">
      <c r="A731" s="331">
        <v>60790</v>
      </c>
      <c r="B731" s="323" t="s">
        <v>8206</v>
      </c>
      <c r="C731" s="323" t="s">
        <v>7539</v>
      </c>
      <c r="D731" s="324">
        <f>SUMIF(Leerlingaantallen[Werkgevernummer],BevoegdGezag!A731,Leerlingaantallen[Bedrag])</f>
        <v>25849.16</v>
      </c>
    </row>
    <row r="732" spans="1:4" x14ac:dyDescent="0.25">
      <c r="A732" s="331">
        <v>60829</v>
      </c>
      <c r="B732" s="323" t="s">
        <v>8207</v>
      </c>
      <c r="C732" s="323" t="s">
        <v>7539</v>
      </c>
      <c r="D732" s="324">
        <f>SUMIF(Leerlingaantallen[Werkgevernummer],BevoegdGezag!A732,Leerlingaantallen[Bedrag])</f>
        <v>26093.02</v>
      </c>
    </row>
    <row r="733" spans="1:4" x14ac:dyDescent="0.25">
      <c r="A733" s="331">
        <v>60985</v>
      </c>
      <c r="B733" s="323" t="s">
        <v>8208</v>
      </c>
      <c r="C733" s="323" t="s">
        <v>7539</v>
      </c>
      <c r="D733" s="324">
        <f>SUMIF(Leerlingaantallen[Werkgevernummer],BevoegdGezag!A733,Leerlingaantallen[Bedrag])</f>
        <v>332015.39</v>
      </c>
    </row>
    <row r="734" spans="1:4" x14ac:dyDescent="0.25">
      <c r="A734" s="331">
        <v>60997</v>
      </c>
      <c r="B734" s="323" t="s">
        <v>8209</v>
      </c>
      <c r="C734" s="323" t="s">
        <v>7544</v>
      </c>
      <c r="D734" s="324">
        <f>SUMIF(Leerlingaantallen[Werkgevernummer],BevoegdGezag!A734,Leerlingaantallen[Bedrag])</f>
        <v>970928.59</v>
      </c>
    </row>
    <row r="735" spans="1:4" x14ac:dyDescent="0.25">
      <c r="A735" s="331">
        <v>61661</v>
      </c>
      <c r="B735" s="323" t="s">
        <v>8210</v>
      </c>
      <c r="C735" s="323" t="s">
        <v>7539</v>
      </c>
      <c r="D735" s="324">
        <f>SUMIF(Leerlingaantallen[Werkgevernummer],BevoegdGezag!A735,Leerlingaantallen[Bedrag])</f>
        <v>37066.720000000001</v>
      </c>
    </row>
    <row r="736" spans="1:4" x14ac:dyDescent="0.25">
      <c r="A736" s="331">
        <v>61751</v>
      </c>
      <c r="B736" s="323" t="s">
        <v>8211</v>
      </c>
      <c r="C736" s="323" t="s">
        <v>7539</v>
      </c>
      <c r="D736" s="324">
        <f>SUMIF(Leerlingaantallen[Werkgevernummer],BevoegdGezag!A736,Leerlingaantallen[Bedrag])</f>
        <v>505399.85</v>
      </c>
    </row>
    <row r="737" spans="1:4" x14ac:dyDescent="0.25">
      <c r="A737" s="331">
        <v>61778</v>
      </c>
      <c r="B737" s="323" t="s">
        <v>8472</v>
      </c>
      <c r="C737" s="323" t="s">
        <v>7537</v>
      </c>
      <c r="D737" s="324">
        <f>SUMIF(Leerlingaantallen[Werkgevernummer],BevoegdGezag!A737,Leerlingaantallen[Bedrag])</f>
        <v>38407.950000000004</v>
      </c>
    </row>
    <row r="738" spans="1:4" x14ac:dyDescent="0.25">
      <c r="A738" s="331">
        <v>61829</v>
      </c>
      <c r="B738" s="323" t="s">
        <v>8212</v>
      </c>
      <c r="C738" s="323" t="s">
        <v>7539</v>
      </c>
      <c r="D738" s="324">
        <f>SUMIF(Leerlingaantallen[Werkgevernummer],BevoegdGezag!A738,Leerlingaantallen[Bedrag])</f>
        <v>112907.18000000001</v>
      </c>
    </row>
    <row r="739" spans="1:4" x14ac:dyDescent="0.25">
      <c r="A739" s="331">
        <v>61960</v>
      </c>
      <c r="B739" s="323" t="s">
        <v>8213</v>
      </c>
      <c r="C739" s="323" t="s">
        <v>7587</v>
      </c>
      <c r="D739" s="324">
        <f>SUMIF(Leerlingaantallen[Werkgevernummer],BevoegdGezag!A739,Leerlingaantallen[Bedrag])</f>
        <v>452604.16000000003</v>
      </c>
    </row>
    <row r="740" spans="1:4" x14ac:dyDescent="0.25">
      <c r="A740" s="331">
        <v>62077</v>
      </c>
      <c r="B740" s="323" t="s">
        <v>8473</v>
      </c>
      <c r="C740" s="323" t="s">
        <v>7537</v>
      </c>
      <c r="D740" s="324">
        <f>SUMIF(Leerlingaantallen[Werkgevernummer],BevoegdGezag!A740,Leerlingaantallen[Bedrag])</f>
        <v>898502.17</v>
      </c>
    </row>
    <row r="741" spans="1:4" x14ac:dyDescent="0.25">
      <c r="A741" s="331">
        <v>62129</v>
      </c>
      <c r="B741" s="323" t="s">
        <v>8474</v>
      </c>
      <c r="C741" s="323" t="s">
        <v>7537</v>
      </c>
      <c r="D741" s="324">
        <f>SUMIF(Leerlingaantallen[Werkgevernummer],BevoegdGezag!A741,Leerlingaantallen[Bedrag])</f>
        <v>142048.45000000001</v>
      </c>
    </row>
    <row r="742" spans="1:4" x14ac:dyDescent="0.25">
      <c r="A742" s="331">
        <v>62181</v>
      </c>
      <c r="B742" s="323" t="s">
        <v>8475</v>
      </c>
      <c r="C742" s="323" t="s">
        <v>7539</v>
      </c>
      <c r="D742" s="324">
        <f>SUMIF(Leerlingaantallen[Werkgevernummer],BevoegdGezag!A742,Leerlingaantallen[Bedrag])</f>
        <v>152900.22</v>
      </c>
    </row>
    <row r="743" spans="1:4" x14ac:dyDescent="0.25">
      <c r="A743" s="331">
        <v>62571</v>
      </c>
      <c r="B743" s="323" t="s">
        <v>8214</v>
      </c>
      <c r="C743" s="323" t="s">
        <v>7539</v>
      </c>
      <c r="D743" s="324">
        <f>SUMIF(Leerlingaantallen[Werkgevernummer],BevoegdGezag!A743,Leerlingaantallen[Bedrag])</f>
        <v>21459.68</v>
      </c>
    </row>
    <row r="744" spans="1:4" x14ac:dyDescent="0.25">
      <c r="A744" s="331">
        <v>62584</v>
      </c>
      <c r="B744" s="323" t="s">
        <v>8215</v>
      </c>
      <c r="C744" s="323" t="s">
        <v>7587</v>
      </c>
      <c r="D744" s="324">
        <f>SUMIF(Leerlingaantallen[Werkgevernummer],BevoegdGezag!A744,Leerlingaantallen[Bedrag])</f>
        <v>108761.56000000001</v>
      </c>
    </row>
    <row r="745" spans="1:4" x14ac:dyDescent="0.25">
      <c r="A745" s="331">
        <v>62662</v>
      </c>
      <c r="B745" s="323" t="s">
        <v>8216</v>
      </c>
      <c r="C745" s="323" t="s">
        <v>7539</v>
      </c>
      <c r="D745" s="324">
        <f>SUMIF(Leerlingaantallen[Werkgevernummer],BevoegdGezag!A745,Leerlingaantallen[Bedrag])</f>
        <v>2050618.7399999995</v>
      </c>
    </row>
    <row r="746" spans="1:4" x14ac:dyDescent="0.25">
      <c r="A746" s="331">
        <v>62778</v>
      </c>
      <c r="B746" s="323" t="s">
        <v>8217</v>
      </c>
      <c r="C746" s="323" t="s">
        <v>7544</v>
      </c>
      <c r="D746" s="324">
        <f>SUMIF(Leerlingaantallen[Werkgevernummer],BevoegdGezag!A746,Leerlingaantallen[Bedrag])</f>
        <v>60965</v>
      </c>
    </row>
    <row r="747" spans="1:4" x14ac:dyDescent="0.25">
      <c r="A747" s="331">
        <v>62818</v>
      </c>
      <c r="B747" s="323" t="s">
        <v>8218</v>
      </c>
      <c r="C747" s="323" t="s">
        <v>7537</v>
      </c>
      <c r="D747" s="324">
        <f>SUMIF(Leerlingaantallen[Werkgevernummer],BevoegdGezag!A747,Leerlingaantallen[Bedrag])</f>
        <v>56575.520000000004</v>
      </c>
    </row>
    <row r="748" spans="1:4" x14ac:dyDescent="0.25">
      <c r="A748" s="331">
        <v>63039</v>
      </c>
      <c r="B748" s="323" t="s">
        <v>8219</v>
      </c>
      <c r="C748" s="323" t="s">
        <v>7537</v>
      </c>
      <c r="D748" s="324">
        <f>SUMIF(Leerlingaantallen[Werkgevernummer],BevoegdGezag!A748,Leerlingaantallen[Bedrag])</f>
        <v>61208.86</v>
      </c>
    </row>
    <row r="749" spans="1:4" x14ac:dyDescent="0.25">
      <c r="A749" s="331">
        <v>63091</v>
      </c>
      <c r="B749" s="323" t="s">
        <v>8220</v>
      </c>
      <c r="C749" s="323" t="s">
        <v>7539</v>
      </c>
      <c r="D749" s="324">
        <f>SUMIF(Leerlingaantallen[Werkgevernummer],BevoegdGezag!A749,Leerlingaantallen[Bedrag])</f>
        <v>25849.16</v>
      </c>
    </row>
    <row r="750" spans="1:4" x14ac:dyDescent="0.25">
      <c r="A750" s="331">
        <v>64169</v>
      </c>
      <c r="B750" s="323" t="s">
        <v>8221</v>
      </c>
      <c r="C750" s="323" t="s">
        <v>7544</v>
      </c>
      <c r="D750" s="324">
        <f>SUMIF(Leerlingaantallen[Werkgevernummer],BevoegdGezag!A750,Leerlingaantallen[Bedrag])</f>
        <v>39017.600000000006</v>
      </c>
    </row>
    <row r="751" spans="1:4" x14ac:dyDescent="0.25">
      <c r="A751" s="331">
        <v>65287</v>
      </c>
      <c r="B751" s="323" t="s">
        <v>8222</v>
      </c>
      <c r="C751" s="323" t="s">
        <v>7544</v>
      </c>
      <c r="D751" s="324">
        <f>SUMIF(Leerlingaantallen[Werkgevernummer],BevoegdGezag!A751,Leerlingaantallen[Bedrag])</f>
        <v>1032015.5200000001</v>
      </c>
    </row>
    <row r="752" spans="1:4" x14ac:dyDescent="0.25">
      <c r="A752" s="331">
        <v>65430</v>
      </c>
      <c r="B752" s="323" t="s">
        <v>8223</v>
      </c>
      <c r="C752" s="323" t="s">
        <v>7544</v>
      </c>
      <c r="D752" s="324">
        <f>SUMIF(Leerlingaantallen[Werkgevernummer],BevoegdGezag!A752,Leerlingaantallen[Bedrag])</f>
        <v>315310.98</v>
      </c>
    </row>
    <row r="753" spans="1:4" x14ac:dyDescent="0.25">
      <c r="A753" s="331">
        <v>65768</v>
      </c>
      <c r="B753" s="323" t="s">
        <v>8224</v>
      </c>
      <c r="C753" s="323" t="s">
        <v>7544</v>
      </c>
      <c r="D753" s="324">
        <f>SUMIF(Leerlingaantallen[Werkgevernummer],BevoegdGezag!A753,Leerlingaantallen[Bedrag])</f>
        <v>34140.400000000001</v>
      </c>
    </row>
    <row r="754" spans="1:4" x14ac:dyDescent="0.25">
      <c r="A754" s="331">
        <v>68329</v>
      </c>
      <c r="B754" s="323" t="s">
        <v>8225</v>
      </c>
      <c r="C754" s="323" t="s">
        <v>7544</v>
      </c>
      <c r="D754" s="324">
        <f>SUMIF(Leerlingaantallen[Werkgevernummer],BevoegdGezag!A754,Leerlingaantallen[Bedrag])</f>
        <v>159484.44</v>
      </c>
    </row>
    <row r="755" spans="1:4" x14ac:dyDescent="0.25">
      <c r="A755" s="331">
        <v>68836</v>
      </c>
      <c r="B755" s="323" t="s">
        <v>8226</v>
      </c>
      <c r="C755" s="323" t="s">
        <v>7544</v>
      </c>
      <c r="D755" s="324">
        <f>SUMIF(Leerlingaantallen[Werkgevernummer],BevoegdGezag!A755,Leerlingaantallen[Bedrag])</f>
        <v>650130.76000000013</v>
      </c>
    </row>
    <row r="756" spans="1:4" x14ac:dyDescent="0.25">
      <c r="A756" s="331">
        <v>69447</v>
      </c>
      <c r="B756" s="323" t="s">
        <v>8227</v>
      </c>
      <c r="C756" s="323" t="s">
        <v>7544</v>
      </c>
      <c r="D756" s="324">
        <f>SUMIF(Leerlingaantallen[Werkgevernummer],BevoegdGezag!A756,Leerlingaantallen[Bedrag])</f>
        <v>473819.98</v>
      </c>
    </row>
    <row r="757" spans="1:4" x14ac:dyDescent="0.25">
      <c r="A757" s="331">
        <v>69643</v>
      </c>
      <c r="B757" s="323" t="s">
        <v>8228</v>
      </c>
      <c r="C757" s="323" t="s">
        <v>7535</v>
      </c>
      <c r="D757" s="324">
        <f>SUMIF(Leerlingaantallen[Werkgevernummer],BevoegdGezag!A757,Leerlingaantallen[Bedrag])</f>
        <v>41456.200000000004</v>
      </c>
    </row>
    <row r="758" spans="1:4" x14ac:dyDescent="0.25">
      <c r="A758" s="331">
        <v>69669</v>
      </c>
      <c r="B758" s="323" t="s">
        <v>8229</v>
      </c>
      <c r="C758" s="323" t="s">
        <v>7539</v>
      </c>
      <c r="D758" s="324">
        <f>SUMIF(Leerlingaantallen[Werkgevernummer],BevoegdGezag!A758,Leerlingaantallen[Bedrag])</f>
        <v>757916.88</v>
      </c>
    </row>
    <row r="759" spans="1:4" x14ac:dyDescent="0.25">
      <c r="A759" s="331">
        <v>69799</v>
      </c>
      <c r="B759" s="323" t="s">
        <v>8230</v>
      </c>
      <c r="C759" s="323" t="s">
        <v>7544</v>
      </c>
      <c r="D759" s="324">
        <f>SUMIF(Leerlingaantallen[Werkgevernummer],BevoegdGezag!A759,Leerlingaantallen[Bedrag])</f>
        <v>52673.760000000002</v>
      </c>
    </row>
    <row r="760" spans="1:4" x14ac:dyDescent="0.25">
      <c r="A760" s="331">
        <v>69877</v>
      </c>
      <c r="B760" s="323" t="s">
        <v>8231</v>
      </c>
      <c r="C760" s="323" t="s">
        <v>7539</v>
      </c>
      <c r="D760" s="324">
        <f>SUMIF(Leerlingaantallen[Werkgevernummer],BevoegdGezag!A760,Leerlingaantallen[Bedrag])</f>
        <v>658422.00000000012</v>
      </c>
    </row>
    <row r="761" spans="1:4" x14ac:dyDescent="0.25">
      <c r="A761" s="331">
        <v>70002</v>
      </c>
      <c r="B761" s="323" t="s">
        <v>8232</v>
      </c>
      <c r="C761" s="323" t="s">
        <v>7544</v>
      </c>
      <c r="D761" s="324">
        <f>SUMIF(Leerlingaantallen[Werkgevernummer],BevoegdGezag!A761,Leerlingaantallen[Bedrag])</f>
        <v>902038.14</v>
      </c>
    </row>
    <row r="762" spans="1:4" x14ac:dyDescent="0.25">
      <c r="A762" s="331">
        <v>70033</v>
      </c>
      <c r="B762" s="323" t="s">
        <v>8233</v>
      </c>
      <c r="C762" s="323" t="s">
        <v>7537</v>
      </c>
      <c r="D762" s="324">
        <f>SUMIF(Leerlingaantallen[Werkgevernummer],BevoegdGezag!A762,Leerlingaantallen[Bedrag])</f>
        <v>65842.200000000012</v>
      </c>
    </row>
    <row r="763" spans="1:4" x14ac:dyDescent="0.25">
      <c r="A763" s="331">
        <v>70085</v>
      </c>
      <c r="B763" s="323" t="s">
        <v>8234</v>
      </c>
      <c r="C763" s="323" t="s">
        <v>7539</v>
      </c>
      <c r="D763" s="324">
        <f>SUMIF(Leerlingaantallen[Werkgevernummer],BevoegdGezag!A763,Leerlingaantallen[Bedrag])</f>
        <v>287510.94000000006</v>
      </c>
    </row>
    <row r="764" spans="1:4" x14ac:dyDescent="0.25">
      <c r="A764" s="331">
        <v>70176</v>
      </c>
      <c r="B764" s="323" t="s">
        <v>8235</v>
      </c>
      <c r="C764" s="323" t="s">
        <v>7539</v>
      </c>
      <c r="D764" s="324">
        <f>SUMIF(Leerlingaantallen[Werkgevernummer],BevoegdGezag!A764,Leerlingaantallen[Bedrag])</f>
        <v>2435551.75</v>
      </c>
    </row>
    <row r="765" spans="1:4" x14ac:dyDescent="0.25">
      <c r="A765" s="331">
        <v>70280</v>
      </c>
      <c r="B765" s="323" t="s">
        <v>8236</v>
      </c>
      <c r="C765" s="323" t="s">
        <v>7539</v>
      </c>
      <c r="D765" s="324">
        <f>SUMIF(Leerlingaantallen[Werkgevernummer],BevoegdGezag!A765,Leerlingaantallen[Bedrag])</f>
        <v>32921.1</v>
      </c>
    </row>
    <row r="766" spans="1:4" x14ac:dyDescent="0.25">
      <c r="A766" s="331">
        <v>70358</v>
      </c>
      <c r="B766" s="323" t="s">
        <v>8237</v>
      </c>
      <c r="C766" s="323" t="s">
        <v>7539</v>
      </c>
      <c r="D766" s="324">
        <f>SUMIF(Leerlingaantallen[Werkgevernummer],BevoegdGezag!A766,Leerlingaantallen[Bedrag])</f>
        <v>27800.04</v>
      </c>
    </row>
    <row r="767" spans="1:4" x14ac:dyDescent="0.25">
      <c r="A767" s="331">
        <v>70644</v>
      </c>
      <c r="B767" s="323" t="s">
        <v>8238</v>
      </c>
      <c r="C767" s="323" t="s">
        <v>7544</v>
      </c>
      <c r="D767" s="324">
        <f>SUMIF(Leerlingaantallen[Werkgevernummer],BevoegdGezag!A767,Leerlingaantallen[Bedrag])</f>
        <v>48772</v>
      </c>
    </row>
    <row r="768" spans="1:4" x14ac:dyDescent="0.25">
      <c r="A768" s="331">
        <v>71008</v>
      </c>
      <c r="B768" s="323" t="s">
        <v>8239</v>
      </c>
      <c r="C768" s="323" t="s">
        <v>7544</v>
      </c>
      <c r="D768" s="324">
        <f>SUMIF(Leerlingaantallen[Werkgevernummer],BevoegdGezag!A768,Leerlingaantallen[Bedrag])</f>
        <v>736822.99000000022</v>
      </c>
    </row>
    <row r="769" spans="1:4" x14ac:dyDescent="0.25">
      <c r="A769" s="331">
        <v>71242</v>
      </c>
      <c r="B769" s="323" t="s">
        <v>8240</v>
      </c>
      <c r="C769" s="323" t="s">
        <v>7537</v>
      </c>
      <c r="D769" s="324">
        <f>SUMIF(Leerlingaantallen[Werkgevernummer],BevoegdGezag!A769,Leerlingaantallen[Bedrag])</f>
        <v>52673.760000000002</v>
      </c>
    </row>
    <row r="770" spans="1:4" x14ac:dyDescent="0.25">
      <c r="A770" s="331">
        <v>71371</v>
      </c>
      <c r="B770" s="323" t="s">
        <v>8476</v>
      </c>
      <c r="C770" s="323" t="s">
        <v>7544</v>
      </c>
      <c r="D770" s="324">
        <f>SUMIF(Leerlingaantallen[Werkgevernummer],BevoegdGezag!A770,Leerlingaantallen[Bedrag])</f>
        <v>104372.08</v>
      </c>
    </row>
    <row r="771" spans="1:4" x14ac:dyDescent="0.25">
      <c r="A771" s="331">
        <v>71488</v>
      </c>
      <c r="B771" s="323" t="s">
        <v>8241</v>
      </c>
      <c r="C771" s="323" t="s">
        <v>7544</v>
      </c>
      <c r="D771" s="324">
        <f>SUMIF(Leerlingaantallen[Werkgevernummer],BevoegdGezag!A771,Leerlingaantallen[Bedrag])</f>
        <v>1301236.9600000002</v>
      </c>
    </row>
    <row r="772" spans="1:4" x14ac:dyDescent="0.25">
      <c r="A772" s="331">
        <v>71502</v>
      </c>
      <c r="B772" s="323" t="s">
        <v>8242</v>
      </c>
      <c r="C772" s="323" t="s">
        <v>7537</v>
      </c>
      <c r="D772" s="324">
        <f>SUMIF(Leerlingaantallen[Werkgevernummer],BevoegdGezag!A772,Leerlingaantallen[Bedrag])</f>
        <v>56087.8</v>
      </c>
    </row>
    <row r="773" spans="1:4" x14ac:dyDescent="0.25">
      <c r="A773" s="331">
        <v>71515</v>
      </c>
      <c r="B773" s="323" t="s">
        <v>8243</v>
      </c>
      <c r="C773" s="323" t="s">
        <v>7539</v>
      </c>
      <c r="D773" s="324">
        <f>SUMIF(Leerlingaantallen[Werkgevernummer],BevoegdGezag!A773,Leerlingaantallen[Bedrag])</f>
        <v>30726.36</v>
      </c>
    </row>
    <row r="774" spans="1:4" x14ac:dyDescent="0.25">
      <c r="A774" s="331">
        <v>71749</v>
      </c>
      <c r="B774" s="323" t="s">
        <v>8244</v>
      </c>
      <c r="C774" s="323" t="s">
        <v>7544</v>
      </c>
      <c r="D774" s="324">
        <f>SUMIF(Leerlingaantallen[Werkgevernummer],BevoegdGezag!A774,Leerlingaantallen[Bedrag])</f>
        <v>352133.83999999997</v>
      </c>
    </row>
    <row r="775" spans="1:4" x14ac:dyDescent="0.25">
      <c r="A775" s="331">
        <v>71956</v>
      </c>
      <c r="B775" s="323" t="s">
        <v>8245</v>
      </c>
      <c r="C775" s="323" t="s">
        <v>7544</v>
      </c>
      <c r="D775" s="324">
        <f>SUMIF(Leerlingaantallen[Werkgevernummer],BevoegdGezag!A775,Leerlingaantallen[Bedrag])</f>
        <v>521982.33000000007</v>
      </c>
    </row>
    <row r="776" spans="1:4" x14ac:dyDescent="0.25">
      <c r="A776" s="331">
        <v>72087</v>
      </c>
      <c r="B776" s="323" t="s">
        <v>8246</v>
      </c>
      <c r="C776" s="323" t="s">
        <v>7587</v>
      </c>
      <c r="D776" s="324">
        <f>SUMIF(Leerlingaantallen[Werkgevernummer],BevoegdGezag!A776,Leerlingaantallen[Bedrag])</f>
        <v>141438.80000000002</v>
      </c>
    </row>
    <row r="777" spans="1:4" x14ac:dyDescent="0.25">
      <c r="A777" s="331">
        <v>72100</v>
      </c>
      <c r="B777" s="323" t="s">
        <v>8247</v>
      </c>
      <c r="C777" s="323" t="s">
        <v>7539</v>
      </c>
      <c r="D777" s="324">
        <f>SUMIF(Leerlingaantallen[Werkgevernummer],BevoegdGezag!A777,Leerlingaantallen[Bedrag])</f>
        <v>108517.70000000001</v>
      </c>
    </row>
    <row r="778" spans="1:4" x14ac:dyDescent="0.25">
      <c r="A778" s="331">
        <v>72242</v>
      </c>
      <c r="B778" s="323" t="s">
        <v>8248</v>
      </c>
      <c r="C778" s="323" t="s">
        <v>7544</v>
      </c>
      <c r="D778" s="324">
        <f>SUMIF(Leerlingaantallen[Werkgevernummer],BevoegdGezag!A778,Leerlingaantallen[Bedrag])</f>
        <v>54136.920000000006</v>
      </c>
    </row>
    <row r="779" spans="1:4" x14ac:dyDescent="0.25">
      <c r="A779" s="331">
        <v>72386</v>
      </c>
      <c r="B779" s="323" t="s">
        <v>8249</v>
      </c>
      <c r="C779" s="323" t="s">
        <v>7539</v>
      </c>
      <c r="D779" s="324">
        <f>SUMIF(Leerlingaantallen[Werkgevernummer],BevoegdGezag!A779,Leerlingaantallen[Bedrag])</f>
        <v>33652.68</v>
      </c>
    </row>
    <row r="780" spans="1:4" x14ac:dyDescent="0.25">
      <c r="A780" s="331">
        <v>72464</v>
      </c>
      <c r="B780" s="323" t="s">
        <v>8477</v>
      </c>
      <c r="C780" s="323" t="s">
        <v>7539</v>
      </c>
      <c r="D780" s="324">
        <f>SUMIF(Leerlingaantallen[Werkgevernummer],BevoegdGezag!A780,Leerlingaantallen[Bedrag])</f>
        <v>150339.69</v>
      </c>
    </row>
    <row r="781" spans="1:4" x14ac:dyDescent="0.25">
      <c r="A781" s="331">
        <v>72853</v>
      </c>
      <c r="B781" s="323" t="s">
        <v>8250</v>
      </c>
      <c r="C781" s="323" t="s">
        <v>7544</v>
      </c>
      <c r="D781" s="324">
        <f>SUMIF(Leerlingaantallen[Werkgevernummer],BevoegdGezag!A781,Leerlingaantallen[Bedrag])</f>
        <v>481013.85</v>
      </c>
    </row>
    <row r="782" spans="1:4" x14ac:dyDescent="0.25">
      <c r="A782" s="331">
        <v>72905</v>
      </c>
      <c r="B782" s="323" t="s">
        <v>8478</v>
      </c>
      <c r="C782" s="323" t="s">
        <v>7544</v>
      </c>
      <c r="D782" s="324">
        <f>SUMIF(Leerlingaantallen[Werkgevernummer],BevoegdGezag!A782,Leerlingaantallen[Bedrag])</f>
        <v>305312.72000000003</v>
      </c>
    </row>
    <row r="783" spans="1:4" x14ac:dyDescent="0.25">
      <c r="A783" s="331">
        <v>73114</v>
      </c>
      <c r="B783" s="323" t="s">
        <v>8479</v>
      </c>
      <c r="C783" s="323" t="s">
        <v>7544</v>
      </c>
      <c r="D783" s="324">
        <f>SUMIF(Leerlingaantallen[Werkgevernummer],BevoegdGezag!A783,Leerlingaantallen[Bedrag])</f>
        <v>729385.26</v>
      </c>
    </row>
    <row r="784" spans="1:4" x14ac:dyDescent="0.25">
      <c r="A784" s="331">
        <v>73191</v>
      </c>
      <c r="B784" s="323" t="s">
        <v>8251</v>
      </c>
      <c r="C784" s="323" t="s">
        <v>7544</v>
      </c>
      <c r="D784" s="324">
        <f>SUMIF(Leerlingaantallen[Werkgevernummer],BevoegdGezag!A784,Leerlingaantallen[Bedrag])</f>
        <v>331405.74</v>
      </c>
    </row>
    <row r="785" spans="1:4" x14ac:dyDescent="0.25">
      <c r="A785" s="331">
        <v>73283</v>
      </c>
      <c r="B785" s="323" t="s">
        <v>8252</v>
      </c>
      <c r="C785" s="323" t="s">
        <v>7544</v>
      </c>
      <c r="D785" s="324">
        <f>SUMIF(Leerlingaantallen[Werkgevernummer],BevoegdGezag!A785,Leerlingaantallen[Bedrag])</f>
        <v>92179.08</v>
      </c>
    </row>
    <row r="786" spans="1:4" x14ac:dyDescent="0.25">
      <c r="A786" s="331">
        <v>73556</v>
      </c>
      <c r="B786" s="323" t="s">
        <v>8253</v>
      </c>
      <c r="C786" s="323" t="s">
        <v>7544</v>
      </c>
      <c r="D786" s="324">
        <f>SUMIF(Leerlingaantallen[Werkgevernummer],BevoegdGezag!A786,Leerlingaantallen[Bedrag])</f>
        <v>97056.28</v>
      </c>
    </row>
    <row r="787" spans="1:4" x14ac:dyDescent="0.25">
      <c r="A787" s="331">
        <v>73712</v>
      </c>
      <c r="B787" s="323" t="s">
        <v>8254</v>
      </c>
      <c r="C787" s="323" t="s">
        <v>7544</v>
      </c>
      <c r="D787" s="324">
        <f>SUMIF(Leerlingaantallen[Werkgevernummer],BevoegdGezag!A787,Leerlingaantallen[Bedrag])</f>
        <v>572705.21</v>
      </c>
    </row>
    <row r="788" spans="1:4" x14ac:dyDescent="0.25">
      <c r="A788" s="331">
        <v>73724</v>
      </c>
      <c r="B788" s="323" t="s">
        <v>8255</v>
      </c>
      <c r="C788" s="323" t="s">
        <v>7544</v>
      </c>
      <c r="D788" s="324">
        <f>SUMIF(Leerlingaantallen[Werkgevernummer],BevoegdGezag!A788,Leerlingaantallen[Bedrag])</f>
        <v>104859.8</v>
      </c>
    </row>
    <row r="789" spans="1:4" x14ac:dyDescent="0.25">
      <c r="A789" s="331">
        <v>73906</v>
      </c>
      <c r="B789" s="323" t="s">
        <v>8480</v>
      </c>
      <c r="C789" s="323" t="s">
        <v>7544</v>
      </c>
      <c r="D789" s="324">
        <f>SUMIF(Leerlingaantallen[Werkgevernummer],BevoegdGezag!A789,Leerlingaantallen[Bedrag])</f>
        <v>325309.24</v>
      </c>
    </row>
    <row r="790" spans="1:4" x14ac:dyDescent="0.25">
      <c r="A790" s="331">
        <v>73919</v>
      </c>
      <c r="B790" s="323" t="s">
        <v>8256</v>
      </c>
      <c r="C790" s="323" t="s">
        <v>7553</v>
      </c>
      <c r="D790" s="324">
        <f>SUMIF(Leerlingaantallen[Werkgevernummer],BevoegdGezag!A790,Leerlingaantallen[Bedrag])</f>
        <v>1708727.02</v>
      </c>
    </row>
    <row r="791" spans="1:4" x14ac:dyDescent="0.25">
      <c r="A791" s="331">
        <v>74049</v>
      </c>
      <c r="B791" s="323" t="s">
        <v>8257</v>
      </c>
      <c r="C791" s="323" t="s">
        <v>7544</v>
      </c>
      <c r="D791" s="324">
        <f>SUMIF(Leerlingaantallen[Werkgevernummer],BevoegdGezag!A791,Leerlingaantallen[Bedrag])</f>
        <v>1532660.1000000003</v>
      </c>
    </row>
    <row r="792" spans="1:4" x14ac:dyDescent="0.25">
      <c r="A792" s="331">
        <v>74127</v>
      </c>
      <c r="B792" s="323" t="s">
        <v>8481</v>
      </c>
      <c r="C792" s="323" t="s">
        <v>7544</v>
      </c>
      <c r="D792" s="324">
        <f>SUMIF(Leerlingaantallen[Werkgevernummer],BevoegdGezag!A792,Leerlingaantallen[Bedrag])</f>
        <v>109249.28</v>
      </c>
    </row>
    <row r="793" spans="1:4" x14ac:dyDescent="0.25">
      <c r="A793" s="331">
        <v>74154</v>
      </c>
      <c r="B793" s="323" t="s">
        <v>8258</v>
      </c>
      <c r="C793" s="323" t="s">
        <v>7544</v>
      </c>
      <c r="D793" s="324">
        <f>SUMIF(Leerlingaantallen[Werkgevernummer],BevoegdGezag!A793,Leerlingaantallen[Bedrag])</f>
        <v>1053840.9900000002</v>
      </c>
    </row>
    <row r="794" spans="1:4" x14ac:dyDescent="0.25">
      <c r="A794" s="331">
        <v>74426</v>
      </c>
      <c r="B794" s="323" t="s">
        <v>8259</v>
      </c>
      <c r="C794" s="323" t="s">
        <v>7544</v>
      </c>
      <c r="D794" s="324">
        <f>SUMIF(Leerlingaantallen[Werkgevernummer],BevoegdGezag!A794,Leerlingaantallen[Bedrag])</f>
        <v>235568.76</v>
      </c>
    </row>
    <row r="795" spans="1:4" x14ac:dyDescent="0.25">
      <c r="A795" s="331">
        <v>74492</v>
      </c>
      <c r="B795" s="323" t="s">
        <v>8260</v>
      </c>
      <c r="C795" s="323" t="s">
        <v>7539</v>
      </c>
      <c r="D795" s="324">
        <f>SUMIF(Leerlingaantallen[Werkgevernummer],BevoegdGezag!A795,Leerlingaantallen[Bedrag])</f>
        <v>91203.64</v>
      </c>
    </row>
    <row r="796" spans="1:4" x14ac:dyDescent="0.25">
      <c r="A796" s="331">
        <v>74531</v>
      </c>
      <c r="B796" s="323" t="s">
        <v>8261</v>
      </c>
      <c r="C796" s="323" t="s">
        <v>7539</v>
      </c>
      <c r="D796" s="324">
        <f>SUMIF(Leerlingaantallen[Werkgevernummer],BevoegdGezag!A796,Leerlingaantallen[Bedrag])</f>
        <v>1711775.27</v>
      </c>
    </row>
    <row r="797" spans="1:4" x14ac:dyDescent="0.25">
      <c r="A797" s="331">
        <v>74609</v>
      </c>
      <c r="B797" s="323" t="s">
        <v>8262</v>
      </c>
      <c r="C797" s="323" t="s">
        <v>7539</v>
      </c>
      <c r="D797" s="324">
        <f>SUMIF(Leerlingaantallen[Werkgevernummer],BevoegdGezag!A797,Leerlingaantallen[Bedrag])</f>
        <v>40480.76</v>
      </c>
    </row>
    <row r="798" spans="1:4" x14ac:dyDescent="0.25">
      <c r="A798" s="331">
        <v>74803</v>
      </c>
      <c r="B798" s="323" t="s">
        <v>8482</v>
      </c>
      <c r="C798" s="323" t="s">
        <v>7544</v>
      </c>
      <c r="D798" s="324">
        <f>SUMIF(Leerlingaantallen[Werkgevernummer],BevoegdGezag!A798,Leerlingaantallen[Bedrag])</f>
        <v>156558.12</v>
      </c>
    </row>
    <row r="799" spans="1:4" x14ac:dyDescent="0.25">
      <c r="A799" s="331">
        <v>74868</v>
      </c>
      <c r="B799" s="323" t="s">
        <v>8263</v>
      </c>
      <c r="C799" s="323" t="s">
        <v>7544</v>
      </c>
      <c r="D799" s="324">
        <f>SUMIF(Leerlingaantallen[Werkgevernummer],BevoegdGezag!A799,Leerlingaantallen[Bedrag])</f>
        <v>120466.84000000001</v>
      </c>
    </row>
    <row r="800" spans="1:4" x14ac:dyDescent="0.25">
      <c r="A800" s="331">
        <v>74973</v>
      </c>
      <c r="B800" s="323" t="s">
        <v>8264</v>
      </c>
      <c r="C800" s="323" t="s">
        <v>7539</v>
      </c>
      <c r="D800" s="324">
        <f>SUMIF(Leerlingaantallen[Werkgevernummer],BevoegdGezag!A800,Leerlingaantallen[Bedrag])</f>
        <v>95836.98000000001</v>
      </c>
    </row>
    <row r="801" spans="1:4" x14ac:dyDescent="0.25">
      <c r="A801" s="331">
        <v>75064</v>
      </c>
      <c r="B801" s="323" t="s">
        <v>8265</v>
      </c>
      <c r="C801" s="323" t="s">
        <v>7539</v>
      </c>
      <c r="D801" s="324">
        <f>SUMIF(Leerlingaantallen[Werkgevernummer],BevoegdGezag!A801,Leerlingaantallen[Bedrag])</f>
        <v>88765.040000000008</v>
      </c>
    </row>
    <row r="802" spans="1:4" x14ac:dyDescent="0.25">
      <c r="A802" s="331">
        <v>75206</v>
      </c>
      <c r="B802" s="323" t="s">
        <v>8266</v>
      </c>
      <c r="C802" s="323" t="s">
        <v>7544</v>
      </c>
      <c r="D802" s="324">
        <f>SUMIF(Leerlingaantallen[Werkgevernummer],BevoegdGezag!A802,Leerlingaantallen[Bedrag])</f>
        <v>100958.04000000001</v>
      </c>
    </row>
    <row r="803" spans="1:4" x14ac:dyDescent="0.25">
      <c r="A803" s="331">
        <v>75219</v>
      </c>
      <c r="B803" s="323" t="s">
        <v>8267</v>
      </c>
      <c r="C803" s="323" t="s">
        <v>7544</v>
      </c>
      <c r="D803" s="324">
        <f>SUMIF(Leerlingaantallen[Werkgevernummer],BevoegdGezag!A803,Leerlingaantallen[Bedrag])</f>
        <v>1082006.82</v>
      </c>
    </row>
    <row r="804" spans="1:4" x14ac:dyDescent="0.25">
      <c r="A804" s="331">
        <v>75375</v>
      </c>
      <c r="B804" s="323" t="s">
        <v>8268</v>
      </c>
      <c r="C804" s="323" t="s">
        <v>7544</v>
      </c>
      <c r="D804" s="324">
        <f>SUMIF(Leerlingaantallen[Werkgevernummer],BevoegdGezag!A804,Leerlingaantallen[Bedrag])</f>
        <v>1055669.94</v>
      </c>
    </row>
    <row r="805" spans="1:4" x14ac:dyDescent="0.25">
      <c r="A805" s="331">
        <v>75388</v>
      </c>
      <c r="B805" s="323" t="s">
        <v>8269</v>
      </c>
      <c r="C805" s="323" t="s">
        <v>7698</v>
      </c>
      <c r="D805" s="324">
        <f>SUMIF(Leerlingaantallen[Werkgevernummer],BevoegdGezag!A805,Leerlingaantallen[Bedrag])</f>
        <v>1538268.8800000001</v>
      </c>
    </row>
    <row r="806" spans="1:4" x14ac:dyDescent="0.25">
      <c r="A806" s="331">
        <v>75531</v>
      </c>
      <c r="B806" s="323" t="s">
        <v>8270</v>
      </c>
      <c r="C806" s="323" t="s">
        <v>7544</v>
      </c>
      <c r="D806" s="324">
        <f>SUMIF(Leerlingaantallen[Werkgevernummer],BevoegdGezag!A806,Leerlingaantallen[Bedrag])</f>
        <v>360181.22000000003</v>
      </c>
    </row>
    <row r="807" spans="1:4" x14ac:dyDescent="0.25">
      <c r="A807" s="331">
        <v>75597</v>
      </c>
      <c r="B807" s="323" t="s">
        <v>8271</v>
      </c>
      <c r="C807" s="323" t="s">
        <v>7573</v>
      </c>
      <c r="D807" s="324">
        <f>SUMIF(Leerlingaantallen[Werkgevernummer],BevoegdGezag!A807,Leerlingaantallen[Bedrag])</f>
        <v>1149799.9000000004</v>
      </c>
    </row>
    <row r="808" spans="1:4" x14ac:dyDescent="0.25">
      <c r="A808" s="331">
        <v>75688</v>
      </c>
      <c r="B808" s="323" t="s">
        <v>8272</v>
      </c>
      <c r="C808" s="323" t="s">
        <v>7537</v>
      </c>
      <c r="D808" s="324">
        <f>SUMIF(Leerlingaantallen[Werkgevernummer],BevoegdGezag!A808,Leerlingaantallen[Bedrag])</f>
        <v>60965</v>
      </c>
    </row>
    <row r="809" spans="1:4" x14ac:dyDescent="0.25">
      <c r="A809" s="331">
        <v>75753</v>
      </c>
      <c r="B809" s="323" t="s">
        <v>8273</v>
      </c>
      <c r="C809" s="323" t="s">
        <v>7539</v>
      </c>
      <c r="D809" s="324">
        <f>SUMIF(Leerlingaantallen[Werkgevernummer],BevoegdGezag!A809,Leerlingaantallen[Bedrag])</f>
        <v>759867.76</v>
      </c>
    </row>
    <row r="810" spans="1:4" x14ac:dyDescent="0.25">
      <c r="A810" s="331">
        <v>75778</v>
      </c>
      <c r="B810" s="323" t="s">
        <v>8483</v>
      </c>
      <c r="C810" s="323" t="s">
        <v>7544</v>
      </c>
      <c r="D810" s="324">
        <f>SUMIF(Leerlingaantallen[Werkgevernummer],BevoegdGezag!A810,Leerlingaantallen[Bedrag])</f>
        <v>59989.560000000005</v>
      </c>
    </row>
    <row r="811" spans="1:4" x14ac:dyDescent="0.25">
      <c r="A811" s="331">
        <v>75934</v>
      </c>
      <c r="B811" s="323" t="s">
        <v>8274</v>
      </c>
      <c r="C811" s="323" t="s">
        <v>7544</v>
      </c>
      <c r="D811" s="324">
        <f>SUMIF(Leerlingaantallen[Werkgevernummer],BevoegdGezag!A811,Leerlingaantallen[Bedrag])</f>
        <v>95105.400000000009</v>
      </c>
    </row>
    <row r="812" spans="1:4" x14ac:dyDescent="0.25">
      <c r="A812" s="331">
        <v>75974</v>
      </c>
      <c r="B812" s="323" t="s">
        <v>8275</v>
      </c>
      <c r="C812" s="323" t="s">
        <v>7539</v>
      </c>
      <c r="D812" s="324">
        <f>SUMIF(Leerlingaantallen[Werkgevernummer],BevoegdGezag!A812,Leerlingaantallen[Bedrag])</f>
        <v>56575.520000000004</v>
      </c>
    </row>
    <row r="813" spans="1:4" x14ac:dyDescent="0.25">
      <c r="A813" s="331">
        <v>76585</v>
      </c>
      <c r="B813" s="323" t="s">
        <v>8276</v>
      </c>
      <c r="C813" s="323" t="s">
        <v>7587</v>
      </c>
      <c r="D813" s="324">
        <f>SUMIF(Leerlingaantallen[Werkgevernummer],BevoegdGezag!A813,Leerlingaantallen[Bedrag])</f>
        <v>52429.9</v>
      </c>
    </row>
    <row r="814" spans="1:4" x14ac:dyDescent="0.25">
      <c r="A814" s="331">
        <v>76663</v>
      </c>
      <c r="B814" s="323" t="s">
        <v>8277</v>
      </c>
      <c r="C814" s="323" t="s">
        <v>7539</v>
      </c>
      <c r="D814" s="324">
        <f>SUMIF(Leerlingaantallen[Werkgevernummer],BevoegdGezag!A814,Leerlingaantallen[Bedrag])</f>
        <v>49747.44</v>
      </c>
    </row>
    <row r="815" spans="1:4" x14ac:dyDescent="0.25">
      <c r="A815" s="331">
        <v>76715</v>
      </c>
      <c r="B815" s="323" t="s">
        <v>8278</v>
      </c>
      <c r="C815" s="323" t="s">
        <v>7539</v>
      </c>
      <c r="D815" s="324">
        <f>SUMIF(Leerlingaantallen[Werkgevernummer],BevoegdGezag!A815,Leerlingaantallen[Bedrag])</f>
        <v>121442.28</v>
      </c>
    </row>
    <row r="816" spans="1:4" x14ac:dyDescent="0.25">
      <c r="A816" s="331">
        <v>76740</v>
      </c>
      <c r="B816" s="323" t="s">
        <v>8279</v>
      </c>
      <c r="C816" s="323" t="s">
        <v>7537</v>
      </c>
      <c r="D816" s="324">
        <f>SUMIF(Leerlingaantallen[Werkgevernummer],BevoegdGezag!A816,Leerlingaantallen[Bedrag])</f>
        <v>139000.20000000001</v>
      </c>
    </row>
    <row r="817" spans="1:4" x14ac:dyDescent="0.25">
      <c r="A817" s="331">
        <v>76793</v>
      </c>
      <c r="B817" s="323" t="s">
        <v>8280</v>
      </c>
      <c r="C817" s="323" t="s">
        <v>7544</v>
      </c>
      <c r="D817" s="324">
        <f>SUMIF(Leerlingaantallen[Werkgevernummer],BevoegdGezag!A817,Leerlingaantallen[Bedrag])</f>
        <v>100714.18000000001</v>
      </c>
    </row>
    <row r="818" spans="1:4" x14ac:dyDescent="0.25">
      <c r="A818" s="331">
        <v>76806</v>
      </c>
      <c r="B818" s="323" t="s">
        <v>8281</v>
      </c>
      <c r="C818" s="323" t="s">
        <v>7544</v>
      </c>
      <c r="D818" s="324">
        <f>SUMIF(Leerlingaantallen[Werkgevernummer],BevoegdGezag!A818,Leerlingaantallen[Bedrag])</f>
        <v>907281.13</v>
      </c>
    </row>
    <row r="819" spans="1:4" x14ac:dyDescent="0.25">
      <c r="A819" s="331">
        <v>76819</v>
      </c>
      <c r="B819" s="323" t="s">
        <v>8282</v>
      </c>
      <c r="C819" s="323" t="s">
        <v>7539</v>
      </c>
      <c r="D819" s="324">
        <f>SUMIF(Leerlingaantallen[Werkgevernummer],BevoegdGezag!A819,Leerlingaantallen[Bedrag])</f>
        <v>306044.30000000005</v>
      </c>
    </row>
    <row r="820" spans="1:4" x14ac:dyDescent="0.25">
      <c r="A820" s="331">
        <v>76910</v>
      </c>
      <c r="B820" s="323" t="s">
        <v>8283</v>
      </c>
      <c r="C820" s="323" t="s">
        <v>7537</v>
      </c>
      <c r="D820" s="324">
        <f>SUMIF(Leerlingaantallen[Werkgevernummer],BevoegdGezag!A820,Leerlingaantallen[Bedrag])</f>
        <v>33652.68</v>
      </c>
    </row>
    <row r="821" spans="1:4" x14ac:dyDescent="0.25">
      <c r="A821" s="331">
        <v>77052</v>
      </c>
      <c r="B821" s="323" t="s">
        <v>8284</v>
      </c>
      <c r="C821" s="323" t="s">
        <v>7544</v>
      </c>
      <c r="D821" s="324">
        <f>SUMIF(Leerlingaantallen[Werkgevernummer],BevoegdGezag!A821,Leerlingaantallen[Bedrag])</f>
        <v>164117.78</v>
      </c>
    </row>
    <row r="822" spans="1:4" x14ac:dyDescent="0.25">
      <c r="A822" s="331">
        <v>77091</v>
      </c>
      <c r="B822" s="323" t="s">
        <v>8285</v>
      </c>
      <c r="C822" s="323" t="s">
        <v>7544</v>
      </c>
      <c r="D822" s="324">
        <f>SUMIF(Leerlingaantallen[Werkgevernummer],BevoegdGezag!A822,Leerlingaantallen[Bedrag])</f>
        <v>19752.66</v>
      </c>
    </row>
    <row r="823" spans="1:4" x14ac:dyDescent="0.25">
      <c r="A823" s="331">
        <v>77195</v>
      </c>
      <c r="B823" s="323" t="s">
        <v>8286</v>
      </c>
      <c r="C823" s="323" t="s">
        <v>7544</v>
      </c>
      <c r="D823" s="324">
        <f>SUMIF(Leerlingaantallen[Werkgevernummer],BevoegdGezag!A823,Leerlingaantallen[Bedrag])</f>
        <v>1757742.8799999997</v>
      </c>
    </row>
    <row r="824" spans="1:4" x14ac:dyDescent="0.25">
      <c r="A824" s="331">
        <v>77196</v>
      </c>
      <c r="B824" s="323" t="s">
        <v>8287</v>
      </c>
      <c r="C824" s="323" t="s">
        <v>7539</v>
      </c>
      <c r="D824" s="324">
        <f>SUMIF(Leerlingaantallen[Werkgevernummer],BevoegdGezag!A824,Leerlingaantallen[Bedrag])</f>
        <v>450409.42000000004</v>
      </c>
    </row>
    <row r="825" spans="1:4" x14ac:dyDescent="0.25">
      <c r="A825" s="331">
        <v>77235</v>
      </c>
      <c r="B825" s="323" t="s">
        <v>8288</v>
      </c>
      <c r="C825" s="323" t="s">
        <v>7573</v>
      </c>
      <c r="D825" s="324">
        <f>SUMIF(Leerlingaantallen[Werkgevernummer],BevoegdGezag!A825,Leerlingaantallen[Bedrag])</f>
        <v>1167113.96</v>
      </c>
    </row>
    <row r="826" spans="1:4" x14ac:dyDescent="0.25">
      <c r="A826" s="331">
        <v>77338</v>
      </c>
      <c r="B826" s="323" t="s">
        <v>8289</v>
      </c>
      <c r="C826" s="323" t="s">
        <v>7544</v>
      </c>
      <c r="D826" s="324">
        <f>SUMIF(Leerlingaantallen[Werkgevernummer],BevoegdGezag!A826,Leerlingaantallen[Bedrag])</f>
        <v>891674.09000000008</v>
      </c>
    </row>
    <row r="827" spans="1:4" x14ac:dyDescent="0.25">
      <c r="A827" s="331">
        <v>77456</v>
      </c>
      <c r="B827" s="323" t="s">
        <v>8290</v>
      </c>
      <c r="C827" s="323" t="s">
        <v>7587</v>
      </c>
      <c r="D827" s="324">
        <f>SUMIF(Leerlingaantallen[Werkgevernummer],BevoegdGezag!A827,Leerlingaantallen[Bedrag])</f>
        <v>646229</v>
      </c>
    </row>
    <row r="828" spans="1:4" x14ac:dyDescent="0.25">
      <c r="A828" s="331">
        <v>77533</v>
      </c>
      <c r="B828" s="323" t="s">
        <v>8291</v>
      </c>
      <c r="C828" s="323" t="s">
        <v>7544</v>
      </c>
      <c r="D828" s="324">
        <f>SUMIF(Leerlingaantallen[Werkgevernummer],BevoegdGezag!A828,Leerlingaantallen[Bedrag])</f>
        <v>570876.26</v>
      </c>
    </row>
    <row r="829" spans="1:4" x14ac:dyDescent="0.25">
      <c r="A829" s="331">
        <v>77651</v>
      </c>
      <c r="B829" s="323" t="s">
        <v>8484</v>
      </c>
      <c r="C829" s="323" t="s">
        <v>7537</v>
      </c>
      <c r="D829" s="324">
        <f>SUMIF(Leerlingaantallen[Werkgevernummer],BevoegdGezag!A829,Leerlingaantallen[Bedrag])</f>
        <v>90715.92</v>
      </c>
    </row>
    <row r="830" spans="1:4" x14ac:dyDescent="0.25">
      <c r="A830" s="331">
        <v>77690</v>
      </c>
      <c r="B830" s="323" t="s">
        <v>8292</v>
      </c>
      <c r="C830" s="323" t="s">
        <v>7537</v>
      </c>
      <c r="D830" s="324">
        <f>SUMIF(Leerlingaantallen[Werkgevernummer],BevoegdGezag!A830,Leerlingaantallen[Bedrag])</f>
        <v>471747.17000000004</v>
      </c>
    </row>
    <row r="831" spans="1:4" x14ac:dyDescent="0.25">
      <c r="A831" s="331">
        <v>77975</v>
      </c>
      <c r="B831" s="323" t="s">
        <v>8293</v>
      </c>
      <c r="C831" s="323" t="s">
        <v>7544</v>
      </c>
      <c r="D831" s="324">
        <f>SUMIF(Leerlingaantallen[Werkgevernummer],BevoegdGezag!A831,Leerlingaantallen[Bedrag])</f>
        <v>1091517.3600000003</v>
      </c>
    </row>
    <row r="832" spans="1:4" x14ac:dyDescent="0.25">
      <c r="A832" s="331">
        <v>78066</v>
      </c>
      <c r="B832" s="323" t="s">
        <v>8294</v>
      </c>
      <c r="C832" s="323" t="s">
        <v>7580</v>
      </c>
      <c r="D832" s="324">
        <f>SUMIF(Leerlingaantallen[Werkgevernummer],BevoegdGezag!A832,Leerlingaantallen[Bedrag])</f>
        <v>234349.46</v>
      </c>
    </row>
    <row r="833" spans="1:4" x14ac:dyDescent="0.25">
      <c r="A833" s="331">
        <v>78184</v>
      </c>
      <c r="B833" s="323" t="s">
        <v>8295</v>
      </c>
      <c r="C833" s="323" t="s">
        <v>7587</v>
      </c>
      <c r="D833" s="324">
        <f>SUMIF(Leerlingaantallen[Werkgevernummer],BevoegdGezag!A833,Leerlingaantallen[Bedrag])</f>
        <v>94861.540000000008</v>
      </c>
    </row>
    <row r="834" spans="1:4" x14ac:dyDescent="0.25">
      <c r="A834" s="331">
        <v>78197</v>
      </c>
      <c r="B834" s="323" t="s">
        <v>8296</v>
      </c>
      <c r="C834" s="323" t="s">
        <v>7535</v>
      </c>
      <c r="D834" s="324">
        <f>SUMIF(Leerlingaantallen[Werkgevernummer],BevoegdGezag!A834,Leerlingaantallen[Bedrag])</f>
        <v>30726.36</v>
      </c>
    </row>
    <row r="835" spans="1:4" x14ac:dyDescent="0.25">
      <c r="A835" s="331">
        <v>78222</v>
      </c>
      <c r="B835" s="323" t="s">
        <v>8297</v>
      </c>
      <c r="C835" s="323" t="s">
        <v>7544</v>
      </c>
      <c r="D835" s="324">
        <f>SUMIF(Leerlingaantallen[Werkgevernummer],BevoegdGezag!A835,Leerlingaantallen[Bedrag])</f>
        <v>861801.24000000011</v>
      </c>
    </row>
    <row r="836" spans="1:4" x14ac:dyDescent="0.25">
      <c r="A836" s="331">
        <v>78457</v>
      </c>
      <c r="B836" s="323" t="s">
        <v>8298</v>
      </c>
      <c r="C836" s="323" t="s">
        <v>7547</v>
      </c>
      <c r="D836" s="324">
        <f>SUMIF(Leerlingaantallen[Werkgevernummer],BevoegdGezag!A836,Leerlingaantallen[Bedrag])</f>
        <v>16338.62</v>
      </c>
    </row>
    <row r="837" spans="1:4" x14ac:dyDescent="0.25">
      <c r="A837" s="331">
        <v>78782</v>
      </c>
      <c r="B837" s="323" t="s">
        <v>8299</v>
      </c>
      <c r="C837" s="323" t="s">
        <v>7539</v>
      </c>
      <c r="D837" s="324">
        <f>SUMIF(Leerlingaantallen[Werkgevernummer],BevoegdGezag!A837,Leerlingaantallen[Bedrag])</f>
        <v>657568.49</v>
      </c>
    </row>
    <row r="838" spans="1:4" x14ac:dyDescent="0.25">
      <c r="A838" s="331">
        <v>79003</v>
      </c>
      <c r="B838" s="323" t="s">
        <v>8300</v>
      </c>
      <c r="C838" s="323" t="s">
        <v>7587</v>
      </c>
      <c r="D838" s="324">
        <f>SUMIF(Leerlingaantallen[Werkgevernummer],BevoegdGezag!A838,Leerlingaantallen[Bedrag])</f>
        <v>51698.32</v>
      </c>
    </row>
    <row r="839" spans="1:4" x14ac:dyDescent="0.25">
      <c r="A839" s="331">
        <v>79016</v>
      </c>
      <c r="B839" s="323" t="s">
        <v>8301</v>
      </c>
      <c r="C839" s="323" t="s">
        <v>7537</v>
      </c>
      <c r="D839" s="324">
        <f>SUMIF(Leerlingaantallen[Werkgevernummer],BevoegdGezag!A839,Leerlingaantallen[Bedrag])</f>
        <v>122905.44</v>
      </c>
    </row>
    <row r="840" spans="1:4" x14ac:dyDescent="0.25">
      <c r="A840" s="331">
        <v>79796</v>
      </c>
      <c r="B840" s="323" t="s">
        <v>8302</v>
      </c>
      <c r="C840" s="323" t="s">
        <v>7537</v>
      </c>
      <c r="D840" s="324">
        <f>SUMIF(Leerlingaantallen[Werkgevernummer],BevoegdGezag!A840,Leerlingaantallen[Bedrag])</f>
        <v>51698.32</v>
      </c>
    </row>
    <row r="841" spans="1:4" x14ac:dyDescent="0.25">
      <c r="A841" s="331">
        <v>79835</v>
      </c>
      <c r="B841" s="323" t="s">
        <v>8303</v>
      </c>
      <c r="C841" s="323" t="s">
        <v>7537</v>
      </c>
      <c r="D841" s="324">
        <f>SUMIF(Leerlingaantallen[Werkgevernummer],BevoegdGezag!A841,Leerlingaantallen[Bedrag])</f>
        <v>56819.380000000005</v>
      </c>
    </row>
    <row r="842" spans="1:4" x14ac:dyDescent="0.25">
      <c r="A842" s="331">
        <v>79874</v>
      </c>
      <c r="B842" s="323" t="s">
        <v>8304</v>
      </c>
      <c r="C842" s="323" t="s">
        <v>7539</v>
      </c>
      <c r="D842" s="324">
        <f>SUMIF(Leerlingaantallen[Werkgevernummer],BevoegdGezag!A842,Leerlingaantallen[Bedrag])</f>
        <v>703292.24000000011</v>
      </c>
    </row>
    <row r="843" spans="1:4" x14ac:dyDescent="0.25">
      <c r="A843" s="331">
        <v>79952</v>
      </c>
      <c r="B843" s="323" t="s">
        <v>8305</v>
      </c>
      <c r="C843" s="323" t="s">
        <v>7537</v>
      </c>
      <c r="D843" s="324">
        <f>SUMIF(Leerlingaantallen[Werkgevernummer],BevoegdGezag!A843,Leerlingaantallen[Bedrag])</f>
        <v>39017.600000000006</v>
      </c>
    </row>
    <row r="844" spans="1:4" x14ac:dyDescent="0.25">
      <c r="A844" s="331">
        <v>80095</v>
      </c>
      <c r="B844" s="323" t="s">
        <v>8306</v>
      </c>
      <c r="C844" s="323" t="s">
        <v>7539</v>
      </c>
      <c r="D844" s="324">
        <f>SUMIF(Leerlingaantallen[Werkgevernummer],BevoegdGezag!A844,Leerlingaantallen[Bedrag])</f>
        <v>298484.64</v>
      </c>
    </row>
    <row r="845" spans="1:4" x14ac:dyDescent="0.25">
      <c r="A845" s="331">
        <v>80433</v>
      </c>
      <c r="B845" s="323" t="s">
        <v>8307</v>
      </c>
      <c r="C845" s="323" t="s">
        <v>7539</v>
      </c>
      <c r="D845" s="324">
        <f>SUMIF(Leerlingaantallen[Werkgevernummer],BevoegdGezag!A845,Leerlingaantallen[Bedrag])</f>
        <v>765354.61</v>
      </c>
    </row>
    <row r="846" spans="1:4" x14ac:dyDescent="0.25">
      <c r="A846" s="331">
        <v>81030</v>
      </c>
      <c r="B846" s="323" t="s">
        <v>8308</v>
      </c>
      <c r="C846" s="323" t="s">
        <v>7539</v>
      </c>
      <c r="D846" s="324">
        <f>SUMIF(Leerlingaantallen[Werkgevernummer],BevoegdGezag!A846,Leerlingaantallen[Bedrag])</f>
        <v>19508.800000000003</v>
      </c>
    </row>
    <row r="847" spans="1:4" x14ac:dyDescent="0.25">
      <c r="A847" s="331">
        <v>81316</v>
      </c>
      <c r="B847" s="323" t="s">
        <v>8309</v>
      </c>
      <c r="C847" s="323" t="s">
        <v>7539</v>
      </c>
      <c r="D847" s="324">
        <f>SUMIF(Leerlingaantallen[Werkgevernummer],BevoegdGezag!A847,Leerlingaantallen[Bedrag])</f>
        <v>1811392.08</v>
      </c>
    </row>
    <row r="848" spans="1:4" x14ac:dyDescent="0.25">
      <c r="A848" s="331">
        <v>81433</v>
      </c>
      <c r="B848" s="323" t="s">
        <v>8310</v>
      </c>
      <c r="C848" s="323" t="s">
        <v>7539</v>
      </c>
      <c r="D848" s="324">
        <f>SUMIF(Leerlingaantallen[Werkgevernummer],BevoegdGezag!A848,Leerlingaantallen[Bedrag])</f>
        <v>29507.06</v>
      </c>
    </row>
    <row r="849" spans="1:4" x14ac:dyDescent="0.25">
      <c r="A849" s="331">
        <v>81810</v>
      </c>
      <c r="B849" s="323" t="s">
        <v>8311</v>
      </c>
      <c r="C849" s="323" t="s">
        <v>7539</v>
      </c>
      <c r="D849" s="324">
        <f>SUMIF(Leerlingaantallen[Werkgevernummer],BevoegdGezag!A849,Leerlingaantallen[Bedrag])</f>
        <v>57794.82</v>
      </c>
    </row>
    <row r="850" spans="1:4" x14ac:dyDescent="0.25">
      <c r="A850" s="331">
        <v>81902</v>
      </c>
      <c r="B850" s="323" t="s">
        <v>8312</v>
      </c>
      <c r="C850" s="323" t="s">
        <v>7539</v>
      </c>
      <c r="D850" s="324">
        <f>SUMIF(Leerlingaantallen[Werkgevernummer],BevoegdGezag!A850,Leerlingaantallen[Bedrag])</f>
        <v>44870.240000000005</v>
      </c>
    </row>
    <row r="851" spans="1:4" x14ac:dyDescent="0.25">
      <c r="A851" s="331">
        <v>81967</v>
      </c>
      <c r="B851" s="323" t="s">
        <v>8313</v>
      </c>
      <c r="C851" s="323" t="s">
        <v>7539</v>
      </c>
      <c r="D851" s="324">
        <f>SUMIF(Leerlingaantallen[Werkgevernummer],BevoegdGezag!A851,Leerlingaantallen[Bedrag])</f>
        <v>29019.34</v>
      </c>
    </row>
    <row r="852" spans="1:4" x14ac:dyDescent="0.25">
      <c r="A852" s="331">
        <v>81979</v>
      </c>
      <c r="B852" s="323" t="s">
        <v>8314</v>
      </c>
      <c r="C852" s="323" t="s">
        <v>7539</v>
      </c>
      <c r="D852" s="324">
        <f>SUMIF(Leerlingaantallen[Werkgevernummer],BevoegdGezag!A852,Leerlingaantallen[Bedrag])</f>
        <v>66817.64</v>
      </c>
    </row>
    <row r="853" spans="1:4" x14ac:dyDescent="0.25">
      <c r="A853" s="331">
        <v>82253</v>
      </c>
      <c r="B853" s="323" t="s">
        <v>8485</v>
      </c>
      <c r="C853" s="323" t="s">
        <v>7537</v>
      </c>
      <c r="D853" s="324">
        <f>SUMIF(Leerlingaantallen[Werkgevernummer],BevoegdGezag!A853,Leerlingaantallen[Bedrag])</f>
        <v>62428.160000000003</v>
      </c>
    </row>
    <row r="854" spans="1:4" x14ac:dyDescent="0.25">
      <c r="A854" s="331">
        <v>82292</v>
      </c>
      <c r="B854" s="323" t="s">
        <v>8486</v>
      </c>
      <c r="C854" s="323" t="s">
        <v>7537</v>
      </c>
      <c r="D854" s="324">
        <f>SUMIF(Leerlingaantallen[Werkgevernummer],BevoegdGezag!A854,Leerlingaantallen[Bedrag])</f>
        <v>598920.16</v>
      </c>
    </row>
    <row r="855" spans="1:4" x14ac:dyDescent="0.25">
      <c r="A855" s="331">
        <v>82526</v>
      </c>
      <c r="B855" s="323" t="s">
        <v>8315</v>
      </c>
      <c r="C855" s="323" t="s">
        <v>7539</v>
      </c>
      <c r="D855" s="324">
        <f>SUMIF(Leerlingaantallen[Werkgevernummer],BevoegdGezag!A855,Leerlingaantallen[Bedrag])</f>
        <v>1353179.1400000001</v>
      </c>
    </row>
    <row r="856" spans="1:4" x14ac:dyDescent="0.25">
      <c r="A856" s="331">
        <v>82591</v>
      </c>
      <c r="B856" s="323" t="s">
        <v>8316</v>
      </c>
      <c r="C856" s="323" t="s">
        <v>7539</v>
      </c>
      <c r="D856" s="324">
        <f>SUMIF(Leerlingaantallen[Werkgevernummer],BevoegdGezag!A856,Leerlingaantallen[Bedrag])</f>
        <v>51454.460000000006</v>
      </c>
    </row>
    <row r="857" spans="1:4" x14ac:dyDescent="0.25">
      <c r="A857" s="331">
        <v>82747</v>
      </c>
      <c r="B857" s="323" t="s">
        <v>8317</v>
      </c>
      <c r="C857" s="323" t="s">
        <v>7537</v>
      </c>
      <c r="D857" s="324">
        <f>SUMIF(Leerlingaantallen[Werkgevernummer],BevoegdGezag!A857,Leerlingaantallen[Bedrag])</f>
        <v>39993.040000000001</v>
      </c>
    </row>
    <row r="858" spans="1:4" x14ac:dyDescent="0.25">
      <c r="A858" s="331">
        <v>82785</v>
      </c>
      <c r="B858" s="323" t="s">
        <v>8318</v>
      </c>
      <c r="C858" s="323" t="s">
        <v>7539</v>
      </c>
      <c r="D858" s="324">
        <f>SUMIF(Leerlingaantallen[Werkgevernummer],BevoegdGezag!A858,Leerlingaantallen[Bedrag])</f>
        <v>303361.84000000003</v>
      </c>
    </row>
    <row r="859" spans="1:4" x14ac:dyDescent="0.25">
      <c r="A859" s="331">
        <v>82786</v>
      </c>
      <c r="B859" s="323" t="s">
        <v>8319</v>
      </c>
      <c r="C859" s="323" t="s">
        <v>7537</v>
      </c>
      <c r="D859" s="324">
        <f>SUMIF(Leerlingaantallen[Werkgevernummer],BevoegdGezag!A859,Leerlingaantallen[Bedrag])</f>
        <v>21947.4</v>
      </c>
    </row>
    <row r="860" spans="1:4" x14ac:dyDescent="0.25">
      <c r="A860" s="331">
        <v>82838</v>
      </c>
      <c r="B860" s="323" t="s">
        <v>8320</v>
      </c>
      <c r="C860" s="323" t="s">
        <v>7537</v>
      </c>
      <c r="D860" s="324">
        <f>SUMIF(Leerlingaantallen[Werkgevernummer],BevoegdGezag!A860,Leerlingaantallen[Bedrag])</f>
        <v>41456.200000000004</v>
      </c>
    </row>
    <row r="861" spans="1:4" x14ac:dyDescent="0.25">
      <c r="A861" s="331">
        <v>82981</v>
      </c>
      <c r="B861" s="323" t="s">
        <v>8321</v>
      </c>
      <c r="C861" s="323" t="s">
        <v>7587</v>
      </c>
      <c r="D861" s="324">
        <f>SUMIF(Leerlingaantallen[Werkgevernummer],BevoegdGezag!A861,Leerlingaantallen[Bedrag])</f>
        <v>59257.98</v>
      </c>
    </row>
    <row r="862" spans="1:4" x14ac:dyDescent="0.25">
      <c r="A862" s="331">
        <v>83019</v>
      </c>
      <c r="B862" s="323" t="s">
        <v>8322</v>
      </c>
      <c r="C862" s="323" t="s">
        <v>7539</v>
      </c>
      <c r="D862" s="324">
        <f>SUMIF(Leerlingaantallen[Werkgevernummer],BevoegdGezag!A862,Leerlingaantallen[Bedrag])</f>
        <v>28775.480000000003</v>
      </c>
    </row>
    <row r="863" spans="1:4" x14ac:dyDescent="0.25">
      <c r="A863" s="331">
        <v>83149</v>
      </c>
      <c r="B863" s="323" t="s">
        <v>8323</v>
      </c>
      <c r="C863" s="323" t="s">
        <v>7539</v>
      </c>
      <c r="D863" s="324">
        <f>SUMIF(Leerlingaantallen[Werkgevernummer],BevoegdGezag!A863,Leerlingaantallen[Bedrag])</f>
        <v>285316.2</v>
      </c>
    </row>
    <row r="864" spans="1:4" x14ac:dyDescent="0.25">
      <c r="A864" s="331">
        <v>83163</v>
      </c>
      <c r="B864" s="323" t="s">
        <v>8324</v>
      </c>
      <c r="C864" s="323" t="s">
        <v>7544</v>
      </c>
      <c r="D864" s="324">
        <f>SUMIF(Leerlingaantallen[Werkgevernummer],BevoegdGezag!A864,Leerlingaantallen[Bedrag])</f>
        <v>535028.84000000008</v>
      </c>
    </row>
    <row r="865" spans="1:4" x14ac:dyDescent="0.25">
      <c r="A865" s="331">
        <v>83189</v>
      </c>
      <c r="B865" s="323" t="s">
        <v>8487</v>
      </c>
      <c r="C865" s="323" t="s">
        <v>7544</v>
      </c>
      <c r="D865" s="324">
        <f>SUMIF(Leerlingaantallen[Werkgevernummer],BevoegdGezag!A865,Leerlingaantallen[Bedrag])</f>
        <v>998850.56000000006</v>
      </c>
    </row>
    <row r="866" spans="1:4" x14ac:dyDescent="0.25">
      <c r="A866" s="331">
        <v>83228</v>
      </c>
      <c r="B866" s="323" t="s">
        <v>8325</v>
      </c>
      <c r="C866" s="323" t="s">
        <v>7539</v>
      </c>
      <c r="D866" s="324">
        <f>SUMIF(Leerlingaantallen[Werkgevernummer],BevoegdGezag!A866,Leerlingaantallen[Bedrag])</f>
        <v>467235.76000000007</v>
      </c>
    </row>
    <row r="867" spans="1:4" x14ac:dyDescent="0.25">
      <c r="A867" s="331">
        <v>83267</v>
      </c>
      <c r="B867" s="323" t="s">
        <v>8326</v>
      </c>
      <c r="C867" s="323" t="s">
        <v>7539</v>
      </c>
      <c r="D867" s="324">
        <f>SUMIF(Leerlingaantallen[Werkgevernummer],BevoegdGezag!A867,Leerlingaantallen[Bedrag])</f>
        <v>35115.840000000004</v>
      </c>
    </row>
    <row r="868" spans="1:4" x14ac:dyDescent="0.25">
      <c r="A868" s="331">
        <v>83280</v>
      </c>
      <c r="B868" s="323" t="s">
        <v>8327</v>
      </c>
      <c r="C868" s="323" t="s">
        <v>7984</v>
      </c>
      <c r="D868" s="324">
        <f>SUMIF(Leerlingaantallen[Werkgevernummer],BevoegdGezag!A868,Leerlingaantallen[Bedrag])</f>
        <v>2259119.0400000005</v>
      </c>
    </row>
    <row r="869" spans="1:4" x14ac:dyDescent="0.25">
      <c r="A869" s="331">
        <v>83579</v>
      </c>
      <c r="B869" s="323" t="s">
        <v>8328</v>
      </c>
      <c r="C869" s="323" t="s">
        <v>7539</v>
      </c>
      <c r="D869" s="324">
        <f>SUMIF(Leerlingaantallen[Werkgevernummer],BevoegdGezag!A869,Leerlingaantallen[Bedrag])</f>
        <v>318968.88</v>
      </c>
    </row>
    <row r="870" spans="1:4" x14ac:dyDescent="0.25">
      <c r="A870" s="331">
        <v>83656</v>
      </c>
      <c r="B870" s="323" t="s">
        <v>7557</v>
      </c>
      <c r="C870" s="323" t="s">
        <v>7539</v>
      </c>
      <c r="D870" s="324">
        <f>SUMIF(Leerlingaantallen[Werkgevernummer],BevoegdGezag!A870,Leerlingaantallen[Bedrag])</f>
        <v>69500.100000000006</v>
      </c>
    </row>
    <row r="871" spans="1:4" x14ac:dyDescent="0.25">
      <c r="A871" s="331">
        <v>83696</v>
      </c>
      <c r="B871" s="323" t="s">
        <v>8329</v>
      </c>
      <c r="C871" s="323" t="s">
        <v>7539</v>
      </c>
      <c r="D871" s="324">
        <f>SUMIF(Leerlingaantallen[Werkgevernummer],BevoegdGezag!A871,Leerlingaantallen[Bedrag])</f>
        <v>74621.16</v>
      </c>
    </row>
    <row r="872" spans="1:4" x14ac:dyDescent="0.25">
      <c r="A872" s="331">
        <v>83786</v>
      </c>
      <c r="B872" s="323" t="s">
        <v>8330</v>
      </c>
      <c r="C872" s="323" t="s">
        <v>7539</v>
      </c>
      <c r="D872" s="324">
        <f>SUMIF(Leerlingaantallen[Werkgevernummer],BevoegdGezag!A872,Leerlingaantallen[Bedrag])</f>
        <v>59745.700000000004</v>
      </c>
    </row>
    <row r="873" spans="1:4" x14ac:dyDescent="0.25">
      <c r="A873" s="331">
        <v>83864</v>
      </c>
      <c r="B873" s="323" t="s">
        <v>8138</v>
      </c>
      <c r="C873" s="323" t="s">
        <v>7539</v>
      </c>
      <c r="D873" s="324">
        <f>SUMIF(Leerlingaantallen[Werkgevernummer],BevoegdGezag!A873,Leerlingaantallen[Bedrag])</f>
        <v>300679.38</v>
      </c>
    </row>
    <row r="874" spans="1:4" x14ac:dyDescent="0.25">
      <c r="A874" s="331">
        <v>84046</v>
      </c>
      <c r="B874" s="323" t="s">
        <v>8331</v>
      </c>
      <c r="C874" s="323" t="s">
        <v>7539</v>
      </c>
      <c r="D874" s="324">
        <f>SUMIF(Leerlingaantallen[Werkgevernummer],BevoegdGezag!A874,Leerlingaantallen[Bedrag])</f>
        <v>75108.88</v>
      </c>
    </row>
    <row r="875" spans="1:4" x14ac:dyDescent="0.25">
      <c r="A875" s="331">
        <v>84151</v>
      </c>
      <c r="B875" s="323" t="s">
        <v>8488</v>
      </c>
      <c r="C875" s="323" t="s">
        <v>7539</v>
      </c>
      <c r="D875" s="324">
        <f>SUMIF(Leerlingaantallen[Werkgevernummer],BevoegdGezag!A875,Leerlingaantallen[Bedrag])</f>
        <v>73889.58</v>
      </c>
    </row>
    <row r="876" spans="1:4" x14ac:dyDescent="0.25">
      <c r="A876" s="331">
        <v>84202</v>
      </c>
      <c r="B876" s="323" t="s">
        <v>8489</v>
      </c>
      <c r="C876" s="323" t="s">
        <v>7539</v>
      </c>
      <c r="D876" s="324">
        <f>SUMIF(Leerlingaantallen[Werkgevernummer],BevoegdGezag!A876,Leerlingaantallen[Bedrag])</f>
        <v>118515.96</v>
      </c>
    </row>
    <row r="877" spans="1:4" x14ac:dyDescent="0.25">
      <c r="A877" s="331">
        <v>84215</v>
      </c>
      <c r="B877" s="323" t="s">
        <v>8332</v>
      </c>
      <c r="C877" s="323" t="s">
        <v>7539</v>
      </c>
      <c r="D877" s="324">
        <f>SUMIF(Leerlingaantallen[Werkgevernummer],BevoegdGezag!A877,Leerlingaantallen[Bedrag])</f>
        <v>23410.560000000001</v>
      </c>
    </row>
    <row r="878" spans="1:4" x14ac:dyDescent="0.25">
      <c r="A878" s="331">
        <v>84332</v>
      </c>
      <c r="B878" s="323" t="s">
        <v>8333</v>
      </c>
      <c r="C878" s="323" t="s">
        <v>7539</v>
      </c>
      <c r="D878" s="324">
        <f>SUMIF(Leerlingaantallen[Werkgevernummer],BevoegdGezag!A878,Leerlingaantallen[Bedrag])</f>
        <v>15363.18</v>
      </c>
    </row>
    <row r="879" spans="1:4" x14ac:dyDescent="0.25">
      <c r="A879" s="331">
        <v>84411</v>
      </c>
      <c r="B879" s="323" t="s">
        <v>8334</v>
      </c>
      <c r="C879" s="323" t="s">
        <v>7537</v>
      </c>
      <c r="D879" s="324">
        <f>SUMIF(Leerlingaantallen[Werkgevernummer],BevoegdGezag!A879,Leerlingaantallen[Bedrag])</f>
        <v>72182.559999999998</v>
      </c>
    </row>
    <row r="880" spans="1:4" x14ac:dyDescent="0.25">
      <c r="A880" s="331">
        <v>84423</v>
      </c>
      <c r="B880" s="323" t="s">
        <v>8335</v>
      </c>
      <c r="C880" s="323" t="s">
        <v>7539</v>
      </c>
      <c r="D880" s="324">
        <f>SUMIF(Leerlingaantallen[Werkgevernummer],BevoegdGezag!A880,Leerlingaantallen[Bedrag])</f>
        <v>126075.62000000001</v>
      </c>
    </row>
    <row r="881" spans="1:4" x14ac:dyDescent="0.25">
      <c r="A881" s="331">
        <v>84463</v>
      </c>
      <c r="B881" s="323" t="s">
        <v>8490</v>
      </c>
      <c r="C881" s="323" t="s">
        <v>7537</v>
      </c>
      <c r="D881" s="324">
        <f>SUMIF(Leerlingaantallen[Werkgevernummer],BevoegdGezag!A881,Leerlingaantallen[Bedrag])</f>
        <v>23044.77</v>
      </c>
    </row>
    <row r="882" spans="1:4" x14ac:dyDescent="0.25">
      <c r="A882" s="331">
        <v>84489</v>
      </c>
      <c r="B882" s="323" t="s">
        <v>8336</v>
      </c>
      <c r="C882" s="323" t="s">
        <v>7537</v>
      </c>
      <c r="D882" s="324">
        <f>SUMIF(Leerlingaantallen[Werkgevernummer],BevoegdGezag!A882,Leerlingaantallen[Bedrag])</f>
        <v>36335.14</v>
      </c>
    </row>
    <row r="883" spans="1:4" x14ac:dyDescent="0.25">
      <c r="A883" s="331">
        <v>84515</v>
      </c>
      <c r="B883" s="323" t="s">
        <v>8491</v>
      </c>
      <c r="C883" s="323" t="s">
        <v>7537</v>
      </c>
      <c r="D883" s="324">
        <f>SUMIF(Leerlingaantallen[Werkgevernummer],BevoegdGezag!A883,Leerlingaantallen[Bedrag])</f>
        <v>183504.65000000002</v>
      </c>
    </row>
    <row r="884" spans="1:4" x14ac:dyDescent="0.25">
      <c r="A884" s="331">
        <v>84567</v>
      </c>
      <c r="B884" s="323" t="s">
        <v>8337</v>
      </c>
      <c r="C884" s="323" t="s">
        <v>7537</v>
      </c>
      <c r="D884" s="324">
        <f>SUMIF(Leerlingaantallen[Werkgevernummer],BevoegdGezag!A884,Leerlingaantallen[Bedrag])</f>
        <v>85838.720000000001</v>
      </c>
    </row>
    <row r="885" spans="1:4" x14ac:dyDescent="0.25">
      <c r="A885" s="331">
        <v>84579</v>
      </c>
      <c r="B885" s="323" t="s">
        <v>8338</v>
      </c>
      <c r="C885" s="323" t="s">
        <v>7539</v>
      </c>
      <c r="D885" s="324">
        <f>SUMIF(Leerlingaantallen[Werkgevernummer],BevoegdGezag!A885,Leerlingaantallen[Bedrag])</f>
        <v>102908.92000000001</v>
      </c>
    </row>
    <row r="886" spans="1:4" x14ac:dyDescent="0.25">
      <c r="A886" s="331">
        <v>84787</v>
      </c>
      <c r="B886" s="323" t="s">
        <v>8339</v>
      </c>
      <c r="C886" s="323" t="s">
        <v>7539</v>
      </c>
      <c r="D886" s="324">
        <f>SUMIF(Leerlingaantallen[Werkgevernummer],BevoegdGezag!A886,Leerlingaantallen[Bedrag])</f>
        <v>23654.420000000002</v>
      </c>
    </row>
    <row r="887" spans="1:4" x14ac:dyDescent="0.25">
      <c r="A887" s="331">
        <v>84801</v>
      </c>
      <c r="B887" s="323" t="s">
        <v>8340</v>
      </c>
      <c r="C887" s="323" t="s">
        <v>7587</v>
      </c>
      <c r="D887" s="324">
        <f>SUMIF(Leerlingaantallen[Werkgevernummer],BevoegdGezag!A887,Leerlingaantallen[Bedrag])</f>
        <v>88033.46</v>
      </c>
    </row>
    <row r="888" spans="1:4" x14ac:dyDescent="0.25">
      <c r="A888" s="331">
        <v>84827</v>
      </c>
      <c r="B888" s="323" t="s">
        <v>8341</v>
      </c>
      <c r="C888" s="323" t="s">
        <v>7539</v>
      </c>
      <c r="D888" s="324">
        <f>SUMIF(Leerlingaantallen[Werkgevernummer],BevoegdGezag!A888,Leerlingaantallen[Bedrag])</f>
        <v>69743.960000000006</v>
      </c>
    </row>
    <row r="889" spans="1:4" x14ac:dyDescent="0.25">
      <c r="A889" s="331">
        <v>85048</v>
      </c>
      <c r="B889" s="323" t="s">
        <v>8342</v>
      </c>
      <c r="C889" s="323" t="s">
        <v>7537</v>
      </c>
      <c r="D889" s="324">
        <f>SUMIF(Leerlingaantallen[Werkgevernummer],BevoegdGezag!A889,Leerlingaantallen[Bedrag])</f>
        <v>56087.8</v>
      </c>
    </row>
    <row r="890" spans="1:4" x14ac:dyDescent="0.25">
      <c r="A890" s="331">
        <v>85255</v>
      </c>
      <c r="B890" s="323" t="s">
        <v>8343</v>
      </c>
      <c r="C890" s="323" t="s">
        <v>7539</v>
      </c>
      <c r="D890" s="324">
        <f>SUMIF(Leerlingaantallen[Werkgevernummer],BevoegdGezag!A890,Leerlingaantallen[Bedrag])</f>
        <v>1300505.3800000001</v>
      </c>
    </row>
    <row r="891" spans="1:4" x14ac:dyDescent="0.25">
      <c r="A891" s="331">
        <v>85256</v>
      </c>
      <c r="B891" s="323" t="s">
        <v>8492</v>
      </c>
      <c r="C891" s="323" t="s">
        <v>7537</v>
      </c>
      <c r="D891" s="324">
        <f>SUMIF(Leerlingaantallen[Werkgevernummer],BevoegdGezag!A891,Leerlingaantallen[Bedrag])</f>
        <v>731580</v>
      </c>
    </row>
    <row r="892" spans="1:4" x14ac:dyDescent="0.25">
      <c r="A892" s="331">
        <v>85269</v>
      </c>
      <c r="B892" s="323" t="s">
        <v>8493</v>
      </c>
      <c r="C892" s="323" t="s">
        <v>7544</v>
      </c>
      <c r="D892" s="324">
        <f>SUMIF(Leerlingaantallen[Werkgevernummer],BevoegdGezag!A892,Leerlingaantallen[Bedrag])</f>
        <v>251175.8</v>
      </c>
    </row>
    <row r="893" spans="1:4" x14ac:dyDescent="0.25">
      <c r="A893" s="331">
        <v>85321</v>
      </c>
      <c r="B893" s="323" t="s">
        <v>8494</v>
      </c>
      <c r="C893" s="323" t="s">
        <v>7539</v>
      </c>
      <c r="D893" s="324">
        <f>SUMIF(Leerlingaantallen[Werkgevernummer],BevoegdGezag!A893,Leerlingaantallen[Bedrag])</f>
        <v>145218.63</v>
      </c>
    </row>
    <row r="894" spans="1:4" x14ac:dyDescent="0.25">
      <c r="A894" s="331">
        <v>85476</v>
      </c>
      <c r="B894" s="323" t="s">
        <v>8344</v>
      </c>
      <c r="C894" s="323" t="s">
        <v>7539</v>
      </c>
      <c r="D894" s="324">
        <f>SUMIF(Leerlingaantallen[Werkgevernummer],BevoegdGezag!A894,Leerlingaantallen[Bedrag])</f>
        <v>685246.60000000009</v>
      </c>
    </row>
    <row r="895" spans="1:4" x14ac:dyDescent="0.25">
      <c r="A895" s="331">
        <v>85581</v>
      </c>
      <c r="B895" s="323" t="s">
        <v>8495</v>
      </c>
      <c r="C895" s="323" t="s">
        <v>7544</v>
      </c>
      <c r="D895" s="324">
        <f>SUMIF(Leerlingaantallen[Werkgevernummer],BevoegdGezag!A895,Leerlingaantallen[Bedrag])</f>
        <v>129245.79999999999</v>
      </c>
    </row>
    <row r="896" spans="1:4" x14ac:dyDescent="0.25">
      <c r="A896" s="331">
        <v>85600</v>
      </c>
      <c r="B896" s="323" t="s">
        <v>8345</v>
      </c>
      <c r="C896" s="323" t="s">
        <v>7539</v>
      </c>
      <c r="D896" s="324">
        <f>SUMIF(Leerlingaantallen[Werkgevernummer],BevoegdGezag!A896,Leerlingaantallen[Bedrag])</f>
        <v>392858.46</v>
      </c>
    </row>
    <row r="897" spans="1:4" x14ac:dyDescent="0.25">
      <c r="A897" s="331">
        <v>85775</v>
      </c>
      <c r="B897" s="323" t="s">
        <v>8496</v>
      </c>
      <c r="C897" s="323" t="s">
        <v>7539</v>
      </c>
      <c r="D897" s="324">
        <f>SUMIF(Leerlingaantallen[Werkgevernummer],BevoegdGezag!A897,Leerlingaantallen[Bedrag])</f>
        <v>58038.680000000008</v>
      </c>
    </row>
    <row r="898" spans="1:4" x14ac:dyDescent="0.25">
      <c r="A898" s="331">
        <v>86464</v>
      </c>
      <c r="B898" s="323" t="s">
        <v>8346</v>
      </c>
      <c r="C898" s="323" t="s">
        <v>7539</v>
      </c>
      <c r="D898" s="324">
        <f>SUMIF(Leerlingaantallen[Werkgevernummer],BevoegdGezag!A898,Leerlingaantallen[Bedrag])</f>
        <v>15607.04</v>
      </c>
    </row>
    <row r="899" spans="1:4" x14ac:dyDescent="0.25">
      <c r="A899" s="331">
        <v>86802</v>
      </c>
      <c r="B899" s="323" t="s">
        <v>8347</v>
      </c>
      <c r="C899" s="323" t="s">
        <v>7539</v>
      </c>
      <c r="D899" s="324">
        <f>SUMIF(Leerlingaantallen[Werkgevernummer],BevoegdGezag!A899,Leerlingaantallen[Bedrag])</f>
        <v>29263.200000000001</v>
      </c>
    </row>
    <row r="900" spans="1:4" x14ac:dyDescent="0.25">
      <c r="A900" s="331">
        <v>86971</v>
      </c>
      <c r="B900" s="323" t="s">
        <v>8497</v>
      </c>
      <c r="C900" s="323" t="s">
        <v>7539</v>
      </c>
      <c r="D900" s="324">
        <f>SUMIF(Leerlingaantallen[Werkgevernummer],BevoegdGezag!A900,Leerlingaantallen[Bedrag])</f>
        <v>125831.76000000001</v>
      </c>
    </row>
    <row r="901" spans="1:4" x14ac:dyDescent="0.25">
      <c r="A901" s="331">
        <v>87205</v>
      </c>
      <c r="B901" s="323" t="s">
        <v>8348</v>
      </c>
      <c r="C901" s="323" t="s">
        <v>7539</v>
      </c>
      <c r="D901" s="324">
        <f>SUMIF(Leerlingaantallen[Werkgevernummer],BevoegdGezag!A901,Leerlingaantallen[Bedrag])</f>
        <v>42431.64</v>
      </c>
    </row>
    <row r="902" spans="1:4" x14ac:dyDescent="0.25">
      <c r="A902" s="331">
        <v>87920</v>
      </c>
      <c r="B902" s="323" t="s">
        <v>8349</v>
      </c>
      <c r="C902" s="323" t="s">
        <v>7539</v>
      </c>
      <c r="D902" s="324">
        <f>SUMIF(Leerlingaantallen[Werkgevernummer],BevoegdGezag!A902,Leerlingaantallen[Bedrag])</f>
        <v>154851.1</v>
      </c>
    </row>
    <row r="903" spans="1:4" x14ac:dyDescent="0.25">
      <c r="A903" s="331">
        <v>87998</v>
      </c>
      <c r="B903" s="323" t="s">
        <v>8350</v>
      </c>
      <c r="C903" s="323" t="s">
        <v>7539</v>
      </c>
      <c r="D903" s="324">
        <f>SUMIF(Leerlingaantallen[Werkgevernummer],BevoegdGezag!A903,Leerlingaantallen[Bedrag])</f>
        <v>40724.620000000003</v>
      </c>
    </row>
    <row r="904" spans="1:4" x14ac:dyDescent="0.25">
      <c r="A904" s="331">
        <v>88674</v>
      </c>
      <c r="B904" s="323" t="s">
        <v>8351</v>
      </c>
      <c r="C904" s="323" t="s">
        <v>7539</v>
      </c>
      <c r="D904" s="324">
        <f>SUMIF(Leerlingaantallen[Werkgevernummer],BevoegdGezag!A904,Leerlingaantallen[Bedrag])</f>
        <v>36822.86</v>
      </c>
    </row>
    <row r="905" spans="1:4" x14ac:dyDescent="0.25">
      <c r="A905" s="331">
        <v>89012</v>
      </c>
      <c r="B905" s="323" t="s">
        <v>8352</v>
      </c>
      <c r="C905" s="323" t="s">
        <v>7539</v>
      </c>
      <c r="D905" s="324">
        <f>SUMIF(Leerlingaantallen[Werkgevernummer],BevoegdGezag!A905,Leerlingaantallen[Bedrag])</f>
        <v>35847.420000000006</v>
      </c>
    </row>
    <row r="906" spans="1:4" x14ac:dyDescent="0.25">
      <c r="A906" s="331">
        <v>89155</v>
      </c>
      <c r="B906" s="323" t="s">
        <v>8353</v>
      </c>
      <c r="C906" s="323" t="s">
        <v>7539</v>
      </c>
      <c r="D906" s="324">
        <f>SUMIF(Leerlingaantallen[Werkgevernummer],BevoegdGezag!A906,Leerlingaantallen[Bedrag])</f>
        <v>350426.82</v>
      </c>
    </row>
    <row r="907" spans="1:4" x14ac:dyDescent="0.25">
      <c r="A907" s="331">
        <v>89532</v>
      </c>
      <c r="B907" s="323" t="s">
        <v>8354</v>
      </c>
      <c r="C907" s="323" t="s">
        <v>7539</v>
      </c>
      <c r="D907" s="324">
        <f>SUMIF(Leerlingaantallen[Werkgevernummer],BevoegdGezag!A907,Leerlingaantallen[Bedrag])</f>
        <v>55356.22</v>
      </c>
    </row>
    <row r="908" spans="1:4" x14ac:dyDescent="0.25">
      <c r="A908" s="331">
        <v>89571</v>
      </c>
      <c r="B908" s="323" t="s">
        <v>8355</v>
      </c>
      <c r="C908" s="323" t="s">
        <v>7535</v>
      </c>
      <c r="D908" s="324">
        <f>SUMIF(Leerlingaantallen[Werkgevernummer],BevoegdGezag!A908,Leerlingaantallen[Bedrag])</f>
        <v>32189.52</v>
      </c>
    </row>
    <row r="909" spans="1:4" x14ac:dyDescent="0.25">
      <c r="A909" s="331">
        <v>90169</v>
      </c>
      <c r="B909" s="323" t="s">
        <v>8356</v>
      </c>
      <c r="C909" s="323" t="s">
        <v>7539</v>
      </c>
      <c r="D909" s="324">
        <f>SUMIF(Leerlingaantallen[Werkgevernummer],BevoegdGezag!A909,Leerlingaantallen[Bedrag])</f>
        <v>125831.76</v>
      </c>
    </row>
    <row r="910" spans="1:4" x14ac:dyDescent="0.25">
      <c r="A910" s="331">
        <v>90351</v>
      </c>
      <c r="B910" s="323" t="s">
        <v>8357</v>
      </c>
      <c r="C910" s="323" t="s">
        <v>7535</v>
      </c>
      <c r="D910" s="324">
        <f>SUMIF(Leerlingaantallen[Werkgevernummer],BevoegdGezag!A910,Leerlingaantallen[Bedrag])</f>
        <v>15119.320000000002</v>
      </c>
    </row>
    <row r="911" spans="1:4" x14ac:dyDescent="0.25">
      <c r="A911" s="331">
        <v>90637</v>
      </c>
      <c r="B911" s="323" t="s">
        <v>8358</v>
      </c>
      <c r="C911" s="323" t="s">
        <v>7539</v>
      </c>
      <c r="D911" s="324">
        <f>SUMIF(Leerlingaantallen[Werkgevernummer],BevoegdGezag!A911,Leerlingaantallen[Bedrag])</f>
        <v>63647.460000000006</v>
      </c>
    </row>
    <row r="912" spans="1:4" x14ac:dyDescent="0.25">
      <c r="A912" s="331">
        <v>91079</v>
      </c>
      <c r="B912" s="323" t="s">
        <v>8359</v>
      </c>
      <c r="C912" s="323" t="s">
        <v>7539</v>
      </c>
      <c r="D912" s="324">
        <f>SUMIF(Leerlingaantallen[Werkgevernummer],BevoegdGezag!A912,Leerlingaantallen[Bedrag])</f>
        <v>21459.68</v>
      </c>
    </row>
    <row r="913" spans="1:4" x14ac:dyDescent="0.25">
      <c r="A913" s="331">
        <v>91118</v>
      </c>
      <c r="B913" s="323" t="s">
        <v>8360</v>
      </c>
      <c r="C913" s="323" t="s">
        <v>7539</v>
      </c>
      <c r="D913" s="324">
        <f>SUMIF(Leerlingaantallen[Werkgevernummer],BevoegdGezag!A913,Leerlingaantallen[Bedrag])</f>
        <v>132659.84</v>
      </c>
    </row>
    <row r="914" spans="1:4" x14ac:dyDescent="0.25">
      <c r="A914" s="331">
        <v>91456</v>
      </c>
      <c r="B914" s="323" t="s">
        <v>8361</v>
      </c>
      <c r="C914" s="323" t="s">
        <v>7535</v>
      </c>
      <c r="D914" s="324">
        <f>SUMIF(Leerlingaantallen[Werkgevernummer],BevoegdGezag!A914,Leerlingaantallen[Bedrag])</f>
        <v>37798.300000000003</v>
      </c>
    </row>
    <row r="915" spans="1:4" x14ac:dyDescent="0.25">
      <c r="A915" s="331">
        <v>92067</v>
      </c>
      <c r="B915" s="323" t="s">
        <v>8362</v>
      </c>
      <c r="C915" s="323" t="s">
        <v>7535</v>
      </c>
      <c r="D915" s="324">
        <f>SUMIF(Leerlingaantallen[Werkgevernummer],BevoegdGezag!A915,Leerlingaantallen[Bedrag])</f>
        <v>127294.92000000001</v>
      </c>
    </row>
    <row r="916" spans="1:4" x14ac:dyDescent="0.25">
      <c r="A916" s="331">
        <v>92210</v>
      </c>
      <c r="B916" s="323" t="s">
        <v>8363</v>
      </c>
      <c r="C916" s="323" t="s">
        <v>7539</v>
      </c>
      <c r="D916" s="324">
        <f>SUMIF(Leerlingaantallen[Werkgevernummer],BevoegdGezag!A916,Leerlingaantallen[Bedrag])</f>
        <v>30238.640000000003</v>
      </c>
    </row>
    <row r="917" spans="1:4" x14ac:dyDescent="0.25">
      <c r="A917" s="331">
        <v>92626</v>
      </c>
      <c r="B917" s="323" t="s">
        <v>8364</v>
      </c>
      <c r="C917" s="323" t="s">
        <v>7539</v>
      </c>
      <c r="D917" s="324">
        <f>SUMIF(Leerlingaantallen[Werkgevernummer],BevoegdGezag!A917,Leerlingaantallen[Bedrag])</f>
        <v>65354.479999999996</v>
      </c>
    </row>
    <row r="918" spans="1:4" x14ac:dyDescent="0.25">
      <c r="A918" s="331">
        <v>92639</v>
      </c>
      <c r="B918" s="323" t="s">
        <v>8365</v>
      </c>
      <c r="C918" s="323" t="s">
        <v>7539</v>
      </c>
      <c r="D918" s="324">
        <f>SUMIF(Leerlingaantallen[Werkgevernummer],BevoegdGezag!A918,Leerlingaantallen[Bedrag])</f>
        <v>28531.620000000003</v>
      </c>
    </row>
    <row r="919" spans="1:4" x14ac:dyDescent="0.25">
      <c r="A919" s="331">
        <v>92899</v>
      </c>
      <c r="B919" s="323" t="s">
        <v>8366</v>
      </c>
      <c r="C919" s="323" t="s">
        <v>7539</v>
      </c>
      <c r="D919" s="324">
        <f>SUMIF(Leerlingaantallen[Werkgevernummer],BevoegdGezag!A919,Leerlingaantallen[Bedrag])</f>
        <v>36579</v>
      </c>
    </row>
    <row r="920" spans="1:4" x14ac:dyDescent="0.25">
      <c r="A920" s="331">
        <v>92951</v>
      </c>
      <c r="B920" s="323" t="s">
        <v>8367</v>
      </c>
      <c r="C920" s="323" t="s">
        <v>7539</v>
      </c>
      <c r="D920" s="324">
        <f>SUMIF(Leerlingaantallen[Werkgevernummer],BevoegdGezag!A920,Leerlingaantallen[Bedrag])</f>
        <v>204598.54</v>
      </c>
    </row>
    <row r="921" spans="1:4" x14ac:dyDescent="0.25">
      <c r="A921" s="331">
        <v>93445</v>
      </c>
      <c r="B921" s="323" t="s">
        <v>8368</v>
      </c>
      <c r="C921" s="323" t="s">
        <v>7539</v>
      </c>
      <c r="D921" s="324">
        <f>SUMIF(Leerlingaantallen[Werkgevernummer],BevoegdGezag!A921,Leerlingaantallen[Bedrag])</f>
        <v>33652.68</v>
      </c>
    </row>
    <row r="922" spans="1:4" x14ac:dyDescent="0.25">
      <c r="A922" s="331">
        <v>94251</v>
      </c>
      <c r="B922" s="323" t="s">
        <v>8369</v>
      </c>
      <c r="C922" s="323" t="s">
        <v>7537</v>
      </c>
      <c r="D922" s="324">
        <f>SUMIF(Leerlingaantallen[Werkgevernummer],BevoegdGezag!A922,Leerlingaantallen[Bedrag])</f>
        <v>93154.52</v>
      </c>
    </row>
    <row r="923" spans="1:4" x14ac:dyDescent="0.25">
      <c r="A923" s="331">
        <v>94316</v>
      </c>
      <c r="B923" s="323" t="s">
        <v>8370</v>
      </c>
      <c r="C923" s="323" t="s">
        <v>7537</v>
      </c>
      <c r="D923" s="324">
        <f>SUMIF(Leerlingaantallen[Werkgevernummer],BevoegdGezag!A923,Leerlingaantallen[Bedrag])</f>
        <v>37310.58</v>
      </c>
    </row>
    <row r="924" spans="1:4" x14ac:dyDescent="0.25">
      <c r="A924" s="331">
        <v>94433</v>
      </c>
      <c r="B924" s="323" t="s">
        <v>8371</v>
      </c>
      <c r="C924" s="323" t="s">
        <v>7587</v>
      </c>
      <c r="D924" s="324">
        <f>SUMIF(Leerlingaantallen[Werkgevernummer],BevoegdGezag!A924,Leerlingaantallen[Bedrag])</f>
        <v>277024.96000000002</v>
      </c>
    </row>
    <row r="925" spans="1:4" x14ac:dyDescent="0.25">
      <c r="A925" s="331">
        <v>94459</v>
      </c>
      <c r="B925" s="323" t="s">
        <v>8372</v>
      </c>
      <c r="C925" s="323" t="s">
        <v>7537</v>
      </c>
      <c r="D925" s="324">
        <f>SUMIF(Leerlingaantallen[Werkgevernummer],BevoegdGezag!A925,Leerlingaantallen[Bedrag])</f>
        <v>59989.560000000005</v>
      </c>
    </row>
    <row r="926" spans="1:4" x14ac:dyDescent="0.25">
      <c r="A926" s="331">
        <v>94771</v>
      </c>
      <c r="B926" s="323" t="s">
        <v>8373</v>
      </c>
      <c r="C926" s="323" t="s">
        <v>7537</v>
      </c>
      <c r="D926" s="324">
        <f>SUMIF(Leerlingaantallen[Werkgevernummer],BevoegdGezag!A926,Leerlingaantallen[Bedrag])</f>
        <v>66086.06</v>
      </c>
    </row>
    <row r="927" spans="1:4" x14ac:dyDescent="0.25">
      <c r="A927" s="331">
        <v>94797</v>
      </c>
      <c r="B927" s="323" t="s">
        <v>8374</v>
      </c>
      <c r="C927" s="323" t="s">
        <v>7537</v>
      </c>
      <c r="D927" s="324">
        <f>SUMIF(Leerlingaantallen[Werkgevernummer],BevoegdGezag!A927,Leerlingaantallen[Bedrag])</f>
        <v>57063.240000000005</v>
      </c>
    </row>
    <row r="928" spans="1:4" x14ac:dyDescent="0.25">
      <c r="A928" s="331">
        <v>95135</v>
      </c>
      <c r="B928" s="323" t="s">
        <v>8375</v>
      </c>
      <c r="C928" s="323" t="s">
        <v>7537</v>
      </c>
      <c r="D928" s="324">
        <f>SUMIF(Leerlingaantallen[Werkgevernummer],BevoegdGezag!A928,Leerlingaantallen[Bedrag])</f>
        <v>96568.560000000012</v>
      </c>
    </row>
    <row r="929" spans="1:4" x14ac:dyDescent="0.25">
      <c r="A929" s="331">
        <v>95148</v>
      </c>
      <c r="B929" s="323" t="s">
        <v>8376</v>
      </c>
      <c r="C929" s="323" t="s">
        <v>7537</v>
      </c>
      <c r="D929" s="324">
        <f>SUMIF(Leerlingaantallen[Werkgevernummer],BevoegdGezag!A929,Leerlingaantallen[Bedrag])</f>
        <v>216059.96</v>
      </c>
    </row>
    <row r="930" spans="1:4" x14ac:dyDescent="0.25">
      <c r="A930" s="331">
        <v>95395</v>
      </c>
      <c r="B930" s="323" t="s">
        <v>8377</v>
      </c>
      <c r="C930" s="323" t="s">
        <v>7537</v>
      </c>
      <c r="D930" s="324">
        <f>SUMIF(Leerlingaantallen[Werkgevernummer],BevoegdGezag!A930,Leerlingaantallen[Bedrag])</f>
        <v>22922.84</v>
      </c>
    </row>
    <row r="931" spans="1:4" x14ac:dyDescent="0.25">
      <c r="A931" s="331">
        <v>95421</v>
      </c>
      <c r="B931" s="323" t="s">
        <v>8378</v>
      </c>
      <c r="C931" s="323" t="s">
        <v>7537</v>
      </c>
      <c r="D931" s="324">
        <f>SUMIF(Leerlingaantallen[Werkgevernummer],BevoegdGezag!A931,Leerlingaantallen[Bedrag])</f>
        <v>52673.760000000002</v>
      </c>
    </row>
    <row r="932" spans="1:4" x14ac:dyDescent="0.25">
      <c r="A932" s="331">
        <v>95655</v>
      </c>
      <c r="B932" s="323" t="s">
        <v>8379</v>
      </c>
      <c r="C932" s="323" t="s">
        <v>7537</v>
      </c>
      <c r="D932" s="324">
        <f>SUMIF(Leerlingaantallen[Werkgevernummer],BevoegdGezag!A932,Leerlingaantallen[Bedrag])</f>
        <v>92910.66</v>
      </c>
    </row>
    <row r="933" spans="1:4" x14ac:dyDescent="0.25">
      <c r="A933" s="331">
        <v>95681</v>
      </c>
      <c r="B933" s="323" t="s">
        <v>8380</v>
      </c>
      <c r="C933" s="323" t="s">
        <v>7537</v>
      </c>
      <c r="D933" s="324">
        <f>SUMIF(Leerlingaantallen[Werkgevernummer],BevoegdGezag!A933,Leerlingaantallen[Bedrag])</f>
        <v>107542.26000000001</v>
      </c>
    </row>
    <row r="934" spans="1:4" x14ac:dyDescent="0.25">
      <c r="A934" s="331">
        <v>95694</v>
      </c>
      <c r="B934" s="323" t="s">
        <v>8381</v>
      </c>
      <c r="C934" s="323" t="s">
        <v>7537</v>
      </c>
      <c r="D934" s="324">
        <f>SUMIF(Leerlingaantallen[Werkgevernummer],BevoegdGezag!A934,Leerlingaantallen[Bedrag])</f>
        <v>305800.44</v>
      </c>
    </row>
    <row r="935" spans="1:4" x14ac:dyDescent="0.25">
      <c r="A935" s="331">
        <v>95746</v>
      </c>
      <c r="B935" s="323" t="s">
        <v>8382</v>
      </c>
      <c r="C935" s="323" t="s">
        <v>7537</v>
      </c>
      <c r="D935" s="324">
        <f>SUMIF(Leerlingaantallen[Werkgevernummer],BevoegdGezag!A935,Leerlingaantallen[Bedrag])</f>
        <v>73645.72</v>
      </c>
    </row>
    <row r="936" spans="1:4" x14ac:dyDescent="0.25">
      <c r="A936" s="331">
        <v>95785</v>
      </c>
      <c r="B936" s="323" t="s">
        <v>8383</v>
      </c>
      <c r="C936" s="323" t="s">
        <v>7587</v>
      </c>
      <c r="D936" s="324">
        <f>SUMIF(Leerlingaantallen[Werkgevernummer],BevoegdGezag!A936,Leerlingaantallen[Bedrag])</f>
        <v>107298.40000000001</v>
      </c>
    </row>
    <row r="937" spans="1:4" x14ac:dyDescent="0.25">
      <c r="A937" s="331">
        <v>95863</v>
      </c>
      <c r="B937" s="323" t="s">
        <v>8498</v>
      </c>
      <c r="C937" s="323" t="s">
        <v>7537</v>
      </c>
      <c r="D937" s="324">
        <f>SUMIF(Leerlingaantallen[Werkgevernummer],BevoegdGezag!A937,Leerlingaantallen[Bedrag])</f>
        <v>72670.28</v>
      </c>
    </row>
    <row r="938" spans="1:4" x14ac:dyDescent="0.25">
      <c r="A938" s="331">
        <v>95954</v>
      </c>
      <c r="B938" s="323" t="s">
        <v>8384</v>
      </c>
      <c r="C938" s="323" t="s">
        <v>7537</v>
      </c>
      <c r="D938" s="324">
        <f>SUMIF(Leerlingaantallen[Werkgevernummer],BevoegdGezag!A938,Leerlingaantallen[Bedrag])</f>
        <v>73158</v>
      </c>
    </row>
    <row r="939" spans="1:4" x14ac:dyDescent="0.25">
      <c r="A939" s="331">
        <v>96240</v>
      </c>
      <c r="B939" s="323" t="s">
        <v>8499</v>
      </c>
      <c r="C939" s="323" t="s">
        <v>7537</v>
      </c>
      <c r="D939" s="324">
        <f>SUMIF(Leerlingaantallen[Werkgevernummer],BevoegdGezag!A939,Leerlingaantallen[Bedrag])</f>
        <v>374568.95999999996</v>
      </c>
    </row>
    <row r="940" spans="1:4" x14ac:dyDescent="0.25">
      <c r="A940" s="331">
        <v>96266</v>
      </c>
      <c r="B940" s="323" t="s">
        <v>8385</v>
      </c>
      <c r="C940" s="323" t="s">
        <v>7537</v>
      </c>
      <c r="D940" s="324">
        <f>SUMIF(Leerlingaantallen[Werkgevernummer],BevoegdGezag!A940,Leerlingaantallen[Bedrag])</f>
        <v>58526.400000000001</v>
      </c>
    </row>
    <row r="941" spans="1:4" x14ac:dyDescent="0.25">
      <c r="A941" s="331">
        <v>96292</v>
      </c>
      <c r="B941" s="323" t="s">
        <v>8386</v>
      </c>
      <c r="C941" s="323" t="s">
        <v>7537</v>
      </c>
      <c r="D941" s="324">
        <f>SUMIF(Leerlingaantallen[Werkgevernummer],BevoegdGezag!A941,Leerlingaantallen[Bedrag])</f>
        <v>57307.100000000006</v>
      </c>
    </row>
    <row r="942" spans="1:4" x14ac:dyDescent="0.25">
      <c r="A942" s="331">
        <v>96409</v>
      </c>
      <c r="B942" s="323" t="s">
        <v>8387</v>
      </c>
      <c r="C942" s="323" t="s">
        <v>7537</v>
      </c>
      <c r="D942" s="324">
        <f>SUMIF(Leerlingaantallen[Werkgevernummer],BevoegdGezag!A942,Leerlingaantallen[Bedrag])</f>
        <v>59989.560000000005</v>
      </c>
    </row>
    <row r="943" spans="1:4" x14ac:dyDescent="0.25">
      <c r="A943" s="331">
        <v>96617</v>
      </c>
      <c r="B943" s="323" t="s">
        <v>8388</v>
      </c>
      <c r="C943" s="323" t="s">
        <v>7537</v>
      </c>
      <c r="D943" s="324">
        <f>SUMIF(Leerlingaantallen[Werkgevernummer],BevoegdGezag!A943,Leerlingaantallen[Bedrag])</f>
        <v>69500.100000000006</v>
      </c>
    </row>
    <row r="944" spans="1:4" x14ac:dyDescent="0.25">
      <c r="A944" s="331">
        <v>96864</v>
      </c>
      <c r="B944" s="323" t="s">
        <v>8389</v>
      </c>
      <c r="C944" s="323" t="s">
        <v>7539</v>
      </c>
      <c r="D944" s="324">
        <f>SUMIF(Leerlingaantallen[Werkgevernummer],BevoegdGezag!A944,Leerlingaantallen[Bedrag])</f>
        <v>19021.080000000002</v>
      </c>
    </row>
    <row r="945" spans="1:4" x14ac:dyDescent="0.25">
      <c r="A945" s="331">
        <v>97137</v>
      </c>
      <c r="B945" s="323" t="s">
        <v>8390</v>
      </c>
      <c r="C945" s="323" t="s">
        <v>7537</v>
      </c>
      <c r="D945" s="324">
        <f>SUMIF(Leerlingaantallen[Werkgevernummer],BevoegdGezag!A945,Leerlingaantallen[Bedrag])</f>
        <v>53649.200000000004</v>
      </c>
    </row>
    <row r="946" spans="1:4" x14ac:dyDescent="0.25">
      <c r="A946" s="331">
        <v>97176</v>
      </c>
      <c r="B946" s="323" t="s">
        <v>8391</v>
      </c>
      <c r="C946" s="323" t="s">
        <v>7537</v>
      </c>
      <c r="D946" s="324">
        <f>SUMIF(Leerlingaantallen[Werkgevernummer],BevoegdGezag!A946,Leerlingaantallen[Bedrag])</f>
        <v>58038.68</v>
      </c>
    </row>
    <row r="947" spans="1:4" x14ac:dyDescent="0.25">
      <c r="A947" s="331">
        <v>97358</v>
      </c>
      <c r="B947" s="323" t="s">
        <v>8392</v>
      </c>
      <c r="C947" s="323" t="s">
        <v>7537</v>
      </c>
      <c r="D947" s="324">
        <f>SUMIF(Leerlingaantallen[Werkgevernummer],BevoegdGezag!A947,Leerlingaantallen[Bedrag])</f>
        <v>165580.94</v>
      </c>
    </row>
    <row r="948" spans="1:4" x14ac:dyDescent="0.25">
      <c r="A948" s="331">
        <v>98190</v>
      </c>
      <c r="B948" s="323" t="s">
        <v>8393</v>
      </c>
      <c r="C948" s="323" t="s">
        <v>7537</v>
      </c>
      <c r="D948" s="324">
        <f>SUMIF(Leerlingaantallen[Werkgevernummer],BevoegdGezag!A948,Leerlingaantallen[Bedrag])</f>
        <v>58038.68</v>
      </c>
    </row>
    <row r="949" spans="1:4" x14ac:dyDescent="0.25">
      <c r="A949" s="331">
        <v>98229</v>
      </c>
      <c r="B949" s="323" t="s">
        <v>8500</v>
      </c>
      <c r="C949" s="323" t="s">
        <v>7537</v>
      </c>
      <c r="D949" s="324">
        <f>SUMIF(Leerlingaantallen[Werkgevernummer],BevoegdGezag!A949,Leerlingaantallen[Bedrag])</f>
        <v>39993.040000000001</v>
      </c>
    </row>
    <row r="950" spans="1:4" x14ac:dyDescent="0.25">
      <c r="A950" s="331">
        <v>98255</v>
      </c>
      <c r="B950" s="323" t="s">
        <v>8394</v>
      </c>
      <c r="C950" s="323" t="s">
        <v>7537</v>
      </c>
      <c r="D950" s="324">
        <f>SUMIF(Leerlingaantallen[Werkgevernummer],BevoegdGezag!A950,Leerlingaantallen[Bedrag])</f>
        <v>35115.840000000004</v>
      </c>
    </row>
    <row r="951" spans="1:4" x14ac:dyDescent="0.25">
      <c r="A951" s="331">
        <v>98398</v>
      </c>
      <c r="B951" s="323" t="s">
        <v>8395</v>
      </c>
      <c r="C951" s="323" t="s">
        <v>7537</v>
      </c>
      <c r="D951" s="324">
        <f>SUMIF(Leerlingaantallen[Werkgevernummer],BevoegdGezag!A951,Leerlingaantallen[Bedrag])</f>
        <v>27556.18</v>
      </c>
    </row>
    <row r="952" spans="1:4" x14ac:dyDescent="0.25">
      <c r="A952" s="331">
        <v>98463</v>
      </c>
      <c r="B952" s="323" t="s">
        <v>8396</v>
      </c>
      <c r="C952" s="323" t="s">
        <v>7537</v>
      </c>
      <c r="D952" s="324">
        <f>SUMIF(Leerlingaantallen[Werkgevernummer],BevoegdGezag!A952,Leerlingaantallen[Bedrag])</f>
        <v>59745.700000000004</v>
      </c>
    </row>
    <row r="953" spans="1:4" x14ac:dyDescent="0.25">
      <c r="A953" s="331">
        <v>98489</v>
      </c>
      <c r="B953" s="323" t="s">
        <v>8397</v>
      </c>
      <c r="C953" s="323" t="s">
        <v>7537</v>
      </c>
      <c r="D953" s="324">
        <f>SUMIF(Leerlingaantallen[Werkgevernummer],BevoegdGezag!A953,Leerlingaantallen[Bedrag])</f>
        <v>148266.88</v>
      </c>
    </row>
    <row r="954" spans="1:4" x14ac:dyDescent="0.25">
      <c r="A954" s="331">
        <v>99594</v>
      </c>
      <c r="B954" s="323" t="s">
        <v>8398</v>
      </c>
      <c r="C954" s="323" t="s">
        <v>7539</v>
      </c>
      <c r="D954" s="324">
        <f>SUMIF(Leerlingaantallen[Werkgevernummer],BevoegdGezag!A954,Leerlingaantallen[Bedrag])</f>
        <v>154119.52000000002</v>
      </c>
    </row>
    <row r="955" spans="1:4" x14ac:dyDescent="0.25">
      <c r="A955" s="331">
        <v>99672</v>
      </c>
      <c r="B955" s="323" t="s">
        <v>8399</v>
      </c>
      <c r="C955" s="323" t="s">
        <v>7539</v>
      </c>
      <c r="D955" s="324">
        <f>SUMIF(Leerlingaantallen[Werkgevernummer],BevoegdGezag!A955,Leerlingaantallen[Bedrag])</f>
        <v>18777.22</v>
      </c>
    </row>
    <row r="956" spans="1:4" x14ac:dyDescent="0.25">
      <c r="A956" s="331">
        <v>99711</v>
      </c>
      <c r="B956" s="323" t="s">
        <v>8400</v>
      </c>
      <c r="C956" s="323" t="s">
        <v>7978</v>
      </c>
      <c r="D956" s="324">
        <f>SUMIF(Leerlingaantallen[Werkgevernummer],BevoegdGezag!A956,Leerlingaantallen[Bedrag])</f>
        <v>40968.480000000003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M116"/>
  <sheetViews>
    <sheetView topLeftCell="M1" zoomScale="85" zoomScaleNormal="85" workbookViewId="0">
      <selection activeCell="AH7" sqref="AH7"/>
    </sheetView>
  </sheetViews>
  <sheetFormatPr defaultColWidth="9.140625" defaultRowHeight="12.75" x14ac:dyDescent="0.2"/>
  <cols>
    <col min="1" max="1" width="13.85546875" style="92" bestFit="1" customWidth="1"/>
    <col min="2" max="3" width="3.7109375" style="92" customWidth="1"/>
    <col min="4" max="4" width="4.7109375" style="92" customWidth="1"/>
    <col min="5" max="28" width="12.7109375" style="92" customWidth="1"/>
    <col min="29" max="16384" width="9.140625" style="92"/>
  </cols>
  <sheetData>
    <row r="1" spans="1:39" ht="18" x14ac:dyDescent="0.25">
      <c r="A1" s="90" t="s">
        <v>230</v>
      </c>
      <c r="B1" s="91"/>
      <c r="C1" s="91"/>
    </row>
    <row r="2" spans="1:39" x14ac:dyDescent="0.2">
      <c r="A2" s="93" t="s">
        <v>231</v>
      </c>
      <c r="B2" s="94"/>
      <c r="E2" s="93" t="s">
        <v>20</v>
      </c>
      <c r="K2" s="320" t="s">
        <v>790</v>
      </c>
    </row>
    <row r="3" spans="1:39" x14ac:dyDescent="0.2">
      <c r="A3" s="93" t="s">
        <v>21</v>
      </c>
      <c r="B3" s="94"/>
      <c r="E3" s="93" t="s">
        <v>22</v>
      </c>
      <c r="K3" s="320" t="s">
        <v>791</v>
      </c>
    </row>
    <row r="4" spans="1:39" x14ac:dyDescent="0.2">
      <c r="A4" s="93" t="s">
        <v>23</v>
      </c>
      <c r="B4" s="94"/>
      <c r="E4" s="93" t="s">
        <v>232</v>
      </c>
    </row>
    <row r="5" spans="1:39" x14ac:dyDescent="0.2">
      <c r="A5" s="93" t="s">
        <v>25</v>
      </c>
      <c r="B5" s="94"/>
      <c r="E5" s="93" t="s">
        <v>233</v>
      </c>
    </row>
    <row r="6" spans="1:39" x14ac:dyDescent="0.2">
      <c r="A6" s="93" t="s">
        <v>27</v>
      </c>
      <c r="B6" s="94"/>
      <c r="E6" s="94" t="s">
        <v>525</v>
      </c>
    </row>
    <row r="10" spans="1:39" ht="15" x14ac:dyDescent="0.25">
      <c r="A10" s="137" t="s">
        <v>784</v>
      </c>
      <c r="C10" s="137" t="s">
        <v>526</v>
      </c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37" t="s">
        <v>520</v>
      </c>
      <c r="O10" s="127"/>
      <c r="P10" s="127"/>
      <c r="Q10" s="127"/>
      <c r="R10" s="127"/>
      <c r="S10" s="137" t="s">
        <v>520</v>
      </c>
      <c r="T10" s="127"/>
      <c r="U10" s="127"/>
      <c r="V10" s="127"/>
      <c r="W10" s="127"/>
      <c r="X10" s="315" t="s">
        <v>527</v>
      </c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</row>
    <row r="11" spans="1:39" ht="15" x14ac:dyDescent="0.25">
      <c r="A11" s="312" t="str">
        <f>E11</f>
        <v>AB</v>
      </c>
      <c r="C11" s="308" t="s">
        <v>528</v>
      </c>
      <c r="D11" s="308" t="s">
        <v>529</v>
      </c>
      <c r="E11" s="137" t="s">
        <v>141</v>
      </c>
      <c r="F11" s="137" t="s">
        <v>190</v>
      </c>
      <c r="G11" s="137" t="s">
        <v>142</v>
      </c>
      <c r="H11" s="137" t="s">
        <v>530</v>
      </c>
      <c r="I11" s="138" t="s">
        <v>531</v>
      </c>
      <c r="J11" s="138" t="s">
        <v>532</v>
      </c>
      <c r="K11" s="138" t="s">
        <v>533</v>
      </c>
      <c r="L11" s="138" t="s">
        <v>534</v>
      </c>
      <c r="M11" s="139" t="s">
        <v>535</v>
      </c>
      <c r="N11" s="318" t="s">
        <v>785</v>
      </c>
      <c r="O11" s="318" t="s">
        <v>786</v>
      </c>
      <c r="P11" s="318" t="s">
        <v>787</v>
      </c>
      <c r="Q11" s="318" t="s">
        <v>788</v>
      </c>
      <c r="R11" s="318" t="s">
        <v>789</v>
      </c>
      <c r="S11" s="137" t="s">
        <v>536</v>
      </c>
      <c r="T11" s="137" t="s">
        <v>537</v>
      </c>
      <c r="U11" s="137" t="s">
        <v>538</v>
      </c>
      <c r="V11" s="137" t="s">
        <v>539</v>
      </c>
      <c r="W11" s="137" t="s">
        <v>540</v>
      </c>
      <c r="X11" s="140">
        <v>1</v>
      </c>
      <c r="Y11" s="140">
        <v>2</v>
      </c>
      <c r="Z11" s="140">
        <v>3</v>
      </c>
      <c r="AA11" s="140">
        <v>4</v>
      </c>
      <c r="AB11" s="140">
        <v>5</v>
      </c>
      <c r="AC11" s="140">
        <v>6</v>
      </c>
      <c r="AD11" s="140">
        <v>7</v>
      </c>
      <c r="AE11" s="140">
        <v>8</v>
      </c>
      <c r="AF11" s="140">
        <v>9</v>
      </c>
      <c r="AG11" s="140">
        <v>10</v>
      </c>
      <c r="AH11" s="140">
        <v>11</v>
      </c>
      <c r="AI11" s="140">
        <v>12</v>
      </c>
      <c r="AJ11" s="140">
        <v>13</v>
      </c>
      <c r="AK11" s="140">
        <v>14</v>
      </c>
      <c r="AL11" s="140">
        <v>15</v>
      </c>
      <c r="AM11" s="140">
        <v>16</v>
      </c>
    </row>
    <row r="12" spans="1:39" ht="15" x14ac:dyDescent="0.25">
      <c r="A12" s="312" t="str">
        <f>F11</f>
        <v>AC</v>
      </c>
      <c r="C12" s="141" t="s">
        <v>544</v>
      </c>
      <c r="D12" s="92">
        <v>1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P12" s="92">
        <v>0</v>
      </c>
      <c r="Q12" s="92">
        <v>0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  <c r="W12" s="92">
        <v>0</v>
      </c>
      <c r="X12" s="92">
        <v>0</v>
      </c>
      <c r="Y12" s="92">
        <v>0</v>
      </c>
      <c r="Z12" s="92">
        <v>0</v>
      </c>
      <c r="AA12" s="92">
        <v>0</v>
      </c>
      <c r="AB12" s="92">
        <v>0</v>
      </c>
      <c r="AC12" s="92">
        <v>0</v>
      </c>
      <c r="AD12" s="92">
        <v>0</v>
      </c>
      <c r="AE12" s="92">
        <v>0</v>
      </c>
      <c r="AF12" s="92">
        <v>0</v>
      </c>
      <c r="AG12" s="92">
        <v>0</v>
      </c>
      <c r="AH12" s="92">
        <v>0</v>
      </c>
      <c r="AI12" s="92">
        <v>0</v>
      </c>
      <c r="AJ12" s="92">
        <v>0</v>
      </c>
      <c r="AK12" s="92">
        <v>0</v>
      </c>
      <c r="AL12" s="92">
        <v>0</v>
      </c>
      <c r="AM12" s="92">
        <v>0</v>
      </c>
    </row>
    <row r="13" spans="1:39" ht="15" x14ac:dyDescent="0.25">
      <c r="A13" s="312" t="str">
        <f>G11</f>
        <v>AD</v>
      </c>
      <c r="C13" s="141" t="s">
        <v>545</v>
      </c>
      <c r="D13" s="92">
        <v>2</v>
      </c>
      <c r="E13" s="92">
        <v>0</v>
      </c>
      <c r="F13" s="92">
        <v>0</v>
      </c>
      <c r="G13" s="92">
        <v>0</v>
      </c>
      <c r="H13" s="92">
        <v>0</v>
      </c>
      <c r="I13" s="92">
        <v>0</v>
      </c>
      <c r="J13" s="92">
        <v>0</v>
      </c>
      <c r="K13" s="92">
        <v>0</v>
      </c>
      <c r="L13" s="92">
        <v>0</v>
      </c>
      <c r="M13" s="92">
        <v>0</v>
      </c>
      <c r="N13" s="92">
        <v>0</v>
      </c>
      <c r="O13" s="92">
        <v>0</v>
      </c>
      <c r="P13" s="92">
        <v>0</v>
      </c>
      <c r="Q13" s="92">
        <v>0</v>
      </c>
      <c r="R13" s="92">
        <v>0</v>
      </c>
      <c r="S13" s="92">
        <v>0</v>
      </c>
      <c r="T13" s="92">
        <v>0</v>
      </c>
      <c r="U13" s="92">
        <v>0</v>
      </c>
      <c r="V13" s="92">
        <v>0</v>
      </c>
      <c r="W13" s="92">
        <v>0</v>
      </c>
      <c r="X13" s="92">
        <v>0</v>
      </c>
      <c r="Y13" s="92">
        <v>0</v>
      </c>
      <c r="Z13" s="92">
        <v>0</v>
      </c>
      <c r="AA13" s="92">
        <v>0</v>
      </c>
      <c r="AB13" s="92">
        <v>0</v>
      </c>
      <c r="AC13" s="92">
        <v>0</v>
      </c>
      <c r="AD13" s="92">
        <v>0</v>
      </c>
      <c r="AE13" s="92">
        <v>0</v>
      </c>
      <c r="AF13" s="92">
        <v>0</v>
      </c>
      <c r="AG13" s="92">
        <v>0</v>
      </c>
      <c r="AH13" s="92">
        <v>0</v>
      </c>
      <c r="AI13" s="92">
        <v>0</v>
      </c>
      <c r="AJ13" s="92">
        <v>0</v>
      </c>
      <c r="AK13" s="92">
        <v>0</v>
      </c>
      <c r="AL13" s="92">
        <v>0</v>
      </c>
      <c r="AM13" s="92">
        <v>0</v>
      </c>
    </row>
    <row r="14" spans="1:39" ht="15" x14ac:dyDescent="0.25">
      <c r="A14" s="312" t="str">
        <f>H11</f>
        <v>AE</v>
      </c>
      <c r="C14" s="101">
        <v>1</v>
      </c>
      <c r="D14" s="92">
        <v>3</v>
      </c>
      <c r="E14" s="92">
        <v>2768</v>
      </c>
      <c r="F14" s="92">
        <v>2826</v>
      </c>
      <c r="G14" s="92">
        <v>2962</v>
      </c>
      <c r="H14" s="92">
        <v>3107</v>
      </c>
      <c r="I14" s="92">
        <v>3018</v>
      </c>
      <c r="J14" s="92">
        <v>3134</v>
      </c>
      <c r="K14" s="92">
        <v>3253</v>
      </c>
      <c r="L14" s="92">
        <v>3302</v>
      </c>
      <c r="M14" s="92">
        <v>3424</v>
      </c>
      <c r="N14" s="92">
        <v>2678</v>
      </c>
      <c r="O14" s="92">
        <v>2758</v>
      </c>
      <c r="P14" s="92">
        <v>2812</v>
      </c>
      <c r="Q14" s="92">
        <v>2812</v>
      </c>
      <c r="R14" s="92">
        <v>3544</v>
      </c>
      <c r="S14" s="92">
        <v>2346</v>
      </c>
      <c r="T14" s="92">
        <v>2432</v>
      </c>
      <c r="U14" s="92">
        <v>2446</v>
      </c>
      <c r="V14" s="92">
        <v>2455</v>
      </c>
      <c r="W14" s="92">
        <v>3159</v>
      </c>
      <c r="X14" s="92">
        <v>1686</v>
      </c>
      <c r="Y14" s="92">
        <v>1686</v>
      </c>
      <c r="Z14" s="92">
        <v>1686</v>
      </c>
      <c r="AA14" s="92">
        <v>1715</v>
      </c>
      <c r="AB14" s="92">
        <v>1750</v>
      </c>
      <c r="AC14" s="92">
        <v>1816</v>
      </c>
      <c r="AD14" s="92">
        <v>1939</v>
      </c>
      <c r="AE14" s="92">
        <v>2192</v>
      </c>
      <c r="AF14" s="92">
        <v>2534</v>
      </c>
      <c r="AG14" s="92">
        <v>2516</v>
      </c>
      <c r="AH14" s="92">
        <v>2643</v>
      </c>
      <c r="AI14" s="92">
        <v>3549</v>
      </c>
      <c r="AJ14" s="92">
        <v>4302</v>
      </c>
      <c r="AK14" s="92">
        <v>4925</v>
      </c>
      <c r="AL14" s="92">
        <v>5169</v>
      </c>
      <c r="AM14" s="92">
        <v>5604</v>
      </c>
    </row>
    <row r="15" spans="1:39" ht="15" x14ac:dyDescent="0.25">
      <c r="A15" s="313" t="str">
        <f>I11</f>
        <v>DA</v>
      </c>
      <c r="C15" s="101">
        <v>2</v>
      </c>
      <c r="D15" s="92">
        <v>4</v>
      </c>
      <c r="E15" s="92">
        <v>2891</v>
      </c>
      <c r="F15" s="92">
        <v>2962</v>
      </c>
      <c r="G15" s="92">
        <v>3107</v>
      </c>
      <c r="H15" s="92">
        <v>3365</v>
      </c>
      <c r="I15" s="92">
        <v>3134</v>
      </c>
      <c r="J15" s="92">
        <v>3368</v>
      </c>
      <c r="K15" s="92">
        <v>3603</v>
      </c>
      <c r="L15" s="92">
        <v>3545</v>
      </c>
      <c r="M15" s="92">
        <v>3676</v>
      </c>
      <c r="N15" s="92">
        <v>2761</v>
      </c>
      <c r="O15" s="92">
        <v>2851</v>
      </c>
      <c r="P15" s="92">
        <v>2933</v>
      </c>
      <c r="Q15" s="92">
        <v>2933</v>
      </c>
      <c r="R15" s="92">
        <v>3677</v>
      </c>
      <c r="S15" s="92">
        <v>2394</v>
      </c>
      <c r="T15" s="92">
        <v>2491</v>
      </c>
      <c r="U15" s="92">
        <v>2565</v>
      </c>
      <c r="V15" s="92">
        <v>2602</v>
      </c>
      <c r="W15" s="92">
        <v>3278</v>
      </c>
      <c r="X15" s="92">
        <v>1715</v>
      </c>
      <c r="Y15" s="92">
        <v>1750</v>
      </c>
      <c r="Z15" s="92">
        <v>1816</v>
      </c>
      <c r="AA15" s="92">
        <v>1784</v>
      </c>
      <c r="AB15" s="92">
        <v>1784</v>
      </c>
      <c r="AC15" s="92">
        <v>1890</v>
      </c>
      <c r="AD15" s="92">
        <v>1995</v>
      </c>
      <c r="AE15" s="92">
        <v>2254</v>
      </c>
      <c r="AF15" s="92">
        <v>2661</v>
      </c>
      <c r="AG15" s="92">
        <v>2766</v>
      </c>
      <c r="AH15" s="92">
        <v>2766</v>
      </c>
      <c r="AI15" s="92">
        <v>3682</v>
      </c>
      <c r="AJ15" s="92">
        <v>4431</v>
      </c>
      <c r="AK15" s="92">
        <v>5050</v>
      </c>
      <c r="AL15" s="92">
        <v>5294</v>
      </c>
      <c r="AM15" s="92">
        <v>5760</v>
      </c>
    </row>
    <row r="16" spans="1:39" ht="15" x14ac:dyDescent="0.25">
      <c r="A16" s="313" t="str">
        <f>J11</f>
        <v>DB</v>
      </c>
      <c r="C16" s="101">
        <v>3</v>
      </c>
      <c r="D16" s="92">
        <v>5</v>
      </c>
      <c r="E16" s="92">
        <v>3025</v>
      </c>
      <c r="F16" s="92">
        <v>3107</v>
      </c>
      <c r="G16" s="92">
        <v>3365</v>
      </c>
      <c r="H16" s="92">
        <v>3608</v>
      </c>
      <c r="I16" s="92">
        <v>3253</v>
      </c>
      <c r="J16" s="92">
        <v>3603</v>
      </c>
      <c r="K16" s="92">
        <v>3836</v>
      </c>
      <c r="L16" s="92">
        <v>3793</v>
      </c>
      <c r="M16" s="92">
        <v>3912</v>
      </c>
      <c r="N16" s="92">
        <v>2846</v>
      </c>
      <c r="O16" s="92">
        <v>2948</v>
      </c>
      <c r="P16" s="92">
        <v>3059</v>
      </c>
      <c r="Q16" s="92">
        <v>3094</v>
      </c>
      <c r="R16" s="92">
        <v>3796</v>
      </c>
      <c r="S16" s="92">
        <v>2446</v>
      </c>
      <c r="T16" s="92">
        <v>2558</v>
      </c>
      <c r="U16" s="92">
        <v>2685</v>
      </c>
      <c r="V16" s="92">
        <v>2754</v>
      </c>
      <c r="W16" s="92">
        <v>3386</v>
      </c>
      <c r="X16" s="92">
        <v>1784</v>
      </c>
      <c r="Y16" s="92">
        <v>1816</v>
      </c>
      <c r="Z16" s="92">
        <v>1890</v>
      </c>
      <c r="AA16" s="92">
        <v>1853</v>
      </c>
      <c r="AB16" s="92">
        <v>1890</v>
      </c>
      <c r="AC16" s="92">
        <v>2128</v>
      </c>
      <c r="AD16" s="92">
        <v>2128</v>
      </c>
      <c r="AE16" s="92">
        <v>2374</v>
      </c>
      <c r="AF16" s="92">
        <v>2919</v>
      </c>
      <c r="AG16" s="92">
        <v>2901</v>
      </c>
      <c r="AH16" s="92">
        <v>2901</v>
      </c>
      <c r="AI16" s="92">
        <v>3798</v>
      </c>
      <c r="AJ16" s="92">
        <v>4553</v>
      </c>
      <c r="AK16" s="92">
        <v>5294</v>
      </c>
      <c r="AL16" s="92">
        <v>5448</v>
      </c>
      <c r="AM16" s="92">
        <v>5914</v>
      </c>
    </row>
    <row r="17" spans="1:39" ht="15" x14ac:dyDescent="0.25">
      <c r="A17" s="313" t="str">
        <f>K11</f>
        <v>DC</v>
      </c>
      <c r="C17" s="101">
        <v>4</v>
      </c>
      <c r="D17" s="92">
        <v>6</v>
      </c>
      <c r="E17" s="92">
        <v>3173</v>
      </c>
      <c r="F17" s="92">
        <v>3237</v>
      </c>
      <c r="G17" s="92">
        <v>3608</v>
      </c>
      <c r="H17" s="92">
        <v>3860</v>
      </c>
      <c r="I17" s="92">
        <v>3368</v>
      </c>
      <c r="J17" s="92">
        <v>3719</v>
      </c>
      <c r="K17" s="92">
        <v>4069</v>
      </c>
      <c r="L17" s="92">
        <v>4031</v>
      </c>
      <c r="M17" s="92">
        <v>4162</v>
      </c>
      <c r="N17" s="92">
        <v>2935</v>
      </c>
      <c r="O17" s="92">
        <v>3047</v>
      </c>
      <c r="P17" s="92">
        <v>3190</v>
      </c>
      <c r="Q17" s="92">
        <v>3265</v>
      </c>
      <c r="R17" s="92">
        <v>4035</v>
      </c>
      <c r="S17" s="92">
        <v>2498</v>
      </c>
      <c r="T17" s="92">
        <v>2622</v>
      </c>
      <c r="U17" s="92">
        <v>2809</v>
      </c>
      <c r="V17" s="92">
        <v>2908</v>
      </c>
      <c r="W17" s="92">
        <v>3600</v>
      </c>
      <c r="X17" s="92">
        <v>1816</v>
      </c>
      <c r="Y17" s="92">
        <v>1890</v>
      </c>
      <c r="Z17" s="92">
        <v>1995</v>
      </c>
      <c r="AA17" s="92">
        <v>1939</v>
      </c>
      <c r="AB17" s="92">
        <v>1995</v>
      </c>
      <c r="AC17" s="92">
        <v>2254</v>
      </c>
      <c r="AD17" s="92">
        <v>2374</v>
      </c>
      <c r="AE17" s="92">
        <v>2618</v>
      </c>
      <c r="AF17" s="92">
        <v>3066</v>
      </c>
      <c r="AG17" s="92">
        <v>3048</v>
      </c>
      <c r="AH17" s="92">
        <v>3048</v>
      </c>
      <c r="AI17" s="92">
        <v>3920</v>
      </c>
      <c r="AJ17" s="92">
        <v>4678</v>
      </c>
      <c r="AK17" s="92">
        <v>5448</v>
      </c>
      <c r="AL17" s="92">
        <v>5760</v>
      </c>
      <c r="AM17" s="92">
        <v>6237</v>
      </c>
    </row>
    <row r="18" spans="1:39" ht="15" x14ac:dyDescent="0.25">
      <c r="A18" s="313" t="str">
        <f>L11</f>
        <v>DD</v>
      </c>
      <c r="C18" s="101">
        <v>5</v>
      </c>
      <c r="D18" s="92">
        <v>7</v>
      </c>
      <c r="E18" s="92">
        <v>3300</v>
      </c>
      <c r="F18" s="92">
        <v>3365</v>
      </c>
      <c r="G18" s="92">
        <v>3742</v>
      </c>
      <c r="H18" s="92">
        <v>4099</v>
      </c>
      <c r="I18" s="92">
        <v>3484</v>
      </c>
      <c r="J18" s="92">
        <v>3836</v>
      </c>
      <c r="K18" s="92">
        <v>4303</v>
      </c>
      <c r="L18" s="92">
        <v>4294</v>
      </c>
      <c r="M18" s="92">
        <v>4422</v>
      </c>
      <c r="N18" s="92">
        <v>3026</v>
      </c>
      <c r="O18" s="92">
        <v>3150</v>
      </c>
      <c r="P18" s="92">
        <v>3327</v>
      </c>
      <c r="Q18" s="92">
        <v>3436</v>
      </c>
      <c r="R18" s="92">
        <v>4299</v>
      </c>
      <c r="S18" s="92">
        <v>2550</v>
      </c>
      <c r="T18" s="92">
        <v>2686</v>
      </c>
      <c r="U18" s="92">
        <v>2929</v>
      </c>
      <c r="V18" s="92">
        <v>3062</v>
      </c>
      <c r="W18" s="92">
        <v>3838</v>
      </c>
      <c r="X18" s="92">
        <v>1853</v>
      </c>
      <c r="Y18" s="92">
        <v>1939</v>
      </c>
      <c r="Z18" s="92">
        <v>2063</v>
      </c>
      <c r="AA18" s="92">
        <v>2063</v>
      </c>
      <c r="AB18" s="92">
        <v>2128</v>
      </c>
      <c r="AC18" s="92">
        <v>2315</v>
      </c>
      <c r="AD18" s="92">
        <v>2491</v>
      </c>
      <c r="AE18" s="92">
        <v>2739</v>
      </c>
      <c r="AF18" s="92">
        <v>3193</v>
      </c>
      <c r="AG18" s="92">
        <v>3175</v>
      </c>
      <c r="AH18" s="92">
        <v>3175</v>
      </c>
      <c r="AI18" s="92">
        <v>4038</v>
      </c>
      <c r="AJ18" s="92">
        <v>4796</v>
      </c>
      <c r="AK18" s="92">
        <v>5604</v>
      </c>
      <c r="AL18" s="92">
        <v>5914</v>
      </c>
      <c r="AM18" s="92">
        <v>6404</v>
      </c>
    </row>
    <row r="19" spans="1:39" ht="15" x14ac:dyDescent="0.25">
      <c r="A19" s="313" t="str">
        <f>M11</f>
        <v>DE</v>
      </c>
      <c r="C19" s="101">
        <v>6</v>
      </c>
      <c r="D19" s="92">
        <v>8</v>
      </c>
      <c r="E19" s="92">
        <v>3429</v>
      </c>
      <c r="F19" s="92">
        <v>3489</v>
      </c>
      <c r="G19" s="92">
        <v>3860</v>
      </c>
      <c r="H19" s="92">
        <v>4364</v>
      </c>
      <c r="I19" s="92">
        <v>2603</v>
      </c>
      <c r="J19" s="92">
        <v>3951</v>
      </c>
      <c r="K19" s="92">
        <v>4422</v>
      </c>
      <c r="L19" s="92">
        <v>4422</v>
      </c>
      <c r="M19" s="92">
        <v>4668</v>
      </c>
      <c r="N19" s="92">
        <v>3119</v>
      </c>
      <c r="O19" s="92">
        <v>3257</v>
      </c>
      <c r="P19" s="92">
        <v>3470</v>
      </c>
      <c r="Q19" s="92">
        <v>3615</v>
      </c>
      <c r="R19" s="92">
        <v>4466</v>
      </c>
      <c r="S19" s="92">
        <v>2611</v>
      </c>
      <c r="T19" s="92">
        <v>2760</v>
      </c>
      <c r="U19" s="92">
        <v>3055</v>
      </c>
      <c r="V19" s="92">
        <v>3223</v>
      </c>
      <c r="W19" s="92">
        <v>3988</v>
      </c>
      <c r="X19" s="92">
        <v>1890</v>
      </c>
      <c r="Y19" s="92">
        <v>1995</v>
      </c>
      <c r="Z19" s="92">
        <v>2128</v>
      </c>
      <c r="AA19" s="92">
        <v>2128</v>
      </c>
      <c r="AB19" s="92">
        <v>2192</v>
      </c>
      <c r="AC19" s="92">
        <v>2374</v>
      </c>
      <c r="AD19" s="92">
        <v>2557</v>
      </c>
      <c r="AE19" s="92">
        <v>2873</v>
      </c>
      <c r="AF19" s="92">
        <v>3323</v>
      </c>
      <c r="AG19" s="92">
        <v>3305</v>
      </c>
      <c r="AH19" s="92">
        <v>3305</v>
      </c>
      <c r="AI19" s="92">
        <v>4171</v>
      </c>
      <c r="AJ19" s="92">
        <v>5050</v>
      </c>
      <c r="AK19" s="92">
        <v>5760</v>
      </c>
      <c r="AL19" s="92">
        <v>6071</v>
      </c>
      <c r="AM19" s="92">
        <v>6578</v>
      </c>
    </row>
    <row r="20" spans="1:39" ht="15" x14ac:dyDescent="0.25">
      <c r="A20" s="319" t="str">
        <f>N11</f>
        <v>L10</v>
      </c>
      <c r="C20" s="101">
        <v>7</v>
      </c>
      <c r="D20" s="92">
        <v>9</v>
      </c>
      <c r="E20" s="92">
        <v>3550</v>
      </c>
      <c r="F20" s="92">
        <v>3608</v>
      </c>
      <c r="G20" s="92">
        <v>3980</v>
      </c>
      <c r="H20" s="92">
        <v>4490</v>
      </c>
      <c r="I20" s="92">
        <v>3719</v>
      </c>
      <c r="J20" s="92">
        <v>4069</v>
      </c>
      <c r="K20" s="92">
        <v>4539</v>
      </c>
      <c r="L20" s="92">
        <v>4544</v>
      </c>
      <c r="M20" s="92">
        <v>4914</v>
      </c>
      <c r="N20" s="92">
        <v>3217</v>
      </c>
      <c r="O20" s="92">
        <v>3367</v>
      </c>
      <c r="P20" s="92">
        <v>3619</v>
      </c>
      <c r="Q20" s="92">
        <v>3800</v>
      </c>
      <c r="R20" s="92">
        <v>4635</v>
      </c>
      <c r="S20" s="92">
        <v>2674</v>
      </c>
      <c r="T20" s="92">
        <v>2839</v>
      </c>
      <c r="U20" s="92">
        <v>3182</v>
      </c>
      <c r="V20" s="92">
        <v>3390</v>
      </c>
      <c r="W20" s="92">
        <v>4139</v>
      </c>
      <c r="X20" s="92">
        <v>1939</v>
      </c>
      <c r="Y20" s="92">
        <v>2063</v>
      </c>
      <c r="Z20" s="92">
        <v>2192</v>
      </c>
      <c r="AA20" s="92">
        <v>2192</v>
      </c>
      <c r="AB20" s="92">
        <v>2254</v>
      </c>
      <c r="AC20" s="92">
        <v>2434</v>
      </c>
      <c r="AD20" s="92">
        <v>2618</v>
      </c>
      <c r="AE20" s="92">
        <v>2949</v>
      </c>
      <c r="AF20" s="92">
        <v>3445</v>
      </c>
      <c r="AG20" s="92">
        <v>3427</v>
      </c>
      <c r="AH20" s="92">
        <v>3427</v>
      </c>
      <c r="AI20" s="92">
        <v>4431</v>
      </c>
      <c r="AJ20" s="92">
        <v>5169</v>
      </c>
      <c r="AK20" s="92">
        <v>5914</v>
      </c>
      <c r="AL20" s="92">
        <v>6237</v>
      </c>
      <c r="AM20" s="92">
        <v>6785</v>
      </c>
    </row>
    <row r="21" spans="1:39" ht="15" x14ac:dyDescent="0.25">
      <c r="A21" s="319" t="str">
        <f>O11</f>
        <v>L11</v>
      </c>
      <c r="C21" s="101">
        <v>8</v>
      </c>
      <c r="D21" s="92">
        <v>10</v>
      </c>
      <c r="E21" s="92">
        <v>3672</v>
      </c>
      <c r="F21" s="92">
        <v>3742</v>
      </c>
      <c r="G21" s="92">
        <v>4099</v>
      </c>
      <c r="H21" s="92">
        <v>4614</v>
      </c>
      <c r="I21" s="92">
        <v>3836</v>
      </c>
      <c r="J21" s="92">
        <v>4187</v>
      </c>
      <c r="K21" s="92">
        <v>4654</v>
      </c>
      <c r="L21" s="92">
        <v>4668</v>
      </c>
      <c r="M21" s="92">
        <v>5037</v>
      </c>
      <c r="N21" s="92">
        <v>3316</v>
      </c>
      <c r="O21" s="92">
        <v>3481</v>
      </c>
      <c r="P21" s="92">
        <v>3776</v>
      </c>
      <c r="Q21" s="92">
        <v>3989</v>
      </c>
      <c r="R21" s="92">
        <v>4803</v>
      </c>
      <c r="S21" s="92">
        <v>2743</v>
      </c>
      <c r="T21" s="92">
        <v>2925</v>
      </c>
      <c r="U21" s="92">
        <v>3314</v>
      </c>
      <c r="V21" s="92">
        <v>3559</v>
      </c>
      <c r="W21" s="92">
        <v>4291</v>
      </c>
      <c r="X21" s="92">
        <v>0</v>
      </c>
      <c r="Y21" s="92">
        <v>2128</v>
      </c>
      <c r="Z21" s="92">
        <v>2254</v>
      </c>
      <c r="AA21" s="92">
        <v>2254</v>
      </c>
      <c r="AB21" s="92">
        <v>2315</v>
      </c>
      <c r="AC21" s="92">
        <v>2491</v>
      </c>
      <c r="AD21" s="92">
        <v>2677</v>
      </c>
      <c r="AE21" s="92">
        <v>3018</v>
      </c>
      <c r="AF21" s="92">
        <v>3567</v>
      </c>
      <c r="AG21" s="92">
        <v>3549</v>
      </c>
      <c r="AH21" s="92">
        <v>3682</v>
      </c>
      <c r="AI21" s="92">
        <v>4553</v>
      </c>
      <c r="AJ21" s="92">
        <v>5294</v>
      </c>
      <c r="AK21" s="92">
        <v>6071</v>
      </c>
      <c r="AL21" s="92">
        <v>6404</v>
      </c>
      <c r="AM21" s="92">
        <v>7003</v>
      </c>
    </row>
    <row r="22" spans="1:39" ht="15" x14ac:dyDescent="0.25">
      <c r="A22" s="319" t="str">
        <f>P11</f>
        <v>L12</v>
      </c>
      <c r="C22" s="101">
        <v>9</v>
      </c>
      <c r="D22" s="92">
        <v>11</v>
      </c>
      <c r="E22" s="92">
        <v>3803</v>
      </c>
      <c r="F22" s="92">
        <v>3860</v>
      </c>
      <c r="G22" s="92">
        <v>4230</v>
      </c>
      <c r="H22" s="92">
        <v>4737</v>
      </c>
      <c r="I22" s="92">
        <v>3951</v>
      </c>
      <c r="J22" s="92">
        <v>4303</v>
      </c>
      <c r="K22" s="92">
        <v>4771</v>
      </c>
      <c r="L22" s="92">
        <v>4786</v>
      </c>
      <c r="M22" s="92">
        <v>5157</v>
      </c>
      <c r="N22" s="92">
        <v>3419</v>
      </c>
      <c r="O22" s="92">
        <v>3598</v>
      </c>
      <c r="P22" s="92">
        <v>3937</v>
      </c>
      <c r="Q22" s="92">
        <v>4187</v>
      </c>
      <c r="R22" s="92">
        <v>4872</v>
      </c>
      <c r="S22" s="92">
        <v>2820</v>
      </c>
      <c r="T22" s="92">
        <v>3025</v>
      </c>
      <c r="U22" s="92">
        <v>3451</v>
      </c>
      <c r="V22" s="92">
        <v>3737</v>
      </c>
      <c r="W22" s="92">
        <v>4443</v>
      </c>
      <c r="X22" s="92">
        <v>0</v>
      </c>
      <c r="Y22" s="92">
        <v>0</v>
      </c>
      <c r="Z22" s="92">
        <v>2315</v>
      </c>
      <c r="AA22" s="92">
        <v>2315</v>
      </c>
      <c r="AB22" s="92">
        <v>2374</v>
      </c>
      <c r="AC22" s="92">
        <v>2557</v>
      </c>
      <c r="AD22" s="92">
        <v>2739</v>
      </c>
      <c r="AE22" s="92">
        <v>3080</v>
      </c>
      <c r="AF22" s="92">
        <v>3700</v>
      </c>
      <c r="AG22" s="92">
        <v>3682</v>
      </c>
      <c r="AH22" s="92">
        <v>3798</v>
      </c>
      <c r="AI22" s="92">
        <v>4678</v>
      </c>
      <c r="AJ22" s="92">
        <v>5448</v>
      </c>
      <c r="AK22" s="92">
        <v>6237</v>
      </c>
      <c r="AL22" s="92">
        <v>6578</v>
      </c>
      <c r="AM22" s="92">
        <v>7225</v>
      </c>
    </row>
    <row r="23" spans="1:39" ht="15" x14ac:dyDescent="0.25">
      <c r="A23" s="319" t="str">
        <f>Q11</f>
        <v>L13</v>
      </c>
      <c r="C23" s="101">
        <v>10</v>
      </c>
      <c r="D23" s="92">
        <v>12</v>
      </c>
      <c r="E23" s="92">
        <v>3924</v>
      </c>
      <c r="F23" s="92">
        <v>3980</v>
      </c>
      <c r="G23" s="92">
        <v>4364</v>
      </c>
      <c r="H23" s="92">
        <v>4858</v>
      </c>
      <c r="I23" s="92">
        <v>4069</v>
      </c>
      <c r="J23" s="92">
        <v>4422</v>
      </c>
      <c r="K23" s="92">
        <v>4887</v>
      </c>
      <c r="L23" s="92">
        <v>4914</v>
      </c>
      <c r="M23" s="92">
        <v>5280</v>
      </c>
      <c r="N23" s="92">
        <v>3525</v>
      </c>
      <c r="O23" s="92">
        <v>3720</v>
      </c>
      <c r="P23" s="92">
        <v>4107</v>
      </c>
      <c r="Q23" s="92">
        <v>4393</v>
      </c>
      <c r="R23" s="92">
        <v>5139</v>
      </c>
      <c r="S23" s="92">
        <v>2899</v>
      </c>
      <c r="T23" s="92">
        <v>3128</v>
      </c>
      <c r="U23" s="92">
        <v>3591</v>
      </c>
      <c r="V23" s="92">
        <v>3922</v>
      </c>
      <c r="W23" s="92">
        <v>4594</v>
      </c>
      <c r="X23" s="92">
        <v>0</v>
      </c>
      <c r="Y23" s="92">
        <v>0</v>
      </c>
      <c r="Z23" s="92">
        <v>0</v>
      </c>
      <c r="AA23" s="92">
        <v>2374</v>
      </c>
      <c r="AB23" s="92">
        <v>2434</v>
      </c>
      <c r="AC23" s="92">
        <v>2618</v>
      </c>
      <c r="AD23" s="92">
        <v>2805</v>
      </c>
      <c r="AE23" s="92">
        <v>3146</v>
      </c>
      <c r="AF23" s="92">
        <v>3817</v>
      </c>
      <c r="AG23" s="92">
        <v>3798</v>
      </c>
      <c r="AH23" s="92">
        <v>3920</v>
      </c>
      <c r="AI23" s="92">
        <v>4796</v>
      </c>
      <c r="AJ23" s="92">
        <v>5604</v>
      </c>
      <c r="AK23" s="92">
        <v>6404</v>
      </c>
      <c r="AL23" s="92">
        <v>6785</v>
      </c>
      <c r="AM23" s="92">
        <v>7455</v>
      </c>
    </row>
    <row r="24" spans="1:39" ht="15" x14ac:dyDescent="0.25">
      <c r="A24" s="319" t="str">
        <f>R11</f>
        <v>L14</v>
      </c>
      <c r="C24" s="101">
        <v>11</v>
      </c>
      <c r="D24" s="92">
        <v>13</v>
      </c>
      <c r="E24" s="92">
        <v>4041</v>
      </c>
      <c r="F24" s="92">
        <v>4099</v>
      </c>
      <c r="G24" s="92">
        <v>4490</v>
      </c>
      <c r="H24" s="92">
        <v>4985</v>
      </c>
      <c r="I24" s="92">
        <v>4187</v>
      </c>
      <c r="J24" s="92">
        <v>4539</v>
      </c>
      <c r="K24" s="92">
        <v>5006</v>
      </c>
      <c r="L24" s="92">
        <v>5037</v>
      </c>
      <c r="M24" s="92">
        <v>5435</v>
      </c>
      <c r="N24" s="92">
        <v>3634</v>
      </c>
      <c r="O24" s="92">
        <v>3845</v>
      </c>
      <c r="P24" s="92">
        <v>4283</v>
      </c>
      <c r="Q24" s="92">
        <v>4605</v>
      </c>
      <c r="R24" s="92">
        <v>5310</v>
      </c>
      <c r="S24" s="92">
        <v>2986</v>
      </c>
      <c r="T24" s="92">
        <v>3237</v>
      </c>
      <c r="U24" s="92">
        <v>3732</v>
      </c>
      <c r="V24" s="92">
        <v>4113</v>
      </c>
      <c r="W24" s="92">
        <v>4747</v>
      </c>
      <c r="X24" s="92">
        <v>0</v>
      </c>
      <c r="Y24" s="92">
        <v>0</v>
      </c>
      <c r="Z24" s="92">
        <v>0</v>
      </c>
      <c r="AA24" s="92">
        <v>2434</v>
      </c>
      <c r="AB24" s="92">
        <v>2491</v>
      </c>
      <c r="AC24" s="92">
        <v>2677</v>
      </c>
      <c r="AD24" s="92">
        <v>2873</v>
      </c>
      <c r="AE24" s="92">
        <v>3212</v>
      </c>
      <c r="AF24" s="92">
        <v>0</v>
      </c>
      <c r="AG24" s="92">
        <v>3920</v>
      </c>
      <c r="AH24" s="92">
        <v>4038</v>
      </c>
      <c r="AI24" s="92">
        <v>4925</v>
      </c>
      <c r="AJ24" s="92">
        <v>5760</v>
      </c>
      <c r="AK24" s="92">
        <v>6578</v>
      </c>
      <c r="AL24" s="92">
        <v>7003</v>
      </c>
      <c r="AM24" s="92">
        <v>7689</v>
      </c>
    </row>
    <row r="25" spans="1:39" ht="15" x14ac:dyDescent="0.25">
      <c r="A25" s="312" t="str">
        <f>S11</f>
        <v>LA</v>
      </c>
      <c r="C25" s="101">
        <v>12</v>
      </c>
      <c r="D25" s="92">
        <v>14</v>
      </c>
      <c r="E25" s="92">
        <v>4161</v>
      </c>
      <c r="F25" s="92">
        <v>4230</v>
      </c>
      <c r="G25" s="92">
        <v>4614</v>
      </c>
      <c r="H25" s="92">
        <v>5110</v>
      </c>
      <c r="I25" s="92">
        <v>4303</v>
      </c>
      <c r="J25" s="92">
        <v>4654</v>
      </c>
      <c r="K25" s="92">
        <v>5122</v>
      </c>
      <c r="L25" s="92">
        <v>5157</v>
      </c>
      <c r="M25" s="92">
        <v>5589</v>
      </c>
      <c r="N25" s="92">
        <v>3747</v>
      </c>
      <c r="O25" s="92">
        <v>3976</v>
      </c>
      <c r="P25" s="92">
        <v>4468</v>
      </c>
      <c r="Q25" s="92">
        <v>4823</v>
      </c>
      <c r="R25" s="92">
        <v>5479</v>
      </c>
      <c r="S25" s="92">
        <v>3077</v>
      </c>
      <c r="T25" s="92">
        <v>3349</v>
      </c>
      <c r="U25" s="92">
        <v>3879</v>
      </c>
      <c r="V25" s="92">
        <v>4309</v>
      </c>
      <c r="W25" s="92">
        <v>4898</v>
      </c>
      <c r="X25" s="92">
        <v>0</v>
      </c>
      <c r="Y25" s="92">
        <v>0</v>
      </c>
      <c r="Z25" s="92">
        <v>0</v>
      </c>
      <c r="AA25" s="92">
        <v>0</v>
      </c>
      <c r="AB25" s="92">
        <v>2271</v>
      </c>
      <c r="AC25" s="92">
        <v>0</v>
      </c>
      <c r="AD25" s="92">
        <v>2949</v>
      </c>
      <c r="AE25" s="92">
        <v>3273</v>
      </c>
      <c r="AF25" s="92">
        <v>0</v>
      </c>
      <c r="AG25" s="92">
        <v>4038</v>
      </c>
      <c r="AH25" s="92">
        <v>4171</v>
      </c>
      <c r="AI25" s="92">
        <v>5050</v>
      </c>
      <c r="AJ25" s="92">
        <v>5914</v>
      </c>
      <c r="AK25" s="92">
        <v>0</v>
      </c>
      <c r="AL25" s="92">
        <v>7225</v>
      </c>
      <c r="AM25" s="92">
        <v>7934</v>
      </c>
    </row>
    <row r="26" spans="1:39" ht="15" x14ac:dyDescent="0.25">
      <c r="A26" s="312" t="str">
        <f>T11</f>
        <v>LB</v>
      </c>
      <c r="C26" s="101">
        <v>13</v>
      </c>
      <c r="D26" s="92">
        <v>15</v>
      </c>
      <c r="E26" s="92">
        <v>4364</v>
      </c>
      <c r="F26" s="92">
        <v>4364</v>
      </c>
      <c r="G26" s="92">
        <v>4737</v>
      </c>
      <c r="H26" s="92">
        <v>5228</v>
      </c>
      <c r="I26" s="92">
        <v>4422</v>
      </c>
      <c r="J26" s="92">
        <v>4771</v>
      </c>
      <c r="K26" s="92">
        <v>5240</v>
      </c>
      <c r="L26" s="92">
        <v>5280</v>
      </c>
      <c r="M26" s="92">
        <v>5743</v>
      </c>
      <c r="N26" s="92">
        <v>3862</v>
      </c>
      <c r="O26" s="92">
        <v>4110</v>
      </c>
      <c r="P26" s="92">
        <v>4660</v>
      </c>
      <c r="Q26" s="92">
        <v>5050</v>
      </c>
      <c r="R26" s="92">
        <v>5648</v>
      </c>
      <c r="S26" s="92">
        <v>3175</v>
      </c>
      <c r="T26" s="92">
        <v>3468</v>
      </c>
      <c r="U26" s="92">
        <v>4030</v>
      </c>
      <c r="V26" s="92">
        <v>4514</v>
      </c>
      <c r="W26" s="92">
        <v>5051</v>
      </c>
      <c r="X26" s="92">
        <v>0</v>
      </c>
      <c r="Y26" s="92">
        <v>0</v>
      </c>
      <c r="Z26" s="92">
        <v>0</v>
      </c>
      <c r="AA26" s="92">
        <v>0</v>
      </c>
      <c r="AB26" s="92">
        <v>0</v>
      </c>
      <c r="AC26" s="92">
        <v>0</v>
      </c>
      <c r="AD26" s="92">
        <v>0</v>
      </c>
      <c r="AE26" s="92">
        <v>3331</v>
      </c>
      <c r="AF26" s="92">
        <v>0</v>
      </c>
      <c r="AG26" s="92">
        <v>4171</v>
      </c>
      <c r="AH26" s="92">
        <v>4302</v>
      </c>
      <c r="AI26" s="92">
        <v>5169</v>
      </c>
      <c r="AJ26" s="92">
        <v>6578</v>
      </c>
      <c r="AK26" s="92">
        <v>0</v>
      </c>
      <c r="AL26" s="92">
        <v>0</v>
      </c>
      <c r="AM26" s="92">
        <v>0</v>
      </c>
    </row>
    <row r="27" spans="1:39" ht="15" x14ac:dyDescent="0.25">
      <c r="A27" s="312" t="str">
        <f>U11</f>
        <v>LC</v>
      </c>
      <c r="C27" s="101">
        <v>14</v>
      </c>
      <c r="D27" s="92">
        <v>16</v>
      </c>
      <c r="E27" s="92">
        <v>0</v>
      </c>
      <c r="F27" s="92">
        <v>4490</v>
      </c>
      <c r="G27" s="92">
        <v>4858</v>
      </c>
      <c r="H27" s="92">
        <v>5354</v>
      </c>
      <c r="I27" s="92">
        <v>0</v>
      </c>
      <c r="J27" s="92">
        <v>4887</v>
      </c>
      <c r="K27" s="92">
        <v>5355</v>
      </c>
      <c r="L27" s="92">
        <v>5435</v>
      </c>
      <c r="M27" s="92">
        <v>5898</v>
      </c>
      <c r="N27" s="92">
        <v>3982</v>
      </c>
      <c r="O27" s="92">
        <v>4249</v>
      </c>
      <c r="P27" s="92">
        <v>4861</v>
      </c>
      <c r="Q27" s="92">
        <v>5283</v>
      </c>
      <c r="R27" s="92">
        <v>5816</v>
      </c>
      <c r="S27" s="92">
        <v>3276</v>
      </c>
      <c r="T27" s="92">
        <v>3590</v>
      </c>
      <c r="U27" s="92">
        <v>4183</v>
      </c>
      <c r="V27" s="92">
        <v>4722</v>
      </c>
      <c r="W27" s="92">
        <v>5202</v>
      </c>
      <c r="X27" s="92">
        <v>0</v>
      </c>
      <c r="Y27" s="92">
        <v>0</v>
      </c>
      <c r="Z27" s="92">
        <v>0</v>
      </c>
      <c r="AA27" s="92">
        <v>0</v>
      </c>
      <c r="AB27" s="92">
        <v>0</v>
      </c>
      <c r="AC27" s="92">
        <v>0</v>
      </c>
      <c r="AD27" s="92">
        <v>0</v>
      </c>
      <c r="AE27" s="92">
        <v>0</v>
      </c>
      <c r="AF27" s="92">
        <v>0</v>
      </c>
      <c r="AG27" s="92">
        <v>0</v>
      </c>
      <c r="AH27" s="92">
        <v>4431</v>
      </c>
      <c r="AI27" s="92">
        <v>5294</v>
      </c>
      <c r="AJ27" s="92">
        <v>0</v>
      </c>
      <c r="AK27" s="92">
        <v>0</v>
      </c>
      <c r="AL27" s="92">
        <v>0</v>
      </c>
      <c r="AM27" s="92">
        <v>0</v>
      </c>
    </row>
    <row r="28" spans="1:39" ht="15" x14ac:dyDescent="0.25">
      <c r="A28" s="312" t="str">
        <f>V11</f>
        <v>LD</v>
      </c>
      <c r="C28" s="101">
        <v>15</v>
      </c>
      <c r="D28" s="92">
        <v>17</v>
      </c>
      <c r="E28" s="92">
        <v>0</v>
      </c>
      <c r="F28" s="92">
        <v>4614</v>
      </c>
      <c r="G28" s="92">
        <v>4985</v>
      </c>
      <c r="H28" s="92">
        <v>5510</v>
      </c>
      <c r="I28" s="92">
        <v>0</v>
      </c>
      <c r="J28" s="92">
        <v>5006</v>
      </c>
      <c r="K28" s="92">
        <v>5472</v>
      </c>
      <c r="L28" s="92">
        <v>5589</v>
      </c>
      <c r="M28" s="92">
        <v>6054</v>
      </c>
      <c r="N28" s="92">
        <v>4113</v>
      </c>
      <c r="O28" s="92">
        <v>4434</v>
      </c>
      <c r="P28" s="92">
        <v>5070</v>
      </c>
      <c r="Q28" s="92">
        <v>5532</v>
      </c>
      <c r="R28" s="92">
        <v>5990</v>
      </c>
      <c r="S28" s="92">
        <v>3354</v>
      </c>
      <c r="T28" s="92">
        <v>3686</v>
      </c>
      <c r="U28" s="92">
        <v>4300</v>
      </c>
      <c r="V28" s="92">
        <v>4892</v>
      </c>
      <c r="W28" s="92">
        <v>5306</v>
      </c>
      <c r="X28" s="92">
        <v>0</v>
      </c>
      <c r="Y28" s="92">
        <v>0</v>
      </c>
      <c r="Z28" s="92">
        <v>0</v>
      </c>
      <c r="AA28" s="92">
        <v>0</v>
      </c>
      <c r="AB28" s="92">
        <v>0</v>
      </c>
      <c r="AC28" s="92">
        <v>0</v>
      </c>
      <c r="AD28" s="92">
        <v>0</v>
      </c>
      <c r="AE28" s="92">
        <v>0</v>
      </c>
      <c r="AF28" s="92">
        <v>0</v>
      </c>
      <c r="AG28" s="92">
        <v>0</v>
      </c>
      <c r="AH28" s="92">
        <v>4553</v>
      </c>
      <c r="AI28" s="92">
        <v>5448</v>
      </c>
      <c r="AJ28" s="92">
        <v>0</v>
      </c>
      <c r="AK28" s="92">
        <v>0</v>
      </c>
      <c r="AL28" s="92">
        <v>0</v>
      </c>
      <c r="AM28" s="92">
        <v>0</v>
      </c>
    </row>
    <row r="29" spans="1:39" ht="15" x14ac:dyDescent="0.25">
      <c r="A29" s="312" t="str">
        <f>W11</f>
        <v>LE</v>
      </c>
      <c r="C29" s="101">
        <v>16</v>
      </c>
      <c r="D29" s="92">
        <v>18</v>
      </c>
      <c r="E29" s="92">
        <v>0</v>
      </c>
      <c r="F29" s="92">
        <v>4737</v>
      </c>
      <c r="G29" s="92">
        <v>5110</v>
      </c>
      <c r="H29" s="92">
        <v>5663</v>
      </c>
      <c r="I29" s="92">
        <v>0</v>
      </c>
      <c r="J29" s="92">
        <v>0</v>
      </c>
      <c r="K29" s="92">
        <v>5591</v>
      </c>
      <c r="L29" s="92">
        <v>5743</v>
      </c>
      <c r="M29" s="92">
        <v>6218</v>
      </c>
      <c r="N29" s="92">
        <v>0</v>
      </c>
      <c r="O29" s="92">
        <v>0</v>
      </c>
      <c r="P29" s="92">
        <v>0</v>
      </c>
      <c r="Q29" s="92">
        <v>0</v>
      </c>
      <c r="R29" s="92">
        <v>0</v>
      </c>
      <c r="S29" s="92">
        <v>0</v>
      </c>
      <c r="T29" s="92">
        <v>0</v>
      </c>
      <c r="U29" s="92">
        <v>0</v>
      </c>
      <c r="V29" s="92">
        <v>0</v>
      </c>
      <c r="W29" s="92">
        <v>0</v>
      </c>
      <c r="X29" s="92">
        <v>0</v>
      </c>
      <c r="Y29" s="92">
        <v>0</v>
      </c>
      <c r="Z29" s="92">
        <v>0</v>
      </c>
      <c r="AA29" s="92">
        <v>0</v>
      </c>
      <c r="AB29" s="92">
        <v>0</v>
      </c>
      <c r="AC29" s="92">
        <v>0</v>
      </c>
      <c r="AD29" s="92">
        <v>0</v>
      </c>
      <c r="AE29" s="92">
        <v>0</v>
      </c>
      <c r="AF29" s="92">
        <v>0</v>
      </c>
      <c r="AG29" s="92">
        <v>0</v>
      </c>
      <c r="AH29" s="92">
        <v>4678</v>
      </c>
      <c r="AI29" s="92">
        <v>5527</v>
      </c>
      <c r="AJ29" s="92">
        <v>0</v>
      </c>
      <c r="AK29" s="92">
        <v>0</v>
      </c>
      <c r="AL29" s="92">
        <v>0</v>
      </c>
      <c r="AM29" s="92">
        <v>0</v>
      </c>
    </row>
    <row r="30" spans="1:39" ht="15" x14ac:dyDescent="0.25">
      <c r="A30" s="314">
        <f>X11</f>
        <v>1</v>
      </c>
      <c r="C30" s="101">
        <v>17</v>
      </c>
      <c r="D30" s="92">
        <v>19</v>
      </c>
      <c r="E30" s="92">
        <v>0</v>
      </c>
      <c r="F30" s="92">
        <v>4858</v>
      </c>
      <c r="G30" s="92">
        <v>5228</v>
      </c>
      <c r="H30" s="92">
        <v>5820</v>
      </c>
      <c r="I30" s="92">
        <v>0</v>
      </c>
      <c r="J30" s="92">
        <v>0</v>
      </c>
      <c r="K30" s="92">
        <v>0</v>
      </c>
      <c r="L30" s="92">
        <v>5898</v>
      </c>
      <c r="M30" s="92">
        <v>6386</v>
      </c>
      <c r="N30" s="92">
        <v>0</v>
      </c>
      <c r="O30" s="92">
        <v>0</v>
      </c>
      <c r="P30" s="92">
        <v>0</v>
      </c>
      <c r="Q30" s="92">
        <v>0</v>
      </c>
      <c r="R30" s="92">
        <v>0</v>
      </c>
      <c r="S30" s="92">
        <v>0</v>
      </c>
      <c r="T30" s="92">
        <v>0</v>
      </c>
      <c r="U30" s="92">
        <v>0</v>
      </c>
      <c r="V30" s="92">
        <v>0</v>
      </c>
      <c r="W30" s="92">
        <v>0</v>
      </c>
      <c r="X30" s="92">
        <v>0</v>
      </c>
      <c r="Y30" s="92">
        <v>0</v>
      </c>
      <c r="Z30" s="92">
        <v>0</v>
      </c>
      <c r="AA30" s="92">
        <v>0</v>
      </c>
      <c r="AB30" s="92">
        <v>0</v>
      </c>
      <c r="AC30" s="92">
        <v>0</v>
      </c>
      <c r="AD30" s="92">
        <v>0</v>
      </c>
      <c r="AE30" s="92">
        <v>0</v>
      </c>
      <c r="AF30" s="92">
        <v>0</v>
      </c>
      <c r="AG30" s="92">
        <v>0</v>
      </c>
      <c r="AH30" s="92">
        <v>4796</v>
      </c>
      <c r="AI30" s="92">
        <v>0</v>
      </c>
      <c r="AJ30" s="92">
        <v>0</v>
      </c>
      <c r="AK30" s="92">
        <v>0</v>
      </c>
      <c r="AL30" s="92">
        <v>0</v>
      </c>
      <c r="AM30" s="92">
        <v>0</v>
      </c>
    </row>
    <row r="31" spans="1:39" ht="15" x14ac:dyDescent="0.25">
      <c r="A31" s="314">
        <f>Y11</f>
        <v>2</v>
      </c>
      <c r="C31" s="101">
        <v>18</v>
      </c>
      <c r="D31" s="92">
        <v>20</v>
      </c>
      <c r="E31" s="92">
        <v>0</v>
      </c>
      <c r="F31" s="92">
        <v>4921</v>
      </c>
      <c r="G31" s="92">
        <v>5354</v>
      </c>
      <c r="H31" s="92">
        <v>5976</v>
      </c>
      <c r="I31" s="92">
        <v>0</v>
      </c>
      <c r="J31" s="92">
        <v>0</v>
      </c>
      <c r="K31" s="92">
        <v>0</v>
      </c>
      <c r="L31" s="92">
        <v>5972</v>
      </c>
      <c r="M31" s="92">
        <v>6559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  <c r="T31" s="92">
        <v>0</v>
      </c>
      <c r="U31" s="92">
        <v>0</v>
      </c>
      <c r="V31" s="92">
        <v>0</v>
      </c>
      <c r="W31" s="92">
        <v>0</v>
      </c>
      <c r="X31" s="92">
        <v>0</v>
      </c>
      <c r="Y31" s="92">
        <v>0</v>
      </c>
      <c r="Z31" s="92">
        <v>0</v>
      </c>
      <c r="AA31" s="92">
        <v>0</v>
      </c>
      <c r="AB31" s="92">
        <v>0</v>
      </c>
      <c r="AC31" s="92">
        <v>0</v>
      </c>
      <c r="AD31" s="92">
        <v>0</v>
      </c>
      <c r="AE31" s="92">
        <v>0</v>
      </c>
      <c r="AF31" s="92">
        <v>0</v>
      </c>
      <c r="AG31" s="92">
        <v>0</v>
      </c>
      <c r="AH31" s="92">
        <v>4861</v>
      </c>
      <c r="AI31" s="92">
        <v>0</v>
      </c>
      <c r="AJ31" s="92">
        <v>0</v>
      </c>
      <c r="AK31" s="92">
        <v>0</v>
      </c>
      <c r="AL31" s="92">
        <v>0</v>
      </c>
      <c r="AM31" s="92">
        <v>0</v>
      </c>
    </row>
    <row r="32" spans="1:39" ht="15" x14ac:dyDescent="0.25">
      <c r="A32" s="314">
        <f>Z11</f>
        <v>3</v>
      </c>
      <c r="C32" s="101">
        <v>19</v>
      </c>
      <c r="D32" s="92">
        <v>21</v>
      </c>
      <c r="E32" s="92">
        <v>0</v>
      </c>
      <c r="F32" s="92">
        <v>0</v>
      </c>
      <c r="G32" s="92">
        <v>5510</v>
      </c>
      <c r="H32" s="92">
        <v>6050</v>
      </c>
      <c r="I32" s="92">
        <v>0</v>
      </c>
      <c r="J32" s="92">
        <v>0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2">
        <v>0</v>
      </c>
      <c r="Q32" s="92">
        <v>0</v>
      </c>
      <c r="R32" s="92">
        <v>0</v>
      </c>
      <c r="S32" s="92">
        <v>0</v>
      </c>
      <c r="T32" s="92">
        <v>0</v>
      </c>
      <c r="U32" s="92">
        <v>0</v>
      </c>
      <c r="V32" s="92">
        <v>0</v>
      </c>
      <c r="W32" s="92">
        <v>0</v>
      </c>
      <c r="X32" s="92">
        <v>0</v>
      </c>
      <c r="Y32" s="92">
        <v>0</v>
      </c>
      <c r="Z32" s="92">
        <v>0</v>
      </c>
      <c r="AA32" s="92">
        <v>0</v>
      </c>
      <c r="AB32" s="92">
        <v>0</v>
      </c>
      <c r="AC32" s="92">
        <v>0</v>
      </c>
      <c r="AD32" s="92">
        <v>0</v>
      </c>
      <c r="AE32" s="92">
        <v>0</v>
      </c>
      <c r="AF32" s="92">
        <v>0</v>
      </c>
      <c r="AG32" s="92">
        <v>0</v>
      </c>
      <c r="AH32" s="92">
        <v>0</v>
      </c>
      <c r="AI32" s="92">
        <v>0</v>
      </c>
      <c r="AJ32" s="92">
        <v>0</v>
      </c>
      <c r="AK32" s="92">
        <v>0</v>
      </c>
      <c r="AL32" s="92">
        <v>0</v>
      </c>
      <c r="AM32" s="92">
        <v>0</v>
      </c>
    </row>
    <row r="33" spans="1:39" ht="15" x14ac:dyDescent="0.25">
      <c r="A33" s="314">
        <f>AA11</f>
        <v>4</v>
      </c>
      <c r="C33" s="101">
        <v>20</v>
      </c>
      <c r="D33" s="92">
        <v>22</v>
      </c>
      <c r="E33" s="92">
        <v>0</v>
      </c>
      <c r="F33" s="92">
        <v>0</v>
      </c>
      <c r="G33" s="92">
        <v>5586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0</v>
      </c>
      <c r="P33" s="92">
        <v>0</v>
      </c>
      <c r="Q33" s="92">
        <v>0</v>
      </c>
      <c r="R33" s="92">
        <v>0</v>
      </c>
      <c r="S33" s="92">
        <v>0</v>
      </c>
      <c r="T33" s="92">
        <v>0</v>
      </c>
      <c r="U33" s="92">
        <v>0</v>
      </c>
      <c r="V33" s="92">
        <v>0</v>
      </c>
      <c r="W33" s="92">
        <v>0</v>
      </c>
      <c r="X33" s="92">
        <v>0</v>
      </c>
      <c r="Y33" s="92">
        <v>0</v>
      </c>
      <c r="Z33" s="92">
        <v>0</v>
      </c>
      <c r="AA33" s="92">
        <v>0</v>
      </c>
      <c r="AB33" s="92">
        <v>0</v>
      </c>
      <c r="AC33" s="92">
        <v>0</v>
      </c>
      <c r="AD33" s="92">
        <v>0</v>
      </c>
      <c r="AE33" s="92">
        <v>0</v>
      </c>
      <c r="AF33" s="92">
        <v>0</v>
      </c>
      <c r="AG33" s="92">
        <v>0</v>
      </c>
      <c r="AH33" s="92">
        <v>0</v>
      </c>
      <c r="AI33" s="92">
        <v>0</v>
      </c>
      <c r="AJ33" s="92">
        <v>0</v>
      </c>
      <c r="AK33" s="92">
        <v>0</v>
      </c>
      <c r="AL33" s="92">
        <v>0</v>
      </c>
      <c r="AM33" s="92">
        <v>0</v>
      </c>
    </row>
    <row r="34" spans="1:39" ht="15" x14ac:dyDescent="0.25">
      <c r="A34" s="314">
        <f>AB11</f>
        <v>5</v>
      </c>
      <c r="J34" s="98"/>
    </row>
    <row r="35" spans="1:39" ht="15" x14ac:dyDescent="0.25">
      <c r="A35" s="314">
        <f>AC11</f>
        <v>6</v>
      </c>
      <c r="D35" s="101"/>
      <c r="E35" s="101"/>
      <c r="F35" s="101"/>
      <c r="G35" s="101"/>
    </row>
    <row r="36" spans="1:39" ht="15" x14ac:dyDescent="0.25">
      <c r="A36" s="314">
        <f>AD11</f>
        <v>7</v>
      </c>
      <c r="D36" s="101"/>
      <c r="F36" s="101"/>
      <c r="G36" s="98"/>
      <c r="I36" s="101"/>
      <c r="J36" s="101"/>
      <c r="L36" s="101"/>
      <c r="M36" s="98"/>
      <c r="N36" s="101"/>
      <c r="O36" s="98"/>
      <c r="S36" s="101"/>
      <c r="T36" s="98"/>
    </row>
    <row r="37" spans="1:39" ht="15" x14ac:dyDescent="0.25">
      <c r="A37" s="314">
        <f>AE11</f>
        <v>8</v>
      </c>
    </row>
    <row r="38" spans="1:39" ht="15" x14ac:dyDescent="0.25">
      <c r="A38" s="314">
        <f>AF11</f>
        <v>9</v>
      </c>
      <c r="D38" s="98"/>
      <c r="I38" s="142"/>
      <c r="J38" s="142"/>
      <c r="N38" s="142"/>
      <c r="S38" s="142"/>
    </row>
    <row r="39" spans="1:39" ht="15" x14ac:dyDescent="0.25">
      <c r="A39" s="314">
        <f>AG11</f>
        <v>10</v>
      </c>
      <c r="I39" s="143"/>
      <c r="J39" s="143"/>
    </row>
    <row r="40" spans="1:39" ht="15" x14ac:dyDescent="0.25">
      <c r="A40" s="314">
        <f>AH11</f>
        <v>11</v>
      </c>
      <c r="I40" s="144"/>
      <c r="J40" s="144"/>
    </row>
    <row r="41" spans="1:39" ht="15" x14ac:dyDescent="0.25">
      <c r="A41" s="314">
        <f>AI11</f>
        <v>12</v>
      </c>
      <c r="G41" s="98"/>
      <c r="H41" s="98"/>
      <c r="I41" s="145"/>
      <c r="J41" s="144"/>
      <c r="N41" s="146"/>
      <c r="S41" s="146"/>
    </row>
    <row r="42" spans="1:39" ht="15" x14ac:dyDescent="0.25">
      <c r="A42" s="314">
        <f>AJ11</f>
        <v>13</v>
      </c>
      <c r="L42" s="144"/>
    </row>
    <row r="43" spans="1:39" ht="15" x14ac:dyDescent="0.25">
      <c r="A43" s="314">
        <f>AK11</f>
        <v>14</v>
      </c>
      <c r="L43" s="144"/>
      <c r="M43" s="146"/>
      <c r="Q43" s="144"/>
      <c r="R43" s="146"/>
      <c r="V43" s="144"/>
      <c r="W43" s="146"/>
      <c r="X43" s="144"/>
      <c r="Y43" s="146"/>
    </row>
    <row r="44" spans="1:39" ht="15" x14ac:dyDescent="0.25">
      <c r="A44" s="314">
        <f>AL11</f>
        <v>15</v>
      </c>
      <c r="G44" s="98"/>
      <c r="I44" s="147"/>
      <c r="J44" s="147"/>
      <c r="K44" s="144"/>
      <c r="L44" s="144"/>
      <c r="M44" s="146"/>
      <c r="P44" s="142"/>
      <c r="R44" s="146"/>
      <c r="U44" s="142"/>
      <c r="W44" s="146"/>
      <c r="Y44" s="146"/>
    </row>
    <row r="45" spans="1:39" ht="15" x14ac:dyDescent="0.25">
      <c r="A45" s="314">
        <f>AM11</f>
        <v>16</v>
      </c>
      <c r="I45" s="147"/>
      <c r="J45" s="147"/>
      <c r="K45" s="144"/>
      <c r="L45" s="144"/>
      <c r="M45" s="146"/>
      <c r="N45" s="147"/>
      <c r="P45" s="144"/>
      <c r="Q45" s="144"/>
      <c r="R45" s="146"/>
      <c r="S45" s="147"/>
      <c r="U45" s="144"/>
      <c r="V45" s="144"/>
      <c r="W45" s="146"/>
      <c r="X45" s="144"/>
      <c r="Y45" s="146"/>
    </row>
    <row r="46" spans="1:39" x14ac:dyDescent="0.2">
      <c r="I46" s="148"/>
      <c r="J46" s="148"/>
      <c r="L46" s="144"/>
      <c r="M46" s="98"/>
      <c r="N46" s="148"/>
      <c r="P46" s="98"/>
      <c r="R46" s="98"/>
      <c r="S46" s="148"/>
      <c r="U46" s="98"/>
      <c r="W46" s="98"/>
      <c r="Y46" s="98"/>
    </row>
    <row r="47" spans="1:39" x14ac:dyDescent="0.2">
      <c r="I47" s="148"/>
      <c r="J47" s="148"/>
      <c r="N47" s="148"/>
      <c r="S47" s="148"/>
    </row>
    <row r="48" spans="1:39" x14ac:dyDescent="0.2">
      <c r="I48" s="148"/>
      <c r="J48" s="148"/>
      <c r="L48" s="144"/>
      <c r="M48" s="146"/>
      <c r="N48" s="148"/>
      <c r="Q48" s="144"/>
      <c r="R48" s="146"/>
      <c r="S48" s="148"/>
      <c r="V48" s="144"/>
      <c r="W48" s="146"/>
      <c r="X48" s="144"/>
      <c r="Y48" s="146"/>
    </row>
    <row r="49" spans="7:25" x14ac:dyDescent="0.2">
      <c r="I49" s="148"/>
      <c r="J49" s="148"/>
      <c r="L49" s="144"/>
      <c r="M49" s="146"/>
      <c r="N49" s="148"/>
      <c r="R49" s="146"/>
      <c r="S49" s="148"/>
      <c r="W49" s="146"/>
      <c r="Y49" s="146"/>
    </row>
    <row r="50" spans="7:25" x14ac:dyDescent="0.2">
      <c r="I50" s="148"/>
      <c r="J50" s="148"/>
      <c r="L50" s="144"/>
      <c r="M50" s="146"/>
      <c r="N50" s="148"/>
      <c r="Q50" s="144"/>
      <c r="R50" s="146"/>
      <c r="S50" s="148"/>
      <c r="V50" s="144"/>
      <c r="W50" s="146"/>
      <c r="X50" s="144"/>
      <c r="Y50" s="146"/>
    </row>
    <row r="51" spans="7:25" x14ac:dyDescent="0.2">
      <c r="I51" s="148"/>
      <c r="J51" s="148"/>
      <c r="L51" s="149"/>
      <c r="N51" s="148"/>
      <c r="Q51" s="149"/>
      <c r="S51" s="148"/>
      <c r="V51" s="149"/>
      <c r="X51" s="149"/>
    </row>
    <row r="52" spans="7:25" x14ac:dyDescent="0.2">
      <c r="I52" s="148"/>
      <c r="J52" s="148"/>
      <c r="L52" s="144"/>
      <c r="M52" s="146"/>
      <c r="N52" s="148"/>
      <c r="Q52" s="144"/>
      <c r="R52" s="146"/>
      <c r="S52" s="148"/>
      <c r="V52" s="144"/>
      <c r="W52" s="146"/>
      <c r="X52" s="144"/>
      <c r="Y52" s="146"/>
    </row>
    <row r="53" spans="7:25" x14ac:dyDescent="0.2">
      <c r="I53" s="148"/>
      <c r="J53" s="148"/>
      <c r="L53" s="144"/>
      <c r="N53" s="148"/>
      <c r="S53" s="148"/>
    </row>
    <row r="54" spans="7:25" x14ac:dyDescent="0.2">
      <c r="G54" s="98"/>
      <c r="I54" s="148"/>
      <c r="J54" s="148"/>
      <c r="K54" s="150"/>
      <c r="L54" s="144"/>
      <c r="M54" s="146"/>
      <c r="N54" s="148"/>
      <c r="P54" s="150"/>
      <c r="Q54" s="144"/>
      <c r="R54" s="146"/>
      <c r="S54" s="148"/>
      <c r="U54" s="150"/>
      <c r="V54" s="144"/>
      <c r="W54" s="146"/>
      <c r="X54" s="144"/>
      <c r="Y54" s="146"/>
    </row>
    <row r="55" spans="7:25" x14ac:dyDescent="0.2">
      <c r="G55" s="98"/>
      <c r="I55" s="148"/>
      <c r="J55" s="148"/>
      <c r="K55" s="151"/>
      <c r="M55" s="146"/>
      <c r="N55" s="148"/>
      <c r="P55" s="151"/>
      <c r="R55" s="146"/>
      <c r="S55" s="148"/>
      <c r="U55" s="151"/>
      <c r="W55" s="146"/>
      <c r="Y55" s="146"/>
    </row>
    <row r="56" spans="7:25" x14ac:dyDescent="0.2">
      <c r="I56" s="148"/>
      <c r="J56" s="148"/>
      <c r="L56" s="144"/>
      <c r="N56" s="148"/>
      <c r="S56" s="148"/>
    </row>
    <row r="57" spans="7:25" x14ac:dyDescent="0.2">
      <c r="I57" s="148"/>
      <c r="J57" s="148"/>
      <c r="L57" s="144"/>
      <c r="M57" s="146"/>
      <c r="N57" s="148"/>
      <c r="Q57" s="144"/>
      <c r="R57" s="146"/>
      <c r="S57" s="148"/>
      <c r="V57" s="144"/>
      <c r="W57" s="146"/>
      <c r="X57" s="144"/>
      <c r="Y57" s="146"/>
    </row>
    <row r="58" spans="7:25" x14ac:dyDescent="0.2">
      <c r="I58" s="148"/>
      <c r="J58" s="148"/>
      <c r="L58" s="144"/>
      <c r="N58" s="148"/>
      <c r="S58" s="148"/>
    </row>
    <row r="59" spans="7:25" x14ac:dyDescent="0.2">
      <c r="G59" s="98"/>
      <c r="I59" s="147"/>
      <c r="J59" s="147"/>
      <c r="K59" s="144"/>
      <c r="L59" s="144"/>
      <c r="M59" s="146"/>
      <c r="N59" s="147"/>
      <c r="P59" s="144"/>
      <c r="Q59" s="144"/>
      <c r="R59" s="146"/>
      <c r="S59" s="147"/>
      <c r="U59" s="144"/>
      <c r="V59" s="144"/>
      <c r="W59" s="146"/>
      <c r="X59" s="144"/>
      <c r="Y59" s="146"/>
    </row>
    <row r="60" spans="7:25" x14ac:dyDescent="0.2">
      <c r="I60" s="148"/>
      <c r="J60" s="148"/>
      <c r="L60" s="144"/>
      <c r="N60" s="148"/>
      <c r="S60" s="148"/>
    </row>
    <row r="61" spans="7:25" x14ac:dyDescent="0.2">
      <c r="G61" s="98"/>
      <c r="I61" s="147"/>
      <c r="K61" s="144"/>
      <c r="L61" s="144"/>
      <c r="M61" s="146"/>
      <c r="N61" s="148"/>
      <c r="P61" s="144"/>
      <c r="R61" s="146"/>
      <c r="S61" s="148"/>
      <c r="U61" s="144"/>
      <c r="W61" s="146"/>
      <c r="Y61" s="146"/>
    </row>
    <row r="62" spans="7:25" x14ac:dyDescent="0.2">
      <c r="N62" s="148"/>
      <c r="S62" s="148"/>
    </row>
    <row r="63" spans="7:25" x14ac:dyDescent="0.2">
      <c r="G63" s="98"/>
      <c r="I63" s="147"/>
      <c r="J63" s="147"/>
      <c r="K63" s="144"/>
      <c r="L63" s="144"/>
      <c r="M63" s="146"/>
      <c r="N63" s="148"/>
      <c r="P63" s="142"/>
      <c r="R63" s="146"/>
      <c r="S63" s="148"/>
      <c r="U63" s="142"/>
      <c r="W63" s="146"/>
      <c r="Y63" s="146"/>
    </row>
    <row r="64" spans="7:25" x14ac:dyDescent="0.2">
      <c r="N64" s="148"/>
      <c r="S64" s="148"/>
    </row>
    <row r="65" spans="2:25" x14ac:dyDescent="0.2">
      <c r="K65" s="142"/>
      <c r="M65" s="146"/>
      <c r="N65" s="147"/>
      <c r="P65" s="144"/>
      <c r="Q65" s="144"/>
      <c r="R65" s="146"/>
      <c r="S65" s="147"/>
      <c r="U65" s="144"/>
      <c r="V65" s="144"/>
      <c r="W65" s="146"/>
      <c r="Y65" s="146"/>
    </row>
    <row r="67" spans="2:25" x14ac:dyDescent="0.2">
      <c r="E67" s="98"/>
      <c r="L67" s="144"/>
      <c r="M67" s="146"/>
      <c r="Q67" s="144"/>
      <c r="R67" s="146"/>
      <c r="V67" s="144"/>
      <c r="W67" s="146"/>
      <c r="X67" s="144"/>
      <c r="Y67" s="146"/>
    </row>
    <row r="69" spans="2:25" x14ac:dyDescent="0.2">
      <c r="E69" s="98"/>
      <c r="I69" s="147"/>
      <c r="J69" s="99"/>
      <c r="K69" s="144"/>
      <c r="L69" s="144"/>
      <c r="M69" s="146"/>
      <c r="N69" s="98"/>
      <c r="P69" s="142"/>
      <c r="R69" s="146"/>
      <c r="S69" s="98"/>
      <c r="U69" s="142"/>
      <c r="W69" s="146"/>
      <c r="Y69" s="146"/>
    </row>
    <row r="71" spans="2:25" x14ac:dyDescent="0.2">
      <c r="E71" s="98"/>
      <c r="K71" s="142"/>
      <c r="M71" s="146"/>
      <c r="P71" s="142"/>
      <c r="R71" s="146"/>
      <c r="U71" s="142"/>
      <c r="W71" s="146"/>
      <c r="X71" s="144"/>
      <c r="Y71" s="146"/>
    </row>
    <row r="73" spans="2:25" x14ac:dyDescent="0.2">
      <c r="E73" s="98"/>
      <c r="L73" s="144"/>
      <c r="M73" s="146"/>
      <c r="Q73" s="144"/>
      <c r="R73" s="146"/>
      <c r="V73" s="144"/>
      <c r="W73" s="146"/>
      <c r="X73" s="144"/>
      <c r="Y73" s="146"/>
    </row>
    <row r="75" spans="2:25" x14ac:dyDescent="0.2">
      <c r="E75" s="98"/>
      <c r="L75" s="144"/>
      <c r="M75" s="146"/>
      <c r="Q75" s="144"/>
      <c r="R75" s="146"/>
      <c r="V75" s="144"/>
      <c r="W75" s="146"/>
      <c r="X75" s="144"/>
      <c r="Y75" s="146"/>
    </row>
    <row r="77" spans="2:25" x14ac:dyDescent="0.2">
      <c r="J77" s="148"/>
    </row>
    <row r="80" spans="2:25" x14ac:dyDescent="0.2">
      <c r="B80" s="98" t="s">
        <v>546</v>
      </c>
      <c r="F80" s="98"/>
      <c r="K80" s="98"/>
      <c r="L80" s="98"/>
      <c r="O80" s="98"/>
      <c r="T80" s="98"/>
    </row>
    <row r="81" spans="2:21" x14ac:dyDescent="0.2">
      <c r="O81" s="98"/>
      <c r="P81" s="98"/>
      <c r="T81" s="98"/>
      <c r="U81" s="98"/>
    </row>
    <row r="82" spans="2:21" x14ac:dyDescent="0.2">
      <c r="O82" s="98"/>
      <c r="P82" s="98"/>
      <c r="T82" s="98"/>
      <c r="U82" s="98"/>
    </row>
    <row r="83" spans="2:21" x14ac:dyDescent="0.2">
      <c r="B83" s="98" t="s">
        <v>547</v>
      </c>
      <c r="F83" s="98"/>
      <c r="O83" s="98"/>
      <c r="P83" s="98"/>
      <c r="T83" s="98"/>
      <c r="U83" s="98"/>
    </row>
    <row r="85" spans="2:21" x14ac:dyDescent="0.2">
      <c r="B85" s="98" t="s">
        <v>548</v>
      </c>
      <c r="F85" s="98"/>
      <c r="I85" s="98"/>
      <c r="K85" s="144"/>
      <c r="L85" s="98"/>
      <c r="O85" s="98"/>
      <c r="P85" s="98"/>
      <c r="T85" s="98"/>
      <c r="U85" s="98"/>
    </row>
    <row r="86" spans="2:21" x14ac:dyDescent="0.2">
      <c r="B86" s="98"/>
      <c r="F86" s="98"/>
      <c r="I86" s="98"/>
      <c r="K86" s="144"/>
      <c r="L86" s="98"/>
      <c r="O86" s="98"/>
      <c r="P86" s="98"/>
      <c r="T86" s="98"/>
      <c r="U86" s="98"/>
    </row>
    <row r="87" spans="2:21" x14ac:dyDescent="0.2">
      <c r="B87" s="98"/>
      <c r="F87" s="98"/>
      <c r="I87" s="98"/>
      <c r="K87" s="144"/>
      <c r="L87" s="98"/>
      <c r="O87" s="98"/>
      <c r="P87" s="98"/>
      <c r="T87" s="98"/>
      <c r="U87" s="98"/>
    </row>
    <row r="88" spans="2:21" x14ac:dyDescent="0.2">
      <c r="B88" s="98"/>
      <c r="F88" s="98"/>
      <c r="I88" s="98"/>
      <c r="K88" s="144"/>
      <c r="L88" s="98"/>
      <c r="O88" s="98"/>
      <c r="P88" s="98"/>
      <c r="T88" s="98"/>
      <c r="U88" s="98"/>
    </row>
    <row r="90" spans="2:21" x14ac:dyDescent="0.2">
      <c r="B90" s="98" t="s">
        <v>549</v>
      </c>
      <c r="F90" s="98"/>
      <c r="I90" s="98"/>
      <c r="K90" s="144"/>
      <c r="L90" s="98"/>
      <c r="O90" s="98"/>
      <c r="P90" s="98"/>
      <c r="T90" s="98"/>
      <c r="U90" s="98"/>
    </row>
    <row r="91" spans="2:21" x14ac:dyDescent="0.2">
      <c r="I91" s="98"/>
      <c r="K91" s="144"/>
      <c r="L91" s="98"/>
      <c r="O91" s="98"/>
      <c r="P91" s="98"/>
      <c r="T91" s="98"/>
      <c r="U91" s="98"/>
    </row>
    <row r="92" spans="2:21" x14ac:dyDescent="0.2">
      <c r="I92" s="98"/>
      <c r="K92" s="144"/>
      <c r="L92" s="98"/>
      <c r="O92" s="98"/>
      <c r="P92" s="98"/>
      <c r="T92" s="98"/>
      <c r="U92" s="98"/>
    </row>
    <row r="93" spans="2:21" x14ac:dyDescent="0.2">
      <c r="I93" s="98"/>
    </row>
    <row r="94" spans="2:21" x14ac:dyDescent="0.2">
      <c r="B94" s="98" t="s">
        <v>550</v>
      </c>
      <c r="F94" s="98"/>
      <c r="I94" s="98"/>
      <c r="K94" s="144"/>
      <c r="L94" s="98"/>
      <c r="O94" s="98"/>
      <c r="P94" s="98"/>
      <c r="T94" s="98"/>
      <c r="U94" s="98"/>
    </row>
    <row r="96" spans="2:21" x14ac:dyDescent="0.2">
      <c r="B96" s="98" t="s">
        <v>551</v>
      </c>
      <c r="F96" s="98"/>
      <c r="I96" s="98"/>
      <c r="K96" s="144"/>
      <c r="L96" s="98"/>
      <c r="O96" s="98"/>
      <c r="P96" s="98"/>
      <c r="T96" s="98"/>
      <c r="U96" s="98"/>
    </row>
    <row r="97" spans="2:21" x14ac:dyDescent="0.2">
      <c r="F97" s="98"/>
      <c r="I97" s="98"/>
      <c r="K97" s="144"/>
      <c r="L97" s="98"/>
      <c r="O97" s="98"/>
      <c r="P97" s="98"/>
      <c r="T97" s="98"/>
      <c r="U97" s="98"/>
    </row>
    <row r="99" spans="2:21" x14ac:dyDescent="0.2">
      <c r="B99" s="98" t="s">
        <v>552</v>
      </c>
      <c r="E99" s="98"/>
      <c r="F99" s="98"/>
      <c r="I99" s="151"/>
      <c r="L99" s="98"/>
      <c r="O99" s="98"/>
      <c r="P99" s="98"/>
      <c r="T99" s="98"/>
      <c r="U99" s="98"/>
    </row>
    <row r="101" spans="2:21" x14ac:dyDescent="0.2">
      <c r="B101" s="98" t="s">
        <v>553</v>
      </c>
      <c r="F101" s="98"/>
      <c r="I101" s="98"/>
      <c r="K101" s="144"/>
      <c r="L101" s="98"/>
      <c r="M101" s="98"/>
      <c r="N101" s="98"/>
      <c r="O101" s="98"/>
      <c r="P101" s="98"/>
      <c r="S101" s="98"/>
      <c r="T101" s="98"/>
      <c r="U101" s="98"/>
    </row>
    <row r="102" spans="2:21" x14ac:dyDescent="0.2">
      <c r="F102" s="98"/>
      <c r="I102" s="98"/>
      <c r="K102" s="144"/>
      <c r="L102" s="98"/>
      <c r="N102" s="98"/>
      <c r="O102" s="98"/>
      <c r="P102" s="98"/>
      <c r="S102" s="98"/>
      <c r="T102" s="98"/>
      <c r="U102" s="98"/>
    </row>
    <row r="104" spans="2:21" x14ac:dyDescent="0.2">
      <c r="B104" s="98" t="s">
        <v>554</v>
      </c>
      <c r="F104" s="98"/>
      <c r="I104" s="98"/>
      <c r="K104" s="144"/>
      <c r="L104" s="98"/>
      <c r="O104" s="98"/>
      <c r="P104" s="98"/>
      <c r="T104" s="98"/>
      <c r="U104" s="98"/>
    </row>
    <row r="106" spans="2:21" x14ac:dyDescent="0.2">
      <c r="F106" s="98"/>
      <c r="O106" s="98"/>
      <c r="P106" s="98"/>
      <c r="T106" s="98"/>
      <c r="U106" s="98"/>
    </row>
    <row r="108" spans="2:21" x14ac:dyDescent="0.2">
      <c r="B108" s="98" t="s">
        <v>555</v>
      </c>
      <c r="F108" s="98"/>
      <c r="K108" s="144"/>
      <c r="L108" s="98"/>
      <c r="O108" s="98"/>
      <c r="P108" s="98"/>
      <c r="T108" s="98"/>
      <c r="U108" s="98"/>
    </row>
    <row r="109" spans="2:21" x14ac:dyDescent="0.2">
      <c r="F109" s="98"/>
    </row>
    <row r="110" spans="2:21" x14ac:dyDescent="0.2">
      <c r="E110" s="98"/>
      <c r="F110" s="98"/>
      <c r="I110" s="150"/>
      <c r="L110" s="98"/>
      <c r="M110" s="98"/>
      <c r="O110" s="98"/>
      <c r="P110" s="98"/>
      <c r="T110" s="98"/>
      <c r="U110" s="98"/>
    </row>
    <row r="111" spans="2:21" x14ac:dyDescent="0.2">
      <c r="F111" s="98"/>
    </row>
    <row r="112" spans="2:21" x14ac:dyDescent="0.2">
      <c r="F112" s="98"/>
      <c r="I112" s="98"/>
      <c r="L112" s="98"/>
      <c r="O112" s="98"/>
      <c r="P112" s="98"/>
      <c r="T112" s="98"/>
      <c r="U112" s="98"/>
    </row>
    <row r="113" spans="5:12" x14ac:dyDescent="0.2">
      <c r="I113" s="98"/>
      <c r="L113" s="98"/>
    </row>
    <row r="114" spans="5:12" x14ac:dyDescent="0.2">
      <c r="E114" s="98"/>
    </row>
    <row r="116" spans="5:12" x14ac:dyDescent="0.2">
      <c r="E116" s="98"/>
      <c r="J116" s="144"/>
      <c r="K116" s="98"/>
    </row>
  </sheetData>
  <phoneticPr fontId="37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A57"/>
  <sheetViews>
    <sheetView topLeftCell="A16" zoomScale="85" zoomScaleNormal="85" workbookViewId="0">
      <selection activeCell="H35" sqref="H35"/>
    </sheetView>
  </sheetViews>
  <sheetFormatPr defaultColWidth="9.140625" defaultRowHeight="12.75" x14ac:dyDescent="0.2"/>
  <cols>
    <col min="1" max="11" width="3.7109375" style="7" customWidth="1"/>
    <col min="12" max="16384" width="9.140625" style="7"/>
  </cols>
  <sheetData>
    <row r="1" spans="1:12" ht="18" x14ac:dyDescent="0.25">
      <c r="A1" s="4" t="s">
        <v>20</v>
      </c>
      <c r="B1" s="5"/>
      <c r="C1" s="6"/>
      <c r="D1" s="6"/>
    </row>
    <row r="2" spans="1:12" ht="15" x14ac:dyDescent="0.25">
      <c r="A2" s="8" t="s">
        <v>21</v>
      </c>
      <c r="B2" s="9"/>
      <c r="C2" s="10"/>
      <c r="F2" s="11" t="s">
        <v>22</v>
      </c>
    </row>
    <row r="3" spans="1:12" ht="15" x14ac:dyDescent="0.25">
      <c r="A3" s="8" t="s">
        <v>23</v>
      </c>
      <c r="B3" s="9"/>
      <c r="C3" s="10"/>
      <c r="F3" s="11" t="s">
        <v>24</v>
      </c>
    </row>
    <row r="4" spans="1:12" ht="15" x14ac:dyDescent="0.25">
      <c r="A4" s="8" t="s">
        <v>25</v>
      </c>
      <c r="B4" s="9"/>
      <c r="C4" s="10"/>
      <c r="F4" s="12" t="s">
        <v>26</v>
      </c>
    </row>
    <row r="5" spans="1:12" ht="15" x14ac:dyDescent="0.25">
      <c r="A5" s="8" t="s">
        <v>27</v>
      </c>
      <c r="B5" s="9"/>
      <c r="C5" s="13"/>
      <c r="F5" s="11" t="s">
        <v>28</v>
      </c>
    </row>
    <row r="7" spans="1:12" ht="14.25" x14ac:dyDescent="0.2">
      <c r="F7" s="11" t="s">
        <v>29</v>
      </c>
    </row>
    <row r="9" spans="1:12" x14ac:dyDescent="0.2">
      <c r="F9" s="7" t="s">
        <v>30</v>
      </c>
    </row>
    <row r="11" spans="1:12" x14ac:dyDescent="0.2">
      <c r="F11" s="14" t="s">
        <v>31</v>
      </c>
      <c r="G11" s="7" t="s">
        <v>32</v>
      </c>
      <c r="K11" s="7" t="s">
        <v>33</v>
      </c>
    </row>
    <row r="12" spans="1:12" x14ac:dyDescent="0.2">
      <c r="F12" s="14"/>
      <c r="L12" s="7" t="s">
        <v>34</v>
      </c>
    </row>
    <row r="13" spans="1:12" x14ac:dyDescent="0.2">
      <c r="F13" s="14"/>
    </row>
    <row r="14" spans="1:12" x14ac:dyDescent="0.2">
      <c r="F14" s="14" t="s">
        <v>31</v>
      </c>
      <c r="G14" s="7" t="s">
        <v>35</v>
      </c>
      <c r="K14" s="7" t="s">
        <v>36</v>
      </c>
    </row>
    <row r="15" spans="1:12" x14ac:dyDescent="0.2">
      <c r="L15" s="7" t="s">
        <v>37</v>
      </c>
    </row>
    <row r="17" spans="6:27" x14ac:dyDescent="0.2">
      <c r="F17" s="14" t="s">
        <v>31</v>
      </c>
      <c r="G17" s="7" t="s">
        <v>38</v>
      </c>
      <c r="K17" s="7" t="s">
        <v>39</v>
      </c>
    </row>
    <row r="18" spans="6:27" x14ac:dyDescent="0.2">
      <c r="F18" s="14"/>
      <c r="L18" s="7" t="s">
        <v>40</v>
      </c>
    </row>
    <row r="19" spans="6:27" x14ac:dyDescent="0.2">
      <c r="F19" s="14"/>
      <c r="L19" s="7" t="s">
        <v>41</v>
      </c>
    </row>
    <row r="20" spans="6:27" x14ac:dyDescent="0.2">
      <c r="F20" s="14"/>
      <c r="L20" s="7" t="s">
        <v>42</v>
      </c>
    </row>
    <row r="21" spans="6:27" x14ac:dyDescent="0.2">
      <c r="F21" s="14"/>
      <c r="L21" s="7" t="s">
        <v>43</v>
      </c>
    </row>
    <row r="23" spans="6:27" x14ac:dyDescent="0.2">
      <c r="F23" s="14" t="s">
        <v>31</v>
      </c>
      <c r="G23" s="7" t="s">
        <v>44</v>
      </c>
      <c r="K23" s="7" t="s">
        <v>45</v>
      </c>
    </row>
    <row r="24" spans="6:27" x14ac:dyDescent="0.2">
      <c r="K24" s="7" t="s">
        <v>46</v>
      </c>
    </row>
    <row r="25" spans="6:27" x14ac:dyDescent="0.2">
      <c r="L25" s="7" t="s">
        <v>47</v>
      </c>
    </row>
    <row r="26" spans="6:27" x14ac:dyDescent="0.2">
      <c r="L26" s="7" t="s">
        <v>48</v>
      </c>
    </row>
    <row r="29" spans="6:27" x14ac:dyDescent="0.2">
      <c r="F29" s="7" t="s">
        <v>49</v>
      </c>
    </row>
    <row r="31" spans="6:27" x14ac:dyDescent="0.2">
      <c r="F31" s="15" t="s">
        <v>50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</row>
    <row r="32" spans="6:27" x14ac:dyDescent="0.2">
      <c r="F32" s="15" t="s">
        <v>51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</row>
    <row r="33" spans="6:27" x14ac:dyDescent="0.2">
      <c r="F33" s="15" t="s">
        <v>52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</row>
    <row r="35" spans="6:27" x14ac:dyDescent="0.2">
      <c r="F35" s="16" t="s">
        <v>50</v>
      </c>
      <c r="H35" s="7" t="s">
        <v>53</v>
      </c>
    </row>
    <row r="37" spans="6:27" x14ac:dyDescent="0.2">
      <c r="F37" s="14" t="s">
        <v>31</v>
      </c>
      <c r="G37" s="7" t="s">
        <v>32</v>
      </c>
      <c r="K37" s="7" t="s">
        <v>54</v>
      </c>
    </row>
    <row r="38" spans="6:27" x14ac:dyDescent="0.2">
      <c r="F38" s="14"/>
      <c r="L38" s="7" t="s">
        <v>55</v>
      </c>
    </row>
    <row r="39" spans="6:27" x14ac:dyDescent="0.2">
      <c r="L39" s="7" t="s">
        <v>56</v>
      </c>
    </row>
    <row r="40" spans="6:27" x14ac:dyDescent="0.2">
      <c r="L40" s="7" t="s">
        <v>57</v>
      </c>
    </row>
    <row r="41" spans="6:27" x14ac:dyDescent="0.2">
      <c r="L41" s="7" t="s">
        <v>58</v>
      </c>
    </row>
    <row r="43" spans="6:27" x14ac:dyDescent="0.2">
      <c r="F43" s="14" t="s">
        <v>31</v>
      </c>
      <c r="G43" s="7" t="s">
        <v>35</v>
      </c>
      <c r="K43" s="7" t="s">
        <v>59</v>
      </c>
    </row>
    <row r="44" spans="6:27" x14ac:dyDescent="0.2">
      <c r="L44" s="7" t="s">
        <v>55</v>
      </c>
    </row>
    <row r="45" spans="6:27" x14ac:dyDescent="0.2">
      <c r="L45" s="7" t="s">
        <v>60</v>
      </c>
    </row>
    <row r="46" spans="6:27" x14ac:dyDescent="0.2">
      <c r="L46" s="7" t="s">
        <v>61</v>
      </c>
    </row>
    <row r="47" spans="6:27" x14ac:dyDescent="0.2">
      <c r="L47" s="7" t="s">
        <v>62</v>
      </c>
    </row>
    <row r="49" spans="6:12" x14ac:dyDescent="0.2">
      <c r="F49" s="14" t="s">
        <v>31</v>
      </c>
      <c r="G49" s="7" t="s">
        <v>38</v>
      </c>
      <c r="K49" s="7" t="s">
        <v>39</v>
      </c>
    </row>
    <row r="50" spans="6:12" x14ac:dyDescent="0.2">
      <c r="L50" s="7" t="s">
        <v>55</v>
      </c>
    </row>
    <row r="51" spans="6:12" x14ac:dyDescent="0.2">
      <c r="L51" s="7" t="s">
        <v>63</v>
      </c>
    </row>
    <row r="52" spans="6:12" x14ac:dyDescent="0.2">
      <c r="L52" s="7" t="s">
        <v>64</v>
      </c>
    </row>
    <row r="53" spans="6:12" x14ac:dyDescent="0.2">
      <c r="L53" s="7" t="s">
        <v>65</v>
      </c>
    </row>
    <row r="55" spans="6:12" x14ac:dyDescent="0.2">
      <c r="F55" s="7" t="s">
        <v>66</v>
      </c>
    </row>
    <row r="57" spans="6:12" x14ac:dyDescent="0.2">
      <c r="F57" s="14" t="s">
        <v>31</v>
      </c>
      <c r="G57" s="7" t="s">
        <v>67</v>
      </c>
      <c r="K57" s="7" t="s">
        <v>68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&amp;L..\&amp;F - &amp;A&amp;C09-apr-2013&amp;RVUIST: Henk Verbeek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pageSetUpPr fitToPage="1"/>
  </sheetPr>
  <dimension ref="A1:P47"/>
  <sheetViews>
    <sheetView topLeftCell="A7" workbookViewId="0">
      <selection activeCell="G14" sqref="G14"/>
    </sheetView>
  </sheetViews>
  <sheetFormatPr defaultColWidth="9.140625" defaultRowHeight="12.75" x14ac:dyDescent="0.2"/>
  <cols>
    <col min="1" max="7" width="3.7109375" style="7" customWidth="1"/>
    <col min="8" max="16384" width="9.140625" style="7"/>
  </cols>
  <sheetData>
    <row r="1" spans="1:7" ht="18" x14ac:dyDescent="0.25">
      <c r="A1" s="4" t="s">
        <v>20</v>
      </c>
      <c r="B1" s="5"/>
      <c r="C1" s="6"/>
      <c r="D1" s="6"/>
    </row>
    <row r="2" spans="1:7" ht="15" x14ac:dyDescent="0.25">
      <c r="A2" s="8" t="s">
        <v>21</v>
      </c>
      <c r="B2" s="9"/>
      <c r="C2" s="10"/>
      <c r="F2" s="11" t="s">
        <v>22</v>
      </c>
    </row>
    <row r="3" spans="1:7" ht="15" x14ac:dyDescent="0.25">
      <c r="A3" s="8" t="s">
        <v>23</v>
      </c>
      <c r="B3" s="9"/>
      <c r="C3" s="10"/>
      <c r="F3" s="11" t="s">
        <v>24</v>
      </c>
    </row>
    <row r="4" spans="1:7" ht="15" x14ac:dyDescent="0.25">
      <c r="A4" s="8" t="s">
        <v>25</v>
      </c>
      <c r="B4" s="9"/>
      <c r="C4" s="10"/>
      <c r="F4" s="12" t="s">
        <v>72</v>
      </c>
    </row>
    <row r="5" spans="1:7" ht="15" x14ac:dyDescent="0.25">
      <c r="A5" s="8" t="s">
        <v>27</v>
      </c>
      <c r="B5" s="9"/>
      <c r="C5" s="13"/>
      <c r="F5" s="11" t="s">
        <v>73</v>
      </c>
    </row>
    <row r="8" spans="1:7" x14ac:dyDescent="0.2">
      <c r="D8" s="7" t="s">
        <v>69</v>
      </c>
      <c r="F8" s="7" t="s">
        <v>74</v>
      </c>
      <c r="G8" s="7" t="s">
        <v>75</v>
      </c>
    </row>
    <row r="9" spans="1:7" x14ac:dyDescent="0.2">
      <c r="F9" s="7" t="s">
        <v>76</v>
      </c>
      <c r="G9" s="7" t="s">
        <v>77</v>
      </c>
    </row>
    <row r="10" spans="1:7" x14ac:dyDescent="0.2">
      <c r="F10" s="7" t="s">
        <v>78</v>
      </c>
      <c r="G10" s="7" t="s">
        <v>79</v>
      </c>
    </row>
    <row r="11" spans="1:7" x14ac:dyDescent="0.2">
      <c r="F11" s="7" t="s">
        <v>80</v>
      </c>
      <c r="G11" s="7" t="s">
        <v>81</v>
      </c>
    </row>
    <row r="12" spans="1:7" x14ac:dyDescent="0.2">
      <c r="F12" s="7" t="s">
        <v>82</v>
      </c>
      <c r="G12" s="7" t="s">
        <v>83</v>
      </c>
    </row>
    <row r="13" spans="1:7" x14ac:dyDescent="0.2">
      <c r="F13" s="7" t="s">
        <v>84</v>
      </c>
      <c r="G13" s="7" t="s">
        <v>85</v>
      </c>
    </row>
    <row r="14" spans="1:7" x14ac:dyDescent="0.2">
      <c r="F14" s="7" t="s">
        <v>86</v>
      </c>
      <c r="G14" s="7" t="s">
        <v>87</v>
      </c>
    </row>
    <row r="15" spans="1:7" x14ac:dyDescent="0.2">
      <c r="F15" s="7" t="s">
        <v>88</v>
      </c>
      <c r="G15" s="7" t="s">
        <v>89</v>
      </c>
    </row>
    <row r="16" spans="1:7" x14ac:dyDescent="0.2">
      <c r="F16" s="7" t="s">
        <v>90</v>
      </c>
      <c r="G16" s="7" t="s">
        <v>91</v>
      </c>
    </row>
    <row r="18" spans="4:8" x14ac:dyDescent="0.2">
      <c r="D18" s="7" t="s">
        <v>71</v>
      </c>
      <c r="F18" s="7" t="s">
        <v>92</v>
      </c>
    </row>
    <row r="19" spans="4:8" x14ac:dyDescent="0.2">
      <c r="F19" s="7" t="s">
        <v>74</v>
      </c>
      <c r="G19" s="7" t="s">
        <v>93</v>
      </c>
    </row>
    <row r="20" spans="4:8" x14ac:dyDescent="0.2">
      <c r="F20" s="7" t="s">
        <v>76</v>
      </c>
      <c r="G20" s="7" t="s">
        <v>94</v>
      </c>
    </row>
    <row r="21" spans="4:8" x14ac:dyDescent="0.2">
      <c r="G21" s="14" t="s">
        <v>95</v>
      </c>
      <c r="H21" s="7" t="s">
        <v>96</v>
      </c>
    </row>
    <row r="22" spans="4:8" x14ac:dyDescent="0.2">
      <c r="F22" s="7" t="s">
        <v>78</v>
      </c>
      <c r="G22" s="7" t="s">
        <v>97</v>
      </c>
    </row>
    <row r="24" spans="4:8" x14ac:dyDescent="0.2">
      <c r="D24" s="7" t="s">
        <v>98</v>
      </c>
      <c r="F24" s="7" t="s">
        <v>99</v>
      </c>
    </row>
    <row r="25" spans="4:8" x14ac:dyDescent="0.2">
      <c r="F25" s="7" t="s">
        <v>74</v>
      </c>
      <c r="G25" s="7" t="s">
        <v>100</v>
      </c>
    </row>
    <row r="26" spans="4:8" x14ac:dyDescent="0.2">
      <c r="G26" s="14" t="s">
        <v>31</v>
      </c>
      <c r="H26" s="13" t="s">
        <v>101</v>
      </c>
    </row>
    <row r="27" spans="4:8" x14ac:dyDescent="0.2">
      <c r="G27" s="14" t="s">
        <v>31</v>
      </c>
      <c r="H27" s="13" t="s">
        <v>102</v>
      </c>
    </row>
    <row r="28" spans="4:8" x14ac:dyDescent="0.2">
      <c r="F28" s="7" t="s">
        <v>76</v>
      </c>
      <c r="G28" s="14" t="s">
        <v>103</v>
      </c>
      <c r="H28" s="13"/>
    </row>
    <row r="30" spans="4:8" x14ac:dyDescent="0.2">
      <c r="D30" s="7" t="s">
        <v>104</v>
      </c>
      <c r="F30" s="7" t="s">
        <v>105</v>
      </c>
    </row>
    <row r="31" spans="4:8" x14ac:dyDescent="0.2">
      <c r="F31" s="7" t="s">
        <v>74</v>
      </c>
      <c r="G31" s="7" t="s">
        <v>106</v>
      </c>
    </row>
    <row r="32" spans="4:8" x14ac:dyDescent="0.2">
      <c r="G32" s="14" t="s">
        <v>31</v>
      </c>
      <c r="H32" s="13" t="s">
        <v>107</v>
      </c>
    </row>
    <row r="33" spans="4:16" x14ac:dyDescent="0.2">
      <c r="G33" s="14" t="s">
        <v>31</v>
      </c>
      <c r="H33" s="13" t="s">
        <v>108</v>
      </c>
    </row>
    <row r="34" spans="4:16" x14ac:dyDescent="0.2">
      <c r="G34" s="14" t="s">
        <v>31</v>
      </c>
      <c r="H34" s="13" t="s">
        <v>109</v>
      </c>
    </row>
    <row r="35" spans="4:16" x14ac:dyDescent="0.2">
      <c r="F35" s="7" t="s">
        <v>76</v>
      </c>
      <c r="G35" s="7" t="s">
        <v>110</v>
      </c>
    </row>
    <row r="37" spans="4:16" x14ac:dyDescent="0.2">
      <c r="D37" s="7" t="s">
        <v>111</v>
      </c>
      <c r="F37" s="7" t="s">
        <v>112</v>
      </c>
    </row>
    <row r="38" spans="4:16" x14ac:dyDescent="0.2">
      <c r="F38" s="7" t="s">
        <v>74</v>
      </c>
      <c r="G38" s="7" t="s">
        <v>113</v>
      </c>
    </row>
    <row r="39" spans="4:16" x14ac:dyDescent="0.2">
      <c r="F39" s="7" t="s">
        <v>76</v>
      </c>
      <c r="G39" s="7" t="s">
        <v>114</v>
      </c>
    </row>
    <row r="40" spans="4:16" x14ac:dyDescent="0.2">
      <c r="F40" s="7" t="s">
        <v>78</v>
      </c>
      <c r="G40" s="7" t="s">
        <v>115</v>
      </c>
    </row>
    <row r="41" spans="4:16" x14ac:dyDescent="0.2">
      <c r="F41" s="7" t="s">
        <v>80</v>
      </c>
      <c r="G41" s="7" t="s">
        <v>116</v>
      </c>
    </row>
    <row r="42" spans="4:16" x14ac:dyDescent="0.2">
      <c r="F42" s="7" t="s">
        <v>82</v>
      </c>
      <c r="G42" s="7" t="s">
        <v>117</v>
      </c>
    </row>
    <row r="43" spans="4:16" x14ac:dyDescent="0.2">
      <c r="F43" s="7" t="s">
        <v>84</v>
      </c>
      <c r="G43" s="7" t="s">
        <v>118</v>
      </c>
    </row>
    <row r="44" spans="4:16" x14ac:dyDescent="0.2">
      <c r="F44" s="7" t="s">
        <v>86</v>
      </c>
      <c r="G44" s="7" t="s">
        <v>119</v>
      </c>
    </row>
    <row r="45" spans="4:16" x14ac:dyDescent="0.2">
      <c r="G45" s="7" t="s">
        <v>74</v>
      </c>
      <c r="H45" s="7" t="s">
        <v>120</v>
      </c>
      <c r="P45" s="14" t="s">
        <v>121</v>
      </c>
    </row>
    <row r="46" spans="4:16" x14ac:dyDescent="0.2">
      <c r="G46" s="7" t="s">
        <v>76</v>
      </c>
      <c r="H46" s="7" t="s">
        <v>122</v>
      </c>
      <c r="P46" s="14" t="s">
        <v>123</v>
      </c>
    </row>
    <row r="47" spans="4:16" x14ac:dyDescent="0.2">
      <c r="G47" s="7" t="s">
        <v>78</v>
      </c>
      <c r="H47" s="7" t="s">
        <v>124</v>
      </c>
      <c r="P47" s="14" t="s">
        <v>125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Footer>&amp;L../&amp;F - &amp;A&amp;C9-apr-2013&amp;RVUIST: Henk Verbeek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>
    <pageSetUpPr fitToPage="1"/>
  </sheetPr>
  <dimension ref="A1:AR89"/>
  <sheetViews>
    <sheetView topLeftCell="A13" zoomScale="85" zoomScaleNormal="85" workbookViewId="0">
      <pane xSplit="13" ySplit="7" topLeftCell="N59" activePane="bottomRight" state="frozen"/>
      <selection pane="topRight"/>
      <selection pane="bottomLeft"/>
      <selection pane="bottomRight" activeCell="P64" sqref="P64"/>
    </sheetView>
  </sheetViews>
  <sheetFormatPr defaultColWidth="9.140625" defaultRowHeight="12.75" outlineLevelCol="1" x14ac:dyDescent="0.2"/>
  <cols>
    <col min="1" max="6" width="3.7109375" style="41" customWidth="1"/>
    <col min="7" max="11" width="9.140625" style="41"/>
    <col min="12" max="12" width="12.7109375" style="41" customWidth="1"/>
    <col min="13" max="13" width="1.7109375" style="41" customWidth="1"/>
    <col min="14" max="14" width="14.7109375" style="41" customWidth="1"/>
    <col min="15" max="15" width="1.7109375" style="41" customWidth="1"/>
    <col min="16" max="16" width="14.7109375" style="41" customWidth="1"/>
    <col min="17" max="17" width="1.7109375" style="41" customWidth="1"/>
    <col min="18" max="18" width="14.7109375" style="41" customWidth="1"/>
    <col min="19" max="19" width="1.7109375" style="41" customWidth="1"/>
    <col min="20" max="20" width="14.7109375" style="41" customWidth="1"/>
    <col min="21" max="21" width="1.7109375" style="41" customWidth="1"/>
    <col min="22" max="22" width="14.7109375" style="41" customWidth="1"/>
    <col min="23" max="23" width="1.7109375" style="41" customWidth="1"/>
    <col min="24" max="24" width="3.7109375" style="41" customWidth="1" outlineLevel="1"/>
    <col min="25" max="25" width="1.7109375" style="41" customWidth="1" outlineLevel="1"/>
    <col min="26" max="26" width="14.7109375" style="41" customWidth="1" outlineLevel="1"/>
    <col min="27" max="27" width="1.7109375" style="41" customWidth="1" outlineLevel="1"/>
    <col min="28" max="28" width="14.7109375" style="41" customWidth="1" outlineLevel="1"/>
    <col min="29" max="29" width="1.7109375" style="41" customWidth="1" outlineLevel="1"/>
    <col min="30" max="30" width="14.7109375" style="41" customWidth="1" outlineLevel="1"/>
    <col min="31" max="31" width="1.7109375" style="41" customWidth="1" outlineLevel="1"/>
    <col min="32" max="32" width="14.7109375" style="41" customWidth="1" outlineLevel="1"/>
    <col min="33" max="33" width="1.7109375" style="41" customWidth="1" outlineLevel="1"/>
    <col min="34" max="34" width="14.7109375" style="41" customWidth="1" outlineLevel="1"/>
    <col min="35" max="35" width="3.7109375" style="41" customWidth="1" outlineLevel="1"/>
    <col min="36" max="36" width="14.7109375" style="41" customWidth="1" outlineLevel="1"/>
    <col min="37" max="37" width="1.7109375" style="41" customWidth="1" outlineLevel="1"/>
    <col min="38" max="38" width="14.7109375" style="41" customWidth="1" outlineLevel="1"/>
    <col min="39" max="39" width="1.7109375" style="41" customWidth="1" outlineLevel="1"/>
    <col min="40" max="40" width="14.7109375" style="41" customWidth="1" outlineLevel="1"/>
    <col min="41" max="41" width="1.7109375" style="41" customWidth="1" outlineLevel="1"/>
    <col min="42" max="42" width="14.7109375" style="41" customWidth="1" outlineLevel="1"/>
    <col min="43" max="43" width="1.7109375" style="41" customWidth="1" outlineLevel="1"/>
    <col min="44" max="44" width="14.7109375" style="41" customWidth="1" outlineLevel="1"/>
    <col min="45" max="45" width="1.7109375" style="41" customWidth="1"/>
    <col min="46" max="16384" width="9.140625" style="41"/>
  </cols>
  <sheetData>
    <row r="1" spans="1:44" x14ac:dyDescent="0.2">
      <c r="A1" s="41" t="s">
        <v>20</v>
      </c>
    </row>
    <row r="2" spans="1:44" x14ac:dyDescent="0.2">
      <c r="A2" s="41" t="s">
        <v>21</v>
      </c>
      <c r="F2" s="41" t="s">
        <v>22</v>
      </c>
    </row>
    <row r="3" spans="1:44" x14ac:dyDescent="0.2">
      <c r="A3" s="41" t="s">
        <v>23</v>
      </c>
      <c r="F3" s="41" t="s">
        <v>24</v>
      </c>
    </row>
    <row r="4" spans="1:44" x14ac:dyDescent="0.2">
      <c r="A4" s="41" t="s">
        <v>25</v>
      </c>
      <c r="F4" s="41" t="s">
        <v>126</v>
      </c>
    </row>
    <row r="5" spans="1:44" x14ac:dyDescent="0.2">
      <c r="A5" s="41" t="s">
        <v>127</v>
      </c>
      <c r="F5" s="41" t="s">
        <v>128</v>
      </c>
    </row>
    <row r="6" spans="1:44" x14ac:dyDescent="0.2">
      <c r="A6" s="41" t="s">
        <v>27</v>
      </c>
      <c r="F6" s="41" t="s">
        <v>129</v>
      </c>
    </row>
    <row r="8" spans="1:44" x14ac:dyDescent="0.2">
      <c r="B8" s="41" t="s">
        <v>130</v>
      </c>
      <c r="H8" s="41" t="s">
        <v>131</v>
      </c>
    </row>
    <row r="10" spans="1:44" x14ac:dyDescent="0.2">
      <c r="B10" s="41" t="s">
        <v>132</v>
      </c>
      <c r="H10" s="41">
        <v>41775</v>
      </c>
    </row>
    <row r="12" spans="1:44" x14ac:dyDescent="0.2">
      <c r="L12" s="41" t="s">
        <v>133</v>
      </c>
      <c r="N12" s="41" t="s">
        <v>134</v>
      </c>
      <c r="P12" s="41" t="s">
        <v>135</v>
      </c>
      <c r="R12" s="41" t="s">
        <v>136</v>
      </c>
      <c r="T12" s="41" t="s">
        <v>137</v>
      </c>
      <c r="V12" s="41" t="s">
        <v>138</v>
      </c>
      <c r="X12" s="41" t="s">
        <v>139</v>
      </c>
      <c r="Z12" s="41" t="s">
        <v>140</v>
      </c>
      <c r="AB12" s="41" t="s">
        <v>141</v>
      </c>
      <c r="AD12" s="41" t="s">
        <v>142</v>
      </c>
      <c r="AF12" s="41" t="s">
        <v>143</v>
      </c>
      <c r="AH12" s="41" t="s">
        <v>144</v>
      </c>
      <c r="AJ12" s="41" t="s">
        <v>145</v>
      </c>
      <c r="AL12" s="41" t="s">
        <v>146</v>
      </c>
      <c r="AN12" s="41" t="s">
        <v>147</v>
      </c>
      <c r="AP12" s="41" t="s">
        <v>148</v>
      </c>
      <c r="AR12" s="41" t="s">
        <v>149</v>
      </c>
    </row>
    <row r="13" spans="1:44" s="75" customFormat="1" ht="12" customHeight="1" x14ac:dyDescent="0.2"/>
    <row r="14" spans="1:44" s="75" customFormat="1" ht="12" customHeight="1" x14ac:dyDescent="0.2">
      <c r="A14" s="75" t="s">
        <v>150</v>
      </c>
      <c r="R14" s="75" t="s">
        <v>151</v>
      </c>
      <c r="AD14" s="75" t="s">
        <v>152</v>
      </c>
      <c r="AN14" s="75" t="s">
        <v>153</v>
      </c>
    </row>
    <row r="15" spans="1:44" s="75" customFormat="1" ht="12" customHeight="1" x14ac:dyDescent="0.2"/>
    <row r="16" spans="1:44" s="75" customFormat="1" ht="12" customHeight="1" x14ac:dyDescent="0.2">
      <c r="R16" s="75" t="s">
        <v>154</v>
      </c>
      <c r="AD16" s="75" t="s">
        <v>155</v>
      </c>
      <c r="AN16" s="75" t="s">
        <v>156</v>
      </c>
    </row>
    <row r="17" spans="2:44" s="75" customFormat="1" ht="12" customHeight="1" x14ac:dyDescent="0.2"/>
    <row r="18" spans="2:44" s="75" customFormat="1" ht="12" customHeight="1" x14ac:dyDescent="0.2">
      <c r="B18" s="75" t="s">
        <v>157</v>
      </c>
      <c r="K18" s="75" t="s">
        <v>158</v>
      </c>
      <c r="N18" s="75">
        <f>YEAR(Peildatum)-1</f>
        <v>2019</v>
      </c>
      <c r="P18" s="75" t="str">
        <f>$N$18&amp;" - "&amp;$R$18</f>
        <v>2019 - 2020</v>
      </c>
      <c r="R18" s="75">
        <f>YEAR(Peildatum)</f>
        <v>2020</v>
      </c>
      <c r="T18" s="75" t="str">
        <f>$R$18&amp;" - "&amp;$V$18</f>
        <v>2020 - 2021</v>
      </c>
      <c r="V18" s="75">
        <f>YEAR(Peildatum)+1</f>
        <v>2021</v>
      </c>
      <c r="Z18" s="75">
        <f>N18</f>
        <v>2019</v>
      </c>
      <c r="AB18" s="75" t="str">
        <f>P18</f>
        <v>2019 - 2020</v>
      </c>
      <c r="AD18" s="75">
        <f>R18</f>
        <v>2020</v>
      </c>
      <c r="AF18" s="75" t="str">
        <f>T18</f>
        <v>2020 - 2021</v>
      </c>
      <c r="AH18" s="75">
        <f>V18</f>
        <v>2021</v>
      </c>
      <c r="AJ18" s="75">
        <f>N18</f>
        <v>2019</v>
      </c>
      <c r="AL18" s="75" t="str">
        <f>P18</f>
        <v>2019 - 2020</v>
      </c>
      <c r="AN18" s="75">
        <f>R18</f>
        <v>2020</v>
      </c>
      <c r="AP18" s="75" t="str">
        <f>T18</f>
        <v>2020 - 2021</v>
      </c>
      <c r="AR18" s="75">
        <f>V18</f>
        <v>2021</v>
      </c>
    </row>
    <row r="19" spans="2:44" s="75" customFormat="1" ht="12" customHeight="1" x14ac:dyDescent="0.2"/>
    <row r="20" spans="2:44" x14ac:dyDescent="0.2">
      <c r="B20" s="41">
        <v>1</v>
      </c>
      <c r="C20" s="41" t="s">
        <v>159</v>
      </c>
      <c r="P20" s="82">
        <f>Data_1213RijksBekost01</f>
        <v>0</v>
      </c>
      <c r="T20" s="82">
        <f>Data_1314RijksBekost01</f>
        <v>0</v>
      </c>
      <c r="X20" s="76" t="s">
        <v>160</v>
      </c>
      <c r="AJ20" s="41">
        <f>IF($X20="v",N20,Z20)</f>
        <v>0</v>
      </c>
      <c r="AL20" s="41">
        <f>IF($X20="v",P20,AB20)</f>
        <v>0</v>
      </c>
      <c r="AN20" s="41">
        <f>IF($X20="v",R20,AD20)</f>
        <v>0</v>
      </c>
      <c r="AP20" s="41">
        <f>IF($X20="v",T20,AF20)</f>
        <v>0</v>
      </c>
      <c r="AR20" s="41">
        <f>IF($X20="v",V20,AH20)</f>
        <v>0</v>
      </c>
    </row>
    <row r="21" spans="2:44" x14ac:dyDescent="0.2">
      <c r="P21" s="82"/>
      <c r="T21" s="82"/>
      <c r="X21" s="76"/>
    </row>
    <row r="22" spans="2:44" x14ac:dyDescent="0.2">
      <c r="B22" s="41">
        <v>2</v>
      </c>
      <c r="C22" s="41" t="s">
        <v>161</v>
      </c>
      <c r="P22" s="82">
        <f>Data_1213RijksBekost02</f>
        <v>0</v>
      </c>
      <c r="T22" s="82">
        <f>Data_1314RijksBekost02</f>
        <v>0</v>
      </c>
      <c r="X22" s="76" t="s">
        <v>160</v>
      </c>
      <c r="AJ22" s="41">
        <f>IF($X22="v",N22,Z22)</f>
        <v>0</v>
      </c>
      <c r="AL22" s="41">
        <f>IF($X22="v",P22,AB22)</f>
        <v>0</v>
      </c>
      <c r="AN22" s="41">
        <f>IF($X22="v",R22,AD22)</f>
        <v>0</v>
      </c>
      <c r="AP22" s="41">
        <f>IF($X22="v",T22,AF22)</f>
        <v>0</v>
      </c>
      <c r="AR22" s="41">
        <f>IF($X22="v",V22,AH22)</f>
        <v>0</v>
      </c>
    </row>
    <row r="23" spans="2:44" x14ac:dyDescent="0.2">
      <c r="P23" s="82"/>
      <c r="T23" s="82"/>
      <c r="X23" s="76"/>
    </row>
    <row r="24" spans="2:44" x14ac:dyDescent="0.2">
      <c r="B24" s="41">
        <v>3</v>
      </c>
      <c r="C24" s="41" t="s">
        <v>162</v>
      </c>
      <c r="P24" s="82">
        <f>Data_1213RijksBekost03</f>
        <v>0</v>
      </c>
      <c r="T24" s="82">
        <f>Data_1314RijksBekost03</f>
        <v>0</v>
      </c>
      <c r="X24" s="76" t="s">
        <v>160</v>
      </c>
      <c r="AJ24" s="41">
        <f>IF($X24="v",N24,Z24)</f>
        <v>0</v>
      </c>
      <c r="AL24" s="41">
        <f>IF($X24="v",P24,AB24)</f>
        <v>0</v>
      </c>
      <c r="AN24" s="41">
        <f>IF($X24="v",R24,AD24)</f>
        <v>0</v>
      </c>
      <c r="AP24" s="41">
        <f>IF($X24="v",T24,AF24)</f>
        <v>0</v>
      </c>
      <c r="AR24" s="41">
        <f>IF($X24="v",V24,AH24)</f>
        <v>0</v>
      </c>
    </row>
    <row r="25" spans="2:44" x14ac:dyDescent="0.2">
      <c r="P25" s="82"/>
      <c r="T25" s="82"/>
      <c r="X25" s="76"/>
    </row>
    <row r="26" spans="2:44" x14ac:dyDescent="0.2">
      <c r="B26" s="41">
        <v>4</v>
      </c>
      <c r="C26" s="41" t="s">
        <v>163</v>
      </c>
      <c r="P26" s="82">
        <f>Data_1213RijksBekost04</f>
        <v>0</v>
      </c>
      <c r="T26" s="82">
        <f>Data_1314RijksBekost04</f>
        <v>0</v>
      </c>
      <c r="X26" s="76" t="s">
        <v>160</v>
      </c>
      <c r="AJ26" s="41">
        <f>IF($X26="v",N26,Z26)</f>
        <v>0</v>
      </c>
      <c r="AL26" s="41">
        <f>IF($X26="v",P26,AB26)</f>
        <v>0</v>
      </c>
      <c r="AN26" s="41">
        <f>IF($X26="v",R26,AD26)</f>
        <v>0</v>
      </c>
      <c r="AP26" s="41">
        <f>IF($X26="v",T26,AF26)</f>
        <v>0</v>
      </c>
      <c r="AR26" s="41">
        <f>IF($X26="v",V26,AH26)</f>
        <v>0</v>
      </c>
    </row>
    <row r="27" spans="2:44" x14ac:dyDescent="0.2">
      <c r="P27" s="82"/>
      <c r="T27" s="82"/>
      <c r="X27" s="76"/>
    </row>
    <row r="28" spans="2:44" x14ac:dyDescent="0.2">
      <c r="B28" s="41">
        <v>5</v>
      </c>
      <c r="C28" s="41" t="s">
        <v>164</v>
      </c>
      <c r="P28" s="82">
        <f>Data_1213RijksBekost05</f>
        <v>0</v>
      </c>
      <c r="T28" s="82">
        <f>Data_1314RijksBekost05</f>
        <v>0</v>
      </c>
      <c r="X28" s="76" t="s">
        <v>160</v>
      </c>
      <c r="AJ28" s="41">
        <f>IF($X28="v",N28,Z28)</f>
        <v>0</v>
      </c>
      <c r="AL28" s="41">
        <f>IF($X28="v",P28,AB28)</f>
        <v>0</v>
      </c>
      <c r="AN28" s="41">
        <f>IF($X28="v",R28,AD28)</f>
        <v>0</v>
      </c>
      <c r="AP28" s="41">
        <f>IF($X28="v",T28,AF28)</f>
        <v>0</v>
      </c>
      <c r="AR28" s="41">
        <f>IF($X28="v",V28,AH28)</f>
        <v>0</v>
      </c>
    </row>
    <row r="29" spans="2:44" x14ac:dyDescent="0.2">
      <c r="P29" s="82"/>
      <c r="T29" s="82"/>
      <c r="X29" s="76"/>
    </row>
    <row r="30" spans="2:44" x14ac:dyDescent="0.2">
      <c r="B30" s="41">
        <v>6</v>
      </c>
      <c r="C30" s="41" t="s">
        <v>165</v>
      </c>
      <c r="P30" s="82">
        <f>Data_1213RijksBekost06</f>
        <v>0</v>
      </c>
      <c r="T30" s="82">
        <f>Data_1314RijksBekost06</f>
        <v>0</v>
      </c>
      <c r="X30" s="76" t="s">
        <v>160</v>
      </c>
      <c r="AJ30" s="41">
        <f>IF($X30="v",N30,Z30)</f>
        <v>0</v>
      </c>
      <c r="AL30" s="41">
        <f>IF($X30="v",P30,AB30)</f>
        <v>0</v>
      </c>
      <c r="AN30" s="41">
        <f>IF($X30="v",R30,AD30)</f>
        <v>0</v>
      </c>
      <c r="AP30" s="41">
        <f>IF($X30="v",T30,AF30)</f>
        <v>0</v>
      </c>
      <c r="AR30" s="41">
        <f>IF($X30="v",V30,AH30)</f>
        <v>0</v>
      </c>
    </row>
    <row r="31" spans="2:44" x14ac:dyDescent="0.2">
      <c r="P31" s="82"/>
      <c r="T31" s="82"/>
      <c r="X31" s="76"/>
    </row>
    <row r="32" spans="2:44" x14ac:dyDescent="0.2">
      <c r="B32" s="302">
        <v>7</v>
      </c>
      <c r="C32" s="41" t="s">
        <v>166</v>
      </c>
      <c r="P32" s="82">
        <f>Data_1213RijksBekost07</f>
        <v>0</v>
      </c>
      <c r="T32" s="82">
        <f>Data_1314RijksBekost07</f>
        <v>0</v>
      </c>
      <c r="X32" s="76" t="s">
        <v>160</v>
      </c>
      <c r="AJ32" s="41">
        <f>IF($X32="v",N32,Z32)</f>
        <v>0</v>
      </c>
      <c r="AL32" s="41">
        <f>IF($X32="v",P32,AB32)</f>
        <v>0</v>
      </c>
      <c r="AN32" s="41">
        <f>IF($X32="v",R32,AD32)</f>
        <v>0</v>
      </c>
      <c r="AP32" s="41">
        <f>IF($X32="v",T32,AF32)</f>
        <v>0</v>
      </c>
      <c r="AR32" s="41">
        <f>IF($X32="v",V32,AH32)</f>
        <v>0</v>
      </c>
    </row>
    <row r="33" spans="2:44" x14ac:dyDescent="0.2">
      <c r="P33" s="82"/>
      <c r="T33" s="82"/>
      <c r="X33" s="76"/>
    </row>
    <row r="34" spans="2:44" x14ac:dyDescent="0.2">
      <c r="B34" s="41">
        <v>8</v>
      </c>
      <c r="C34" s="41" t="s">
        <v>167</v>
      </c>
      <c r="P34" s="82">
        <f>Data_1213RijksBekost08</f>
        <v>0</v>
      </c>
      <c r="T34" s="82">
        <f>Data_1314RijksBekost08</f>
        <v>0</v>
      </c>
      <c r="X34" s="76" t="s">
        <v>160</v>
      </c>
      <c r="AJ34" s="41">
        <f>IF($X34="v",N34,Z34)</f>
        <v>0</v>
      </c>
      <c r="AL34" s="41">
        <f>IF($X34="v",P34,AB34)</f>
        <v>0</v>
      </c>
      <c r="AN34" s="41">
        <f>IF($X34="v",R34,AD34)</f>
        <v>0</v>
      </c>
      <c r="AP34" s="41">
        <f>IF($X34="v",T34,AF34)</f>
        <v>0</v>
      </c>
      <c r="AR34" s="41">
        <f>IF($X34="v",V34,AH34)</f>
        <v>0</v>
      </c>
    </row>
    <row r="35" spans="2:44" x14ac:dyDescent="0.2">
      <c r="P35" s="82"/>
      <c r="T35" s="82"/>
      <c r="X35" s="76"/>
    </row>
    <row r="36" spans="2:44" x14ac:dyDescent="0.2">
      <c r="B36" s="41">
        <v>9</v>
      </c>
      <c r="C36" s="41" t="s">
        <v>168</v>
      </c>
      <c r="P36" s="82">
        <f>Data_1213RijksBekost09</f>
        <v>0</v>
      </c>
      <c r="T36" s="82">
        <f>Data_1314RijksBekost09</f>
        <v>0</v>
      </c>
      <c r="X36" s="76" t="s">
        <v>160</v>
      </c>
      <c r="AJ36" s="41">
        <f>IF($X36="v",N36,Z36)</f>
        <v>0</v>
      </c>
      <c r="AL36" s="41">
        <f>IF($X36="v",P36,AB36)</f>
        <v>0</v>
      </c>
      <c r="AN36" s="41">
        <f>IF($X36="v",R36,AD36)</f>
        <v>0</v>
      </c>
      <c r="AP36" s="41">
        <f>IF($X36="v",T36,AF36)</f>
        <v>0</v>
      </c>
      <c r="AR36" s="41">
        <f>IF($X36="v",V36,AH36)</f>
        <v>0</v>
      </c>
    </row>
    <row r="37" spans="2:44" x14ac:dyDescent="0.2">
      <c r="P37" s="82"/>
      <c r="T37" s="82"/>
      <c r="X37" s="76"/>
    </row>
    <row r="38" spans="2:44" x14ac:dyDescent="0.2">
      <c r="B38" s="41">
        <v>10</v>
      </c>
      <c r="C38" s="41" t="s">
        <v>169</v>
      </c>
      <c r="P38" s="82">
        <f>Data_1213RijksBekost10</f>
        <v>0</v>
      </c>
      <c r="T38" s="82">
        <f>Data_1314RijksBekost10</f>
        <v>0</v>
      </c>
      <c r="X38" s="76" t="s">
        <v>160</v>
      </c>
      <c r="AJ38" s="41">
        <f>IF($X38="v",N38,Z38)</f>
        <v>0</v>
      </c>
      <c r="AL38" s="41">
        <f>IF($X38="v",P38,AB38)</f>
        <v>0</v>
      </c>
      <c r="AN38" s="41">
        <f>IF($X38="v",R38,AD38)</f>
        <v>0</v>
      </c>
      <c r="AP38" s="41">
        <f>IF($X38="v",T38,AF38)</f>
        <v>0</v>
      </c>
      <c r="AR38" s="41">
        <f>IF($X38="v",V38,AH38)</f>
        <v>0</v>
      </c>
    </row>
    <row r="39" spans="2:44" x14ac:dyDescent="0.2">
      <c r="P39" s="82"/>
      <c r="T39" s="82"/>
      <c r="X39" s="76"/>
    </row>
    <row r="40" spans="2:44" x14ac:dyDescent="0.2">
      <c r="B40" s="41">
        <v>11</v>
      </c>
      <c r="C40" s="41" t="s">
        <v>170</v>
      </c>
      <c r="P40" s="82">
        <f>Data_1213RijksBekost11</f>
        <v>0</v>
      </c>
      <c r="T40" s="82">
        <f>Data_1314RijksBekost11</f>
        <v>0</v>
      </c>
      <c r="X40" s="76" t="s">
        <v>160</v>
      </c>
      <c r="AJ40" s="41">
        <f>IF($X40="v",N40,Z40)</f>
        <v>0</v>
      </c>
      <c r="AL40" s="41">
        <f>IF($X40="v",P40,AB40)</f>
        <v>0</v>
      </c>
      <c r="AN40" s="41">
        <f>IF($X40="v",R40,AD40)</f>
        <v>0</v>
      </c>
      <c r="AP40" s="41">
        <f>IF($X40="v",T40,AF40)</f>
        <v>0</v>
      </c>
      <c r="AR40" s="41">
        <f>IF($X40="v",V40,AH40)</f>
        <v>0</v>
      </c>
    </row>
    <row r="41" spans="2:44" x14ac:dyDescent="0.2">
      <c r="P41" s="82"/>
      <c r="T41" s="82"/>
      <c r="X41" s="76"/>
    </row>
    <row r="42" spans="2:44" hidden="1" x14ac:dyDescent="0.2">
      <c r="B42" s="300" t="s">
        <v>762</v>
      </c>
      <c r="C42" s="41" t="s">
        <v>763</v>
      </c>
      <c r="K42" s="301">
        <f>12/7</f>
        <v>1.7142857142857142</v>
      </c>
      <c r="P42" s="304" t="s">
        <v>775</v>
      </c>
      <c r="T42" s="304" t="s">
        <v>775</v>
      </c>
      <c r="X42" s="76" t="s">
        <v>160</v>
      </c>
      <c r="AJ42" s="41">
        <f>IF($X42="v",N42,Z42)</f>
        <v>0</v>
      </c>
      <c r="AL42" s="41" t="str">
        <f>IF($X42="v",P42,AB42)</f>
        <v>NVT 16-5-14</v>
      </c>
      <c r="AN42" s="41">
        <f>IF($X42="v",R42,AD42)</f>
        <v>0</v>
      </c>
      <c r="AP42" s="41" t="str">
        <f>IF($X42="v",T42,AF42)</f>
        <v>NVT 16-5-14</v>
      </c>
      <c r="AR42" s="41">
        <f>IF($X42="v",V42,AH42)</f>
        <v>0</v>
      </c>
    </row>
    <row r="43" spans="2:44" hidden="1" x14ac:dyDescent="0.2">
      <c r="P43" s="82"/>
      <c r="T43" s="82"/>
      <c r="X43" s="76"/>
    </row>
    <row r="44" spans="2:44" x14ac:dyDescent="0.2">
      <c r="B44" s="41">
        <v>12</v>
      </c>
      <c r="C44" s="41" t="s">
        <v>171</v>
      </c>
      <c r="P44" s="82">
        <f>Data_1213RijksBekost12</f>
        <v>0</v>
      </c>
      <c r="T44" s="82">
        <f>Data_1314RijksBekost12</f>
        <v>0</v>
      </c>
      <c r="X44" s="76" t="s">
        <v>160</v>
      </c>
      <c r="AJ44" s="41">
        <f>IF($X44="v",N44,Z44)</f>
        <v>0</v>
      </c>
      <c r="AL44" s="41">
        <f>IF($X44="v",P44,AB44)</f>
        <v>0</v>
      </c>
      <c r="AN44" s="41">
        <f>IF($X44="v",R44,AD44)</f>
        <v>0</v>
      </c>
      <c r="AP44" s="41">
        <f>IF($X44="v",T44,AF44)</f>
        <v>0</v>
      </c>
      <c r="AR44" s="41">
        <f>IF($X44="v",V44,AH44)</f>
        <v>0</v>
      </c>
    </row>
    <row r="45" spans="2:44" x14ac:dyDescent="0.2">
      <c r="P45" s="82"/>
      <c r="T45" s="82"/>
      <c r="X45" s="76"/>
    </row>
    <row r="46" spans="2:44" x14ac:dyDescent="0.2">
      <c r="B46" s="41">
        <v>13</v>
      </c>
      <c r="C46" s="41" t="s">
        <v>172</v>
      </c>
      <c r="P46" s="82">
        <f>Data_1213RijksBekost13</f>
        <v>0</v>
      </c>
      <c r="T46" s="82">
        <f>Data_1314RijksBekost13</f>
        <v>0</v>
      </c>
      <c r="X46" s="76" t="s">
        <v>160</v>
      </c>
      <c r="AJ46" s="41">
        <f>IF($X46="v",N46,Z46)</f>
        <v>0</v>
      </c>
      <c r="AL46" s="41">
        <f>IF($X46="v",P46,AB46)</f>
        <v>0</v>
      </c>
      <c r="AN46" s="41">
        <f>IF($X46="v",R46,AD46)</f>
        <v>0</v>
      </c>
      <c r="AP46" s="41">
        <f>IF($X46="v",T46,AF46)</f>
        <v>0</v>
      </c>
      <c r="AR46" s="41">
        <f>IF($X46="v",V46,AH46)</f>
        <v>0</v>
      </c>
    </row>
    <row r="47" spans="2:44" x14ac:dyDescent="0.2">
      <c r="P47" s="82"/>
      <c r="T47" s="82"/>
      <c r="X47" s="76"/>
    </row>
    <row r="48" spans="2:44" x14ac:dyDescent="0.2">
      <c r="B48" s="41">
        <v>14</v>
      </c>
      <c r="C48" s="41" t="s">
        <v>173</v>
      </c>
      <c r="P48" s="82">
        <f>Data_1213RijksBekost14</f>
        <v>0</v>
      </c>
      <c r="T48" s="82">
        <f>Data_1314RijksBekost14</f>
        <v>0</v>
      </c>
      <c r="X48" s="76" t="s">
        <v>160</v>
      </c>
      <c r="AJ48" s="41">
        <f>IF($X48="v",N48,Z48)</f>
        <v>0</v>
      </c>
      <c r="AL48" s="41">
        <f>IF($X48="v",P48,AB48)</f>
        <v>0</v>
      </c>
      <c r="AN48" s="41">
        <f>IF($X48="v",R48,AD48)</f>
        <v>0</v>
      </c>
      <c r="AP48" s="41">
        <f>IF($X48="v",T48,AF48)</f>
        <v>0</v>
      </c>
      <c r="AR48" s="41">
        <f>IF($X48="v",V48,AH48)</f>
        <v>0</v>
      </c>
    </row>
    <row r="49" spans="2:44" x14ac:dyDescent="0.2">
      <c r="P49" s="82"/>
      <c r="T49" s="82"/>
      <c r="X49" s="76"/>
    </row>
    <row r="50" spans="2:44" x14ac:dyDescent="0.2">
      <c r="B50" s="41">
        <v>15</v>
      </c>
      <c r="C50" s="41" t="s">
        <v>174</v>
      </c>
      <c r="K50" s="41">
        <v>0.65</v>
      </c>
      <c r="P50" s="82">
        <f>Data_1213RijksBekost15</f>
        <v>0</v>
      </c>
      <c r="T50" s="82">
        <f>Data_1314RijksBekost15</f>
        <v>0</v>
      </c>
      <c r="X50" s="76" t="s">
        <v>160</v>
      </c>
      <c r="AJ50" s="41">
        <f>IF($X50="v",N50,Z50)</f>
        <v>0</v>
      </c>
      <c r="AL50" s="41">
        <f>IF($X50="v",P50,AB50)</f>
        <v>0</v>
      </c>
      <c r="AN50" s="41">
        <f>IF($X50="v",R50,AD50)</f>
        <v>0</v>
      </c>
      <c r="AP50" s="41">
        <f>IF($X50="v",T50,AF50)</f>
        <v>0</v>
      </c>
      <c r="AR50" s="41">
        <f>IF($X50="v",V50,AH50)</f>
        <v>0</v>
      </c>
    </row>
    <row r="51" spans="2:44" x14ac:dyDescent="0.2">
      <c r="P51" s="82"/>
      <c r="T51" s="82"/>
      <c r="X51" s="76"/>
    </row>
    <row r="52" spans="2:44" x14ac:dyDescent="0.2">
      <c r="B52" s="300">
        <v>16</v>
      </c>
      <c r="C52" s="41" t="s">
        <v>782</v>
      </c>
      <c r="P52" s="82">
        <f>Data_1213RijksBekost16</f>
        <v>0</v>
      </c>
      <c r="T52" s="82">
        <f>Data_1314RijksBekost16</f>
        <v>0</v>
      </c>
      <c r="X52" s="76" t="s">
        <v>160</v>
      </c>
      <c r="AJ52" s="41">
        <f>IF($X52="v",N52,Z52)</f>
        <v>0</v>
      </c>
      <c r="AL52" s="41">
        <f>IF($X52="v",P52,AB52)</f>
        <v>0</v>
      </c>
      <c r="AN52" s="41">
        <f>IF($X52="v",R52,AD52)</f>
        <v>0</v>
      </c>
      <c r="AP52" s="41">
        <f>IF($X52="v",T52,AF52)</f>
        <v>0</v>
      </c>
      <c r="AR52" s="41">
        <f>IF($X52="v",V52,AH52)</f>
        <v>0</v>
      </c>
    </row>
    <row r="53" spans="2:44" x14ac:dyDescent="0.2">
      <c r="P53" s="82"/>
      <c r="T53" s="82"/>
      <c r="X53" s="76"/>
    </row>
    <row r="54" spans="2:44" x14ac:dyDescent="0.2">
      <c r="B54" s="41">
        <v>17</v>
      </c>
      <c r="C54" s="41" t="s">
        <v>175</v>
      </c>
      <c r="P54" s="82">
        <f>Data_1213RijksBekost17</f>
        <v>0</v>
      </c>
      <c r="T54" s="82">
        <f>Data_1314RijksBekost17</f>
        <v>0</v>
      </c>
      <c r="X54" s="76" t="s">
        <v>160</v>
      </c>
      <c r="AJ54" s="41">
        <f>IF($X54="v",N54,Z54)</f>
        <v>0</v>
      </c>
      <c r="AL54" s="41">
        <f>IF($X54="v",P54,AB54)</f>
        <v>0</v>
      </c>
      <c r="AN54" s="41">
        <f>IF($X54="v",R54,AD54)</f>
        <v>0</v>
      </c>
      <c r="AP54" s="41">
        <f>IF($X54="v",T54,AF54)</f>
        <v>0</v>
      </c>
      <c r="AR54" s="41">
        <f>IF($X54="v",V54,AH54)</f>
        <v>0</v>
      </c>
    </row>
    <row r="55" spans="2:44" x14ac:dyDescent="0.2">
      <c r="P55" s="82"/>
      <c r="T55" s="82"/>
      <c r="X55" s="76"/>
    </row>
    <row r="56" spans="2:44" x14ac:dyDescent="0.2">
      <c r="B56" s="41">
        <v>18</v>
      </c>
      <c r="C56" s="41" t="s">
        <v>176</v>
      </c>
      <c r="P56" s="82">
        <f>Data_1213RijksBekost18</f>
        <v>0</v>
      </c>
      <c r="T56" s="82">
        <f>Data_1314RijksBekost18</f>
        <v>0</v>
      </c>
      <c r="X56" s="76" t="s">
        <v>160</v>
      </c>
      <c r="AJ56" s="41">
        <f>IF($X56="v",N56,Z56)</f>
        <v>0</v>
      </c>
      <c r="AL56" s="41">
        <f>IF($X56="v",P56,AB56)</f>
        <v>0</v>
      </c>
      <c r="AN56" s="41">
        <f>IF($X56="v",R56,AD56)</f>
        <v>0</v>
      </c>
      <c r="AP56" s="41">
        <f>IF($X56="v",T56,AF56)</f>
        <v>0</v>
      </c>
      <c r="AR56" s="41">
        <f>IF($X56="v",V56,AH56)</f>
        <v>0</v>
      </c>
    </row>
    <row r="57" spans="2:44" x14ac:dyDescent="0.2">
      <c r="P57" s="82"/>
      <c r="T57" s="82"/>
      <c r="X57" s="76"/>
    </row>
    <row r="58" spans="2:44" x14ac:dyDescent="0.2">
      <c r="B58" s="41">
        <v>19</v>
      </c>
      <c r="C58" s="41" t="s">
        <v>177</v>
      </c>
      <c r="P58" s="82">
        <f>Data_1213RijksBekost19</f>
        <v>0</v>
      </c>
      <c r="T58" s="82">
        <f>Data_1314RijksBekost19</f>
        <v>0</v>
      </c>
      <c r="X58" s="76" t="s">
        <v>160</v>
      </c>
      <c r="AJ58" s="41">
        <f>IF($X58="v",N58,Z58)</f>
        <v>0</v>
      </c>
      <c r="AL58" s="41">
        <f>IF($X58="v",P58,AB58)</f>
        <v>0</v>
      </c>
      <c r="AN58" s="41">
        <f>IF($X58="v",R58,AD58)</f>
        <v>0</v>
      </c>
      <c r="AP58" s="41">
        <f>IF($X58="v",T58,AF58)</f>
        <v>0</v>
      </c>
      <c r="AR58" s="41">
        <f>IF($X58="v",V58,AH58)</f>
        <v>0</v>
      </c>
    </row>
    <row r="59" spans="2:44" x14ac:dyDescent="0.2">
      <c r="P59" s="82"/>
      <c r="T59" s="82"/>
      <c r="X59" s="76"/>
    </row>
    <row r="60" spans="2:44" x14ac:dyDescent="0.2">
      <c r="B60" s="41">
        <v>20</v>
      </c>
      <c r="C60" s="300" t="s">
        <v>779</v>
      </c>
      <c r="P60" s="82">
        <f>Data_1213RijksBekost20</f>
        <v>0</v>
      </c>
      <c r="T60" s="82">
        <f>Data_1314RijksBekost20</f>
        <v>0</v>
      </c>
      <c r="X60" s="76" t="s">
        <v>160</v>
      </c>
      <c r="AJ60" s="41">
        <f>IF($X60="v",N60,Z60)</f>
        <v>0</v>
      </c>
      <c r="AL60" s="41">
        <f>IF($X60="v",P60,AB60)</f>
        <v>0</v>
      </c>
      <c r="AN60" s="41">
        <f>IF($X60="v",R60,AD60)</f>
        <v>0</v>
      </c>
      <c r="AP60" s="41">
        <f>IF($X60="v",T60,AF60)</f>
        <v>0</v>
      </c>
      <c r="AR60" s="41">
        <f>IF($X60="v",V60,AH60)</f>
        <v>0</v>
      </c>
    </row>
    <row r="61" spans="2:44" x14ac:dyDescent="0.2">
      <c r="P61" s="82"/>
      <c r="T61" s="82"/>
      <c r="X61" s="76"/>
    </row>
    <row r="62" spans="2:44" x14ac:dyDescent="0.2">
      <c r="B62" s="41">
        <v>21</v>
      </c>
      <c r="C62" s="300" t="s">
        <v>178</v>
      </c>
      <c r="K62" s="41">
        <v>0.65</v>
      </c>
      <c r="P62" s="82">
        <f>Data_1213RijksBekost21</f>
        <v>0</v>
      </c>
      <c r="T62" s="82">
        <f>Data_1314RijksBekost21</f>
        <v>0</v>
      </c>
      <c r="X62" s="76" t="s">
        <v>160</v>
      </c>
      <c r="AJ62" s="41">
        <f>IF($X62="v",N62,Z62)</f>
        <v>0</v>
      </c>
      <c r="AL62" s="41">
        <f>IF($X62="v",P62,AB62)</f>
        <v>0</v>
      </c>
      <c r="AN62" s="41">
        <f>IF($X62="v",R62,AD62)</f>
        <v>0</v>
      </c>
      <c r="AP62" s="41">
        <f>IF($X62="v",T62,AF62)</f>
        <v>0</v>
      </c>
      <c r="AR62" s="41">
        <f>IF($X62="v",V62,AH62)</f>
        <v>0</v>
      </c>
    </row>
    <row r="63" spans="2:44" x14ac:dyDescent="0.2">
      <c r="P63" s="82"/>
      <c r="T63" s="82"/>
      <c r="X63" s="76"/>
    </row>
    <row r="64" spans="2:44" x14ac:dyDescent="0.2">
      <c r="B64" s="41">
        <v>22</v>
      </c>
      <c r="C64" s="300" t="s">
        <v>7517</v>
      </c>
      <c r="P64" s="82">
        <f>Data_1213RijksBekost22</f>
        <v>0</v>
      </c>
      <c r="T64" s="82">
        <f>Data_1314RijksBekost22</f>
        <v>0</v>
      </c>
      <c r="X64" s="76" t="s">
        <v>160</v>
      </c>
      <c r="AJ64" s="41">
        <f>IF($X64="v",N64,Z64)</f>
        <v>0</v>
      </c>
      <c r="AL64" s="41">
        <f>IF($X64="v",P64,AB64)</f>
        <v>0</v>
      </c>
      <c r="AN64" s="41">
        <f>IF($X64="v",R64,AD64)</f>
        <v>0</v>
      </c>
      <c r="AP64" s="41">
        <f>IF($X64="v",T64,AF64)</f>
        <v>0</v>
      </c>
      <c r="AR64" s="41">
        <f>IF($X64="v",V64,AH64)</f>
        <v>0</v>
      </c>
    </row>
    <row r="65" spans="2:44" x14ac:dyDescent="0.2">
      <c r="P65" s="82"/>
      <c r="T65" s="82"/>
      <c r="X65" s="76"/>
    </row>
    <row r="66" spans="2:44" x14ac:dyDescent="0.2">
      <c r="B66" s="41">
        <v>23</v>
      </c>
      <c r="C66" s="306" t="str">
        <f>IF(ISBLANK(Data_RijksBekost23),"",Data_RijksBekost23)</f>
        <v/>
      </c>
      <c r="D66" s="305"/>
      <c r="E66" s="305"/>
      <c r="F66" s="305"/>
      <c r="G66" s="305"/>
      <c r="H66" s="305"/>
      <c r="I66" s="305"/>
      <c r="J66" s="305"/>
      <c r="P66" s="82" t="str">
        <f>IF(ISBLANK(Data_1213RijksBekost23),"",Data_1213RijksBekost23)</f>
        <v/>
      </c>
      <c r="T66" s="82" t="str">
        <f>IF(ISBLANK(Data_1314RijksBekost23),"",Data_1314RijksBekost23)</f>
        <v/>
      </c>
      <c r="X66" s="76" t="s">
        <v>160</v>
      </c>
      <c r="AJ66" s="41">
        <f>IF($X66="v",N66,Z66)</f>
        <v>0</v>
      </c>
      <c r="AL66" s="41" t="str">
        <f>IF($X66="v",P66,AB66)</f>
        <v/>
      </c>
      <c r="AN66" s="41">
        <f>IF($X66="v",R66,AD66)</f>
        <v>0</v>
      </c>
      <c r="AP66" s="41" t="str">
        <f>IF($X66="v",T66,AF66)</f>
        <v/>
      </c>
      <c r="AR66" s="41">
        <f>IF($X66="v",V66,AH66)</f>
        <v>0</v>
      </c>
    </row>
    <row r="67" spans="2:44" x14ac:dyDescent="0.2">
      <c r="P67" s="82"/>
      <c r="T67" s="82"/>
      <c r="X67" s="76"/>
    </row>
    <row r="68" spans="2:44" x14ac:dyDescent="0.2">
      <c r="B68" s="41">
        <v>24</v>
      </c>
      <c r="C68" s="305" t="str">
        <f>IF(ISBLANK(Data_RijksBekost24),"",Data_RijksBekost24)</f>
        <v/>
      </c>
      <c r="D68" s="305"/>
      <c r="E68" s="305"/>
      <c r="F68" s="305"/>
      <c r="G68" s="305"/>
      <c r="H68" s="305"/>
      <c r="I68" s="305"/>
      <c r="J68" s="305"/>
      <c r="K68" s="41">
        <v>0.65</v>
      </c>
      <c r="P68" s="82" t="str">
        <f>IF(ISBLANK(Data_1213RijksBekost24),"",Data_1213RijksBekost24)</f>
        <v/>
      </c>
      <c r="T68" s="82" t="str">
        <f>IF(ISBLANK(Data_1314RijksBekost24),"",Data_1314RijksBekost24)</f>
        <v/>
      </c>
      <c r="X68" s="76" t="s">
        <v>160</v>
      </c>
      <c r="AJ68" s="41">
        <f>IF($X68="v",N68,Z68)</f>
        <v>0</v>
      </c>
      <c r="AL68" s="41" t="str">
        <f>IF($X68="v",P68,AB68)</f>
        <v/>
      </c>
      <c r="AN68" s="41">
        <f>IF($X68="v",R68,AD68)</f>
        <v>0</v>
      </c>
      <c r="AP68" s="41" t="str">
        <f>IF($X68="v",T68,AF68)</f>
        <v/>
      </c>
      <c r="AR68" s="41">
        <f>IF($X68="v",V68,AH68)</f>
        <v>0</v>
      </c>
    </row>
    <row r="70" spans="2:44" x14ac:dyDescent="0.2">
      <c r="H70" s="41" t="s">
        <v>179</v>
      </c>
      <c r="K70" s="41" t="s">
        <v>158</v>
      </c>
    </row>
    <row r="73" spans="2:44" x14ac:dyDescent="0.2">
      <c r="C73" s="75" t="s">
        <v>180</v>
      </c>
      <c r="N73" s="41">
        <f>SUM(N20:N69)</f>
        <v>0</v>
      </c>
      <c r="P73" s="41">
        <f>SUM(P20:P69)</f>
        <v>0</v>
      </c>
      <c r="R73" s="41">
        <f>SUM(R20:R69)</f>
        <v>0</v>
      </c>
      <c r="T73" s="41">
        <f>SUM(T20:T69)</f>
        <v>0</v>
      </c>
      <c r="V73" s="41">
        <f>SUM(V20:V69)</f>
        <v>0</v>
      </c>
      <c r="AJ73" s="41">
        <f>SUM(AJ20:AJ69)</f>
        <v>0</v>
      </c>
      <c r="AL73" s="41">
        <f>SUM(AL20:AL69)</f>
        <v>0</v>
      </c>
      <c r="AN73" s="41">
        <f>SUM(AN20:AN69)</f>
        <v>0</v>
      </c>
      <c r="AP73" s="41">
        <f>SUM(AP20:AP69)</f>
        <v>0</v>
      </c>
      <c r="AR73" s="41">
        <f>SUM(AR20:AR69)</f>
        <v>0</v>
      </c>
    </row>
    <row r="89" spans="8:8" x14ac:dyDescent="0.2">
      <c r="H89" s="41" t="s">
        <v>229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9" scale="57" orientation="landscape" r:id="rId1"/>
  <headerFooter>
    <oddFooter>&amp;L..\&amp;F - &amp;A&amp;C15-apr-2013&amp;RVUIST: Henk Verbeek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pageSetUpPr fitToPage="1"/>
  </sheetPr>
  <dimension ref="A1:AS43"/>
  <sheetViews>
    <sheetView zoomScale="85" zoomScaleNormal="85" workbookViewId="0">
      <selection activeCell="S10" sqref="S10"/>
    </sheetView>
  </sheetViews>
  <sheetFormatPr defaultRowHeight="15" outlineLevelCol="1" x14ac:dyDescent="0.25"/>
  <cols>
    <col min="1" max="10" width="3.7109375" customWidth="1"/>
    <col min="11" max="11" width="31.7109375" customWidth="1"/>
    <col min="12" max="16" width="3.7109375" customWidth="1"/>
    <col min="17" max="17" width="12.7109375" customWidth="1"/>
    <col min="18" max="18" width="1.7109375" customWidth="1"/>
    <col min="19" max="19" width="12.7109375" customWidth="1"/>
    <col min="20" max="20" width="1.7109375" customWidth="1"/>
    <col min="21" max="21" width="3.7109375" hidden="1" customWidth="1" outlineLevel="1"/>
    <col min="22" max="22" width="1.7109375" hidden="1" customWidth="1" outlineLevel="1"/>
    <col min="23" max="23" width="12.7109375" hidden="1" customWidth="1" outlineLevel="1"/>
    <col min="24" max="24" width="1.7109375" hidden="1" customWidth="1" outlineLevel="1"/>
    <col min="25" max="25" width="12.7109375" hidden="1" customWidth="1" outlineLevel="1"/>
    <col min="26" max="26" width="3.7109375" hidden="1" customWidth="1" outlineLevel="1"/>
    <col min="27" max="27" width="12.7109375" hidden="1" customWidth="1" outlineLevel="1"/>
    <col min="28" max="28" width="1.7109375" hidden="1" customWidth="1" outlineLevel="1"/>
    <col min="29" max="29" width="12.7109375" hidden="1" customWidth="1" outlineLevel="1"/>
    <col min="30" max="30" width="1.7109375" customWidth="1" collapsed="1"/>
    <col min="31" max="31" width="2.7109375" customWidth="1"/>
    <col min="38" max="45" width="9.140625" style="7" customWidth="1"/>
  </cols>
  <sheetData>
    <row r="1" spans="1:45" ht="18" x14ac:dyDescent="0.25">
      <c r="A1" s="4" t="s">
        <v>20</v>
      </c>
      <c r="B1" s="4"/>
      <c r="C1" s="4"/>
      <c r="D1" s="4"/>
      <c r="E1" s="4"/>
      <c r="F1" s="5"/>
      <c r="G1" s="7"/>
      <c r="AL1"/>
      <c r="AM1"/>
      <c r="AN1"/>
      <c r="AO1"/>
      <c r="AP1"/>
      <c r="AQ1"/>
      <c r="AR1"/>
      <c r="AS1"/>
    </row>
    <row r="2" spans="1:45" x14ac:dyDescent="0.25">
      <c r="A2" s="8" t="s">
        <v>21</v>
      </c>
      <c r="B2" s="8"/>
      <c r="C2" s="8"/>
      <c r="D2" s="8"/>
      <c r="E2" s="8"/>
      <c r="F2" s="11" t="s">
        <v>22</v>
      </c>
      <c r="G2" s="7"/>
      <c r="AL2"/>
      <c r="AM2"/>
      <c r="AN2"/>
      <c r="AO2"/>
      <c r="AP2"/>
      <c r="AQ2"/>
      <c r="AR2"/>
      <c r="AS2"/>
    </row>
    <row r="3" spans="1:45" x14ac:dyDescent="0.25">
      <c r="A3" s="8" t="s">
        <v>23</v>
      </c>
      <c r="B3" s="8"/>
      <c r="C3" s="8"/>
      <c r="D3" s="8"/>
      <c r="E3" s="8"/>
      <c r="F3" s="11" t="s">
        <v>24</v>
      </c>
      <c r="G3" s="7"/>
      <c r="AL3"/>
      <c r="AM3"/>
      <c r="AN3"/>
      <c r="AO3"/>
      <c r="AP3"/>
      <c r="AQ3"/>
      <c r="AR3"/>
      <c r="AS3"/>
    </row>
    <row r="4" spans="1:45" x14ac:dyDescent="0.25">
      <c r="A4" s="8" t="s">
        <v>25</v>
      </c>
      <c r="B4" s="8"/>
      <c r="C4" s="8"/>
      <c r="D4" s="8"/>
      <c r="E4" s="8"/>
      <c r="F4" s="12" t="s">
        <v>181</v>
      </c>
      <c r="G4" s="7"/>
      <c r="AL4"/>
      <c r="AM4"/>
      <c r="AN4"/>
      <c r="AO4"/>
      <c r="AP4"/>
      <c r="AQ4"/>
      <c r="AR4"/>
      <c r="AS4"/>
    </row>
    <row r="5" spans="1:45" x14ac:dyDescent="0.25">
      <c r="A5" s="8" t="s">
        <v>27</v>
      </c>
      <c r="B5" s="8"/>
      <c r="C5" s="8"/>
      <c r="D5" s="8"/>
      <c r="E5" s="8"/>
      <c r="F5" s="11" t="s">
        <v>182</v>
      </c>
      <c r="G5" s="7"/>
      <c r="AL5"/>
      <c r="AM5"/>
      <c r="AN5"/>
      <c r="AO5"/>
      <c r="AP5"/>
      <c r="AQ5"/>
      <c r="AR5"/>
      <c r="AS5"/>
    </row>
    <row r="7" spans="1:45" s="41" customFormat="1" ht="12.75" x14ac:dyDescent="0.2">
      <c r="F7" s="78" t="s">
        <v>133</v>
      </c>
      <c r="G7" s="79"/>
      <c r="H7" s="79"/>
      <c r="I7" s="79"/>
      <c r="J7" s="79"/>
      <c r="K7" s="79" t="s">
        <v>183</v>
      </c>
      <c r="L7" s="79"/>
      <c r="M7" s="79"/>
      <c r="N7" s="79"/>
      <c r="O7" s="79"/>
      <c r="P7" s="79"/>
      <c r="Q7" s="79" t="s">
        <v>184</v>
      </c>
      <c r="R7" s="79"/>
      <c r="S7" s="80" t="s">
        <v>185</v>
      </c>
      <c r="U7" s="41" t="s">
        <v>186</v>
      </c>
      <c r="W7" s="41" t="s">
        <v>187</v>
      </c>
      <c r="Y7" s="41" t="s">
        <v>188</v>
      </c>
      <c r="AA7" s="41" t="s">
        <v>189</v>
      </c>
      <c r="AC7" s="41" t="s">
        <v>190</v>
      </c>
    </row>
    <row r="8" spans="1:45" s="41" customFormat="1" ht="12.75" x14ac:dyDescent="0.2"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</row>
    <row r="9" spans="1:45" s="41" customFormat="1" ht="12.75" x14ac:dyDescent="0.2"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AL9" s="13"/>
      <c r="AM9" s="13"/>
      <c r="AN9" s="13"/>
      <c r="AO9" s="13"/>
      <c r="AP9" s="13"/>
      <c r="AQ9" s="13"/>
      <c r="AR9" s="13"/>
      <c r="AS9" s="13"/>
    </row>
    <row r="10" spans="1:45" s="75" customFormat="1" ht="12" customHeight="1" x14ac:dyDescent="0.2">
      <c r="F10" s="75" t="s">
        <v>191</v>
      </c>
      <c r="Q10" s="75" t="str">
        <f>'DUO-CFI'!P18</f>
        <v>2019 - 2020</v>
      </c>
      <c r="S10" s="75" t="str">
        <f>'DUO-CFI'!T18</f>
        <v>2020 - 2021</v>
      </c>
      <c r="W10" s="75" t="str">
        <f>Q10</f>
        <v>2019 - 2020</v>
      </c>
      <c r="Y10" s="75" t="str">
        <f>S10</f>
        <v>2020 - 2021</v>
      </c>
      <c r="AA10" s="75" t="str">
        <f>W10</f>
        <v>2019 - 2020</v>
      </c>
      <c r="AC10" s="75" t="str">
        <f>Y10</f>
        <v>2020 - 2021</v>
      </c>
    </row>
    <row r="11" spans="1:45" s="75" customFormat="1" ht="12" customHeight="1" x14ac:dyDescent="0.2"/>
    <row r="12" spans="1:45" s="75" customFormat="1" ht="12" customHeight="1" x14ac:dyDescent="0.2">
      <c r="Q12" s="75" t="s">
        <v>192</v>
      </c>
      <c r="W12" s="75" t="s">
        <v>155</v>
      </c>
      <c r="AA12" s="75" t="s">
        <v>156</v>
      </c>
    </row>
    <row r="13" spans="1:45" s="75" customFormat="1" ht="12" customHeight="1" x14ac:dyDescent="0.2">
      <c r="AL13" s="16"/>
      <c r="AM13" s="16"/>
      <c r="AN13" s="16"/>
      <c r="AO13" s="16"/>
      <c r="AP13" s="16"/>
      <c r="AQ13" s="16"/>
      <c r="AR13" s="16"/>
      <c r="AS13" s="16"/>
    </row>
    <row r="14" spans="1:45" s="75" customFormat="1" ht="12" customHeight="1" x14ac:dyDescent="0.2">
      <c r="AL14" s="16"/>
      <c r="AM14" s="16"/>
      <c r="AN14" s="16"/>
      <c r="AO14" s="16"/>
      <c r="AP14" s="16"/>
      <c r="AQ14" s="16"/>
      <c r="AR14" s="16"/>
      <c r="AS14" s="16"/>
    </row>
    <row r="15" spans="1:45" s="75" customFormat="1" ht="12" customHeight="1" x14ac:dyDescent="0.2">
      <c r="H15" s="75" t="s">
        <v>69</v>
      </c>
      <c r="J15" s="75" t="s">
        <v>101</v>
      </c>
    </row>
    <row r="16" spans="1:45" s="75" customFormat="1" ht="12" customHeight="1" x14ac:dyDescent="0.2"/>
    <row r="17" spans="8:29" s="41" customFormat="1" ht="12" customHeight="1" x14ac:dyDescent="0.2">
      <c r="J17" s="41">
        <v>1</v>
      </c>
      <c r="K17" s="84" t="str">
        <f>IF(Data_BekostDerdenLabel01="","",Data_BekostDerdenLabel01)</f>
        <v>Gemeentelijke subsidies</v>
      </c>
      <c r="Q17" s="82">
        <f>Data_1213BekostDerden01</f>
        <v>0</v>
      </c>
      <c r="S17" s="82">
        <f>Data_1314BekostDerden01</f>
        <v>0</v>
      </c>
      <c r="U17" s="41" t="s">
        <v>160</v>
      </c>
      <c r="AA17" s="41">
        <f t="shared" ref="AA17:AA26" si="0">IF($U17="v",Q17,W17)</f>
        <v>0</v>
      </c>
      <c r="AC17" s="41">
        <f t="shared" ref="AC17:AC26" si="1">IF($U17="v",S17,Y17)</f>
        <v>0</v>
      </c>
    </row>
    <row r="18" spans="8:29" s="41" customFormat="1" ht="12" customHeight="1" x14ac:dyDescent="0.2">
      <c r="J18" s="41">
        <v>2</v>
      </c>
      <c r="K18" s="84" t="str">
        <f>IF(Data_BekostDerdenLabel02="","",Data_BekostDerdenLabel02)</f>
        <v>Contractactiviteiten</v>
      </c>
      <c r="Q18" s="82">
        <f>Data_1213BekostDerden02</f>
        <v>0</v>
      </c>
      <c r="S18" s="82">
        <f>Data_1314BekostDerden02</f>
        <v>0</v>
      </c>
      <c r="U18" s="41" t="s">
        <v>160</v>
      </c>
      <c r="AA18" s="41">
        <f t="shared" si="0"/>
        <v>0</v>
      </c>
      <c r="AC18" s="41">
        <f t="shared" si="1"/>
        <v>0</v>
      </c>
    </row>
    <row r="19" spans="8:29" s="41" customFormat="1" ht="12" customHeight="1" x14ac:dyDescent="0.2">
      <c r="J19" s="41">
        <v>3</v>
      </c>
      <c r="K19" s="84" t="str">
        <f>IF(Data_BekostDerdenLabel03="","",Data_BekostDerdenLabel03)</f>
        <v>ESF-subsidies</v>
      </c>
      <c r="Q19" s="82">
        <f>Data_1213BekostDerden03</f>
        <v>0</v>
      </c>
      <c r="S19" s="82">
        <f>Data_1314BekostDerden03</f>
        <v>0</v>
      </c>
      <c r="U19" s="41" t="s">
        <v>160</v>
      </c>
      <c r="AA19" s="41">
        <f t="shared" si="0"/>
        <v>0</v>
      </c>
      <c r="AC19" s="41">
        <f t="shared" si="1"/>
        <v>0</v>
      </c>
    </row>
    <row r="20" spans="8:29" s="41" customFormat="1" ht="12" customHeight="1" x14ac:dyDescent="0.2">
      <c r="J20" s="41">
        <v>4</v>
      </c>
      <c r="K20" s="84" t="str">
        <f>IF(Data_BekostDerdenLabel04="","",Data_BekostDerdenLabel04)</f>
        <v>Loonkostensubsidie OOP</v>
      </c>
      <c r="Q20" s="82">
        <f>Data_1213BekostDerden04</f>
        <v>0</v>
      </c>
      <c r="S20" s="82">
        <f>Data_1314BekostDerden04</f>
        <v>0</v>
      </c>
      <c r="U20" s="41" t="s">
        <v>160</v>
      </c>
      <c r="AA20" s="41">
        <f t="shared" si="0"/>
        <v>0</v>
      </c>
      <c r="AC20" s="41">
        <f t="shared" si="1"/>
        <v>0</v>
      </c>
    </row>
    <row r="21" spans="8:29" s="41" customFormat="1" ht="12" customHeight="1" x14ac:dyDescent="0.2">
      <c r="J21" s="41">
        <v>5</v>
      </c>
      <c r="K21" s="84" t="str">
        <f>IF(Data_BekostDerdenLabel05="","",Data_BekostDerdenLabel05)</f>
        <v/>
      </c>
      <c r="Q21" s="82">
        <f>Data_1213BekostDerden05</f>
        <v>0</v>
      </c>
      <c r="S21" s="82">
        <f>Data_1314BekostDerden05</f>
        <v>0</v>
      </c>
      <c r="U21" s="41" t="s">
        <v>160</v>
      </c>
      <c r="AA21" s="41">
        <f t="shared" si="0"/>
        <v>0</v>
      </c>
      <c r="AC21" s="41">
        <f t="shared" si="1"/>
        <v>0</v>
      </c>
    </row>
    <row r="22" spans="8:29" s="41" customFormat="1" ht="12" customHeight="1" x14ac:dyDescent="0.2">
      <c r="J22" s="41">
        <v>6</v>
      </c>
      <c r="K22" s="84" t="str">
        <f>IF(Data_BekostDerdenLabel06="","",Data_BekostDerdenLabel06)</f>
        <v/>
      </c>
      <c r="Q22" s="82">
        <f>Data_1213BekostDerden06</f>
        <v>0</v>
      </c>
      <c r="S22" s="82">
        <f>Data_1314BekostDerden06</f>
        <v>0</v>
      </c>
      <c r="U22" s="41" t="s">
        <v>160</v>
      </c>
      <c r="AA22" s="41">
        <f t="shared" si="0"/>
        <v>0</v>
      </c>
      <c r="AC22" s="41">
        <f t="shared" si="1"/>
        <v>0</v>
      </c>
    </row>
    <row r="23" spans="8:29" s="41" customFormat="1" ht="12" customHeight="1" x14ac:dyDescent="0.2">
      <c r="J23" s="41">
        <v>7</v>
      </c>
      <c r="K23" s="84" t="str">
        <f>IF(Data_BekostDerdenLabel07="","",Data_BekostDerdenLabel07)</f>
        <v/>
      </c>
      <c r="Q23" s="82">
        <f>Data_1213BekostDerden07</f>
        <v>0</v>
      </c>
      <c r="S23" s="82">
        <f>Data_1314BekostDerden07</f>
        <v>0</v>
      </c>
      <c r="U23" s="41" t="s">
        <v>160</v>
      </c>
      <c r="AA23" s="41">
        <f t="shared" si="0"/>
        <v>0</v>
      </c>
      <c r="AC23" s="41">
        <f t="shared" si="1"/>
        <v>0</v>
      </c>
    </row>
    <row r="24" spans="8:29" s="41" customFormat="1" ht="12" customHeight="1" x14ac:dyDescent="0.2">
      <c r="J24" s="41">
        <v>8</v>
      </c>
      <c r="K24" s="84" t="str">
        <f>IF(Data_BekostDerdenLabel08="","",Data_BekostDerdenLabel08)</f>
        <v/>
      </c>
      <c r="Q24" s="82">
        <f>Data_1213BekostDerden08</f>
        <v>0</v>
      </c>
      <c r="S24" s="82">
        <f>Data_1314BekostDerden08</f>
        <v>0</v>
      </c>
      <c r="U24" s="41" t="s">
        <v>160</v>
      </c>
      <c r="AA24" s="41">
        <f t="shared" si="0"/>
        <v>0</v>
      </c>
      <c r="AC24" s="41">
        <f t="shared" si="1"/>
        <v>0</v>
      </c>
    </row>
    <row r="25" spans="8:29" s="41" customFormat="1" ht="12" customHeight="1" x14ac:dyDescent="0.2">
      <c r="J25" s="41">
        <v>9</v>
      </c>
      <c r="K25" s="84" t="str">
        <f>IF(Data_BekostDerdenLabel09="","",Data_BekostDerdenLabel09)</f>
        <v/>
      </c>
      <c r="Q25" s="82">
        <f>Data_1213BekostDerden09</f>
        <v>0</v>
      </c>
      <c r="S25" s="82">
        <f>Data_1314BekostDerden09</f>
        <v>0</v>
      </c>
      <c r="U25" s="41" t="s">
        <v>160</v>
      </c>
      <c r="AA25" s="41">
        <f t="shared" si="0"/>
        <v>0</v>
      </c>
      <c r="AC25" s="41">
        <f t="shared" si="1"/>
        <v>0</v>
      </c>
    </row>
    <row r="26" spans="8:29" s="41" customFormat="1" ht="12" customHeight="1" x14ac:dyDescent="0.2">
      <c r="J26" s="41">
        <v>10</v>
      </c>
      <c r="K26" s="84" t="str">
        <f>IF(Data_BekostDerdenLabel10="","",Data_BekostDerdenLabel10)</f>
        <v/>
      </c>
      <c r="Q26" s="82">
        <f>Data_1213BekostDerden10</f>
        <v>0</v>
      </c>
      <c r="S26" s="82">
        <f>Data_1314BekostDerden10</f>
        <v>0</v>
      </c>
      <c r="U26" s="41" t="s">
        <v>160</v>
      </c>
      <c r="AA26" s="41">
        <f t="shared" si="0"/>
        <v>0</v>
      </c>
      <c r="AC26" s="41">
        <f t="shared" si="1"/>
        <v>0</v>
      </c>
    </row>
    <row r="27" spans="8:29" s="41" customFormat="1" ht="12" customHeight="1" x14ac:dyDescent="0.2"/>
    <row r="28" spans="8:29" s="75" customFormat="1" ht="12" customHeight="1" x14ac:dyDescent="0.2">
      <c r="K28" s="75" t="s">
        <v>180</v>
      </c>
      <c r="Q28" s="75">
        <f>SUM(Q17:Q27)</f>
        <v>0</v>
      </c>
      <c r="S28" s="75">
        <f>SUM(S17:S26)</f>
        <v>0</v>
      </c>
      <c r="U28" s="75" t="s">
        <v>160</v>
      </c>
      <c r="AA28" s="75">
        <f>IF($U28="v",Q28,SUM(AA17:AA26))</f>
        <v>0</v>
      </c>
      <c r="AC28" s="75">
        <f>IF($U28="v",S28,SUM(AC17:AC26))</f>
        <v>0</v>
      </c>
    </row>
    <row r="29" spans="8:29" s="41" customFormat="1" ht="12" customHeight="1" x14ac:dyDescent="0.2"/>
    <row r="30" spans="8:29" s="75" customFormat="1" ht="12" customHeight="1" x14ac:dyDescent="0.2">
      <c r="H30" s="75" t="s">
        <v>71</v>
      </c>
      <c r="J30" s="75" t="s">
        <v>102</v>
      </c>
    </row>
    <row r="31" spans="8:29" s="41" customFormat="1" ht="12" customHeight="1" x14ac:dyDescent="0.2"/>
    <row r="32" spans="8:29" s="41" customFormat="1" ht="12" customHeight="1" x14ac:dyDescent="0.2">
      <c r="J32" s="41">
        <v>1</v>
      </c>
      <c r="K32" s="84" t="str">
        <f>IF(Data_BekostZorginfLabel01="","",Data_BekostZorginfLabel01)</f>
        <v>Formatie vanuit ondersteuningsplan</v>
      </c>
      <c r="Q32" s="82">
        <f>Data_1213BekostZorginf01</f>
        <v>0</v>
      </c>
      <c r="S32" s="82">
        <f>Data_1314BekostZorginf01</f>
        <v>0</v>
      </c>
      <c r="U32" s="41" t="s">
        <v>160</v>
      </c>
      <c r="AA32" s="41">
        <f>IF($U32="v",Q32,W32)</f>
        <v>0</v>
      </c>
      <c r="AC32" s="41">
        <f>IF($U32="v",S32,Y32)</f>
        <v>0</v>
      </c>
    </row>
    <row r="33" spans="10:29" s="41" customFormat="1" ht="12" customHeight="1" x14ac:dyDescent="0.2">
      <c r="J33" s="41">
        <v>2</v>
      </c>
      <c r="K33" s="84" t="str">
        <f>IF(Data_BekostZorginfLabel02="","",Data_BekostZorginfLabel02)</f>
        <v/>
      </c>
      <c r="Q33" s="82">
        <f>Data_1213BekostZorginf02</f>
        <v>0</v>
      </c>
      <c r="S33" s="82">
        <f>Data_1314BekostZorginf02</f>
        <v>0</v>
      </c>
      <c r="U33" s="41" t="s">
        <v>160</v>
      </c>
      <c r="AA33" s="41">
        <f>IF($U33="v",Q33,W33)</f>
        <v>0</v>
      </c>
      <c r="AC33" s="41">
        <f>IF($U33="v",S33,Y33)</f>
        <v>0</v>
      </c>
    </row>
    <row r="34" spans="10:29" s="41" customFormat="1" ht="12" customHeight="1" x14ac:dyDescent="0.2">
      <c r="J34" s="41">
        <v>3</v>
      </c>
      <c r="K34" s="84" t="str">
        <f>IF(Data_BekostZorginfLabel03="","",Data_BekostZorginfLabel03)</f>
        <v/>
      </c>
      <c r="Q34" s="82">
        <f>Data_1213BekostZorginf03</f>
        <v>0</v>
      </c>
      <c r="S34" s="82">
        <f>Data_1314BekostZorginf03</f>
        <v>0</v>
      </c>
      <c r="U34" s="41" t="s">
        <v>160</v>
      </c>
      <c r="AA34" s="41">
        <f>IF($U34="v",Q34,W34)</f>
        <v>0</v>
      </c>
      <c r="AC34" s="41">
        <f>IF($U34="v",S34,Y34)</f>
        <v>0</v>
      </c>
    </row>
    <row r="35" spans="10:29" s="41" customFormat="1" ht="12" customHeight="1" x14ac:dyDescent="0.2">
      <c r="J35" s="41">
        <v>4</v>
      </c>
      <c r="K35" s="84" t="str">
        <f>IF(Data_BekostZorginfLabel04="","",Data_BekostZorginfLabel04)</f>
        <v/>
      </c>
      <c r="Q35" s="82">
        <f>Data_1213BekostZorginf04</f>
        <v>0</v>
      </c>
      <c r="S35" s="82">
        <f>Data_1314BekostZorginf04</f>
        <v>0</v>
      </c>
      <c r="U35" s="41" t="s">
        <v>160</v>
      </c>
      <c r="AA35" s="41">
        <f>IF($U35="v",Q35,W35)</f>
        <v>0</v>
      </c>
      <c r="AC35" s="41">
        <f>IF($U35="v",S35,Y35)</f>
        <v>0</v>
      </c>
    </row>
    <row r="36" spans="10:29" s="41" customFormat="1" ht="12" customHeight="1" x14ac:dyDescent="0.2">
      <c r="J36" s="41">
        <v>5</v>
      </c>
      <c r="K36" s="84" t="str">
        <f>IF(Data_BekostZorginfLabel05="","",Data_BekostZorginfLabel05)</f>
        <v/>
      </c>
      <c r="Q36" s="82">
        <f>Data_1213BekostZorginf05</f>
        <v>0</v>
      </c>
      <c r="S36" s="82">
        <f>Data_1314BekostZorginf05</f>
        <v>0</v>
      </c>
      <c r="U36" s="41" t="s">
        <v>160</v>
      </c>
      <c r="AA36" s="41">
        <f t="shared" ref="AA36:AA41" si="2">IF($U36="v",Q36,W36)</f>
        <v>0</v>
      </c>
      <c r="AC36" s="41">
        <f t="shared" ref="AC36:AC41" si="3">IF($U36="v",S36,Y36)</f>
        <v>0</v>
      </c>
    </row>
    <row r="37" spans="10:29" s="41" customFormat="1" ht="12" customHeight="1" x14ac:dyDescent="0.2">
      <c r="J37" s="41">
        <v>6</v>
      </c>
      <c r="K37" s="84" t="str">
        <f>IF(Data_BekostZorginfLabel06="","",Data_BekostZorginfLabel06)</f>
        <v/>
      </c>
      <c r="Q37" s="82">
        <f>Data_1213BekostZorginf06</f>
        <v>0</v>
      </c>
      <c r="S37" s="82">
        <f>Data_1314BekostZorginf06</f>
        <v>0</v>
      </c>
      <c r="U37" s="41" t="s">
        <v>160</v>
      </c>
      <c r="AA37" s="41">
        <f t="shared" si="2"/>
        <v>0</v>
      </c>
      <c r="AC37" s="41">
        <f t="shared" si="3"/>
        <v>0</v>
      </c>
    </row>
    <row r="38" spans="10:29" s="41" customFormat="1" ht="12" customHeight="1" x14ac:dyDescent="0.2">
      <c r="J38" s="41">
        <v>7</v>
      </c>
      <c r="K38" s="84" t="str">
        <f>IF(Data_BekostZorginfLabel07="","",Data_BekostZorginfLabel07)</f>
        <v/>
      </c>
      <c r="Q38" s="82">
        <f>Data_1213BekostZorginf07</f>
        <v>0</v>
      </c>
      <c r="S38" s="82">
        <f>Data_1314BekostZorginf07</f>
        <v>0</v>
      </c>
      <c r="U38" s="41" t="s">
        <v>160</v>
      </c>
      <c r="AA38" s="41">
        <f t="shared" si="2"/>
        <v>0</v>
      </c>
      <c r="AC38" s="41">
        <f t="shared" si="3"/>
        <v>0</v>
      </c>
    </row>
    <row r="39" spans="10:29" s="41" customFormat="1" ht="12" customHeight="1" x14ac:dyDescent="0.2">
      <c r="J39" s="41">
        <v>8</v>
      </c>
      <c r="K39" s="84" t="str">
        <f>IF(Data_BekostZorginfLabel08="","",Data_BekostZorginfLabel08)</f>
        <v/>
      </c>
      <c r="Q39" s="82">
        <f>Data_1213BekostZorginf08</f>
        <v>0</v>
      </c>
      <c r="S39" s="82">
        <f>Data_1314BekostZorginf08</f>
        <v>0</v>
      </c>
      <c r="U39" s="41" t="s">
        <v>160</v>
      </c>
      <c r="AA39" s="41">
        <f t="shared" si="2"/>
        <v>0</v>
      </c>
      <c r="AC39" s="41">
        <f t="shared" si="3"/>
        <v>0</v>
      </c>
    </row>
    <row r="40" spans="10:29" s="41" customFormat="1" ht="12" customHeight="1" x14ac:dyDescent="0.2">
      <c r="J40" s="41">
        <v>9</v>
      </c>
      <c r="K40" s="84" t="str">
        <f>IF(Data_BekostZorginfLabel09="","",Data_BekostZorginfLabel09)</f>
        <v/>
      </c>
      <c r="Q40" s="82">
        <f>Data_1213BekostZorginf09</f>
        <v>0</v>
      </c>
      <c r="S40" s="82">
        <f>Data_1314BekostZorginf09</f>
        <v>0</v>
      </c>
      <c r="U40" s="41" t="s">
        <v>160</v>
      </c>
      <c r="AA40" s="41">
        <f t="shared" si="2"/>
        <v>0</v>
      </c>
      <c r="AC40" s="41">
        <f t="shared" si="3"/>
        <v>0</v>
      </c>
    </row>
    <row r="41" spans="10:29" s="41" customFormat="1" ht="12" customHeight="1" x14ac:dyDescent="0.2">
      <c r="J41" s="41">
        <v>10</v>
      </c>
      <c r="K41" s="84" t="str">
        <f>IF(Data_BekostZorginfLabel10="","",Data_BekostZorginfLabel10)</f>
        <v/>
      </c>
      <c r="Q41" s="82">
        <f>Data_1213BekostZorginf10</f>
        <v>0</v>
      </c>
      <c r="S41" s="82">
        <f>Data_1314BekostZorginf10</f>
        <v>0</v>
      </c>
      <c r="U41" s="41" t="s">
        <v>160</v>
      </c>
      <c r="AA41" s="41">
        <f t="shared" si="2"/>
        <v>0</v>
      </c>
      <c r="AC41" s="41">
        <f t="shared" si="3"/>
        <v>0</v>
      </c>
    </row>
    <row r="42" spans="10:29" s="41" customFormat="1" ht="12" customHeight="1" x14ac:dyDescent="0.2"/>
    <row r="43" spans="10:29" s="75" customFormat="1" ht="12" customHeight="1" x14ac:dyDescent="0.2">
      <c r="K43" s="75" t="s">
        <v>180</v>
      </c>
      <c r="Q43" s="75">
        <f>SUM(Q32:Q41)</f>
        <v>0</v>
      </c>
      <c r="S43" s="75">
        <f>SUM(S32:S41)</f>
        <v>0</v>
      </c>
      <c r="U43" s="75" t="s">
        <v>160</v>
      </c>
      <c r="AA43" s="75">
        <f>IF($U43="v",Q43,SUM(AA32:AA35))</f>
        <v>0</v>
      </c>
      <c r="AC43" s="75">
        <f>IF($U43="v",S43,SUM(AC32:AC35))</f>
        <v>0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&amp;L..\&amp;F - &amp;A&amp;C28-aug-2012&amp;RVUIST: Henk Verbeek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16</vt:i4>
      </vt:variant>
      <vt:variant>
        <vt:lpstr>Benoemde bereiken</vt:lpstr>
      </vt:variant>
      <vt:variant>
        <vt:i4>18321</vt:i4>
      </vt:variant>
    </vt:vector>
  </HeadingPairs>
  <TitlesOfParts>
    <vt:vector size="18337" baseType="lpstr">
      <vt:lpstr>Start</vt:lpstr>
      <vt:lpstr>Data</vt:lpstr>
      <vt:lpstr>Leerlingaantallen</vt:lpstr>
      <vt:lpstr>BevoegdGezag</vt:lpstr>
      <vt:lpstr>Schalen_ineengeschoven</vt:lpstr>
      <vt:lpstr>RekentoolUitleg</vt:lpstr>
      <vt:lpstr>Algoritmes</vt:lpstr>
      <vt:lpstr>DUO-CFI</vt:lpstr>
      <vt:lpstr>DerdenEnZorg</vt:lpstr>
      <vt:lpstr>Personeel</vt:lpstr>
      <vt:lpstr>Consolidatie</vt:lpstr>
      <vt:lpstr>Directie</vt:lpstr>
      <vt:lpstr>Leraren_OOP_ID</vt:lpstr>
      <vt:lpstr>Schalen_integraal</vt:lpstr>
      <vt:lpstr>Salaris_berekening</vt:lpstr>
      <vt:lpstr>Prestatiebox</vt:lpstr>
      <vt:lpstr>Algoritmes!Afdrukbereik</vt:lpstr>
      <vt:lpstr>Consolidatie!Afdrukbereik</vt:lpstr>
      <vt:lpstr>DerdenEnZorg!Afdrukbereik</vt:lpstr>
      <vt:lpstr>'DUO-CFI'!Afdrukbereik</vt:lpstr>
      <vt:lpstr>Personeel!Afdrukbereik</vt:lpstr>
      <vt:lpstr>RekentoolUitleg!Afdrukbereik</vt:lpstr>
      <vt:lpstr>Salaris_berekening!Afdrukbereik</vt:lpstr>
      <vt:lpstr>Salaris_berekening!Afdruktitels</vt:lpstr>
      <vt:lpstr>CheckMark0100</vt:lpstr>
      <vt:lpstr>CheckMark0200</vt:lpstr>
      <vt:lpstr>CheckMark0300</vt:lpstr>
      <vt:lpstr>CheckMark0301</vt:lpstr>
      <vt:lpstr>CheckMark0302</vt:lpstr>
      <vt:lpstr>CheckMark0303</vt:lpstr>
      <vt:lpstr>CheckMark0400</vt:lpstr>
      <vt:lpstr>CheckMark0401</vt:lpstr>
      <vt:lpstr>CheckMark0402</vt:lpstr>
      <vt:lpstr>CheckMark0403</vt:lpstr>
      <vt:lpstr>CheckMark0404</vt:lpstr>
      <vt:lpstr>CheckMark0500</vt:lpstr>
      <vt:lpstr>CheckMarkLabel0100</vt:lpstr>
      <vt:lpstr>CheckMarkLabel0200</vt:lpstr>
      <vt:lpstr>CheckMarkLabel0300</vt:lpstr>
      <vt:lpstr>CheckMarkLabel0301</vt:lpstr>
      <vt:lpstr>CheckMarkLabel0302</vt:lpstr>
      <vt:lpstr>CheckMarkLabel0303</vt:lpstr>
      <vt:lpstr>CheckMarkLabel0400</vt:lpstr>
      <vt:lpstr>CheckMarkLabel0401</vt:lpstr>
      <vt:lpstr>CheckMarkLabel0402</vt:lpstr>
      <vt:lpstr>CheckMarkLabel0403</vt:lpstr>
      <vt:lpstr>CheckMarkLabel0404</vt:lpstr>
      <vt:lpstr>CheckMarkLabel0500</vt:lpstr>
      <vt:lpstr>ControleSchaalTrede</vt:lpstr>
      <vt:lpstr>Prestatiebox!d16e4465</vt:lpstr>
      <vt:lpstr>Data_1213BekostDerden01</vt:lpstr>
      <vt:lpstr>Data_1213BekostDerden02</vt:lpstr>
      <vt:lpstr>Data_1213BekostDerden03</vt:lpstr>
      <vt:lpstr>Data_1213BekostDerden04</vt:lpstr>
      <vt:lpstr>Data_1213BekostDerden05</vt:lpstr>
      <vt:lpstr>Data_1213BekostDerden06</vt:lpstr>
      <vt:lpstr>Data_1213BekostDerden07</vt:lpstr>
      <vt:lpstr>Data_1213BekostDerden08</vt:lpstr>
      <vt:lpstr>Data_1213BekostDerden09</vt:lpstr>
      <vt:lpstr>Data_1213BekostDerden10</vt:lpstr>
      <vt:lpstr>Data_1213BekostZorginf01</vt:lpstr>
      <vt:lpstr>Data_1213BekostZorginf02</vt:lpstr>
      <vt:lpstr>Data_1213BekostZorginf03</vt:lpstr>
      <vt:lpstr>Data_1213BekostZorginf04</vt:lpstr>
      <vt:lpstr>Data_1213BekostZorginf05</vt:lpstr>
      <vt:lpstr>Data_1213BekostZorginf06</vt:lpstr>
      <vt:lpstr>Data_1213BekostZorginf07</vt:lpstr>
      <vt:lpstr>Data_1213BekostZorginf08</vt:lpstr>
      <vt:lpstr>Data_1213BekostZorginf09</vt:lpstr>
      <vt:lpstr>Data_1213BekostZorginf10</vt:lpstr>
      <vt:lpstr>Data_1213RijksBekost01</vt:lpstr>
      <vt:lpstr>Data_1213RijksBekost02</vt:lpstr>
      <vt:lpstr>Data_1213RijksBekost03</vt:lpstr>
      <vt:lpstr>Data_1213RijksBekost04</vt:lpstr>
      <vt:lpstr>Data_1213RijksBekost05</vt:lpstr>
      <vt:lpstr>Data_1213RijksBekost06</vt:lpstr>
      <vt:lpstr>Data_1213RijksBekost07</vt:lpstr>
      <vt:lpstr>Data_1213RijksBekost08</vt:lpstr>
      <vt:lpstr>Data_1213RijksBekost09</vt:lpstr>
      <vt:lpstr>Data_1213RijksBekost10</vt:lpstr>
      <vt:lpstr>Data_1213RijksBekost11</vt:lpstr>
      <vt:lpstr>Data_1213RijksBekost12</vt:lpstr>
      <vt:lpstr>Data_1213RijksBekost13</vt:lpstr>
      <vt:lpstr>Data_1213RijksBekost14</vt:lpstr>
      <vt:lpstr>Data_1213RijksBekost15</vt:lpstr>
      <vt:lpstr>Data_1213RijksBekost16</vt:lpstr>
      <vt:lpstr>Data_1213RijksBekost17</vt:lpstr>
      <vt:lpstr>Data_1213RijksBekost18</vt:lpstr>
      <vt:lpstr>Data_1213RijksBekost19</vt:lpstr>
      <vt:lpstr>Data_1213RijksBekost20</vt:lpstr>
      <vt:lpstr>Data_1213RijksBekost21</vt:lpstr>
      <vt:lpstr>Data_1213RijksBekost22</vt:lpstr>
      <vt:lpstr>Data_1213RijksBekost23</vt:lpstr>
      <vt:lpstr>Data_1213RijksBekost24</vt:lpstr>
      <vt:lpstr>Data_1314BekostDerden01</vt:lpstr>
      <vt:lpstr>Data_1314BekostDerden02</vt:lpstr>
      <vt:lpstr>Data_1314BekostDerden03</vt:lpstr>
      <vt:lpstr>Data_1314BekostDerden04</vt:lpstr>
      <vt:lpstr>Data_1314BekostDerden05</vt:lpstr>
      <vt:lpstr>Data_1314BekostDerden06</vt:lpstr>
      <vt:lpstr>Data_1314BekostDerden07</vt:lpstr>
      <vt:lpstr>Data_1314BekostDerden08</vt:lpstr>
      <vt:lpstr>Data_1314BekostDerden09</vt:lpstr>
      <vt:lpstr>Data_1314BekostDerden10</vt:lpstr>
      <vt:lpstr>Data_1314BekostZorginf01</vt:lpstr>
      <vt:lpstr>Data_1314BekostZorginf02</vt:lpstr>
      <vt:lpstr>Data_1314BekostZorginf03</vt:lpstr>
      <vt:lpstr>Data_1314BekostZorginf04</vt:lpstr>
      <vt:lpstr>Data_1314BekostZorginf05</vt:lpstr>
      <vt:lpstr>Data_1314BekostZorginf06</vt:lpstr>
      <vt:lpstr>Data_1314BekostZorginf07</vt:lpstr>
      <vt:lpstr>Data_1314BekostZorginf08</vt:lpstr>
      <vt:lpstr>Data_1314BekostZorginf09</vt:lpstr>
      <vt:lpstr>Data_1314BekostZorginf10</vt:lpstr>
      <vt:lpstr>Data_1314RijksBekost01</vt:lpstr>
      <vt:lpstr>Data_1314RijksBekost02</vt:lpstr>
      <vt:lpstr>Data_1314RijksBekost03</vt:lpstr>
      <vt:lpstr>Data_1314RijksBekost04</vt:lpstr>
      <vt:lpstr>Data_1314RijksBekost05</vt:lpstr>
      <vt:lpstr>Data_1314RijksBekost06</vt:lpstr>
      <vt:lpstr>Data_1314RijksBekost07</vt:lpstr>
      <vt:lpstr>Data_1314RijksBekost08</vt:lpstr>
      <vt:lpstr>Data_1314RijksBekost09</vt:lpstr>
      <vt:lpstr>Data_1314RijksBekost10</vt:lpstr>
      <vt:lpstr>Data_1314RijksBekost11</vt:lpstr>
      <vt:lpstr>Data_1314RijksBekost12</vt:lpstr>
      <vt:lpstr>Data_1314RijksBekost13</vt:lpstr>
      <vt:lpstr>Data_1314RijksBekost14</vt:lpstr>
      <vt:lpstr>Data_1314RijksBekost15</vt:lpstr>
      <vt:lpstr>Data_1314RijksBekost16</vt:lpstr>
      <vt:lpstr>Data_1314RijksBekost17</vt:lpstr>
      <vt:lpstr>Data_1314RijksBekost18</vt:lpstr>
      <vt:lpstr>Data_1314RijksBekost19</vt:lpstr>
      <vt:lpstr>Data_1314RijksBekost20</vt:lpstr>
      <vt:lpstr>Data_1314RijksBekost21</vt:lpstr>
      <vt:lpstr>Data_1314RijksBekost22</vt:lpstr>
      <vt:lpstr>Data_1314RijksBekost23</vt:lpstr>
      <vt:lpstr>Data_1314RijksBekost24</vt:lpstr>
      <vt:lpstr>Data_2012Rijksbekost19</vt:lpstr>
      <vt:lpstr>Data_2013Rijksbekost19</vt:lpstr>
      <vt:lpstr>Data_2014Rijksbekost19</vt:lpstr>
      <vt:lpstr>Data_AantalLeerlingen</vt:lpstr>
      <vt:lpstr>Data_AantalPersonenNatVerloop</vt:lpstr>
      <vt:lpstr>Data_AantalPersonenTijd</vt:lpstr>
      <vt:lpstr>Data_AantalPersonenVastOntslag</vt:lpstr>
      <vt:lpstr>Data_AantalPersonenVastVrij</vt:lpstr>
      <vt:lpstr>Data_BeeindigingsdatumNatVerloop001</vt:lpstr>
      <vt:lpstr>Data_BeeindigingsdatumNatVerloop002</vt:lpstr>
      <vt:lpstr>Data_BeeindigingsdatumNatVerloop003</vt:lpstr>
      <vt:lpstr>Data_BeeindigingsdatumNatVerloop004</vt:lpstr>
      <vt:lpstr>Data_BeeindigingsdatumNatVerloop005</vt:lpstr>
      <vt:lpstr>Data_BeeindigingsdatumNatVerloop006</vt:lpstr>
      <vt:lpstr>Data_BeeindigingsdatumNatVerloop007</vt:lpstr>
      <vt:lpstr>Data_BeeindigingsdatumNatVerloop008</vt:lpstr>
      <vt:lpstr>Data_BeeindigingsdatumNatVerloop009</vt:lpstr>
      <vt:lpstr>Data_BeeindigingsdatumNatVerloop010</vt:lpstr>
      <vt:lpstr>Data_BeeindigingsdatumNatVerloop011</vt:lpstr>
      <vt:lpstr>Data_BeeindigingsdatumNatVerloop012</vt:lpstr>
      <vt:lpstr>Data_BeeindigingsdatumNatVerloop013</vt:lpstr>
      <vt:lpstr>Data_BeeindigingsdatumNatVerloop014</vt:lpstr>
      <vt:lpstr>Data_BeeindigingsdatumNatVerloop015</vt:lpstr>
      <vt:lpstr>Data_BeeindigingsdatumNatVerloop016</vt:lpstr>
      <vt:lpstr>Data_BeeindigingsdatumNatVerloop017</vt:lpstr>
      <vt:lpstr>Data_BeeindigingsdatumNatVerloop018</vt:lpstr>
      <vt:lpstr>Data_BeeindigingsdatumNatVerloop019</vt:lpstr>
      <vt:lpstr>Data_BeeindigingsdatumNatVerloop020</vt:lpstr>
      <vt:lpstr>Data_BeeindigingsdatumNatVerloop021</vt:lpstr>
      <vt:lpstr>Data_BeeindigingsdatumNatVerloop022</vt:lpstr>
      <vt:lpstr>Data_BeeindigingsdatumNatVerloop023</vt:lpstr>
      <vt:lpstr>Data_BeeindigingsdatumNatVerloop024</vt:lpstr>
      <vt:lpstr>Data_BeeindigingsdatumNatVerloop025</vt:lpstr>
      <vt:lpstr>Data_BeeindigingsdatumNatVerloop026</vt:lpstr>
      <vt:lpstr>Data_BeeindigingsdatumNatVerloop027</vt:lpstr>
      <vt:lpstr>Data_BeeindigingsdatumNatVerloop028</vt:lpstr>
      <vt:lpstr>Data_BeeindigingsdatumNatVerloop029</vt:lpstr>
      <vt:lpstr>Data_BeeindigingsdatumNatVerloop030</vt:lpstr>
      <vt:lpstr>Data_BeeindigingsdatumNatVerloop031</vt:lpstr>
      <vt:lpstr>Data_BeeindigingsdatumNatVerloop032</vt:lpstr>
      <vt:lpstr>Data_BeeindigingsdatumNatVerloop033</vt:lpstr>
      <vt:lpstr>Data_BeeindigingsdatumNatVerloop034</vt:lpstr>
      <vt:lpstr>Data_BeeindigingsdatumNatVerloop035</vt:lpstr>
      <vt:lpstr>Data_BeeindigingsdatumNatVerloop036</vt:lpstr>
      <vt:lpstr>Data_BeeindigingsdatumNatVerloop037</vt:lpstr>
      <vt:lpstr>Data_BeeindigingsdatumNatVerloop038</vt:lpstr>
      <vt:lpstr>Data_BeeindigingsdatumNatVerloop039</vt:lpstr>
      <vt:lpstr>Data_BeeindigingsdatumNatVerloop040</vt:lpstr>
      <vt:lpstr>Data_BeeindigingsdatumNatVerloop041</vt:lpstr>
      <vt:lpstr>Data_BeeindigingsdatumNatVerloop042</vt:lpstr>
      <vt:lpstr>Data_BeeindigingsdatumNatVerloop043</vt:lpstr>
      <vt:lpstr>Data_BeeindigingsdatumNatVerloop044</vt:lpstr>
      <vt:lpstr>Data_BeeindigingsdatumNatVerloop045</vt:lpstr>
      <vt:lpstr>Data_BeeindigingsdatumNatVerloop046</vt:lpstr>
      <vt:lpstr>Data_BeeindigingsdatumNatVerloop047</vt:lpstr>
      <vt:lpstr>Data_BeeindigingsdatumNatVerloop048</vt:lpstr>
      <vt:lpstr>Data_BeeindigingsdatumNatVerloop049</vt:lpstr>
      <vt:lpstr>Data_BeeindigingsdatumNatVerloop050</vt:lpstr>
      <vt:lpstr>Data_BeeindigingsdatumNatVerloop051</vt:lpstr>
      <vt:lpstr>Data_BeeindigingsdatumNatVerloop052</vt:lpstr>
      <vt:lpstr>Data_BeeindigingsdatumNatVerloop053</vt:lpstr>
      <vt:lpstr>Data_BeeindigingsdatumNatVerloop054</vt:lpstr>
      <vt:lpstr>Data_BeeindigingsdatumNatVerloop055</vt:lpstr>
      <vt:lpstr>Data_BeeindigingsdatumNatVerloop056</vt:lpstr>
      <vt:lpstr>Data_BeeindigingsdatumNatVerloop057</vt:lpstr>
      <vt:lpstr>Data_BeeindigingsdatumNatVerloop058</vt:lpstr>
      <vt:lpstr>Data_BeeindigingsdatumNatVerloop059</vt:lpstr>
      <vt:lpstr>Data_BeeindigingsdatumNatVerloop060</vt:lpstr>
      <vt:lpstr>Data_BeeindigingsdatumNatVerloop061</vt:lpstr>
      <vt:lpstr>Data_BeeindigingsdatumNatVerloop062</vt:lpstr>
      <vt:lpstr>Data_BeeindigingsdatumNatVerloop063</vt:lpstr>
      <vt:lpstr>Data_BeeindigingsdatumNatVerloop064</vt:lpstr>
      <vt:lpstr>Data_BeeindigingsdatumNatVerloop065</vt:lpstr>
      <vt:lpstr>Data_BeeindigingsdatumNatVerloop066</vt:lpstr>
      <vt:lpstr>Data_BeeindigingsdatumNatVerloop067</vt:lpstr>
      <vt:lpstr>Data_BeeindigingsdatumNatVerloop068</vt:lpstr>
      <vt:lpstr>Data_BeeindigingsdatumNatVerloop069</vt:lpstr>
      <vt:lpstr>Data_BeeindigingsdatumNatVerloop070</vt:lpstr>
      <vt:lpstr>Data_BeeindigingsdatumNatVerloop071</vt:lpstr>
      <vt:lpstr>Data_BeeindigingsdatumNatVerloop072</vt:lpstr>
      <vt:lpstr>Data_BeeindigingsdatumNatVerloop073</vt:lpstr>
      <vt:lpstr>Data_BeeindigingsdatumNatVerloop074</vt:lpstr>
      <vt:lpstr>Data_BeeindigingsdatumNatVerloop075</vt:lpstr>
      <vt:lpstr>Data_BeeindigingsdatumNatVerloop076</vt:lpstr>
      <vt:lpstr>Data_BeeindigingsdatumNatVerloop077</vt:lpstr>
      <vt:lpstr>Data_BeeindigingsdatumNatVerloop078</vt:lpstr>
      <vt:lpstr>Data_BeeindigingsdatumNatVerloop079</vt:lpstr>
      <vt:lpstr>Data_BeeindigingsdatumNatVerloop080</vt:lpstr>
      <vt:lpstr>Data_BeeindigingsdatumNatVerloop081</vt:lpstr>
      <vt:lpstr>Data_BeeindigingsdatumNatVerloop082</vt:lpstr>
      <vt:lpstr>Data_BeeindigingsdatumNatVerloop083</vt:lpstr>
      <vt:lpstr>Data_BeeindigingsdatumNatVerloop084</vt:lpstr>
      <vt:lpstr>Data_BeeindigingsdatumNatVerloop085</vt:lpstr>
      <vt:lpstr>Data_BeeindigingsdatumNatVerloop086</vt:lpstr>
      <vt:lpstr>Data_BeeindigingsdatumNatVerloop087</vt:lpstr>
      <vt:lpstr>Data_BeeindigingsdatumNatVerloop088</vt:lpstr>
      <vt:lpstr>Data_BeeindigingsdatumNatVerloop089</vt:lpstr>
      <vt:lpstr>Data_BeeindigingsdatumNatVerloop090</vt:lpstr>
      <vt:lpstr>Data_BeeindigingsdatumNatVerloop091</vt:lpstr>
      <vt:lpstr>Data_BeeindigingsdatumNatVerloop092</vt:lpstr>
      <vt:lpstr>Data_BeeindigingsdatumNatVerloop093</vt:lpstr>
      <vt:lpstr>Data_BeeindigingsdatumNatVerloop094</vt:lpstr>
      <vt:lpstr>Data_BeeindigingsdatumNatVerloop095</vt:lpstr>
      <vt:lpstr>Data_BeeindigingsdatumNatVerloop096</vt:lpstr>
      <vt:lpstr>Data_BeeindigingsdatumNatVerloop097</vt:lpstr>
      <vt:lpstr>Data_BeeindigingsdatumNatVerloop098</vt:lpstr>
      <vt:lpstr>Data_BeeindigingsdatumNatVerloop099</vt:lpstr>
      <vt:lpstr>Data_BeeindigingsdatumNatVerloop100</vt:lpstr>
      <vt:lpstr>Data_BeeindigingsdatumNatVerloop101</vt:lpstr>
      <vt:lpstr>Data_BeeindigingsdatumNatVerloop102</vt:lpstr>
      <vt:lpstr>Data_BeeindigingsdatumNatVerloop103</vt:lpstr>
      <vt:lpstr>Data_BeeindigingsdatumNatVerloop104</vt:lpstr>
      <vt:lpstr>Data_BeeindigingsdatumNatVerloop105</vt:lpstr>
      <vt:lpstr>Data_BeeindigingsdatumNatVerloop106</vt:lpstr>
      <vt:lpstr>Data_BeeindigingsdatumNatVerloop107</vt:lpstr>
      <vt:lpstr>Data_BeeindigingsdatumNatVerloop108</vt:lpstr>
      <vt:lpstr>Data_BeeindigingsdatumNatVerloop109</vt:lpstr>
      <vt:lpstr>Data_BeeindigingsdatumNatVerloop110</vt:lpstr>
      <vt:lpstr>Data_BeeindigingsdatumNatVerloop111</vt:lpstr>
      <vt:lpstr>Data_BeeindigingsdatumNatVerloop112</vt:lpstr>
      <vt:lpstr>Data_BeeindigingsdatumNatVerloop113</vt:lpstr>
      <vt:lpstr>Data_BeeindigingsdatumNatVerloop114</vt:lpstr>
      <vt:lpstr>Data_BeeindigingsdatumNatVerloop115</vt:lpstr>
      <vt:lpstr>Data_BeeindigingsdatumNatVerloop116</vt:lpstr>
      <vt:lpstr>Data_BeeindigingsdatumNatVerloop117</vt:lpstr>
      <vt:lpstr>Data_BeeindigingsdatumNatVerloop118</vt:lpstr>
      <vt:lpstr>Data_BeeindigingsdatumNatVerloop119</vt:lpstr>
      <vt:lpstr>Data_BeeindigingsdatumNatVerloop120</vt:lpstr>
      <vt:lpstr>Data_BeeindigingsdatumNatVerloop121</vt:lpstr>
      <vt:lpstr>Data_BeeindigingsdatumNatVerloop122</vt:lpstr>
      <vt:lpstr>Data_BeeindigingsdatumNatVerloop123</vt:lpstr>
      <vt:lpstr>Data_BeeindigingsdatumNatVerloop124</vt:lpstr>
      <vt:lpstr>Data_BeeindigingsdatumNatVerloop125</vt:lpstr>
      <vt:lpstr>Data_BeeindigingsdatumNatVerloop126</vt:lpstr>
      <vt:lpstr>Data_BeeindigingsdatumNatVerloop127</vt:lpstr>
      <vt:lpstr>Data_BeeindigingsdatumNatVerloop128</vt:lpstr>
      <vt:lpstr>Data_BeeindigingsdatumNatVerloop129</vt:lpstr>
      <vt:lpstr>Data_BeeindigingsdatumNatVerloop130</vt:lpstr>
      <vt:lpstr>Data_BeeindigingsdatumNatVerloop131</vt:lpstr>
      <vt:lpstr>Data_BeeindigingsdatumNatVerloop132</vt:lpstr>
      <vt:lpstr>Data_BeeindigingsdatumNatVerloop133</vt:lpstr>
      <vt:lpstr>Data_BeeindigingsdatumNatVerloop134</vt:lpstr>
      <vt:lpstr>Data_BeeindigingsdatumNatVerloop135</vt:lpstr>
      <vt:lpstr>Data_BeeindigingsdatumNatVerloop136</vt:lpstr>
      <vt:lpstr>Data_BeeindigingsdatumNatVerloop137</vt:lpstr>
      <vt:lpstr>Data_BeeindigingsdatumNatVerloop138</vt:lpstr>
      <vt:lpstr>Data_BeeindigingsdatumNatVerloop139</vt:lpstr>
      <vt:lpstr>Data_BeeindigingsdatumNatVerloop140</vt:lpstr>
      <vt:lpstr>Data_BeeindigingsdatumNatVerloop141</vt:lpstr>
      <vt:lpstr>Data_BeeindigingsdatumNatVerloop142</vt:lpstr>
      <vt:lpstr>Data_BeeindigingsdatumNatVerloop143</vt:lpstr>
      <vt:lpstr>Data_BeeindigingsdatumNatVerloop144</vt:lpstr>
      <vt:lpstr>Data_BeeindigingsdatumNatVerloop145</vt:lpstr>
      <vt:lpstr>Data_BeeindigingsdatumNatVerloop146</vt:lpstr>
      <vt:lpstr>Data_BeeindigingsdatumNatVerloop147</vt:lpstr>
      <vt:lpstr>Data_BeeindigingsdatumNatVerloop148</vt:lpstr>
      <vt:lpstr>Data_BeeindigingsdatumNatVerloop149</vt:lpstr>
      <vt:lpstr>Data_BeeindigingsdatumNatVerloop150</vt:lpstr>
      <vt:lpstr>Data_BeeindigingsdatumNatVerloop151</vt:lpstr>
      <vt:lpstr>Data_BeeindigingsdatumNatVerloop152</vt:lpstr>
      <vt:lpstr>Data_BeeindigingsdatumNatVerloop153</vt:lpstr>
      <vt:lpstr>Data_BeeindigingsdatumNatVerloop154</vt:lpstr>
      <vt:lpstr>Data_BeeindigingsdatumNatVerloop155</vt:lpstr>
      <vt:lpstr>Data_BeeindigingsdatumNatVerloop156</vt:lpstr>
      <vt:lpstr>Data_BeeindigingsdatumNatVerloop157</vt:lpstr>
      <vt:lpstr>Data_BeeindigingsdatumNatVerloop158</vt:lpstr>
      <vt:lpstr>Data_BeeindigingsdatumNatVerloop159</vt:lpstr>
      <vt:lpstr>Data_BeeindigingsdatumNatVerloop160</vt:lpstr>
      <vt:lpstr>Data_BeeindigingsdatumNatVerloop161</vt:lpstr>
      <vt:lpstr>Data_BeeindigingsdatumNatVerloop162</vt:lpstr>
      <vt:lpstr>Data_BeeindigingsdatumNatVerloop163</vt:lpstr>
      <vt:lpstr>Data_BeeindigingsdatumNatVerloop164</vt:lpstr>
      <vt:lpstr>Data_BeeindigingsdatumNatVerloop165</vt:lpstr>
      <vt:lpstr>Data_BeeindigingsdatumNatVerloop166</vt:lpstr>
      <vt:lpstr>Data_BeeindigingsdatumNatVerloop167</vt:lpstr>
      <vt:lpstr>Data_BeeindigingsdatumNatVerloop168</vt:lpstr>
      <vt:lpstr>Data_BeeindigingsdatumNatVerloop169</vt:lpstr>
      <vt:lpstr>Data_BeeindigingsdatumNatVerloop170</vt:lpstr>
      <vt:lpstr>Data_BeeindigingsdatumNatVerloop171</vt:lpstr>
      <vt:lpstr>Data_BeeindigingsdatumNatVerloop172</vt:lpstr>
      <vt:lpstr>Data_BeeindigingsdatumNatVerloop173</vt:lpstr>
      <vt:lpstr>Data_BeeindigingsdatumNatVerloop174</vt:lpstr>
      <vt:lpstr>Data_BeeindigingsdatumNatVerloop175</vt:lpstr>
      <vt:lpstr>Data_BeeindigingsdatumNatVerloop176</vt:lpstr>
      <vt:lpstr>Data_BeeindigingsdatumNatVerloop177</vt:lpstr>
      <vt:lpstr>Data_BeeindigingsdatumNatVerloop178</vt:lpstr>
      <vt:lpstr>Data_BeeindigingsdatumNatVerloop179</vt:lpstr>
      <vt:lpstr>Data_BeeindigingsdatumNatVerloop180</vt:lpstr>
      <vt:lpstr>Data_BeeindigingsdatumNatVerloop181</vt:lpstr>
      <vt:lpstr>Data_BeeindigingsdatumNatVerloop182</vt:lpstr>
      <vt:lpstr>Data_BeeindigingsdatumNatVerloop183</vt:lpstr>
      <vt:lpstr>Data_BeeindigingsdatumNatVerloop184</vt:lpstr>
      <vt:lpstr>Data_BeeindigingsdatumNatVerloop185</vt:lpstr>
      <vt:lpstr>Data_BeeindigingsdatumNatVerloop186</vt:lpstr>
      <vt:lpstr>Data_BeeindigingsdatumNatVerloop187</vt:lpstr>
      <vt:lpstr>Data_BeeindigingsdatumNatVerloop188</vt:lpstr>
      <vt:lpstr>Data_BeeindigingsdatumNatVerloop189</vt:lpstr>
      <vt:lpstr>Data_BeeindigingsdatumNatVerloop190</vt:lpstr>
      <vt:lpstr>Data_BeeindigingsdatumNatVerloop191</vt:lpstr>
      <vt:lpstr>Data_BeeindigingsdatumNatVerloop192</vt:lpstr>
      <vt:lpstr>Data_BeeindigingsdatumNatVerloop193</vt:lpstr>
      <vt:lpstr>Data_BeeindigingsdatumNatVerloop194</vt:lpstr>
      <vt:lpstr>Data_BeeindigingsdatumNatVerloop195</vt:lpstr>
      <vt:lpstr>Data_BeeindigingsdatumNatVerloop196</vt:lpstr>
      <vt:lpstr>Data_BeeindigingsdatumNatVerloop197</vt:lpstr>
      <vt:lpstr>Data_BeeindigingsdatumNatVerloop198</vt:lpstr>
      <vt:lpstr>Data_BeeindigingsdatumNatVerloop199</vt:lpstr>
      <vt:lpstr>Data_BeeindigingsdatumNatVerloop200</vt:lpstr>
      <vt:lpstr>Data_BeeindigingsdatumNatVerloop201</vt:lpstr>
      <vt:lpstr>Data_BeeindigingsdatumNatVerloop202</vt:lpstr>
      <vt:lpstr>Data_BeeindigingsdatumNatVerloop203</vt:lpstr>
      <vt:lpstr>Data_BeeindigingsdatumNatVerloop204</vt:lpstr>
      <vt:lpstr>Data_BeeindigingsdatumNatVerloop205</vt:lpstr>
      <vt:lpstr>Data_BeeindigingsdatumNatVerloop206</vt:lpstr>
      <vt:lpstr>Data_BeeindigingsdatumNatVerloop207</vt:lpstr>
      <vt:lpstr>Data_BeeindigingsdatumNatVerloop208</vt:lpstr>
      <vt:lpstr>Data_BeeindigingsdatumNatVerloop209</vt:lpstr>
      <vt:lpstr>Data_BeeindigingsdatumNatVerloop210</vt:lpstr>
      <vt:lpstr>Data_BeeindigingsdatumNatVerloop211</vt:lpstr>
      <vt:lpstr>Data_BeeindigingsdatumNatVerloop212</vt:lpstr>
      <vt:lpstr>Data_BeeindigingsdatumNatVerloop213</vt:lpstr>
      <vt:lpstr>Data_BeeindigingsdatumNatVerloop214</vt:lpstr>
      <vt:lpstr>Data_BeeindigingsdatumNatVerloop215</vt:lpstr>
      <vt:lpstr>Data_BeeindigingsdatumNatVerloop216</vt:lpstr>
      <vt:lpstr>Data_BeeindigingsdatumNatVerloop217</vt:lpstr>
      <vt:lpstr>Data_BeeindigingsdatumNatVerloop218</vt:lpstr>
      <vt:lpstr>Data_BeeindigingsdatumNatVerloop219</vt:lpstr>
      <vt:lpstr>Data_BeeindigingsdatumNatVerloop220</vt:lpstr>
      <vt:lpstr>Data_BeeindigingsdatumNatVerloop221</vt:lpstr>
      <vt:lpstr>Data_BeeindigingsdatumNatVerloop222</vt:lpstr>
      <vt:lpstr>Data_BeeindigingsdatumNatVerloop223</vt:lpstr>
      <vt:lpstr>Data_BeeindigingsdatumNatVerloop224</vt:lpstr>
      <vt:lpstr>Data_BeeindigingsdatumNatVerloop225</vt:lpstr>
      <vt:lpstr>Data_BeeindigingsdatumNatVerloop226</vt:lpstr>
      <vt:lpstr>Data_BeeindigingsdatumNatVerloop227</vt:lpstr>
      <vt:lpstr>Data_BeeindigingsdatumNatVerloop228</vt:lpstr>
      <vt:lpstr>Data_BeeindigingsdatumNatVerloop229</vt:lpstr>
      <vt:lpstr>Data_BeeindigingsdatumNatVerloop230</vt:lpstr>
      <vt:lpstr>Data_BeeindigingsdatumNatVerloop231</vt:lpstr>
      <vt:lpstr>Data_BeeindigingsdatumNatVerloop232</vt:lpstr>
      <vt:lpstr>Data_BeeindigingsdatumNatVerloop233</vt:lpstr>
      <vt:lpstr>Data_BeeindigingsdatumNatVerloop234</vt:lpstr>
      <vt:lpstr>Data_BeeindigingsdatumNatVerloop235</vt:lpstr>
      <vt:lpstr>Data_BeeindigingsdatumNatVerloop236</vt:lpstr>
      <vt:lpstr>Data_BeeindigingsdatumNatVerloop237</vt:lpstr>
      <vt:lpstr>Data_BeeindigingsdatumNatVerloop238</vt:lpstr>
      <vt:lpstr>Data_BeeindigingsdatumNatVerloop239</vt:lpstr>
      <vt:lpstr>Data_BeeindigingsdatumNatVerloop240</vt:lpstr>
      <vt:lpstr>Data_BeeindigingsdatumNatVerloop241</vt:lpstr>
      <vt:lpstr>Data_BeeindigingsdatumNatVerloop242</vt:lpstr>
      <vt:lpstr>Data_BeeindigingsdatumNatVerloop243</vt:lpstr>
      <vt:lpstr>Data_BeeindigingsdatumNatVerloop244</vt:lpstr>
      <vt:lpstr>Data_BeeindigingsdatumNatVerloop245</vt:lpstr>
      <vt:lpstr>Data_BeeindigingsdatumNatVerloop246</vt:lpstr>
      <vt:lpstr>Data_BeeindigingsdatumNatVerloop247</vt:lpstr>
      <vt:lpstr>Data_BeeindigingsdatumNatVerloop248</vt:lpstr>
      <vt:lpstr>Data_BeeindigingsdatumNatVerloop249</vt:lpstr>
      <vt:lpstr>Data_BeeindigingsdatumNatVerloop250</vt:lpstr>
      <vt:lpstr>Data_BeeindigingsdatumNatVerloop251</vt:lpstr>
      <vt:lpstr>Data_BeeindigingsdatumNatVerloop252</vt:lpstr>
      <vt:lpstr>Data_BeeindigingsdatumNatVerloop253</vt:lpstr>
      <vt:lpstr>Data_BeeindigingsdatumNatVerloop254</vt:lpstr>
      <vt:lpstr>Data_BeeindigingsdatumNatVerloop255</vt:lpstr>
      <vt:lpstr>Data_BeeindigingsdatumNatVerloop256</vt:lpstr>
      <vt:lpstr>Data_BeeindigingsdatumNatVerloop257</vt:lpstr>
      <vt:lpstr>Data_BeeindigingsdatumNatVerloop258</vt:lpstr>
      <vt:lpstr>Data_BeeindigingsdatumNatVerloop259</vt:lpstr>
      <vt:lpstr>Data_BeeindigingsdatumNatVerloop260</vt:lpstr>
      <vt:lpstr>Data_BeeindigingsdatumNatVerloop261</vt:lpstr>
      <vt:lpstr>Data_BeeindigingsdatumNatVerloop262</vt:lpstr>
      <vt:lpstr>Data_BeeindigingsdatumNatVerloop263</vt:lpstr>
      <vt:lpstr>Data_BeeindigingsdatumNatVerloop264</vt:lpstr>
      <vt:lpstr>Data_BeeindigingsdatumNatVerloop265</vt:lpstr>
      <vt:lpstr>Data_BeeindigingsdatumNatVerloop266</vt:lpstr>
      <vt:lpstr>Data_BeeindigingsdatumNatVerloop267</vt:lpstr>
      <vt:lpstr>Data_BeeindigingsdatumNatVerloop268</vt:lpstr>
      <vt:lpstr>Data_BeeindigingsdatumNatVerloop269</vt:lpstr>
      <vt:lpstr>Data_BeeindigingsdatumNatVerloop270</vt:lpstr>
      <vt:lpstr>Data_BeeindigingsdatumNatVerloop271</vt:lpstr>
      <vt:lpstr>Data_BeeindigingsdatumNatVerloop272</vt:lpstr>
      <vt:lpstr>Data_BeeindigingsdatumNatVerloop273</vt:lpstr>
      <vt:lpstr>Data_BeeindigingsdatumNatVerloop274</vt:lpstr>
      <vt:lpstr>Data_BeeindigingsdatumNatVerloop275</vt:lpstr>
      <vt:lpstr>Data_BeeindigingsdatumNatVerloop276</vt:lpstr>
      <vt:lpstr>Data_BeeindigingsdatumNatVerloop277</vt:lpstr>
      <vt:lpstr>Data_BeeindigingsdatumNatVerloop278</vt:lpstr>
      <vt:lpstr>Data_BeeindigingsdatumNatVerloop279</vt:lpstr>
      <vt:lpstr>Data_BeeindigingsdatumNatVerloop280</vt:lpstr>
      <vt:lpstr>Data_BeeindigingsdatumNatVerloop281</vt:lpstr>
      <vt:lpstr>Data_BeeindigingsdatumNatVerloop282</vt:lpstr>
      <vt:lpstr>Data_BeeindigingsdatumNatVerloop283</vt:lpstr>
      <vt:lpstr>Data_BeeindigingsdatumNatVerloop284</vt:lpstr>
      <vt:lpstr>Data_BeeindigingsdatumNatVerloop285</vt:lpstr>
      <vt:lpstr>Data_BeeindigingsdatumNatVerloop286</vt:lpstr>
      <vt:lpstr>Data_BeeindigingsdatumNatVerloop287</vt:lpstr>
      <vt:lpstr>Data_BeeindigingsdatumNatVerloop288</vt:lpstr>
      <vt:lpstr>Data_BeeindigingsdatumNatVerloop289</vt:lpstr>
      <vt:lpstr>Data_BeeindigingsdatumNatVerloop290</vt:lpstr>
      <vt:lpstr>Data_BeeindigingsdatumNatVerloop291</vt:lpstr>
      <vt:lpstr>Data_BeeindigingsdatumNatVerloop292</vt:lpstr>
      <vt:lpstr>Data_BeeindigingsdatumNatVerloop293</vt:lpstr>
      <vt:lpstr>Data_BeeindigingsdatumNatVerloop294</vt:lpstr>
      <vt:lpstr>Data_BeeindigingsdatumNatVerloop295</vt:lpstr>
      <vt:lpstr>Data_BeeindigingsdatumNatVerloop296</vt:lpstr>
      <vt:lpstr>Data_BeeindigingsdatumNatVerloop297</vt:lpstr>
      <vt:lpstr>Data_BeeindigingsdatumNatVerloop298</vt:lpstr>
      <vt:lpstr>Data_BeeindigingsdatumNatVerloop299</vt:lpstr>
      <vt:lpstr>Data_BeeindigingsdatumNatVerloop300</vt:lpstr>
      <vt:lpstr>Data_BeeindigingsdatumNatVerloop301</vt:lpstr>
      <vt:lpstr>Data_BeeindigingsdatumNatVerloop302</vt:lpstr>
      <vt:lpstr>Data_BeeindigingsdatumNatVerloop303</vt:lpstr>
      <vt:lpstr>Data_BeeindigingsdatumNatVerloop304</vt:lpstr>
      <vt:lpstr>Data_BeeindigingsdatumNatVerloop305</vt:lpstr>
      <vt:lpstr>Data_BeeindigingsdatumNatVerloop306</vt:lpstr>
      <vt:lpstr>Data_BeeindigingsdatumNatVerloop307</vt:lpstr>
      <vt:lpstr>Data_BeeindigingsdatumNatVerloop308</vt:lpstr>
      <vt:lpstr>Data_BeeindigingsdatumNatVerloop309</vt:lpstr>
      <vt:lpstr>Data_BeeindigingsdatumNatVerloop310</vt:lpstr>
      <vt:lpstr>Data_BeeindigingsdatumNatVerloop311</vt:lpstr>
      <vt:lpstr>Data_BeeindigingsdatumNatVerloop312</vt:lpstr>
      <vt:lpstr>Data_BeeindigingsdatumNatVerloop313</vt:lpstr>
      <vt:lpstr>Data_BeeindigingsdatumNatVerloop314</vt:lpstr>
      <vt:lpstr>Data_BeeindigingsdatumNatVerloop315</vt:lpstr>
      <vt:lpstr>Data_BeeindigingsdatumNatVerloop316</vt:lpstr>
      <vt:lpstr>Data_BeeindigingsdatumNatVerloop317</vt:lpstr>
      <vt:lpstr>Data_BeeindigingsdatumNatVerloop318</vt:lpstr>
      <vt:lpstr>Data_BeeindigingsdatumNatVerloop319</vt:lpstr>
      <vt:lpstr>Data_BeeindigingsdatumNatVerloop320</vt:lpstr>
      <vt:lpstr>Data_BeeindigingsdatumNatVerloop321</vt:lpstr>
      <vt:lpstr>Data_BeeindigingsdatumNatVerloop322</vt:lpstr>
      <vt:lpstr>Data_BeeindigingsdatumNatVerloop323</vt:lpstr>
      <vt:lpstr>Data_BeeindigingsdatumNatVerloop324</vt:lpstr>
      <vt:lpstr>Data_BeeindigingsdatumNatVerloop325</vt:lpstr>
      <vt:lpstr>Data_BeeindigingsdatumNatVerloop326</vt:lpstr>
      <vt:lpstr>Data_BeeindigingsdatumNatVerloop327</vt:lpstr>
      <vt:lpstr>Data_BeeindigingsdatumNatVerloop328</vt:lpstr>
      <vt:lpstr>Data_BeeindigingsdatumNatVerloop329</vt:lpstr>
      <vt:lpstr>Data_BeeindigingsdatumNatVerloop330</vt:lpstr>
      <vt:lpstr>Data_BeeindigingsdatumNatVerloop331</vt:lpstr>
      <vt:lpstr>Data_BeeindigingsdatumNatVerloop332</vt:lpstr>
      <vt:lpstr>Data_BeeindigingsdatumNatVerloop333</vt:lpstr>
      <vt:lpstr>Data_BeeindigingsdatumNatVerloop334</vt:lpstr>
      <vt:lpstr>Data_BeeindigingsdatumNatVerloop335</vt:lpstr>
      <vt:lpstr>Data_BeeindigingsdatumNatVerloop336</vt:lpstr>
      <vt:lpstr>Data_BeeindigingsdatumNatVerloop337</vt:lpstr>
      <vt:lpstr>Data_BeeindigingsdatumNatVerloop338</vt:lpstr>
      <vt:lpstr>Data_BeeindigingsdatumNatVerloop339</vt:lpstr>
      <vt:lpstr>Data_BeeindigingsdatumNatVerloop340</vt:lpstr>
      <vt:lpstr>Data_BeeindigingsdatumNatVerloop341</vt:lpstr>
      <vt:lpstr>Data_BeeindigingsdatumNatVerloop342</vt:lpstr>
      <vt:lpstr>Data_BeeindigingsdatumNatVerloop343</vt:lpstr>
      <vt:lpstr>Data_BeeindigingsdatumNatVerloop344</vt:lpstr>
      <vt:lpstr>Data_BeeindigingsdatumNatVerloop345</vt:lpstr>
      <vt:lpstr>Data_BeeindigingsdatumNatVerloop346</vt:lpstr>
      <vt:lpstr>Data_BeeindigingsdatumNatVerloop347</vt:lpstr>
      <vt:lpstr>Data_BeeindigingsdatumNatVerloop348</vt:lpstr>
      <vt:lpstr>Data_BeeindigingsdatumNatVerloop349</vt:lpstr>
      <vt:lpstr>Data_BeeindigingsdatumNatVerloop350</vt:lpstr>
      <vt:lpstr>Data_BeeindigingsdatumNatVerloop351</vt:lpstr>
      <vt:lpstr>Data_BeeindigingsdatumNatVerloop352</vt:lpstr>
      <vt:lpstr>Data_BeeindigingsdatumNatVerloop353</vt:lpstr>
      <vt:lpstr>Data_BeeindigingsdatumNatVerloop354</vt:lpstr>
      <vt:lpstr>Data_BeeindigingsdatumNatVerloop355</vt:lpstr>
      <vt:lpstr>Data_BeeindigingsdatumNatVerloop356</vt:lpstr>
      <vt:lpstr>Data_BeeindigingsdatumNatVerloop357</vt:lpstr>
      <vt:lpstr>Data_BeeindigingsdatumNatVerloop358</vt:lpstr>
      <vt:lpstr>Data_BeeindigingsdatumNatVerloop359</vt:lpstr>
      <vt:lpstr>Data_BeeindigingsdatumNatVerloop360</vt:lpstr>
      <vt:lpstr>Data_BeeindigingsdatumNatVerloop361</vt:lpstr>
      <vt:lpstr>Data_BeeindigingsdatumNatVerloop362</vt:lpstr>
      <vt:lpstr>Data_BeeindigingsdatumNatVerloop363</vt:lpstr>
      <vt:lpstr>Data_BeeindigingsdatumNatVerloop364</vt:lpstr>
      <vt:lpstr>Data_BeeindigingsdatumNatVerloop365</vt:lpstr>
      <vt:lpstr>Data_BeeindigingsdatumNatVerloop366</vt:lpstr>
      <vt:lpstr>Data_BeeindigingsdatumNatVerloop367</vt:lpstr>
      <vt:lpstr>Data_BeeindigingsdatumNatVerloop368</vt:lpstr>
      <vt:lpstr>Data_BeeindigingsdatumNatVerloop369</vt:lpstr>
      <vt:lpstr>Data_BeeindigingsdatumNatVerloop370</vt:lpstr>
      <vt:lpstr>Data_BeeindigingsdatumNatVerloop371</vt:lpstr>
      <vt:lpstr>Data_BeeindigingsdatumNatVerloop372</vt:lpstr>
      <vt:lpstr>Data_BeeindigingsdatumNatVerloop373</vt:lpstr>
      <vt:lpstr>Data_BeeindigingsdatumNatVerloop374</vt:lpstr>
      <vt:lpstr>Data_BeeindigingsdatumNatVerloop375</vt:lpstr>
      <vt:lpstr>Data_BeeindigingsdatumNatVerloop376</vt:lpstr>
      <vt:lpstr>Data_BeeindigingsdatumNatVerloop377</vt:lpstr>
      <vt:lpstr>Data_BeeindigingsdatumNatVerloop378</vt:lpstr>
      <vt:lpstr>Data_BeeindigingsdatumNatVerloop379</vt:lpstr>
      <vt:lpstr>Data_BeeindigingsdatumNatVerloop380</vt:lpstr>
      <vt:lpstr>Data_BeeindigingsdatumNatVerloop381</vt:lpstr>
      <vt:lpstr>Data_BeeindigingsdatumNatVerloop382</vt:lpstr>
      <vt:lpstr>Data_BeeindigingsdatumNatVerloop383</vt:lpstr>
      <vt:lpstr>Data_BeeindigingsdatumNatVerloop384</vt:lpstr>
      <vt:lpstr>Data_BeeindigingsdatumNatVerloop385</vt:lpstr>
      <vt:lpstr>Data_BeeindigingsdatumNatVerloop386</vt:lpstr>
      <vt:lpstr>Data_BeeindigingsdatumNatVerloop387</vt:lpstr>
      <vt:lpstr>Data_BeeindigingsdatumNatVerloop388</vt:lpstr>
      <vt:lpstr>Data_BeeindigingsdatumNatVerloop389</vt:lpstr>
      <vt:lpstr>Data_BeeindigingsdatumNatVerloop390</vt:lpstr>
      <vt:lpstr>Data_BeeindigingsdatumNatVerloop391</vt:lpstr>
      <vt:lpstr>Data_BeeindigingsdatumNatVerloop392</vt:lpstr>
      <vt:lpstr>Data_BeeindigingsdatumNatVerloop393</vt:lpstr>
      <vt:lpstr>Data_BeeindigingsdatumNatVerloop394</vt:lpstr>
      <vt:lpstr>Data_BeeindigingsdatumNatVerloop395</vt:lpstr>
      <vt:lpstr>Data_BeeindigingsdatumNatVerloop396</vt:lpstr>
      <vt:lpstr>Data_BeeindigingsdatumNatVerloop397</vt:lpstr>
      <vt:lpstr>Data_BeeindigingsdatumNatVerloop398</vt:lpstr>
      <vt:lpstr>Data_BeeindigingsdatumNatVerloop399</vt:lpstr>
      <vt:lpstr>Data_BeeindigingsdatumNatVerloop400</vt:lpstr>
      <vt:lpstr>Data_BeeindigingsdatumNatVerloop401</vt:lpstr>
      <vt:lpstr>Data_BeeindigingsdatumNatVerloop402</vt:lpstr>
      <vt:lpstr>Data_BeeindigingsdatumNatVerloop403</vt:lpstr>
      <vt:lpstr>Data_BeeindigingsdatumNatVerloop404</vt:lpstr>
      <vt:lpstr>Data_BeeindigingsdatumNatVerloop405</vt:lpstr>
      <vt:lpstr>Data_BeeindigingsdatumNatVerloop406</vt:lpstr>
      <vt:lpstr>Data_BeeindigingsdatumNatVerloop407</vt:lpstr>
      <vt:lpstr>Data_BeeindigingsdatumNatVerloop408</vt:lpstr>
      <vt:lpstr>Data_BeeindigingsdatumNatVerloop409</vt:lpstr>
      <vt:lpstr>Data_BeeindigingsdatumNatVerloop410</vt:lpstr>
      <vt:lpstr>Data_BeeindigingsdatumNatVerloop411</vt:lpstr>
      <vt:lpstr>Data_BeeindigingsdatumNatVerloop412</vt:lpstr>
      <vt:lpstr>Data_BeeindigingsdatumNatVerloop413</vt:lpstr>
      <vt:lpstr>Data_BeeindigingsdatumNatVerloop414</vt:lpstr>
      <vt:lpstr>Data_BeeindigingsdatumNatVerloop415</vt:lpstr>
      <vt:lpstr>Data_BeeindigingsdatumNatVerloop416</vt:lpstr>
      <vt:lpstr>Data_BeeindigingsdatumNatVerloop417</vt:lpstr>
      <vt:lpstr>Data_BeeindigingsdatumNatVerloop418</vt:lpstr>
      <vt:lpstr>Data_BeeindigingsdatumNatVerloop419</vt:lpstr>
      <vt:lpstr>Data_BeeindigingsdatumNatVerloop420</vt:lpstr>
      <vt:lpstr>Data_BeeindigingsdatumNatVerloop421</vt:lpstr>
      <vt:lpstr>Data_BeeindigingsdatumNatVerloop422</vt:lpstr>
      <vt:lpstr>Data_BeeindigingsdatumNatVerloop423</vt:lpstr>
      <vt:lpstr>Data_BeeindigingsdatumNatVerloop424</vt:lpstr>
      <vt:lpstr>Data_BeeindigingsdatumNatVerloop425</vt:lpstr>
      <vt:lpstr>Data_BeeindigingsdatumNatVerloop426</vt:lpstr>
      <vt:lpstr>Data_BeeindigingsdatumNatVerloop427</vt:lpstr>
      <vt:lpstr>Data_BeeindigingsdatumNatVerloop428</vt:lpstr>
      <vt:lpstr>Data_BeeindigingsdatumNatVerloop429</vt:lpstr>
      <vt:lpstr>Data_BeeindigingsdatumNatVerloop430</vt:lpstr>
      <vt:lpstr>Data_BeeindigingsdatumNatVerloop431</vt:lpstr>
      <vt:lpstr>Data_BeeindigingsdatumNatVerloop432</vt:lpstr>
      <vt:lpstr>Data_BeeindigingsdatumNatVerloop433</vt:lpstr>
      <vt:lpstr>Data_BeeindigingsdatumNatVerloop434</vt:lpstr>
      <vt:lpstr>Data_BeeindigingsdatumNatVerloop435</vt:lpstr>
      <vt:lpstr>Data_BeeindigingsdatumNatVerloop436</vt:lpstr>
      <vt:lpstr>Data_BeeindigingsdatumNatVerloop437</vt:lpstr>
      <vt:lpstr>Data_BeeindigingsdatumNatVerloop438</vt:lpstr>
      <vt:lpstr>Data_BeeindigingsdatumNatVerloop439</vt:lpstr>
      <vt:lpstr>Data_BeeindigingsdatumNatVerloop440</vt:lpstr>
      <vt:lpstr>Data_BeeindigingsdatumNatVerloop441</vt:lpstr>
      <vt:lpstr>Data_BeeindigingsdatumNatVerloop442</vt:lpstr>
      <vt:lpstr>Data_BeeindigingsdatumNatVerloop443</vt:lpstr>
      <vt:lpstr>Data_BeeindigingsdatumNatVerloop444</vt:lpstr>
      <vt:lpstr>Data_BeeindigingsdatumNatVerloop445</vt:lpstr>
      <vt:lpstr>Data_BeeindigingsdatumNatVerloop446</vt:lpstr>
      <vt:lpstr>Data_BeeindigingsdatumNatVerloop447</vt:lpstr>
      <vt:lpstr>Data_BeeindigingsdatumNatVerloop448</vt:lpstr>
      <vt:lpstr>Data_BeeindigingsdatumNatVerloop449</vt:lpstr>
      <vt:lpstr>Data_BeeindigingsdatumNatVerloop450</vt:lpstr>
      <vt:lpstr>Data_BeeindigingsdatumNatVerloop451</vt:lpstr>
      <vt:lpstr>Data_BeeindigingsdatumNatVerloop452</vt:lpstr>
      <vt:lpstr>Data_BeeindigingsdatumNatVerloop453</vt:lpstr>
      <vt:lpstr>Data_BeeindigingsdatumNatVerloop454</vt:lpstr>
      <vt:lpstr>Data_BeeindigingsdatumNatVerloop455</vt:lpstr>
      <vt:lpstr>Data_BeeindigingsdatumNatVerloop456</vt:lpstr>
      <vt:lpstr>Data_BeeindigingsdatumNatVerloop457</vt:lpstr>
      <vt:lpstr>Data_BeeindigingsdatumNatVerloop458</vt:lpstr>
      <vt:lpstr>Data_BeeindigingsdatumNatVerloop459</vt:lpstr>
      <vt:lpstr>Data_BeeindigingsdatumNatVerloop460</vt:lpstr>
      <vt:lpstr>Data_BeeindigingsdatumNatVerloop461</vt:lpstr>
      <vt:lpstr>Data_BeeindigingsdatumNatVerloop462</vt:lpstr>
      <vt:lpstr>Data_BeeindigingsdatumNatVerloop463</vt:lpstr>
      <vt:lpstr>Data_BeeindigingsdatumNatVerloop464</vt:lpstr>
      <vt:lpstr>Data_BeeindigingsdatumNatVerloop465</vt:lpstr>
      <vt:lpstr>Data_BeeindigingsdatumNatVerloop466</vt:lpstr>
      <vt:lpstr>Data_BeeindigingsdatumNatVerloop467</vt:lpstr>
      <vt:lpstr>Data_BeeindigingsdatumNatVerloop468</vt:lpstr>
      <vt:lpstr>Data_BeeindigingsdatumNatVerloop469</vt:lpstr>
      <vt:lpstr>Data_BeeindigingsdatumNatVerloop470</vt:lpstr>
      <vt:lpstr>Data_BeeindigingsdatumNatVerloop471</vt:lpstr>
      <vt:lpstr>Data_BeeindigingsdatumNatVerloop472</vt:lpstr>
      <vt:lpstr>Data_BeeindigingsdatumNatVerloop473</vt:lpstr>
      <vt:lpstr>Data_BeeindigingsdatumNatVerloop474</vt:lpstr>
      <vt:lpstr>Data_BeeindigingsdatumNatVerloop475</vt:lpstr>
      <vt:lpstr>Data_BeeindigingsdatumNatVerloop476</vt:lpstr>
      <vt:lpstr>Data_BeeindigingsdatumNatVerloop477</vt:lpstr>
      <vt:lpstr>Data_BeeindigingsdatumNatVerloop478</vt:lpstr>
      <vt:lpstr>Data_BeeindigingsdatumNatVerloop479</vt:lpstr>
      <vt:lpstr>Data_BeeindigingsdatumNatVerloop480</vt:lpstr>
      <vt:lpstr>Data_BeeindigingsdatumNatVerloop481</vt:lpstr>
      <vt:lpstr>Data_BeeindigingsdatumNatVerloop482</vt:lpstr>
      <vt:lpstr>Data_BeeindigingsdatumNatVerloop483</vt:lpstr>
      <vt:lpstr>Data_BeeindigingsdatumNatVerloop484</vt:lpstr>
      <vt:lpstr>Data_BeeindigingsdatumNatVerloop485</vt:lpstr>
      <vt:lpstr>Data_BeeindigingsdatumNatVerloop486</vt:lpstr>
      <vt:lpstr>Data_BeeindigingsdatumNatVerloop487</vt:lpstr>
      <vt:lpstr>Data_BeeindigingsdatumNatVerloop488</vt:lpstr>
      <vt:lpstr>Data_BeeindigingsdatumNatVerloop489</vt:lpstr>
      <vt:lpstr>Data_BeeindigingsdatumNatVerloop490</vt:lpstr>
      <vt:lpstr>Data_BeeindigingsdatumNatVerloop491</vt:lpstr>
      <vt:lpstr>Data_BeeindigingsdatumNatVerloop492</vt:lpstr>
      <vt:lpstr>Data_BeeindigingsdatumNatVerloop493</vt:lpstr>
      <vt:lpstr>Data_BeeindigingsdatumNatVerloop494</vt:lpstr>
      <vt:lpstr>Data_BeeindigingsdatumNatVerloop495</vt:lpstr>
      <vt:lpstr>Data_BeeindigingsdatumNatVerloop496</vt:lpstr>
      <vt:lpstr>Data_BeeindigingsdatumNatVerloop497</vt:lpstr>
      <vt:lpstr>Data_BeeindigingsdatumNatVerloop498</vt:lpstr>
      <vt:lpstr>Data_BeeindigingsdatumNatVerloop499</vt:lpstr>
      <vt:lpstr>Data_BeeindigingsdatumNatVerloop500</vt:lpstr>
      <vt:lpstr>Data_BeeindigingsdatumTijd001</vt:lpstr>
      <vt:lpstr>Data_BeeindigingsdatumTijd002</vt:lpstr>
      <vt:lpstr>Data_BeeindigingsdatumTijd003</vt:lpstr>
      <vt:lpstr>Data_BeeindigingsdatumTijd004</vt:lpstr>
      <vt:lpstr>Data_BeeindigingsdatumTijd005</vt:lpstr>
      <vt:lpstr>Data_BeeindigingsdatumTijd006</vt:lpstr>
      <vt:lpstr>Data_BeeindigingsdatumTijd007</vt:lpstr>
      <vt:lpstr>Data_BeeindigingsdatumTijd008</vt:lpstr>
      <vt:lpstr>Data_BeeindigingsdatumTijd009</vt:lpstr>
      <vt:lpstr>Data_BeeindigingsdatumTijd010</vt:lpstr>
      <vt:lpstr>Data_BeeindigingsdatumTijd011</vt:lpstr>
      <vt:lpstr>Data_BeeindigingsdatumTijd012</vt:lpstr>
      <vt:lpstr>Data_BeeindigingsdatumTijd013</vt:lpstr>
      <vt:lpstr>Data_BeeindigingsdatumTijd014</vt:lpstr>
      <vt:lpstr>Data_BeeindigingsdatumTijd015</vt:lpstr>
      <vt:lpstr>Data_BeeindigingsdatumTijd016</vt:lpstr>
      <vt:lpstr>Data_BeeindigingsdatumTijd017</vt:lpstr>
      <vt:lpstr>Data_BeeindigingsdatumTijd018</vt:lpstr>
      <vt:lpstr>Data_BeeindigingsdatumTijd019</vt:lpstr>
      <vt:lpstr>Data_BeeindigingsdatumTijd020</vt:lpstr>
      <vt:lpstr>Data_BeeindigingsdatumTijd021</vt:lpstr>
      <vt:lpstr>Data_BeeindigingsdatumTijd022</vt:lpstr>
      <vt:lpstr>Data_BeeindigingsdatumTijd023</vt:lpstr>
      <vt:lpstr>Data_BeeindigingsdatumTijd024</vt:lpstr>
      <vt:lpstr>Data_BeeindigingsdatumTijd025</vt:lpstr>
      <vt:lpstr>Data_BeeindigingsdatumTijd026</vt:lpstr>
      <vt:lpstr>Data_BeeindigingsdatumTijd027</vt:lpstr>
      <vt:lpstr>Data_BeeindigingsdatumTijd028</vt:lpstr>
      <vt:lpstr>Data_BeeindigingsdatumTijd029</vt:lpstr>
      <vt:lpstr>Data_BeeindigingsdatumTijd030</vt:lpstr>
      <vt:lpstr>Data_BeeindigingsdatumTijd031</vt:lpstr>
      <vt:lpstr>Data_BeeindigingsdatumTijd032</vt:lpstr>
      <vt:lpstr>Data_BeeindigingsdatumTijd033</vt:lpstr>
      <vt:lpstr>Data_BeeindigingsdatumTijd034</vt:lpstr>
      <vt:lpstr>Data_BeeindigingsdatumTijd035</vt:lpstr>
      <vt:lpstr>Data_BeeindigingsdatumTijd036</vt:lpstr>
      <vt:lpstr>Data_BeeindigingsdatumTijd037</vt:lpstr>
      <vt:lpstr>Data_BeeindigingsdatumTijd038</vt:lpstr>
      <vt:lpstr>Data_BeeindigingsdatumTijd039</vt:lpstr>
      <vt:lpstr>Data_BeeindigingsdatumTijd040</vt:lpstr>
      <vt:lpstr>Data_BeeindigingsdatumTijd041</vt:lpstr>
      <vt:lpstr>Data_BeeindigingsdatumTijd042</vt:lpstr>
      <vt:lpstr>Data_BeeindigingsdatumTijd043</vt:lpstr>
      <vt:lpstr>Data_BeeindigingsdatumTijd044</vt:lpstr>
      <vt:lpstr>Data_BeeindigingsdatumTijd045</vt:lpstr>
      <vt:lpstr>Data_BeeindigingsdatumTijd046</vt:lpstr>
      <vt:lpstr>Data_BeeindigingsdatumTijd047</vt:lpstr>
      <vt:lpstr>Data_BeeindigingsdatumTijd048</vt:lpstr>
      <vt:lpstr>Data_BeeindigingsdatumTijd049</vt:lpstr>
      <vt:lpstr>Data_BeeindigingsdatumTijd050</vt:lpstr>
      <vt:lpstr>Data_BeeindigingsdatumTijd051</vt:lpstr>
      <vt:lpstr>Data_BeeindigingsdatumTijd052</vt:lpstr>
      <vt:lpstr>Data_BeeindigingsdatumTijd053</vt:lpstr>
      <vt:lpstr>Data_BeeindigingsdatumTijd054</vt:lpstr>
      <vt:lpstr>Data_BeeindigingsdatumTijd055</vt:lpstr>
      <vt:lpstr>Data_BeeindigingsdatumTijd056</vt:lpstr>
      <vt:lpstr>Data_BeeindigingsdatumTijd057</vt:lpstr>
      <vt:lpstr>Data_BeeindigingsdatumTijd058</vt:lpstr>
      <vt:lpstr>Data_BeeindigingsdatumTijd059</vt:lpstr>
      <vt:lpstr>Data_BeeindigingsdatumTijd060</vt:lpstr>
      <vt:lpstr>Data_BeeindigingsdatumTijd061</vt:lpstr>
      <vt:lpstr>Data_BeeindigingsdatumTijd062</vt:lpstr>
      <vt:lpstr>Data_BeeindigingsdatumTijd063</vt:lpstr>
      <vt:lpstr>Data_BeeindigingsdatumTijd064</vt:lpstr>
      <vt:lpstr>Data_BeeindigingsdatumTijd065</vt:lpstr>
      <vt:lpstr>Data_BeeindigingsdatumTijd066</vt:lpstr>
      <vt:lpstr>Data_BeeindigingsdatumTijd067</vt:lpstr>
      <vt:lpstr>Data_BeeindigingsdatumTijd068</vt:lpstr>
      <vt:lpstr>Data_BeeindigingsdatumTijd069</vt:lpstr>
      <vt:lpstr>Data_BeeindigingsdatumTijd070</vt:lpstr>
      <vt:lpstr>Data_BeeindigingsdatumTijd071</vt:lpstr>
      <vt:lpstr>Data_BeeindigingsdatumTijd072</vt:lpstr>
      <vt:lpstr>Data_BeeindigingsdatumTijd073</vt:lpstr>
      <vt:lpstr>Data_BeeindigingsdatumTijd074</vt:lpstr>
      <vt:lpstr>Data_BeeindigingsdatumTijd075</vt:lpstr>
      <vt:lpstr>Data_BeeindigingsdatumTijd076</vt:lpstr>
      <vt:lpstr>Data_BeeindigingsdatumTijd077</vt:lpstr>
      <vt:lpstr>Data_BeeindigingsdatumTijd078</vt:lpstr>
      <vt:lpstr>Data_BeeindigingsdatumTijd079</vt:lpstr>
      <vt:lpstr>Data_BeeindigingsdatumTijd080</vt:lpstr>
      <vt:lpstr>Data_BeeindigingsdatumTijd081</vt:lpstr>
      <vt:lpstr>Data_BeeindigingsdatumTijd082</vt:lpstr>
      <vt:lpstr>Data_BeeindigingsdatumTijd083</vt:lpstr>
      <vt:lpstr>Data_BeeindigingsdatumTijd084</vt:lpstr>
      <vt:lpstr>Data_BeeindigingsdatumTijd085</vt:lpstr>
      <vt:lpstr>Data_BeeindigingsdatumTijd086</vt:lpstr>
      <vt:lpstr>Data_BeeindigingsdatumTijd087</vt:lpstr>
      <vt:lpstr>Data_BeeindigingsdatumTijd088</vt:lpstr>
      <vt:lpstr>Data_BeeindigingsdatumTijd089</vt:lpstr>
      <vt:lpstr>Data_BeeindigingsdatumTijd090</vt:lpstr>
      <vt:lpstr>Data_BeeindigingsdatumTijd091</vt:lpstr>
      <vt:lpstr>Data_BeeindigingsdatumTijd092</vt:lpstr>
      <vt:lpstr>Data_BeeindigingsdatumTijd093</vt:lpstr>
      <vt:lpstr>Data_BeeindigingsdatumTijd094</vt:lpstr>
      <vt:lpstr>Data_BeeindigingsdatumTijd095</vt:lpstr>
      <vt:lpstr>Data_BeeindigingsdatumTijd096</vt:lpstr>
      <vt:lpstr>Data_BeeindigingsdatumTijd097</vt:lpstr>
      <vt:lpstr>Data_BeeindigingsdatumTijd098</vt:lpstr>
      <vt:lpstr>Data_BeeindigingsdatumTijd099</vt:lpstr>
      <vt:lpstr>Data_BeeindigingsdatumTijd100</vt:lpstr>
      <vt:lpstr>Data_BeeindigingsdatumTijd101</vt:lpstr>
      <vt:lpstr>Data_BeeindigingsdatumTijd102</vt:lpstr>
      <vt:lpstr>Data_BeeindigingsdatumTijd103</vt:lpstr>
      <vt:lpstr>Data_BeeindigingsdatumTijd104</vt:lpstr>
      <vt:lpstr>Data_BeeindigingsdatumTijd105</vt:lpstr>
      <vt:lpstr>Data_BeeindigingsdatumTijd106</vt:lpstr>
      <vt:lpstr>Data_BeeindigingsdatumTijd107</vt:lpstr>
      <vt:lpstr>Data_BeeindigingsdatumTijd108</vt:lpstr>
      <vt:lpstr>Data_BeeindigingsdatumTijd109</vt:lpstr>
      <vt:lpstr>Data_BeeindigingsdatumTijd110</vt:lpstr>
      <vt:lpstr>Data_BeeindigingsdatumTijd111</vt:lpstr>
      <vt:lpstr>Data_BeeindigingsdatumTijd112</vt:lpstr>
      <vt:lpstr>Data_BeeindigingsdatumTijd113</vt:lpstr>
      <vt:lpstr>Data_BeeindigingsdatumTijd114</vt:lpstr>
      <vt:lpstr>Data_BeeindigingsdatumTijd115</vt:lpstr>
      <vt:lpstr>Data_BeeindigingsdatumTijd116</vt:lpstr>
      <vt:lpstr>Data_BeeindigingsdatumTijd117</vt:lpstr>
      <vt:lpstr>Data_BeeindigingsdatumTijd118</vt:lpstr>
      <vt:lpstr>Data_BeeindigingsdatumTijd119</vt:lpstr>
      <vt:lpstr>Data_BeeindigingsdatumTijd120</vt:lpstr>
      <vt:lpstr>Data_BeeindigingsdatumTijd121</vt:lpstr>
      <vt:lpstr>Data_BeeindigingsdatumTijd122</vt:lpstr>
      <vt:lpstr>Data_BeeindigingsdatumTijd123</vt:lpstr>
      <vt:lpstr>Data_BeeindigingsdatumTijd124</vt:lpstr>
      <vt:lpstr>Data_BeeindigingsdatumTijd125</vt:lpstr>
      <vt:lpstr>Data_BeeindigingsdatumTijd126</vt:lpstr>
      <vt:lpstr>Data_BeeindigingsdatumTijd127</vt:lpstr>
      <vt:lpstr>Data_BeeindigingsdatumTijd128</vt:lpstr>
      <vt:lpstr>Data_BeeindigingsdatumTijd129</vt:lpstr>
      <vt:lpstr>Data_BeeindigingsdatumTijd130</vt:lpstr>
      <vt:lpstr>Data_BeeindigingsdatumTijd131</vt:lpstr>
      <vt:lpstr>Data_BeeindigingsdatumTijd132</vt:lpstr>
      <vt:lpstr>Data_BeeindigingsdatumTijd133</vt:lpstr>
      <vt:lpstr>Data_BeeindigingsdatumTijd134</vt:lpstr>
      <vt:lpstr>Data_BeeindigingsdatumTijd135</vt:lpstr>
      <vt:lpstr>Data_BeeindigingsdatumTijd136</vt:lpstr>
      <vt:lpstr>Data_BeeindigingsdatumTijd137</vt:lpstr>
      <vt:lpstr>Data_BeeindigingsdatumTijd138</vt:lpstr>
      <vt:lpstr>Data_BeeindigingsdatumTijd139</vt:lpstr>
      <vt:lpstr>Data_BeeindigingsdatumTijd140</vt:lpstr>
      <vt:lpstr>Data_BeeindigingsdatumTijd141</vt:lpstr>
      <vt:lpstr>Data_BeeindigingsdatumTijd142</vt:lpstr>
      <vt:lpstr>Data_BeeindigingsdatumTijd143</vt:lpstr>
      <vt:lpstr>Data_BeeindigingsdatumTijd144</vt:lpstr>
      <vt:lpstr>Data_BeeindigingsdatumTijd145</vt:lpstr>
      <vt:lpstr>Data_BeeindigingsdatumTijd146</vt:lpstr>
      <vt:lpstr>Data_BeeindigingsdatumTijd147</vt:lpstr>
      <vt:lpstr>Data_BeeindigingsdatumTijd148</vt:lpstr>
      <vt:lpstr>Data_BeeindigingsdatumTijd149</vt:lpstr>
      <vt:lpstr>Data_BeeindigingsdatumTijd150</vt:lpstr>
      <vt:lpstr>Data_BeeindigingsdatumTijd151</vt:lpstr>
      <vt:lpstr>Data_BeeindigingsdatumTijd152</vt:lpstr>
      <vt:lpstr>Data_BeeindigingsdatumTijd153</vt:lpstr>
      <vt:lpstr>Data_BeeindigingsdatumTijd154</vt:lpstr>
      <vt:lpstr>Data_BeeindigingsdatumTijd155</vt:lpstr>
      <vt:lpstr>Data_BeeindigingsdatumTijd156</vt:lpstr>
      <vt:lpstr>Data_BeeindigingsdatumTijd157</vt:lpstr>
      <vt:lpstr>Data_BeeindigingsdatumTijd158</vt:lpstr>
      <vt:lpstr>Data_BeeindigingsdatumTijd159</vt:lpstr>
      <vt:lpstr>Data_BeeindigingsdatumTijd160</vt:lpstr>
      <vt:lpstr>Data_BeeindigingsdatumTijd161</vt:lpstr>
      <vt:lpstr>Data_BeeindigingsdatumTijd162</vt:lpstr>
      <vt:lpstr>Data_BeeindigingsdatumTijd163</vt:lpstr>
      <vt:lpstr>Data_BeeindigingsdatumTijd164</vt:lpstr>
      <vt:lpstr>Data_BeeindigingsdatumTijd165</vt:lpstr>
      <vt:lpstr>Data_BeeindigingsdatumTijd166</vt:lpstr>
      <vt:lpstr>Data_BeeindigingsdatumTijd167</vt:lpstr>
      <vt:lpstr>Data_BeeindigingsdatumTijd168</vt:lpstr>
      <vt:lpstr>Data_BeeindigingsdatumTijd169</vt:lpstr>
      <vt:lpstr>Data_BeeindigingsdatumTijd170</vt:lpstr>
      <vt:lpstr>Data_BeeindigingsdatumTijd171</vt:lpstr>
      <vt:lpstr>Data_BeeindigingsdatumTijd172</vt:lpstr>
      <vt:lpstr>Data_BeeindigingsdatumTijd173</vt:lpstr>
      <vt:lpstr>Data_BeeindigingsdatumTijd174</vt:lpstr>
      <vt:lpstr>Data_BeeindigingsdatumTijd175</vt:lpstr>
      <vt:lpstr>Data_BeeindigingsdatumTijd176</vt:lpstr>
      <vt:lpstr>Data_BeeindigingsdatumTijd177</vt:lpstr>
      <vt:lpstr>Data_BeeindigingsdatumTijd178</vt:lpstr>
      <vt:lpstr>Data_BeeindigingsdatumTijd179</vt:lpstr>
      <vt:lpstr>Data_BeeindigingsdatumTijd180</vt:lpstr>
      <vt:lpstr>Data_BeeindigingsdatumTijd181</vt:lpstr>
      <vt:lpstr>Data_BeeindigingsdatumTijd182</vt:lpstr>
      <vt:lpstr>Data_BeeindigingsdatumTijd183</vt:lpstr>
      <vt:lpstr>Data_BeeindigingsdatumTijd184</vt:lpstr>
      <vt:lpstr>Data_BeeindigingsdatumTijd185</vt:lpstr>
      <vt:lpstr>Data_BeeindigingsdatumTijd186</vt:lpstr>
      <vt:lpstr>Data_BeeindigingsdatumTijd187</vt:lpstr>
      <vt:lpstr>Data_BeeindigingsdatumTijd188</vt:lpstr>
      <vt:lpstr>Data_BeeindigingsdatumTijd189</vt:lpstr>
      <vt:lpstr>Data_BeeindigingsdatumTijd190</vt:lpstr>
      <vt:lpstr>Data_BeeindigingsdatumTijd191</vt:lpstr>
      <vt:lpstr>Data_BeeindigingsdatumTijd192</vt:lpstr>
      <vt:lpstr>Data_BeeindigingsdatumTijd193</vt:lpstr>
      <vt:lpstr>Data_BeeindigingsdatumTijd194</vt:lpstr>
      <vt:lpstr>Data_BeeindigingsdatumTijd195</vt:lpstr>
      <vt:lpstr>Data_BeeindigingsdatumTijd196</vt:lpstr>
      <vt:lpstr>Data_BeeindigingsdatumTijd197</vt:lpstr>
      <vt:lpstr>Data_BeeindigingsdatumTijd198</vt:lpstr>
      <vt:lpstr>Data_BeeindigingsdatumTijd199</vt:lpstr>
      <vt:lpstr>Data_BeeindigingsdatumTijd200</vt:lpstr>
      <vt:lpstr>Data_BeeindigingsdatumTijd201</vt:lpstr>
      <vt:lpstr>Data_BeeindigingsdatumTijd202</vt:lpstr>
      <vt:lpstr>Data_BeeindigingsdatumTijd203</vt:lpstr>
      <vt:lpstr>Data_BeeindigingsdatumTijd204</vt:lpstr>
      <vt:lpstr>Data_BeeindigingsdatumTijd205</vt:lpstr>
      <vt:lpstr>Data_BeeindigingsdatumTijd206</vt:lpstr>
      <vt:lpstr>Data_BeeindigingsdatumTijd207</vt:lpstr>
      <vt:lpstr>Data_BeeindigingsdatumTijd208</vt:lpstr>
      <vt:lpstr>Data_BeeindigingsdatumTijd209</vt:lpstr>
      <vt:lpstr>Data_BeeindigingsdatumTijd210</vt:lpstr>
      <vt:lpstr>Data_BeeindigingsdatumTijd211</vt:lpstr>
      <vt:lpstr>Data_BeeindigingsdatumTijd212</vt:lpstr>
      <vt:lpstr>Data_BeeindigingsdatumTijd213</vt:lpstr>
      <vt:lpstr>Data_BeeindigingsdatumTijd214</vt:lpstr>
      <vt:lpstr>Data_BeeindigingsdatumTijd215</vt:lpstr>
      <vt:lpstr>Data_BeeindigingsdatumTijd216</vt:lpstr>
      <vt:lpstr>Data_BeeindigingsdatumTijd217</vt:lpstr>
      <vt:lpstr>Data_BeeindigingsdatumTijd218</vt:lpstr>
      <vt:lpstr>Data_BeeindigingsdatumTijd219</vt:lpstr>
      <vt:lpstr>Data_BeeindigingsdatumTijd220</vt:lpstr>
      <vt:lpstr>Data_BeeindigingsdatumTijd221</vt:lpstr>
      <vt:lpstr>Data_BeeindigingsdatumTijd222</vt:lpstr>
      <vt:lpstr>Data_BeeindigingsdatumTijd223</vt:lpstr>
      <vt:lpstr>Data_BeeindigingsdatumTijd224</vt:lpstr>
      <vt:lpstr>Data_BeeindigingsdatumTijd225</vt:lpstr>
      <vt:lpstr>Data_BeeindigingsdatumTijd226</vt:lpstr>
      <vt:lpstr>Data_BeeindigingsdatumTijd227</vt:lpstr>
      <vt:lpstr>Data_BeeindigingsdatumTijd228</vt:lpstr>
      <vt:lpstr>Data_BeeindigingsdatumTijd229</vt:lpstr>
      <vt:lpstr>Data_BeeindigingsdatumTijd230</vt:lpstr>
      <vt:lpstr>Data_BeeindigingsdatumTijd231</vt:lpstr>
      <vt:lpstr>Data_BeeindigingsdatumTijd232</vt:lpstr>
      <vt:lpstr>Data_BeeindigingsdatumTijd233</vt:lpstr>
      <vt:lpstr>Data_BeeindigingsdatumTijd234</vt:lpstr>
      <vt:lpstr>Data_BeeindigingsdatumTijd235</vt:lpstr>
      <vt:lpstr>Data_BeeindigingsdatumTijd236</vt:lpstr>
      <vt:lpstr>Data_BeeindigingsdatumTijd237</vt:lpstr>
      <vt:lpstr>Data_BeeindigingsdatumTijd238</vt:lpstr>
      <vt:lpstr>Data_BeeindigingsdatumTijd239</vt:lpstr>
      <vt:lpstr>Data_BeeindigingsdatumTijd240</vt:lpstr>
      <vt:lpstr>Data_BeeindigingsdatumTijd241</vt:lpstr>
      <vt:lpstr>Data_BeeindigingsdatumTijd242</vt:lpstr>
      <vt:lpstr>Data_BeeindigingsdatumTijd243</vt:lpstr>
      <vt:lpstr>Data_BeeindigingsdatumTijd244</vt:lpstr>
      <vt:lpstr>Data_BeeindigingsdatumTijd245</vt:lpstr>
      <vt:lpstr>Data_BeeindigingsdatumTijd246</vt:lpstr>
      <vt:lpstr>Data_BeeindigingsdatumTijd247</vt:lpstr>
      <vt:lpstr>Data_BeeindigingsdatumTijd248</vt:lpstr>
      <vt:lpstr>Data_BeeindigingsdatumTijd249</vt:lpstr>
      <vt:lpstr>Data_BeeindigingsdatumTijd250</vt:lpstr>
      <vt:lpstr>Data_BeeindigingsdatumTijd251</vt:lpstr>
      <vt:lpstr>Data_BeeindigingsdatumTijd252</vt:lpstr>
      <vt:lpstr>Data_BeeindigingsdatumTijd253</vt:lpstr>
      <vt:lpstr>Data_BeeindigingsdatumTijd254</vt:lpstr>
      <vt:lpstr>Data_BeeindigingsdatumTijd255</vt:lpstr>
      <vt:lpstr>Data_BeeindigingsdatumTijd256</vt:lpstr>
      <vt:lpstr>Data_BeeindigingsdatumTijd257</vt:lpstr>
      <vt:lpstr>Data_BeeindigingsdatumTijd258</vt:lpstr>
      <vt:lpstr>Data_BeeindigingsdatumTijd259</vt:lpstr>
      <vt:lpstr>Data_BeeindigingsdatumTijd260</vt:lpstr>
      <vt:lpstr>Data_BeeindigingsdatumTijd261</vt:lpstr>
      <vt:lpstr>Data_BeeindigingsdatumTijd262</vt:lpstr>
      <vt:lpstr>Data_BeeindigingsdatumTijd263</vt:lpstr>
      <vt:lpstr>Data_BeeindigingsdatumTijd264</vt:lpstr>
      <vt:lpstr>Data_BeeindigingsdatumTijd265</vt:lpstr>
      <vt:lpstr>Data_BeeindigingsdatumTijd266</vt:lpstr>
      <vt:lpstr>Data_BeeindigingsdatumTijd267</vt:lpstr>
      <vt:lpstr>Data_BeeindigingsdatumTijd268</vt:lpstr>
      <vt:lpstr>Data_BeeindigingsdatumTijd269</vt:lpstr>
      <vt:lpstr>Data_BeeindigingsdatumTijd270</vt:lpstr>
      <vt:lpstr>Data_BeeindigingsdatumTijd271</vt:lpstr>
      <vt:lpstr>Data_BeeindigingsdatumTijd272</vt:lpstr>
      <vt:lpstr>Data_BeeindigingsdatumTijd273</vt:lpstr>
      <vt:lpstr>Data_BeeindigingsdatumTijd274</vt:lpstr>
      <vt:lpstr>Data_BeeindigingsdatumTijd275</vt:lpstr>
      <vt:lpstr>Data_BeeindigingsdatumTijd276</vt:lpstr>
      <vt:lpstr>Data_BeeindigingsdatumTijd277</vt:lpstr>
      <vt:lpstr>Data_BeeindigingsdatumTijd278</vt:lpstr>
      <vt:lpstr>Data_BeeindigingsdatumTijd279</vt:lpstr>
      <vt:lpstr>Data_BeeindigingsdatumTijd280</vt:lpstr>
      <vt:lpstr>Data_BeeindigingsdatumTijd281</vt:lpstr>
      <vt:lpstr>Data_BeeindigingsdatumTijd282</vt:lpstr>
      <vt:lpstr>Data_BeeindigingsdatumTijd283</vt:lpstr>
      <vt:lpstr>Data_BeeindigingsdatumTijd284</vt:lpstr>
      <vt:lpstr>Data_BeeindigingsdatumTijd285</vt:lpstr>
      <vt:lpstr>Data_BeeindigingsdatumTijd286</vt:lpstr>
      <vt:lpstr>Data_BeeindigingsdatumTijd287</vt:lpstr>
      <vt:lpstr>Data_BeeindigingsdatumTijd288</vt:lpstr>
      <vt:lpstr>Data_BeeindigingsdatumTijd289</vt:lpstr>
      <vt:lpstr>Data_BeeindigingsdatumTijd290</vt:lpstr>
      <vt:lpstr>Data_BeeindigingsdatumTijd291</vt:lpstr>
      <vt:lpstr>Data_BeeindigingsdatumTijd292</vt:lpstr>
      <vt:lpstr>Data_BeeindigingsdatumTijd293</vt:lpstr>
      <vt:lpstr>Data_BeeindigingsdatumTijd294</vt:lpstr>
      <vt:lpstr>Data_BeeindigingsdatumTijd295</vt:lpstr>
      <vt:lpstr>Data_BeeindigingsdatumTijd296</vt:lpstr>
      <vt:lpstr>Data_BeeindigingsdatumTijd297</vt:lpstr>
      <vt:lpstr>Data_BeeindigingsdatumTijd298</vt:lpstr>
      <vt:lpstr>Data_BeeindigingsdatumTijd299</vt:lpstr>
      <vt:lpstr>Data_BeeindigingsdatumTijd300</vt:lpstr>
      <vt:lpstr>Data_BeeindigingsdatumTijd301</vt:lpstr>
      <vt:lpstr>Data_BeeindigingsdatumTijd302</vt:lpstr>
      <vt:lpstr>Data_BeeindigingsdatumTijd303</vt:lpstr>
      <vt:lpstr>Data_BeeindigingsdatumTijd304</vt:lpstr>
      <vt:lpstr>Data_BeeindigingsdatumTijd305</vt:lpstr>
      <vt:lpstr>Data_BeeindigingsdatumTijd306</vt:lpstr>
      <vt:lpstr>Data_BeeindigingsdatumTijd307</vt:lpstr>
      <vt:lpstr>Data_BeeindigingsdatumTijd308</vt:lpstr>
      <vt:lpstr>Data_BeeindigingsdatumTijd309</vt:lpstr>
      <vt:lpstr>Data_BeeindigingsdatumTijd310</vt:lpstr>
      <vt:lpstr>Data_BeeindigingsdatumTijd311</vt:lpstr>
      <vt:lpstr>Data_BeeindigingsdatumTijd312</vt:lpstr>
      <vt:lpstr>Data_BeeindigingsdatumTijd313</vt:lpstr>
      <vt:lpstr>Data_BeeindigingsdatumTijd314</vt:lpstr>
      <vt:lpstr>Data_BeeindigingsdatumTijd315</vt:lpstr>
      <vt:lpstr>Data_BeeindigingsdatumTijd316</vt:lpstr>
      <vt:lpstr>Data_BeeindigingsdatumTijd317</vt:lpstr>
      <vt:lpstr>Data_BeeindigingsdatumTijd318</vt:lpstr>
      <vt:lpstr>Data_BeeindigingsdatumTijd319</vt:lpstr>
      <vt:lpstr>Data_BeeindigingsdatumTijd320</vt:lpstr>
      <vt:lpstr>Data_BeeindigingsdatumTijd321</vt:lpstr>
      <vt:lpstr>Data_BeeindigingsdatumTijd322</vt:lpstr>
      <vt:lpstr>Data_BeeindigingsdatumTijd323</vt:lpstr>
      <vt:lpstr>Data_BeeindigingsdatumTijd324</vt:lpstr>
      <vt:lpstr>Data_BeeindigingsdatumTijd325</vt:lpstr>
      <vt:lpstr>Data_BeeindigingsdatumTijd326</vt:lpstr>
      <vt:lpstr>Data_BeeindigingsdatumTijd327</vt:lpstr>
      <vt:lpstr>Data_BeeindigingsdatumTijd328</vt:lpstr>
      <vt:lpstr>Data_BeeindigingsdatumTijd329</vt:lpstr>
      <vt:lpstr>Data_BeeindigingsdatumTijd330</vt:lpstr>
      <vt:lpstr>Data_BeeindigingsdatumTijd331</vt:lpstr>
      <vt:lpstr>Data_BeeindigingsdatumTijd332</vt:lpstr>
      <vt:lpstr>Data_BeeindigingsdatumTijd333</vt:lpstr>
      <vt:lpstr>Data_BeeindigingsdatumTijd334</vt:lpstr>
      <vt:lpstr>Data_BeeindigingsdatumTijd335</vt:lpstr>
      <vt:lpstr>Data_BeeindigingsdatumTijd336</vt:lpstr>
      <vt:lpstr>Data_BeeindigingsdatumTijd337</vt:lpstr>
      <vt:lpstr>Data_BeeindigingsdatumTijd338</vt:lpstr>
      <vt:lpstr>Data_BeeindigingsdatumTijd339</vt:lpstr>
      <vt:lpstr>Data_BeeindigingsdatumTijd340</vt:lpstr>
      <vt:lpstr>Data_BeeindigingsdatumTijd341</vt:lpstr>
      <vt:lpstr>Data_BeeindigingsdatumTijd342</vt:lpstr>
      <vt:lpstr>Data_BeeindigingsdatumTijd343</vt:lpstr>
      <vt:lpstr>Data_BeeindigingsdatumTijd344</vt:lpstr>
      <vt:lpstr>Data_BeeindigingsdatumTijd345</vt:lpstr>
      <vt:lpstr>Data_BeeindigingsdatumTijd346</vt:lpstr>
      <vt:lpstr>Data_BeeindigingsdatumTijd347</vt:lpstr>
      <vt:lpstr>Data_BeeindigingsdatumTijd348</vt:lpstr>
      <vt:lpstr>Data_BeeindigingsdatumTijd349</vt:lpstr>
      <vt:lpstr>Data_BeeindigingsdatumTijd350</vt:lpstr>
      <vt:lpstr>Data_BeeindigingsdatumTijd351</vt:lpstr>
      <vt:lpstr>Data_BeeindigingsdatumTijd352</vt:lpstr>
      <vt:lpstr>Data_BeeindigingsdatumTijd353</vt:lpstr>
      <vt:lpstr>Data_BeeindigingsdatumTijd354</vt:lpstr>
      <vt:lpstr>Data_BeeindigingsdatumTijd355</vt:lpstr>
      <vt:lpstr>Data_BeeindigingsdatumTijd356</vt:lpstr>
      <vt:lpstr>Data_BeeindigingsdatumTijd357</vt:lpstr>
      <vt:lpstr>Data_BeeindigingsdatumTijd358</vt:lpstr>
      <vt:lpstr>Data_BeeindigingsdatumTijd359</vt:lpstr>
      <vt:lpstr>Data_BeeindigingsdatumTijd360</vt:lpstr>
      <vt:lpstr>Data_BeeindigingsdatumTijd361</vt:lpstr>
      <vt:lpstr>Data_BeeindigingsdatumTijd362</vt:lpstr>
      <vt:lpstr>Data_BeeindigingsdatumTijd363</vt:lpstr>
      <vt:lpstr>Data_BeeindigingsdatumTijd364</vt:lpstr>
      <vt:lpstr>Data_BeeindigingsdatumTijd365</vt:lpstr>
      <vt:lpstr>Data_BeeindigingsdatumTijd366</vt:lpstr>
      <vt:lpstr>Data_BeeindigingsdatumTijd367</vt:lpstr>
      <vt:lpstr>Data_BeeindigingsdatumTijd368</vt:lpstr>
      <vt:lpstr>Data_BeeindigingsdatumTijd369</vt:lpstr>
      <vt:lpstr>Data_BeeindigingsdatumTijd370</vt:lpstr>
      <vt:lpstr>Data_BeeindigingsdatumTijd371</vt:lpstr>
      <vt:lpstr>Data_BeeindigingsdatumTijd372</vt:lpstr>
      <vt:lpstr>Data_BeeindigingsdatumTijd373</vt:lpstr>
      <vt:lpstr>Data_BeeindigingsdatumTijd374</vt:lpstr>
      <vt:lpstr>Data_BeeindigingsdatumTijd375</vt:lpstr>
      <vt:lpstr>Data_BeeindigingsdatumTijd376</vt:lpstr>
      <vt:lpstr>Data_BeeindigingsdatumTijd377</vt:lpstr>
      <vt:lpstr>Data_BeeindigingsdatumTijd378</vt:lpstr>
      <vt:lpstr>Data_BeeindigingsdatumTijd379</vt:lpstr>
      <vt:lpstr>Data_BeeindigingsdatumTijd380</vt:lpstr>
      <vt:lpstr>Data_BeeindigingsdatumTijd381</vt:lpstr>
      <vt:lpstr>Data_BeeindigingsdatumTijd382</vt:lpstr>
      <vt:lpstr>Data_BeeindigingsdatumTijd383</vt:lpstr>
      <vt:lpstr>Data_BeeindigingsdatumTijd384</vt:lpstr>
      <vt:lpstr>Data_BeeindigingsdatumTijd385</vt:lpstr>
      <vt:lpstr>Data_BeeindigingsdatumTijd386</vt:lpstr>
      <vt:lpstr>Data_BeeindigingsdatumTijd387</vt:lpstr>
      <vt:lpstr>Data_BeeindigingsdatumTijd388</vt:lpstr>
      <vt:lpstr>Data_BeeindigingsdatumTijd389</vt:lpstr>
      <vt:lpstr>Data_BeeindigingsdatumTijd390</vt:lpstr>
      <vt:lpstr>Data_BeeindigingsdatumTijd391</vt:lpstr>
      <vt:lpstr>Data_BeeindigingsdatumTijd392</vt:lpstr>
      <vt:lpstr>Data_BeeindigingsdatumTijd393</vt:lpstr>
      <vt:lpstr>Data_BeeindigingsdatumTijd394</vt:lpstr>
      <vt:lpstr>Data_BeeindigingsdatumTijd395</vt:lpstr>
      <vt:lpstr>Data_BeeindigingsdatumTijd396</vt:lpstr>
      <vt:lpstr>Data_BeeindigingsdatumTijd397</vt:lpstr>
      <vt:lpstr>Data_BeeindigingsdatumTijd398</vt:lpstr>
      <vt:lpstr>Data_BeeindigingsdatumTijd399</vt:lpstr>
      <vt:lpstr>Data_BeeindigingsdatumTijd400</vt:lpstr>
      <vt:lpstr>Data_BeeindigingsdatumTijd401</vt:lpstr>
      <vt:lpstr>Data_BeeindigingsdatumTijd402</vt:lpstr>
      <vt:lpstr>Data_BeeindigingsdatumTijd403</vt:lpstr>
      <vt:lpstr>Data_BeeindigingsdatumTijd404</vt:lpstr>
      <vt:lpstr>Data_BeeindigingsdatumTijd405</vt:lpstr>
      <vt:lpstr>Data_BeeindigingsdatumTijd406</vt:lpstr>
      <vt:lpstr>Data_BeeindigingsdatumTijd407</vt:lpstr>
      <vt:lpstr>Data_BeeindigingsdatumTijd408</vt:lpstr>
      <vt:lpstr>Data_BeeindigingsdatumTijd409</vt:lpstr>
      <vt:lpstr>Data_BeeindigingsdatumTijd410</vt:lpstr>
      <vt:lpstr>Data_BeeindigingsdatumTijd411</vt:lpstr>
      <vt:lpstr>Data_BeeindigingsdatumTijd412</vt:lpstr>
      <vt:lpstr>Data_BeeindigingsdatumTijd413</vt:lpstr>
      <vt:lpstr>Data_BeeindigingsdatumTijd414</vt:lpstr>
      <vt:lpstr>Data_BeeindigingsdatumTijd415</vt:lpstr>
      <vt:lpstr>Data_BeeindigingsdatumTijd416</vt:lpstr>
      <vt:lpstr>Data_BeeindigingsdatumTijd417</vt:lpstr>
      <vt:lpstr>Data_BeeindigingsdatumTijd418</vt:lpstr>
      <vt:lpstr>Data_BeeindigingsdatumTijd419</vt:lpstr>
      <vt:lpstr>Data_BeeindigingsdatumTijd420</vt:lpstr>
      <vt:lpstr>Data_BeeindigingsdatumTijd421</vt:lpstr>
      <vt:lpstr>Data_BeeindigingsdatumTijd422</vt:lpstr>
      <vt:lpstr>Data_BeeindigingsdatumTijd423</vt:lpstr>
      <vt:lpstr>Data_BeeindigingsdatumTijd424</vt:lpstr>
      <vt:lpstr>Data_BeeindigingsdatumTijd425</vt:lpstr>
      <vt:lpstr>Data_BeeindigingsdatumTijd426</vt:lpstr>
      <vt:lpstr>Data_BeeindigingsdatumTijd427</vt:lpstr>
      <vt:lpstr>Data_BeeindigingsdatumTijd428</vt:lpstr>
      <vt:lpstr>Data_BeeindigingsdatumTijd429</vt:lpstr>
      <vt:lpstr>Data_BeeindigingsdatumTijd430</vt:lpstr>
      <vt:lpstr>Data_BeeindigingsdatumTijd431</vt:lpstr>
      <vt:lpstr>Data_BeeindigingsdatumTijd432</vt:lpstr>
      <vt:lpstr>Data_BeeindigingsdatumTijd433</vt:lpstr>
      <vt:lpstr>Data_BeeindigingsdatumTijd434</vt:lpstr>
      <vt:lpstr>Data_BeeindigingsdatumTijd435</vt:lpstr>
      <vt:lpstr>Data_BeeindigingsdatumTijd436</vt:lpstr>
      <vt:lpstr>Data_BeeindigingsdatumTijd437</vt:lpstr>
      <vt:lpstr>Data_BeeindigingsdatumTijd438</vt:lpstr>
      <vt:lpstr>Data_BeeindigingsdatumTijd439</vt:lpstr>
      <vt:lpstr>Data_BeeindigingsdatumTijd440</vt:lpstr>
      <vt:lpstr>Data_BeeindigingsdatumTijd441</vt:lpstr>
      <vt:lpstr>Data_BeeindigingsdatumTijd442</vt:lpstr>
      <vt:lpstr>Data_BeeindigingsdatumTijd443</vt:lpstr>
      <vt:lpstr>Data_BeeindigingsdatumTijd444</vt:lpstr>
      <vt:lpstr>Data_BeeindigingsdatumTijd445</vt:lpstr>
      <vt:lpstr>Data_BeeindigingsdatumTijd446</vt:lpstr>
      <vt:lpstr>Data_BeeindigingsdatumTijd447</vt:lpstr>
      <vt:lpstr>Data_BeeindigingsdatumTijd448</vt:lpstr>
      <vt:lpstr>Data_BeeindigingsdatumTijd449</vt:lpstr>
      <vt:lpstr>Data_BeeindigingsdatumTijd450</vt:lpstr>
      <vt:lpstr>Data_BeeindigingsdatumTijd451</vt:lpstr>
      <vt:lpstr>Data_BeeindigingsdatumTijd452</vt:lpstr>
      <vt:lpstr>Data_BeeindigingsdatumTijd453</vt:lpstr>
      <vt:lpstr>Data_BeeindigingsdatumTijd454</vt:lpstr>
      <vt:lpstr>Data_BeeindigingsdatumTijd455</vt:lpstr>
      <vt:lpstr>Data_BeeindigingsdatumTijd456</vt:lpstr>
      <vt:lpstr>Data_BeeindigingsdatumTijd457</vt:lpstr>
      <vt:lpstr>Data_BeeindigingsdatumTijd458</vt:lpstr>
      <vt:lpstr>Data_BeeindigingsdatumTijd459</vt:lpstr>
      <vt:lpstr>Data_BeeindigingsdatumTijd460</vt:lpstr>
      <vt:lpstr>Data_BeeindigingsdatumTijd461</vt:lpstr>
      <vt:lpstr>Data_BeeindigingsdatumTijd462</vt:lpstr>
      <vt:lpstr>Data_BeeindigingsdatumTijd463</vt:lpstr>
      <vt:lpstr>Data_BeeindigingsdatumTijd464</vt:lpstr>
      <vt:lpstr>Data_BeeindigingsdatumTijd465</vt:lpstr>
      <vt:lpstr>Data_BeeindigingsdatumTijd466</vt:lpstr>
      <vt:lpstr>Data_BeeindigingsdatumTijd467</vt:lpstr>
      <vt:lpstr>Data_BeeindigingsdatumTijd468</vt:lpstr>
      <vt:lpstr>Data_BeeindigingsdatumTijd469</vt:lpstr>
      <vt:lpstr>Data_BeeindigingsdatumTijd470</vt:lpstr>
      <vt:lpstr>Data_BeeindigingsdatumTijd471</vt:lpstr>
      <vt:lpstr>Data_BeeindigingsdatumTijd472</vt:lpstr>
      <vt:lpstr>Data_BeeindigingsdatumTijd473</vt:lpstr>
      <vt:lpstr>Data_BeeindigingsdatumTijd474</vt:lpstr>
      <vt:lpstr>Data_BeeindigingsdatumTijd475</vt:lpstr>
      <vt:lpstr>Data_BeeindigingsdatumTijd476</vt:lpstr>
      <vt:lpstr>Data_BeeindigingsdatumTijd477</vt:lpstr>
      <vt:lpstr>Data_BeeindigingsdatumTijd478</vt:lpstr>
      <vt:lpstr>Data_BeeindigingsdatumTijd479</vt:lpstr>
      <vt:lpstr>Data_BeeindigingsdatumTijd480</vt:lpstr>
      <vt:lpstr>Data_BeeindigingsdatumTijd481</vt:lpstr>
      <vt:lpstr>Data_BeeindigingsdatumTijd482</vt:lpstr>
      <vt:lpstr>Data_BeeindigingsdatumTijd483</vt:lpstr>
      <vt:lpstr>Data_BeeindigingsdatumTijd484</vt:lpstr>
      <vt:lpstr>Data_BeeindigingsdatumTijd485</vt:lpstr>
      <vt:lpstr>Data_BeeindigingsdatumTijd486</vt:lpstr>
      <vt:lpstr>Data_BeeindigingsdatumTijd487</vt:lpstr>
      <vt:lpstr>Data_BeeindigingsdatumTijd488</vt:lpstr>
      <vt:lpstr>Data_BeeindigingsdatumTijd489</vt:lpstr>
      <vt:lpstr>Data_BeeindigingsdatumTijd490</vt:lpstr>
      <vt:lpstr>Data_BeeindigingsdatumTijd491</vt:lpstr>
      <vt:lpstr>Data_BeeindigingsdatumTijd492</vt:lpstr>
      <vt:lpstr>Data_BeeindigingsdatumTijd493</vt:lpstr>
      <vt:lpstr>Data_BeeindigingsdatumTijd494</vt:lpstr>
      <vt:lpstr>Data_BeeindigingsdatumTijd495</vt:lpstr>
      <vt:lpstr>Data_BeeindigingsdatumTijd496</vt:lpstr>
      <vt:lpstr>Data_BeeindigingsdatumTijd497</vt:lpstr>
      <vt:lpstr>Data_BeeindigingsdatumTijd498</vt:lpstr>
      <vt:lpstr>Data_BeeindigingsdatumTijd499</vt:lpstr>
      <vt:lpstr>Data_BeeindigingsdatumTijd500</vt:lpstr>
      <vt:lpstr>Data_BeeindigingsdatumVastOntslag001</vt:lpstr>
      <vt:lpstr>Data_BeeindigingsdatumVastOntslag002</vt:lpstr>
      <vt:lpstr>Data_BeeindigingsdatumVastOntslag003</vt:lpstr>
      <vt:lpstr>Data_BeeindigingsdatumVastOntslag004</vt:lpstr>
      <vt:lpstr>Data_BeeindigingsdatumVastOntslag005</vt:lpstr>
      <vt:lpstr>Data_BeeindigingsdatumVastOntslag006</vt:lpstr>
      <vt:lpstr>Data_BeeindigingsdatumVastOntslag007</vt:lpstr>
      <vt:lpstr>Data_BeeindigingsdatumVastOntslag008</vt:lpstr>
      <vt:lpstr>Data_BeeindigingsdatumVastOntslag009</vt:lpstr>
      <vt:lpstr>Data_BeeindigingsdatumVastOntslag010</vt:lpstr>
      <vt:lpstr>Data_BeeindigingsdatumVastOntslag011</vt:lpstr>
      <vt:lpstr>Data_BeeindigingsdatumVastOntslag012</vt:lpstr>
      <vt:lpstr>Data_BeeindigingsdatumVastOntslag013</vt:lpstr>
      <vt:lpstr>Data_BeeindigingsdatumVastOntslag014</vt:lpstr>
      <vt:lpstr>Data_BeeindigingsdatumVastOntslag015</vt:lpstr>
      <vt:lpstr>Data_BeeindigingsdatumVastOntslag016</vt:lpstr>
      <vt:lpstr>Data_BeeindigingsdatumVastOntslag017</vt:lpstr>
      <vt:lpstr>Data_BeeindigingsdatumVastOntslag018</vt:lpstr>
      <vt:lpstr>Data_BeeindigingsdatumVastOntslag019</vt:lpstr>
      <vt:lpstr>Data_BeeindigingsdatumVastOntslag020</vt:lpstr>
      <vt:lpstr>Data_BeeindigingsdatumVastOntslag021</vt:lpstr>
      <vt:lpstr>Data_BeeindigingsdatumVastOntslag022</vt:lpstr>
      <vt:lpstr>Data_BeeindigingsdatumVastOntslag023</vt:lpstr>
      <vt:lpstr>Data_BeeindigingsdatumVastOntslag024</vt:lpstr>
      <vt:lpstr>Data_BeeindigingsdatumVastOntslag025</vt:lpstr>
      <vt:lpstr>Data_BeeindigingsdatumVastOntslag026</vt:lpstr>
      <vt:lpstr>Data_BeeindigingsdatumVastOntslag027</vt:lpstr>
      <vt:lpstr>Data_BeeindigingsdatumVastOntslag028</vt:lpstr>
      <vt:lpstr>Data_BeeindigingsdatumVastOntslag029</vt:lpstr>
      <vt:lpstr>Data_BeeindigingsdatumVastOntslag030</vt:lpstr>
      <vt:lpstr>Data_BeeindigingsdatumVastOntslag031</vt:lpstr>
      <vt:lpstr>Data_BeeindigingsdatumVastOntslag032</vt:lpstr>
      <vt:lpstr>Data_BeeindigingsdatumVastOntslag033</vt:lpstr>
      <vt:lpstr>Data_BeeindigingsdatumVastOntslag034</vt:lpstr>
      <vt:lpstr>Data_BeeindigingsdatumVastOntslag035</vt:lpstr>
      <vt:lpstr>Data_BeeindigingsdatumVastOntslag036</vt:lpstr>
      <vt:lpstr>Data_BeeindigingsdatumVastOntslag037</vt:lpstr>
      <vt:lpstr>Data_BeeindigingsdatumVastOntslag038</vt:lpstr>
      <vt:lpstr>Data_BeeindigingsdatumVastOntslag039</vt:lpstr>
      <vt:lpstr>Data_BeeindigingsdatumVastOntslag040</vt:lpstr>
      <vt:lpstr>Data_BeeindigingsdatumVastOntslag041</vt:lpstr>
      <vt:lpstr>Data_BeeindigingsdatumVastOntslag042</vt:lpstr>
      <vt:lpstr>Data_BeeindigingsdatumVastOntslag043</vt:lpstr>
      <vt:lpstr>Data_BeeindigingsdatumVastOntslag044</vt:lpstr>
      <vt:lpstr>Data_BeeindigingsdatumVastOntslag045</vt:lpstr>
      <vt:lpstr>Data_BeeindigingsdatumVastOntslag046</vt:lpstr>
      <vt:lpstr>Data_BeeindigingsdatumVastOntslag047</vt:lpstr>
      <vt:lpstr>Data_BeeindigingsdatumVastOntslag048</vt:lpstr>
      <vt:lpstr>Data_BeeindigingsdatumVastOntslag049</vt:lpstr>
      <vt:lpstr>Data_BeeindigingsdatumVastOntslag050</vt:lpstr>
      <vt:lpstr>Data_BeeindigingsdatumVastOntslag051</vt:lpstr>
      <vt:lpstr>Data_BeeindigingsdatumVastOntslag052</vt:lpstr>
      <vt:lpstr>Data_BeeindigingsdatumVastOntslag053</vt:lpstr>
      <vt:lpstr>Data_BeeindigingsdatumVastOntslag054</vt:lpstr>
      <vt:lpstr>Data_BeeindigingsdatumVastOntslag055</vt:lpstr>
      <vt:lpstr>Data_BeeindigingsdatumVastOntslag056</vt:lpstr>
      <vt:lpstr>Data_BeeindigingsdatumVastOntslag057</vt:lpstr>
      <vt:lpstr>Data_BeeindigingsdatumVastOntslag058</vt:lpstr>
      <vt:lpstr>Data_BeeindigingsdatumVastOntslag059</vt:lpstr>
      <vt:lpstr>Data_BeeindigingsdatumVastOntslag060</vt:lpstr>
      <vt:lpstr>Data_BeeindigingsdatumVastOntslag061</vt:lpstr>
      <vt:lpstr>Data_BeeindigingsdatumVastOntslag062</vt:lpstr>
      <vt:lpstr>Data_BeeindigingsdatumVastOntslag063</vt:lpstr>
      <vt:lpstr>Data_BeeindigingsdatumVastOntslag064</vt:lpstr>
      <vt:lpstr>Data_BeeindigingsdatumVastOntslag065</vt:lpstr>
      <vt:lpstr>Data_BeeindigingsdatumVastOntslag066</vt:lpstr>
      <vt:lpstr>Data_BeeindigingsdatumVastOntslag067</vt:lpstr>
      <vt:lpstr>Data_BeeindigingsdatumVastOntslag068</vt:lpstr>
      <vt:lpstr>Data_BeeindigingsdatumVastOntslag069</vt:lpstr>
      <vt:lpstr>Data_BeeindigingsdatumVastOntslag070</vt:lpstr>
      <vt:lpstr>Data_BeeindigingsdatumVastOntslag071</vt:lpstr>
      <vt:lpstr>Data_BeeindigingsdatumVastOntslag072</vt:lpstr>
      <vt:lpstr>Data_BeeindigingsdatumVastOntslag073</vt:lpstr>
      <vt:lpstr>Data_BeeindigingsdatumVastOntslag074</vt:lpstr>
      <vt:lpstr>Data_BeeindigingsdatumVastOntslag075</vt:lpstr>
      <vt:lpstr>Data_BeeindigingsdatumVastOntslag076</vt:lpstr>
      <vt:lpstr>Data_BeeindigingsdatumVastOntslag077</vt:lpstr>
      <vt:lpstr>Data_BeeindigingsdatumVastOntslag078</vt:lpstr>
      <vt:lpstr>Data_BeeindigingsdatumVastOntslag079</vt:lpstr>
      <vt:lpstr>Data_BeeindigingsdatumVastOntslag080</vt:lpstr>
      <vt:lpstr>Data_BeeindigingsdatumVastOntslag081</vt:lpstr>
      <vt:lpstr>Data_BeeindigingsdatumVastOntslag082</vt:lpstr>
      <vt:lpstr>Data_BeeindigingsdatumVastOntslag083</vt:lpstr>
      <vt:lpstr>Data_BeeindigingsdatumVastOntslag084</vt:lpstr>
      <vt:lpstr>Data_BeeindigingsdatumVastOntslag085</vt:lpstr>
      <vt:lpstr>Data_BeeindigingsdatumVastOntslag086</vt:lpstr>
      <vt:lpstr>Data_BeeindigingsdatumVastOntslag087</vt:lpstr>
      <vt:lpstr>Data_BeeindigingsdatumVastOntslag088</vt:lpstr>
      <vt:lpstr>Data_BeeindigingsdatumVastOntslag089</vt:lpstr>
      <vt:lpstr>Data_BeeindigingsdatumVastOntslag090</vt:lpstr>
      <vt:lpstr>Data_BeeindigingsdatumVastOntslag091</vt:lpstr>
      <vt:lpstr>Data_BeeindigingsdatumVastOntslag092</vt:lpstr>
      <vt:lpstr>Data_BeeindigingsdatumVastOntslag093</vt:lpstr>
      <vt:lpstr>Data_BeeindigingsdatumVastOntslag094</vt:lpstr>
      <vt:lpstr>Data_BeeindigingsdatumVastOntslag095</vt:lpstr>
      <vt:lpstr>Data_BeeindigingsdatumVastOntslag096</vt:lpstr>
      <vt:lpstr>Data_BeeindigingsdatumVastOntslag097</vt:lpstr>
      <vt:lpstr>Data_BeeindigingsdatumVastOntslag098</vt:lpstr>
      <vt:lpstr>Data_BeeindigingsdatumVastOntslag099</vt:lpstr>
      <vt:lpstr>Data_BeeindigingsdatumVastOntslag100</vt:lpstr>
      <vt:lpstr>Data_BeeindigingsdatumVastOntslag101</vt:lpstr>
      <vt:lpstr>Data_BeeindigingsdatumVastOntslag102</vt:lpstr>
      <vt:lpstr>Data_BeeindigingsdatumVastOntslag103</vt:lpstr>
      <vt:lpstr>Data_BeeindigingsdatumVastOntslag104</vt:lpstr>
      <vt:lpstr>Data_BeeindigingsdatumVastOntslag105</vt:lpstr>
      <vt:lpstr>Data_BeeindigingsdatumVastOntslag106</vt:lpstr>
      <vt:lpstr>Data_BeeindigingsdatumVastOntslag107</vt:lpstr>
      <vt:lpstr>Data_BeeindigingsdatumVastOntslag108</vt:lpstr>
      <vt:lpstr>Data_BeeindigingsdatumVastOntslag109</vt:lpstr>
      <vt:lpstr>Data_BeeindigingsdatumVastOntslag110</vt:lpstr>
      <vt:lpstr>Data_BeeindigingsdatumVastOntslag111</vt:lpstr>
      <vt:lpstr>Data_BeeindigingsdatumVastOntslag112</vt:lpstr>
      <vt:lpstr>Data_BeeindigingsdatumVastOntslag113</vt:lpstr>
      <vt:lpstr>Data_BeeindigingsdatumVastOntslag114</vt:lpstr>
      <vt:lpstr>Data_BeeindigingsdatumVastOntslag115</vt:lpstr>
      <vt:lpstr>Data_BeeindigingsdatumVastOntslag116</vt:lpstr>
      <vt:lpstr>Data_BeeindigingsdatumVastOntslag117</vt:lpstr>
      <vt:lpstr>Data_BeeindigingsdatumVastOntslag118</vt:lpstr>
      <vt:lpstr>Data_BeeindigingsdatumVastOntslag119</vt:lpstr>
      <vt:lpstr>Data_BeeindigingsdatumVastOntslag120</vt:lpstr>
      <vt:lpstr>Data_BeeindigingsdatumVastOntslag121</vt:lpstr>
      <vt:lpstr>Data_BeeindigingsdatumVastOntslag122</vt:lpstr>
      <vt:lpstr>Data_BeeindigingsdatumVastOntslag123</vt:lpstr>
      <vt:lpstr>Data_BeeindigingsdatumVastOntslag124</vt:lpstr>
      <vt:lpstr>Data_BeeindigingsdatumVastOntslag125</vt:lpstr>
      <vt:lpstr>Data_BeeindigingsdatumVastOntslag126</vt:lpstr>
      <vt:lpstr>Data_BeeindigingsdatumVastOntslag127</vt:lpstr>
      <vt:lpstr>Data_BeeindigingsdatumVastOntslag128</vt:lpstr>
      <vt:lpstr>Data_BeeindigingsdatumVastOntslag129</vt:lpstr>
      <vt:lpstr>Data_BeeindigingsdatumVastOntslag130</vt:lpstr>
      <vt:lpstr>Data_BeeindigingsdatumVastOntslag131</vt:lpstr>
      <vt:lpstr>Data_BeeindigingsdatumVastOntslag132</vt:lpstr>
      <vt:lpstr>Data_BeeindigingsdatumVastOntslag133</vt:lpstr>
      <vt:lpstr>Data_BeeindigingsdatumVastOntslag134</vt:lpstr>
      <vt:lpstr>Data_BeeindigingsdatumVastOntslag135</vt:lpstr>
      <vt:lpstr>Data_BeeindigingsdatumVastOntslag136</vt:lpstr>
      <vt:lpstr>Data_BeeindigingsdatumVastOntslag137</vt:lpstr>
      <vt:lpstr>Data_BeeindigingsdatumVastOntslag138</vt:lpstr>
      <vt:lpstr>Data_BeeindigingsdatumVastOntslag139</vt:lpstr>
      <vt:lpstr>Data_BeeindigingsdatumVastOntslag140</vt:lpstr>
      <vt:lpstr>Data_BeeindigingsdatumVastOntslag141</vt:lpstr>
      <vt:lpstr>Data_BeeindigingsdatumVastOntslag142</vt:lpstr>
      <vt:lpstr>Data_BeeindigingsdatumVastOntslag143</vt:lpstr>
      <vt:lpstr>Data_BeeindigingsdatumVastOntslag144</vt:lpstr>
      <vt:lpstr>Data_BeeindigingsdatumVastOntslag145</vt:lpstr>
      <vt:lpstr>Data_BeeindigingsdatumVastOntslag146</vt:lpstr>
      <vt:lpstr>Data_BeeindigingsdatumVastOntslag147</vt:lpstr>
      <vt:lpstr>Data_BeeindigingsdatumVastOntslag148</vt:lpstr>
      <vt:lpstr>Data_BeeindigingsdatumVastOntslag149</vt:lpstr>
      <vt:lpstr>Data_BeeindigingsdatumVastOntslag150</vt:lpstr>
      <vt:lpstr>Data_BeeindigingsdatumVastOntslag151</vt:lpstr>
      <vt:lpstr>Data_BeeindigingsdatumVastOntslag152</vt:lpstr>
      <vt:lpstr>Data_BeeindigingsdatumVastOntslag153</vt:lpstr>
      <vt:lpstr>Data_BeeindigingsdatumVastOntslag154</vt:lpstr>
      <vt:lpstr>Data_BeeindigingsdatumVastOntslag155</vt:lpstr>
      <vt:lpstr>Data_BeeindigingsdatumVastOntslag156</vt:lpstr>
      <vt:lpstr>Data_BeeindigingsdatumVastOntslag157</vt:lpstr>
      <vt:lpstr>Data_BeeindigingsdatumVastOntslag158</vt:lpstr>
      <vt:lpstr>Data_BeeindigingsdatumVastOntslag159</vt:lpstr>
      <vt:lpstr>Data_BeeindigingsdatumVastOntslag160</vt:lpstr>
      <vt:lpstr>Data_BeeindigingsdatumVastOntslag161</vt:lpstr>
      <vt:lpstr>Data_BeeindigingsdatumVastOntslag162</vt:lpstr>
      <vt:lpstr>Data_BeeindigingsdatumVastOntslag163</vt:lpstr>
      <vt:lpstr>Data_BeeindigingsdatumVastOntslag164</vt:lpstr>
      <vt:lpstr>Data_BeeindigingsdatumVastOntslag165</vt:lpstr>
      <vt:lpstr>Data_BeeindigingsdatumVastOntslag166</vt:lpstr>
      <vt:lpstr>Data_BeeindigingsdatumVastOntslag167</vt:lpstr>
      <vt:lpstr>Data_BeeindigingsdatumVastOntslag168</vt:lpstr>
      <vt:lpstr>Data_BeeindigingsdatumVastOntslag169</vt:lpstr>
      <vt:lpstr>Data_BeeindigingsdatumVastOntslag170</vt:lpstr>
      <vt:lpstr>Data_BeeindigingsdatumVastOntslag171</vt:lpstr>
      <vt:lpstr>Data_BeeindigingsdatumVastOntslag172</vt:lpstr>
      <vt:lpstr>Data_BeeindigingsdatumVastOntslag173</vt:lpstr>
      <vt:lpstr>Data_BeeindigingsdatumVastOntslag174</vt:lpstr>
      <vt:lpstr>Data_BeeindigingsdatumVastOntslag175</vt:lpstr>
      <vt:lpstr>Data_BeeindigingsdatumVastOntslag176</vt:lpstr>
      <vt:lpstr>Data_BeeindigingsdatumVastOntslag177</vt:lpstr>
      <vt:lpstr>Data_BeeindigingsdatumVastOntslag178</vt:lpstr>
      <vt:lpstr>Data_BeeindigingsdatumVastOntslag179</vt:lpstr>
      <vt:lpstr>Data_BeeindigingsdatumVastOntslag180</vt:lpstr>
      <vt:lpstr>Data_BeeindigingsdatumVastOntslag181</vt:lpstr>
      <vt:lpstr>Data_BeeindigingsdatumVastOntslag182</vt:lpstr>
      <vt:lpstr>Data_BeeindigingsdatumVastOntslag183</vt:lpstr>
      <vt:lpstr>Data_BeeindigingsdatumVastOntslag184</vt:lpstr>
      <vt:lpstr>Data_BeeindigingsdatumVastOntslag185</vt:lpstr>
      <vt:lpstr>Data_BeeindigingsdatumVastOntslag186</vt:lpstr>
      <vt:lpstr>Data_BeeindigingsdatumVastOntslag187</vt:lpstr>
      <vt:lpstr>Data_BeeindigingsdatumVastOntslag188</vt:lpstr>
      <vt:lpstr>Data_BeeindigingsdatumVastOntslag189</vt:lpstr>
      <vt:lpstr>Data_BeeindigingsdatumVastOntslag190</vt:lpstr>
      <vt:lpstr>Data_BeeindigingsdatumVastOntslag191</vt:lpstr>
      <vt:lpstr>Data_BeeindigingsdatumVastOntslag192</vt:lpstr>
      <vt:lpstr>Data_BeeindigingsdatumVastOntslag193</vt:lpstr>
      <vt:lpstr>Data_BeeindigingsdatumVastOntslag194</vt:lpstr>
      <vt:lpstr>Data_BeeindigingsdatumVastOntslag195</vt:lpstr>
      <vt:lpstr>Data_BeeindigingsdatumVastOntslag196</vt:lpstr>
      <vt:lpstr>Data_BeeindigingsdatumVastOntslag197</vt:lpstr>
      <vt:lpstr>Data_BeeindigingsdatumVastOntslag198</vt:lpstr>
      <vt:lpstr>Data_BeeindigingsdatumVastOntslag199</vt:lpstr>
      <vt:lpstr>Data_BeeindigingsdatumVastOntslag200</vt:lpstr>
      <vt:lpstr>Data_BeeindigingsdatumVastOntslag201</vt:lpstr>
      <vt:lpstr>Data_BeeindigingsdatumVastOntslag202</vt:lpstr>
      <vt:lpstr>Data_BeeindigingsdatumVastOntslag203</vt:lpstr>
      <vt:lpstr>Data_BeeindigingsdatumVastOntslag204</vt:lpstr>
      <vt:lpstr>Data_BeeindigingsdatumVastOntslag205</vt:lpstr>
      <vt:lpstr>Data_BeeindigingsdatumVastOntslag206</vt:lpstr>
      <vt:lpstr>Data_BeeindigingsdatumVastOntslag207</vt:lpstr>
      <vt:lpstr>Data_BeeindigingsdatumVastOntslag208</vt:lpstr>
      <vt:lpstr>Data_BeeindigingsdatumVastOntslag209</vt:lpstr>
      <vt:lpstr>Data_BeeindigingsdatumVastOntslag210</vt:lpstr>
      <vt:lpstr>Data_BeeindigingsdatumVastOntslag211</vt:lpstr>
      <vt:lpstr>Data_BeeindigingsdatumVastOntslag212</vt:lpstr>
      <vt:lpstr>Data_BeeindigingsdatumVastOntslag213</vt:lpstr>
      <vt:lpstr>Data_BeeindigingsdatumVastOntslag214</vt:lpstr>
      <vt:lpstr>Data_BeeindigingsdatumVastOntslag215</vt:lpstr>
      <vt:lpstr>Data_BeeindigingsdatumVastOntslag216</vt:lpstr>
      <vt:lpstr>Data_BeeindigingsdatumVastOntslag217</vt:lpstr>
      <vt:lpstr>Data_BeeindigingsdatumVastOntslag218</vt:lpstr>
      <vt:lpstr>Data_BeeindigingsdatumVastOntslag219</vt:lpstr>
      <vt:lpstr>Data_BeeindigingsdatumVastOntslag220</vt:lpstr>
      <vt:lpstr>Data_BeeindigingsdatumVastOntslag221</vt:lpstr>
      <vt:lpstr>Data_BeeindigingsdatumVastOntslag222</vt:lpstr>
      <vt:lpstr>Data_BeeindigingsdatumVastOntslag223</vt:lpstr>
      <vt:lpstr>Data_BeeindigingsdatumVastOntslag224</vt:lpstr>
      <vt:lpstr>Data_BeeindigingsdatumVastOntslag225</vt:lpstr>
      <vt:lpstr>Data_BeeindigingsdatumVastOntslag226</vt:lpstr>
      <vt:lpstr>Data_BeeindigingsdatumVastOntslag227</vt:lpstr>
      <vt:lpstr>Data_BeeindigingsdatumVastOntslag228</vt:lpstr>
      <vt:lpstr>Data_BeeindigingsdatumVastOntslag229</vt:lpstr>
      <vt:lpstr>Data_BeeindigingsdatumVastOntslag230</vt:lpstr>
      <vt:lpstr>Data_BeeindigingsdatumVastOntslag231</vt:lpstr>
      <vt:lpstr>Data_BeeindigingsdatumVastOntslag232</vt:lpstr>
      <vt:lpstr>Data_BeeindigingsdatumVastOntslag233</vt:lpstr>
      <vt:lpstr>Data_BeeindigingsdatumVastOntslag234</vt:lpstr>
      <vt:lpstr>Data_BeeindigingsdatumVastOntslag235</vt:lpstr>
      <vt:lpstr>Data_BeeindigingsdatumVastOntslag236</vt:lpstr>
      <vt:lpstr>Data_BeeindigingsdatumVastOntslag237</vt:lpstr>
      <vt:lpstr>Data_BeeindigingsdatumVastOntslag238</vt:lpstr>
      <vt:lpstr>Data_BeeindigingsdatumVastOntslag239</vt:lpstr>
      <vt:lpstr>Data_BeeindigingsdatumVastOntslag240</vt:lpstr>
      <vt:lpstr>Data_BeeindigingsdatumVastOntslag241</vt:lpstr>
      <vt:lpstr>Data_BeeindigingsdatumVastOntslag242</vt:lpstr>
      <vt:lpstr>Data_BeeindigingsdatumVastOntslag243</vt:lpstr>
      <vt:lpstr>Data_BeeindigingsdatumVastOntslag244</vt:lpstr>
      <vt:lpstr>Data_BeeindigingsdatumVastOntslag245</vt:lpstr>
      <vt:lpstr>Data_BeeindigingsdatumVastOntslag246</vt:lpstr>
      <vt:lpstr>Data_BeeindigingsdatumVastOntslag247</vt:lpstr>
      <vt:lpstr>Data_BeeindigingsdatumVastOntslag248</vt:lpstr>
      <vt:lpstr>Data_BeeindigingsdatumVastOntslag249</vt:lpstr>
      <vt:lpstr>Data_BeeindigingsdatumVastOntslag250</vt:lpstr>
      <vt:lpstr>Data_BeeindigingsdatumVastOntslag251</vt:lpstr>
      <vt:lpstr>Data_BeeindigingsdatumVastOntslag252</vt:lpstr>
      <vt:lpstr>Data_BeeindigingsdatumVastOntslag253</vt:lpstr>
      <vt:lpstr>Data_BeeindigingsdatumVastOntslag254</vt:lpstr>
      <vt:lpstr>Data_BeeindigingsdatumVastOntslag255</vt:lpstr>
      <vt:lpstr>Data_BeeindigingsdatumVastOntslag256</vt:lpstr>
      <vt:lpstr>Data_BeeindigingsdatumVastOntslag257</vt:lpstr>
      <vt:lpstr>Data_BeeindigingsdatumVastOntslag258</vt:lpstr>
      <vt:lpstr>Data_BeeindigingsdatumVastOntslag259</vt:lpstr>
      <vt:lpstr>Data_BeeindigingsdatumVastOntslag260</vt:lpstr>
      <vt:lpstr>Data_BeeindigingsdatumVastOntslag261</vt:lpstr>
      <vt:lpstr>Data_BeeindigingsdatumVastOntslag262</vt:lpstr>
      <vt:lpstr>Data_BeeindigingsdatumVastOntslag263</vt:lpstr>
      <vt:lpstr>Data_BeeindigingsdatumVastOntslag264</vt:lpstr>
      <vt:lpstr>Data_BeeindigingsdatumVastOntslag265</vt:lpstr>
      <vt:lpstr>Data_BeeindigingsdatumVastOntslag266</vt:lpstr>
      <vt:lpstr>Data_BeeindigingsdatumVastOntslag267</vt:lpstr>
      <vt:lpstr>Data_BeeindigingsdatumVastOntslag268</vt:lpstr>
      <vt:lpstr>Data_BeeindigingsdatumVastOntslag269</vt:lpstr>
      <vt:lpstr>Data_BeeindigingsdatumVastOntslag270</vt:lpstr>
      <vt:lpstr>Data_BeeindigingsdatumVastOntslag271</vt:lpstr>
      <vt:lpstr>Data_BeeindigingsdatumVastOntslag272</vt:lpstr>
      <vt:lpstr>Data_BeeindigingsdatumVastOntslag273</vt:lpstr>
      <vt:lpstr>Data_BeeindigingsdatumVastOntslag274</vt:lpstr>
      <vt:lpstr>Data_BeeindigingsdatumVastOntslag275</vt:lpstr>
      <vt:lpstr>Data_BeeindigingsdatumVastOntslag276</vt:lpstr>
      <vt:lpstr>Data_BeeindigingsdatumVastOntslag277</vt:lpstr>
      <vt:lpstr>Data_BeeindigingsdatumVastOntslag278</vt:lpstr>
      <vt:lpstr>Data_BeeindigingsdatumVastOntslag279</vt:lpstr>
      <vt:lpstr>Data_BeeindigingsdatumVastOntslag280</vt:lpstr>
      <vt:lpstr>Data_BeeindigingsdatumVastOntslag281</vt:lpstr>
      <vt:lpstr>Data_BeeindigingsdatumVastOntslag282</vt:lpstr>
      <vt:lpstr>Data_BeeindigingsdatumVastOntslag283</vt:lpstr>
      <vt:lpstr>Data_BeeindigingsdatumVastOntslag284</vt:lpstr>
      <vt:lpstr>Data_BeeindigingsdatumVastOntslag285</vt:lpstr>
      <vt:lpstr>Data_BeeindigingsdatumVastOntslag286</vt:lpstr>
      <vt:lpstr>Data_BeeindigingsdatumVastOntslag287</vt:lpstr>
      <vt:lpstr>Data_BeeindigingsdatumVastOntslag288</vt:lpstr>
      <vt:lpstr>Data_BeeindigingsdatumVastOntslag289</vt:lpstr>
      <vt:lpstr>Data_BeeindigingsdatumVastOntslag290</vt:lpstr>
      <vt:lpstr>Data_BeeindigingsdatumVastOntslag291</vt:lpstr>
      <vt:lpstr>Data_BeeindigingsdatumVastOntslag292</vt:lpstr>
      <vt:lpstr>Data_BeeindigingsdatumVastOntslag293</vt:lpstr>
      <vt:lpstr>Data_BeeindigingsdatumVastOntslag294</vt:lpstr>
      <vt:lpstr>Data_BeeindigingsdatumVastOntslag295</vt:lpstr>
      <vt:lpstr>Data_BeeindigingsdatumVastOntslag296</vt:lpstr>
      <vt:lpstr>Data_BeeindigingsdatumVastOntslag297</vt:lpstr>
      <vt:lpstr>Data_BeeindigingsdatumVastOntslag298</vt:lpstr>
      <vt:lpstr>Data_BeeindigingsdatumVastOntslag299</vt:lpstr>
      <vt:lpstr>Data_BeeindigingsdatumVastOntslag300</vt:lpstr>
      <vt:lpstr>Data_BeeindigingsdatumVastOntslag301</vt:lpstr>
      <vt:lpstr>Data_BeeindigingsdatumVastOntslag302</vt:lpstr>
      <vt:lpstr>Data_BeeindigingsdatumVastOntslag303</vt:lpstr>
      <vt:lpstr>Data_BeeindigingsdatumVastOntslag304</vt:lpstr>
      <vt:lpstr>Data_BeeindigingsdatumVastOntslag305</vt:lpstr>
      <vt:lpstr>Data_BeeindigingsdatumVastOntslag306</vt:lpstr>
      <vt:lpstr>Data_BeeindigingsdatumVastOntslag307</vt:lpstr>
      <vt:lpstr>Data_BeeindigingsdatumVastOntslag308</vt:lpstr>
      <vt:lpstr>Data_BeeindigingsdatumVastOntslag309</vt:lpstr>
      <vt:lpstr>Data_BeeindigingsdatumVastOntslag310</vt:lpstr>
      <vt:lpstr>Data_BeeindigingsdatumVastOntslag311</vt:lpstr>
      <vt:lpstr>Data_BeeindigingsdatumVastOntslag312</vt:lpstr>
      <vt:lpstr>Data_BeeindigingsdatumVastOntslag313</vt:lpstr>
      <vt:lpstr>Data_BeeindigingsdatumVastOntslag314</vt:lpstr>
      <vt:lpstr>Data_BeeindigingsdatumVastOntslag315</vt:lpstr>
      <vt:lpstr>Data_BeeindigingsdatumVastOntslag316</vt:lpstr>
      <vt:lpstr>Data_BeeindigingsdatumVastOntslag317</vt:lpstr>
      <vt:lpstr>Data_BeeindigingsdatumVastOntslag318</vt:lpstr>
      <vt:lpstr>Data_BeeindigingsdatumVastOntslag319</vt:lpstr>
      <vt:lpstr>Data_BeeindigingsdatumVastOntslag320</vt:lpstr>
      <vt:lpstr>Data_BeeindigingsdatumVastOntslag321</vt:lpstr>
      <vt:lpstr>Data_BeeindigingsdatumVastOntslag322</vt:lpstr>
      <vt:lpstr>Data_BeeindigingsdatumVastOntslag323</vt:lpstr>
      <vt:lpstr>Data_BeeindigingsdatumVastOntslag324</vt:lpstr>
      <vt:lpstr>Data_BeeindigingsdatumVastOntslag325</vt:lpstr>
      <vt:lpstr>Data_BeeindigingsdatumVastOntslag326</vt:lpstr>
      <vt:lpstr>Data_BeeindigingsdatumVastOntslag327</vt:lpstr>
      <vt:lpstr>Data_BeeindigingsdatumVastOntslag328</vt:lpstr>
      <vt:lpstr>Data_BeeindigingsdatumVastOntslag329</vt:lpstr>
      <vt:lpstr>Data_BeeindigingsdatumVastOntslag330</vt:lpstr>
      <vt:lpstr>Data_BeeindigingsdatumVastOntslag331</vt:lpstr>
      <vt:lpstr>Data_BeeindigingsdatumVastOntslag332</vt:lpstr>
      <vt:lpstr>Data_BeeindigingsdatumVastOntslag333</vt:lpstr>
      <vt:lpstr>Data_BeeindigingsdatumVastOntslag334</vt:lpstr>
      <vt:lpstr>Data_BeeindigingsdatumVastOntslag335</vt:lpstr>
      <vt:lpstr>Data_BeeindigingsdatumVastOntslag336</vt:lpstr>
      <vt:lpstr>Data_BeeindigingsdatumVastOntslag337</vt:lpstr>
      <vt:lpstr>Data_BeeindigingsdatumVastOntslag338</vt:lpstr>
      <vt:lpstr>Data_BeeindigingsdatumVastOntslag339</vt:lpstr>
      <vt:lpstr>Data_BeeindigingsdatumVastOntslag340</vt:lpstr>
      <vt:lpstr>Data_BeeindigingsdatumVastOntslag341</vt:lpstr>
      <vt:lpstr>Data_BeeindigingsdatumVastOntslag342</vt:lpstr>
      <vt:lpstr>Data_BeeindigingsdatumVastOntslag343</vt:lpstr>
      <vt:lpstr>Data_BeeindigingsdatumVastOntslag344</vt:lpstr>
      <vt:lpstr>Data_BeeindigingsdatumVastOntslag345</vt:lpstr>
      <vt:lpstr>Data_BeeindigingsdatumVastOntslag346</vt:lpstr>
      <vt:lpstr>Data_BeeindigingsdatumVastOntslag347</vt:lpstr>
      <vt:lpstr>Data_BeeindigingsdatumVastOntslag348</vt:lpstr>
      <vt:lpstr>Data_BeeindigingsdatumVastOntslag349</vt:lpstr>
      <vt:lpstr>Data_BeeindigingsdatumVastOntslag350</vt:lpstr>
      <vt:lpstr>Data_BeeindigingsdatumVastOntslag351</vt:lpstr>
      <vt:lpstr>Data_BeeindigingsdatumVastOntslag352</vt:lpstr>
      <vt:lpstr>Data_BeeindigingsdatumVastOntslag353</vt:lpstr>
      <vt:lpstr>Data_BeeindigingsdatumVastOntslag354</vt:lpstr>
      <vt:lpstr>Data_BeeindigingsdatumVastOntslag355</vt:lpstr>
      <vt:lpstr>Data_BeeindigingsdatumVastOntslag356</vt:lpstr>
      <vt:lpstr>Data_BeeindigingsdatumVastOntslag357</vt:lpstr>
      <vt:lpstr>Data_BeeindigingsdatumVastOntslag358</vt:lpstr>
      <vt:lpstr>Data_BeeindigingsdatumVastOntslag359</vt:lpstr>
      <vt:lpstr>Data_BeeindigingsdatumVastOntslag360</vt:lpstr>
      <vt:lpstr>Data_BeeindigingsdatumVastOntslag361</vt:lpstr>
      <vt:lpstr>Data_BeeindigingsdatumVastOntslag362</vt:lpstr>
      <vt:lpstr>Data_BeeindigingsdatumVastOntslag363</vt:lpstr>
      <vt:lpstr>Data_BeeindigingsdatumVastOntslag364</vt:lpstr>
      <vt:lpstr>Data_BeeindigingsdatumVastOntslag365</vt:lpstr>
      <vt:lpstr>Data_BeeindigingsdatumVastOntslag366</vt:lpstr>
      <vt:lpstr>Data_BeeindigingsdatumVastOntslag367</vt:lpstr>
      <vt:lpstr>Data_BeeindigingsdatumVastOntslag368</vt:lpstr>
      <vt:lpstr>Data_BeeindigingsdatumVastOntslag369</vt:lpstr>
      <vt:lpstr>Data_BeeindigingsdatumVastOntslag370</vt:lpstr>
      <vt:lpstr>Data_BeeindigingsdatumVastOntslag371</vt:lpstr>
      <vt:lpstr>Data_BeeindigingsdatumVastOntslag372</vt:lpstr>
      <vt:lpstr>Data_BeeindigingsdatumVastOntslag373</vt:lpstr>
      <vt:lpstr>Data_BeeindigingsdatumVastOntslag374</vt:lpstr>
      <vt:lpstr>Data_BeeindigingsdatumVastOntslag375</vt:lpstr>
      <vt:lpstr>Data_BeeindigingsdatumVastOntslag376</vt:lpstr>
      <vt:lpstr>Data_BeeindigingsdatumVastOntslag377</vt:lpstr>
      <vt:lpstr>Data_BeeindigingsdatumVastOntslag378</vt:lpstr>
      <vt:lpstr>Data_BeeindigingsdatumVastOntslag379</vt:lpstr>
      <vt:lpstr>Data_BeeindigingsdatumVastOntslag380</vt:lpstr>
      <vt:lpstr>Data_BeeindigingsdatumVastOntslag381</vt:lpstr>
      <vt:lpstr>Data_BeeindigingsdatumVastOntslag382</vt:lpstr>
      <vt:lpstr>Data_BeeindigingsdatumVastOntslag383</vt:lpstr>
      <vt:lpstr>Data_BeeindigingsdatumVastOntslag384</vt:lpstr>
      <vt:lpstr>Data_BeeindigingsdatumVastOntslag385</vt:lpstr>
      <vt:lpstr>Data_BeeindigingsdatumVastOntslag386</vt:lpstr>
      <vt:lpstr>Data_BeeindigingsdatumVastOntslag387</vt:lpstr>
      <vt:lpstr>Data_BeeindigingsdatumVastOntslag388</vt:lpstr>
      <vt:lpstr>Data_BeeindigingsdatumVastOntslag389</vt:lpstr>
      <vt:lpstr>Data_BeeindigingsdatumVastOntslag390</vt:lpstr>
      <vt:lpstr>Data_BeeindigingsdatumVastOntslag391</vt:lpstr>
      <vt:lpstr>Data_BeeindigingsdatumVastOntslag392</vt:lpstr>
      <vt:lpstr>Data_BeeindigingsdatumVastOntslag393</vt:lpstr>
      <vt:lpstr>Data_BeeindigingsdatumVastOntslag394</vt:lpstr>
      <vt:lpstr>Data_BeeindigingsdatumVastOntslag395</vt:lpstr>
      <vt:lpstr>Data_BeeindigingsdatumVastOntslag396</vt:lpstr>
      <vt:lpstr>Data_BeeindigingsdatumVastOntslag397</vt:lpstr>
      <vt:lpstr>Data_BeeindigingsdatumVastOntslag398</vt:lpstr>
      <vt:lpstr>Data_BeeindigingsdatumVastOntslag399</vt:lpstr>
      <vt:lpstr>Data_BeeindigingsdatumVastOntslag400</vt:lpstr>
      <vt:lpstr>Data_BeeindigingsdatumVastOntslag401</vt:lpstr>
      <vt:lpstr>Data_BeeindigingsdatumVastOntslag402</vt:lpstr>
      <vt:lpstr>Data_BeeindigingsdatumVastOntslag403</vt:lpstr>
      <vt:lpstr>Data_BeeindigingsdatumVastOntslag404</vt:lpstr>
      <vt:lpstr>Data_BeeindigingsdatumVastOntslag405</vt:lpstr>
      <vt:lpstr>Data_BeeindigingsdatumVastOntslag406</vt:lpstr>
      <vt:lpstr>Data_BeeindigingsdatumVastOntslag407</vt:lpstr>
      <vt:lpstr>Data_BeeindigingsdatumVastOntslag408</vt:lpstr>
      <vt:lpstr>Data_BeeindigingsdatumVastOntslag409</vt:lpstr>
      <vt:lpstr>Data_BeeindigingsdatumVastOntslag410</vt:lpstr>
      <vt:lpstr>Data_BeeindigingsdatumVastOntslag411</vt:lpstr>
      <vt:lpstr>Data_BeeindigingsdatumVastOntslag412</vt:lpstr>
      <vt:lpstr>Data_BeeindigingsdatumVastOntslag413</vt:lpstr>
      <vt:lpstr>Data_BeeindigingsdatumVastOntslag414</vt:lpstr>
      <vt:lpstr>Data_BeeindigingsdatumVastOntslag415</vt:lpstr>
      <vt:lpstr>Data_BeeindigingsdatumVastOntslag416</vt:lpstr>
      <vt:lpstr>Data_BeeindigingsdatumVastOntslag417</vt:lpstr>
      <vt:lpstr>Data_BeeindigingsdatumVastOntslag418</vt:lpstr>
      <vt:lpstr>Data_BeeindigingsdatumVastOntslag419</vt:lpstr>
      <vt:lpstr>Data_BeeindigingsdatumVastOntslag420</vt:lpstr>
      <vt:lpstr>Data_BeeindigingsdatumVastOntslag421</vt:lpstr>
      <vt:lpstr>Data_BeeindigingsdatumVastOntslag422</vt:lpstr>
      <vt:lpstr>Data_BeeindigingsdatumVastOntslag423</vt:lpstr>
      <vt:lpstr>Data_BeeindigingsdatumVastOntslag424</vt:lpstr>
      <vt:lpstr>Data_BeeindigingsdatumVastOntslag425</vt:lpstr>
      <vt:lpstr>Data_BeeindigingsdatumVastOntslag426</vt:lpstr>
      <vt:lpstr>Data_BeeindigingsdatumVastOntslag427</vt:lpstr>
      <vt:lpstr>Data_BeeindigingsdatumVastOntslag428</vt:lpstr>
      <vt:lpstr>Data_BeeindigingsdatumVastOntslag429</vt:lpstr>
      <vt:lpstr>Data_BeeindigingsdatumVastOntslag430</vt:lpstr>
      <vt:lpstr>Data_BeeindigingsdatumVastOntslag431</vt:lpstr>
      <vt:lpstr>Data_BeeindigingsdatumVastOntslag432</vt:lpstr>
      <vt:lpstr>Data_BeeindigingsdatumVastOntslag433</vt:lpstr>
      <vt:lpstr>Data_BeeindigingsdatumVastOntslag434</vt:lpstr>
      <vt:lpstr>Data_BeeindigingsdatumVastOntslag435</vt:lpstr>
      <vt:lpstr>Data_BeeindigingsdatumVastOntslag436</vt:lpstr>
      <vt:lpstr>Data_BeeindigingsdatumVastOntslag437</vt:lpstr>
      <vt:lpstr>Data_BeeindigingsdatumVastOntslag438</vt:lpstr>
      <vt:lpstr>Data_BeeindigingsdatumVastOntslag439</vt:lpstr>
      <vt:lpstr>Data_BeeindigingsdatumVastOntslag440</vt:lpstr>
      <vt:lpstr>Data_BeeindigingsdatumVastOntslag441</vt:lpstr>
      <vt:lpstr>Data_BeeindigingsdatumVastOntslag442</vt:lpstr>
      <vt:lpstr>Data_BeeindigingsdatumVastOntslag443</vt:lpstr>
      <vt:lpstr>Data_BeeindigingsdatumVastOntslag444</vt:lpstr>
      <vt:lpstr>Data_BeeindigingsdatumVastOntslag445</vt:lpstr>
      <vt:lpstr>Data_BeeindigingsdatumVastOntslag446</vt:lpstr>
      <vt:lpstr>Data_BeeindigingsdatumVastOntslag447</vt:lpstr>
      <vt:lpstr>Data_BeeindigingsdatumVastOntslag448</vt:lpstr>
      <vt:lpstr>Data_BeeindigingsdatumVastOntslag449</vt:lpstr>
      <vt:lpstr>Data_BeeindigingsdatumVastOntslag450</vt:lpstr>
      <vt:lpstr>Data_BeeindigingsdatumVastOntslag451</vt:lpstr>
      <vt:lpstr>Data_BeeindigingsdatumVastOntslag452</vt:lpstr>
      <vt:lpstr>Data_BeeindigingsdatumVastOntslag453</vt:lpstr>
      <vt:lpstr>Data_BeeindigingsdatumVastOntslag454</vt:lpstr>
      <vt:lpstr>Data_BeeindigingsdatumVastOntslag455</vt:lpstr>
      <vt:lpstr>Data_BeeindigingsdatumVastOntslag456</vt:lpstr>
      <vt:lpstr>Data_BeeindigingsdatumVastOntslag457</vt:lpstr>
      <vt:lpstr>Data_BeeindigingsdatumVastOntslag458</vt:lpstr>
      <vt:lpstr>Data_BeeindigingsdatumVastOntslag459</vt:lpstr>
      <vt:lpstr>Data_BeeindigingsdatumVastOntslag460</vt:lpstr>
      <vt:lpstr>Data_BeeindigingsdatumVastOntslag461</vt:lpstr>
      <vt:lpstr>Data_BeeindigingsdatumVastOntslag462</vt:lpstr>
      <vt:lpstr>Data_BeeindigingsdatumVastOntslag463</vt:lpstr>
      <vt:lpstr>Data_BeeindigingsdatumVastOntslag464</vt:lpstr>
      <vt:lpstr>Data_BeeindigingsdatumVastOntslag465</vt:lpstr>
      <vt:lpstr>Data_BeeindigingsdatumVastOntslag466</vt:lpstr>
      <vt:lpstr>Data_BeeindigingsdatumVastOntslag467</vt:lpstr>
      <vt:lpstr>Data_BeeindigingsdatumVastOntslag468</vt:lpstr>
      <vt:lpstr>Data_BeeindigingsdatumVastOntslag469</vt:lpstr>
      <vt:lpstr>Data_BeeindigingsdatumVastOntslag470</vt:lpstr>
      <vt:lpstr>Data_BeeindigingsdatumVastOntslag471</vt:lpstr>
      <vt:lpstr>Data_BeeindigingsdatumVastOntslag472</vt:lpstr>
      <vt:lpstr>Data_BeeindigingsdatumVastOntslag473</vt:lpstr>
      <vt:lpstr>Data_BeeindigingsdatumVastOntslag474</vt:lpstr>
      <vt:lpstr>Data_BeeindigingsdatumVastOntslag475</vt:lpstr>
      <vt:lpstr>Data_BeeindigingsdatumVastOntslag476</vt:lpstr>
      <vt:lpstr>Data_BeeindigingsdatumVastOntslag477</vt:lpstr>
      <vt:lpstr>Data_BeeindigingsdatumVastOntslag478</vt:lpstr>
      <vt:lpstr>Data_BeeindigingsdatumVastOntslag479</vt:lpstr>
      <vt:lpstr>Data_BeeindigingsdatumVastOntslag480</vt:lpstr>
      <vt:lpstr>Data_BeeindigingsdatumVastOntslag481</vt:lpstr>
      <vt:lpstr>Data_BeeindigingsdatumVastOntslag482</vt:lpstr>
      <vt:lpstr>Data_BeeindigingsdatumVastOntslag483</vt:lpstr>
      <vt:lpstr>Data_BeeindigingsdatumVastOntslag484</vt:lpstr>
      <vt:lpstr>Data_BeeindigingsdatumVastOntslag485</vt:lpstr>
      <vt:lpstr>Data_BeeindigingsdatumVastOntslag486</vt:lpstr>
      <vt:lpstr>Data_BeeindigingsdatumVastOntslag487</vt:lpstr>
      <vt:lpstr>Data_BeeindigingsdatumVastOntslag488</vt:lpstr>
      <vt:lpstr>Data_BeeindigingsdatumVastOntslag489</vt:lpstr>
      <vt:lpstr>Data_BeeindigingsdatumVastOntslag490</vt:lpstr>
      <vt:lpstr>Data_BeeindigingsdatumVastOntslag491</vt:lpstr>
      <vt:lpstr>Data_BeeindigingsdatumVastOntslag492</vt:lpstr>
      <vt:lpstr>Data_BeeindigingsdatumVastOntslag493</vt:lpstr>
      <vt:lpstr>Data_BeeindigingsdatumVastOntslag494</vt:lpstr>
      <vt:lpstr>Data_BeeindigingsdatumVastOntslag495</vt:lpstr>
      <vt:lpstr>Data_BeeindigingsdatumVastOntslag496</vt:lpstr>
      <vt:lpstr>Data_BeeindigingsdatumVastOntslag497</vt:lpstr>
      <vt:lpstr>Data_BeeindigingsdatumVastOntslag498</vt:lpstr>
      <vt:lpstr>Data_BeeindigingsdatumVastOntslag499</vt:lpstr>
      <vt:lpstr>Data_BeeindigingsdatumVastOntslag500</vt:lpstr>
      <vt:lpstr>Data_BeeindigingsdatumVastVrij001</vt:lpstr>
      <vt:lpstr>Data_BeeindigingsdatumVastVrij002</vt:lpstr>
      <vt:lpstr>Data_BeeindigingsdatumVastVrij003</vt:lpstr>
      <vt:lpstr>Data_BeeindigingsdatumVastVrij004</vt:lpstr>
      <vt:lpstr>Data_BeeindigingsdatumVastVrij005</vt:lpstr>
      <vt:lpstr>Data_BeeindigingsdatumVastVrij006</vt:lpstr>
      <vt:lpstr>Data_BeeindigingsdatumVastVrij007</vt:lpstr>
      <vt:lpstr>Data_BeeindigingsdatumVastVrij008</vt:lpstr>
      <vt:lpstr>Data_BeeindigingsdatumVastVrij009</vt:lpstr>
      <vt:lpstr>Data_BeeindigingsdatumVastVrij010</vt:lpstr>
      <vt:lpstr>Data_BeeindigingsdatumVastVrij011</vt:lpstr>
      <vt:lpstr>Data_BeeindigingsdatumVastVrij012</vt:lpstr>
      <vt:lpstr>Data_BeeindigingsdatumVastVrij013</vt:lpstr>
      <vt:lpstr>Data_BeeindigingsdatumVastVrij014</vt:lpstr>
      <vt:lpstr>Data_BeeindigingsdatumVastVrij015</vt:lpstr>
      <vt:lpstr>Data_BeeindigingsdatumVastVrij016</vt:lpstr>
      <vt:lpstr>Data_BeeindigingsdatumVastVrij017</vt:lpstr>
      <vt:lpstr>Data_BeeindigingsdatumVastVrij018</vt:lpstr>
      <vt:lpstr>Data_BeeindigingsdatumVastVrij019</vt:lpstr>
      <vt:lpstr>Data_BeeindigingsdatumVastVrij020</vt:lpstr>
      <vt:lpstr>Data_BeeindigingsdatumVastVrij021</vt:lpstr>
      <vt:lpstr>Data_BeeindigingsdatumVastVrij022</vt:lpstr>
      <vt:lpstr>Data_BeeindigingsdatumVastVrij023</vt:lpstr>
      <vt:lpstr>Data_BeeindigingsdatumVastVrij024</vt:lpstr>
      <vt:lpstr>Data_BeeindigingsdatumVastVrij025</vt:lpstr>
      <vt:lpstr>Data_BeeindigingsdatumVastVrij026</vt:lpstr>
      <vt:lpstr>Data_BeeindigingsdatumVastVrij027</vt:lpstr>
      <vt:lpstr>Data_BeeindigingsdatumVastVrij028</vt:lpstr>
      <vt:lpstr>Data_BeeindigingsdatumVastVrij029</vt:lpstr>
      <vt:lpstr>Data_BeeindigingsdatumVastVrij030</vt:lpstr>
      <vt:lpstr>Data_BeeindigingsdatumVastVrij031</vt:lpstr>
      <vt:lpstr>Data_BeeindigingsdatumVastVrij032</vt:lpstr>
      <vt:lpstr>Data_BeeindigingsdatumVastVrij033</vt:lpstr>
      <vt:lpstr>Data_BeeindigingsdatumVastVrij034</vt:lpstr>
      <vt:lpstr>Data_BeeindigingsdatumVastVrij035</vt:lpstr>
      <vt:lpstr>Data_BeeindigingsdatumVastVrij036</vt:lpstr>
      <vt:lpstr>Data_BeeindigingsdatumVastVrij037</vt:lpstr>
      <vt:lpstr>Data_BeeindigingsdatumVastVrij038</vt:lpstr>
      <vt:lpstr>Data_BeeindigingsdatumVastVrij039</vt:lpstr>
      <vt:lpstr>Data_BeeindigingsdatumVastVrij040</vt:lpstr>
      <vt:lpstr>Data_BeeindigingsdatumVastVrij041</vt:lpstr>
      <vt:lpstr>Data_BeeindigingsdatumVastVrij042</vt:lpstr>
      <vt:lpstr>Data_BeeindigingsdatumVastVrij043</vt:lpstr>
      <vt:lpstr>Data_BeeindigingsdatumVastVrij044</vt:lpstr>
      <vt:lpstr>Data_BeeindigingsdatumVastVrij045</vt:lpstr>
      <vt:lpstr>Data_BeeindigingsdatumVastVrij046</vt:lpstr>
      <vt:lpstr>Data_BeeindigingsdatumVastVrij047</vt:lpstr>
      <vt:lpstr>Data_BeeindigingsdatumVastVrij048</vt:lpstr>
      <vt:lpstr>Data_BeeindigingsdatumVastVrij049</vt:lpstr>
      <vt:lpstr>Data_BeeindigingsdatumVastVrij050</vt:lpstr>
      <vt:lpstr>Data_BeeindigingsdatumVastVrij051</vt:lpstr>
      <vt:lpstr>Data_BeeindigingsdatumVastVrij052</vt:lpstr>
      <vt:lpstr>Data_BeeindigingsdatumVastVrij053</vt:lpstr>
      <vt:lpstr>Data_BeeindigingsdatumVastVrij054</vt:lpstr>
      <vt:lpstr>Data_BeeindigingsdatumVastVrij055</vt:lpstr>
      <vt:lpstr>Data_BeeindigingsdatumVastVrij056</vt:lpstr>
      <vt:lpstr>Data_BeeindigingsdatumVastVrij057</vt:lpstr>
      <vt:lpstr>Data_BeeindigingsdatumVastVrij058</vt:lpstr>
      <vt:lpstr>Data_BeeindigingsdatumVastVrij059</vt:lpstr>
      <vt:lpstr>Data_BeeindigingsdatumVastVrij060</vt:lpstr>
      <vt:lpstr>Data_BeeindigingsdatumVastVrij061</vt:lpstr>
      <vt:lpstr>Data_BeeindigingsdatumVastVrij062</vt:lpstr>
      <vt:lpstr>Data_BeeindigingsdatumVastVrij063</vt:lpstr>
      <vt:lpstr>Data_BeeindigingsdatumVastVrij064</vt:lpstr>
      <vt:lpstr>Data_BeeindigingsdatumVastVrij065</vt:lpstr>
      <vt:lpstr>Data_BeeindigingsdatumVastVrij066</vt:lpstr>
      <vt:lpstr>Data_BeeindigingsdatumVastVrij067</vt:lpstr>
      <vt:lpstr>Data_BeeindigingsdatumVastVrij068</vt:lpstr>
      <vt:lpstr>Data_BeeindigingsdatumVastVrij069</vt:lpstr>
      <vt:lpstr>Data_BeeindigingsdatumVastVrij070</vt:lpstr>
      <vt:lpstr>Data_BeeindigingsdatumVastVrij071</vt:lpstr>
      <vt:lpstr>Data_BeeindigingsdatumVastVrij072</vt:lpstr>
      <vt:lpstr>Data_BeeindigingsdatumVastVrij073</vt:lpstr>
      <vt:lpstr>Data_BeeindigingsdatumVastVrij074</vt:lpstr>
      <vt:lpstr>Data_BeeindigingsdatumVastVrij075</vt:lpstr>
      <vt:lpstr>Data_BeeindigingsdatumVastVrij076</vt:lpstr>
      <vt:lpstr>Data_BeeindigingsdatumVastVrij077</vt:lpstr>
      <vt:lpstr>Data_BeeindigingsdatumVastVrij078</vt:lpstr>
      <vt:lpstr>Data_BeeindigingsdatumVastVrij079</vt:lpstr>
      <vt:lpstr>Data_BeeindigingsdatumVastVrij080</vt:lpstr>
      <vt:lpstr>Data_BeeindigingsdatumVastVrij081</vt:lpstr>
      <vt:lpstr>Data_BeeindigingsdatumVastVrij082</vt:lpstr>
      <vt:lpstr>Data_BeeindigingsdatumVastVrij083</vt:lpstr>
      <vt:lpstr>Data_BeeindigingsdatumVastVrij084</vt:lpstr>
      <vt:lpstr>Data_BeeindigingsdatumVastVrij085</vt:lpstr>
      <vt:lpstr>Data_BeeindigingsdatumVastVrij086</vt:lpstr>
      <vt:lpstr>Data_BeeindigingsdatumVastVrij087</vt:lpstr>
      <vt:lpstr>Data_BeeindigingsdatumVastVrij088</vt:lpstr>
      <vt:lpstr>Data_BeeindigingsdatumVastVrij089</vt:lpstr>
      <vt:lpstr>Data_BeeindigingsdatumVastVrij090</vt:lpstr>
      <vt:lpstr>Data_BeeindigingsdatumVastVrij091</vt:lpstr>
      <vt:lpstr>Data_BeeindigingsdatumVastVrij092</vt:lpstr>
      <vt:lpstr>Data_BeeindigingsdatumVastVrij093</vt:lpstr>
      <vt:lpstr>Data_BeeindigingsdatumVastVrij094</vt:lpstr>
      <vt:lpstr>Data_BeeindigingsdatumVastVrij095</vt:lpstr>
      <vt:lpstr>Data_BeeindigingsdatumVastVrij096</vt:lpstr>
      <vt:lpstr>Data_BeeindigingsdatumVastVrij097</vt:lpstr>
      <vt:lpstr>Data_BeeindigingsdatumVastVrij098</vt:lpstr>
      <vt:lpstr>Data_BeeindigingsdatumVastVrij099</vt:lpstr>
      <vt:lpstr>Data_BeeindigingsdatumVastVrij100</vt:lpstr>
      <vt:lpstr>Data_BeeindigingsdatumVastVrij101</vt:lpstr>
      <vt:lpstr>Data_BeeindigingsdatumVastVrij102</vt:lpstr>
      <vt:lpstr>Data_BeeindigingsdatumVastVrij103</vt:lpstr>
      <vt:lpstr>Data_BeeindigingsdatumVastVrij104</vt:lpstr>
      <vt:lpstr>Data_BeeindigingsdatumVastVrij105</vt:lpstr>
      <vt:lpstr>Data_BeeindigingsdatumVastVrij106</vt:lpstr>
      <vt:lpstr>Data_BeeindigingsdatumVastVrij107</vt:lpstr>
      <vt:lpstr>Data_BeeindigingsdatumVastVrij108</vt:lpstr>
      <vt:lpstr>Data_BeeindigingsdatumVastVrij109</vt:lpstr>
      <vt:lpstr>Data_BeeindigingsdatumVastVrij110</vt:lpstr>
      <vt:lpstr>Data_BeeindigingsdatumVastVrij111</vt:lpstr>
      <vt:lpstr>Data_BeeindigingsdatumVastVrij112</vt:lpstr>
      <vt:lpstr>Data_BeeindigingsdatumVastVrij113</vt:lpstr>
      <vt:lpstr>Data_BeeindigingsdatumVastVrij114</vt:lpstr>
      <vt:lpstr>Data_BeeindigingsdatumVastVrij115</vt:lpstr>
      <vt:lpstr>Data_BeeindigingsdatumVastVrij116</vt:lpstr>
      <vt:lpstr>Data_BeeindigingsdatumVastVrij117</vt:lpstr>
      <vt:lpstr>Data_BeeindigingsdatumVastVrij118</vt:lpstr>
      <vt:lpstr>Data_BeeindigingsdatumVastVrij119</vt:lpstr>
      <vt:lpstr>Data_BeeindigingsdatumVastVrij120</vt:lpstr>
      <vt:lpstr>Data_BeeindigingsdatumVastVrij121</vt:lpstr>
      <vt:lpstr>Data_BeeindigingsdatumVastVrij122</vt:lpstr>
      <vt:lpstr>Data_BeeindigingsdatumVastVrij123</vt:lpstr>
      <vt:lpstr>Data_BeeindigingsdatumVastVrij124</vt:lpstr>
      <vt:lpstr>Data_BeeindigingsdatumVastVrij125</vt:lpstr>
      <vt:lpstr>Data_BeeindigingsdatumVastVrij126</vt:lpstr>
      <vt:lpstr>Data_BeeindigingsdatumVastVrij127</vt:lpstr>
      <vt:lpstr>Data_BeeindigingsdatumVastVrij128</vt:lpstr>
      <vt:lpstr>Data_BeeindigingsdatumVastVrij129</vt:lpstr>
      <vt:lpstr>Data_BeeindigingsdatumVastVrij130</vt:lpstr>
      <vt:lpstr>Data_BeeindigingsdatumVastVrij131</vt:lpstr>
      <vt:lpstr>Data_BeeindigingsdatumVastVrij132</vt:lpstr>
      <vt:lpstr>Data_BeeindigingsdatumVastVrij133</vt:lpstr>
      <vt:lpstr>Data_BeeindigingsdatumVastVrij134</vt:lpstr>
      <vt:lpstr>Data_BeeindigingsdatumVastVrij135</vt:lpstr>
      <vt:lpstr>Data_BeeindigingsdatumVastVrij136</vt:lpstr>
      <vt:lpstr>Data_BeeindigingsdatumVastVrij137</vt:lpstr>
      <vt:lpstr>Data_BeeindigingsdatumVastVrij138</vt:lpstr>
      <vt:lpstr>Data_BeeindigingsdatumVastVrij139</vt:lpstr>
      <vt:lpstr>Data_BeeindigingsdatumVastVrij140</vt:lpstr>
      <vt:lpstr>Data_BeeindigingsdatumVastVrij141</vt:lpstr>
      <vt:lpstr>Data_BeeindigingsdatumVastVrij142</vt:lpstr>
      <vt:lpstr>Data_BeeindigingsdatumVastVrij143</vt:lpstr>
      <vt:lpstr>Data_BeeindigingsdatumVastVrij144</vt:lpstr>
      <vt:lpstr>Data_BeeindigingsdatumVastVrij145</vt:lpstr>
      <vt:lpstr>Data_BeeindigingsdatumVastVrij146</vt:lpstr>
      <vt:lpstr>Data_BeeindigingsdatumVastVrij147</vt:lpstr>
      <vt:lpstr>Data_BeeindigingsdatumVastVrij148</vt:lpstr>
      <vt:lpstr>Data_BeeindigingsdatumVastVrij149</vt:lpstr>
      <vt:lpstr>Data_BeeindigingsdatumVastVrij150</vt:lpstr>
      <vt:lpstr>Data_BeeindigingsdatumVastVrij151</vt:lpstr>
      <vt:lpstr>Data_BeeindigingsdatumVastVrij152</vt:lpstr>
      <vt:lpstr>Data_BeeindigingsdatumVastVrij153</vt:lpstr>
      <vt:lpstr>Data_BeeindigingsdatumVastVrij154</vt:lpstr>
      <vt:lpstr>Data_BeeindigingsdatumVastVrij155</vt:lpstr>
      <vt:lpstr>Data_BeeindigingsdatumVastVrij156</vt:lpstr>
      <vt:lpstr>Data_BeeindigingsdatumVastVrij157</vt:lpstr>
      <vt:lpstr>Data_BeeindigingsdatumVastVrij158</vt:lpstr>
      <vt:lpstr>Data_BeeindigingsdatumVastVrij159</vt:lpstr>
      <vt:lpstr>Data_BeeindigingsdatumVastVrij160</vt:lpstr>
      <vt:lpstr>Data_BeeindigingsdatumVastVrij161</vt:lpstr>
      <vt:lpstr>Data_BeeindigingsdatumVastVrij162</vt:lpstr>
      <vt:lpstr>Data_BeeindigingsdatumVastVrij163</vt:lpstr>
      <vt:lpstr>Data_BeeindigingsdatumVastVrij164</vt:lpstr>
      <vt:lpstr>Data_BeeindigingsdatumVastVrij165</vt:lpstr>
      <vt:lpstr>Data_BeeindigingsdatumVastVrij166</vt:lpstr>
      <vt:lpstr>Data_BeeindigingsdatumVastVrij167</vt:lpstr>
      <vt:lpstr>Data_BeeindigingsdatumVastVrij168</vt:lpstr>
      <vt:lpstr>Data_BeeindigingsdatumVastVrij169</vt:lpstr>
      <vt:lpstr>Data_BeeindigingsdatumVastVrij170</vt:lpstr>
      <vt:lpstr>Data_BeeindigingsdatumVastVrij171</vt:lpstr>
      <vt:lpstr>Data_BeeindigingsdatumVastVrij172</vt:lpstr>
      <vt:lpstr>Data_BeeindigingsdatumVastVrij173</vt:lpstr>
      <vt:lpstr>Data_BeeindigingsdatumVastVrij174</vt:lpstr>
      <vt:lpstr>Data_BeeindigingsdatumVastVrij175</vt:lpstr>
      <vt:lpstr>Data_BeeindigingsdatumVastVrij176</vt:lpstr>
      <vt:lpstr>Data_BeeindigingsdatumVastVrij177</vt:lpstr>
      <vt:lpstr>Data_BeeindigingsdatumVastVrij178</vt:lpstr>
      <vt:lpstr>Data_BeeindigingsdatumVastVrij179</vt:lpstr>
      <vt:lpstr>Data_BeeindigingsdatumVastVrij180</vt:lpstr>
      <vt:lpstr>Data_BeeindigingsdatumVastVrij181</vt:lpstr>
      <vt:lpstr>Data_BeeindigingsdatumVastVrij182</vt:lpstr>
      <vt:lpstr>Data_BeeindigingsdatumVastVrij183</vt:lpstr>
      <vt:lpstr>Data_BeeindigingsdatumVastVrij184</vt:lpstr>
      <vt:lpstr>Data_BeeindigingsdatumVastVrij185</vt:lpstr>
      <vt:lpstr>Data_BeeindigingsdatumVastVrij186</vt:lpstr>
      <vt:lpstr>Data_BeeindigingsdatumVastVrij187</vt:lpstr>
      <vt:lpstr>Data_BeeindigingsdatumVastVrij188</vt:lpstr>
      <vt:lpstr>Data_BeeindigingsdatumVastVrij189</vt:lpstr>
      <vt:lpstr>Data_BeeindigingsdatumVastVrij190</vt:lpstr>
      <vt:lpstr>Data_BeeindigingsdatumVastVrij191</vt:lpstr>
      <vt:lpstr>Data_BeeindigingsdatumVastVrij192</vt:lpstr>
      <vt:lpstr>Data_BeeindigingsdatumVastVrij193</vt:lpstr>
      <vt:lpstr>Data_BeeindigingsdatumVastVrij194</vt:lpstr>
      <vt:lpstr>Data_BeeindigingsdatumVastVrij195</vt:lpstr>
      <vt:lpstr>Data_BeeindigingsdatumVastVrij196</vt:lpstr>
      <vt:lpstr>Data_BeeindigingsdatumVastVrij197</vt:lpstr>
      <vt:lpstr>Data_BeeindigingsdatumVastVrij198</vt:lpstr>
      <vt:lpstr>Data_BeeindigingsdatumVastVrij199</vt:lpstr>
      <vt:lpstr>Data_BeeindigingsdatumVastVrij200</vt:lpstr>
      <vt:lpstr>Data_BeeindigingsdatumVastVrij201</vt:lpstr>
      <vt:lpstr>Data_BeeindigingsdatumVastVrij202</vt:lpstr>
      <vt:lpstr>Data_BeeindigingsdatumVastVrij203</vt:lpstr>
      <vt:lpstr>Data_BeeindigingsdatumVastVrij204</vt:lpstr>
      <vt:lpstr>Data_BeeindigingsdatumVastVrij205</vt:lpstr>
      <vt:lpstr>Data_BeeindigingsdatumVastVrij206</vt:lpstr>
      <vt:lpstr>Data_BeeindigingsdatumVastVrij207</vt:lpstr>
      <vt:lpstr>Data_BeeindigingsdatumVastVrij208</vt:lpstr>
      <vt:lpstr>Data_BeeindigingsdatumVastVrij209</vt:lpstr>
      <vt:lpstr>Data_BeeindigingsdatumVastVrij210</vt:lpstr>
      <vt:lpstr>Data_BeeindigingsdatumVastVrij211</vt:lpstr>
      <vt:lpstr>Data_BeeindigingsdatumVastVrij212</vt:lpstr>
      <vt:lpstr>Data_BeeindigingsdatumVastVrij213</vt:lpstr>
      <vt:lpstr>Data_BeeindigingsdatumVastVrij214</vt:lpstr>
      <vt:lpstr>Data_BeeindigingsdatumVastVrij215</vt:lpstr>
      <vt:lpstr>Data_BeeindigingsdatumVastVrij216</vt:lpstr>
      <vt:lpstr>Data_BeeindigingsdatumVastVrij217</vt:lpstr>
      <vt:lpstr>Data_BeeindigingsdatumVastVrij218</vt:lpstr>
      <vt:lpstr>Data_BeeindigingsdatumVastVrij219</vt:lpstr>
      <vt:lpstr>Data_BeeindigingsdatumVastVrij220</vt:lpstr>
      <vt:lpstr>Data_BeeindigingsdatumVastVrij221</vt:lpstr>
      <vt:lpstr>Data_BeeindigingsdatumVastVrij222</vt:lpstr>
      <vt:lpstr>Data_BeeindigingsdatumVastVrij223</vt:lpstr>
      <vt:lpstr>Data_BeeindigingsdatumVastVrij224</vt:lpstr>
      <vt:lpstr>Data_BeeindigingsdatumVastVrij225</vt:lpstr>
      <vt:lpstr>Data_BeeindigingsdatumVastVrij226</vt:lpstr>
      <vt:lpstr>Data_BeeindigingsdatumVastVrij227</vt:lpstr>
      <vt:lpstr>Data_BeeindigingsdatumVastVrij228</vt:lpstr>
      <vt:lpstr>Data_BeeindigingsdatumVastVrij229</vt:lpstr>
      <vt:lpstr>Data_BeeindigingsdatumVastVrij230</vt:lpstr>
      <vt:lpstr>Data_BeeindigingsdatumVastVrij231</vt:lpstr>
      <vt:lpstr>Data_BeeindigingsdatumVastVrij232</vt:lpstr>
      <vt:lpstr>Data_BeeindigingsdatumVastVrij233</vt:lpstr>
      <vt:lpstr>Data_BeeindigingsdatumVastVrij234</vt:lpstr>
      <vt:lpstr>Data_BeeindigingsdatumVastVrij235</vt:lpstr>
      <vt:lpstr>Data_BeeindigingsdatumVastVrij236</vt:lpstr>
      <vt:lpstr>Data_BeeindigingsdatumVastVrij237</vt:lpstr>
      <vt:lpstr>Data_BeeindigingsdatumVastVrij238</vt:lpstr>
      <vt:lpstr>Data_BeeindigingsdatumVastVrij239</vt:lpstr>
      <vt:lpstr>Data_BeeindigingsdatumVastVrij240</vt:lpstr>
      <vt:lpstr>Data_BeeindigingsdatumVastVrij241</vt:lpstr>
      <vt:lpstr>Data_BeeindigingsdatumVastVrij242</vt:lpstr>
      <vt:lpstr>Data_BeeindigingsdatumVastVrij243</vt:lpstr>
      <vt:lpstr>Data_BeeindigingsdatumVastVrij244</vt:lpstr>
      <vt:lpstr>Data_BeeindigingsdatumVastVrij245</vt:lpstr>
      <vt:lpstr>Data_BeeindigingsdatumVastVrij246</vt:lpstr>
      <vt:lpstr>Data_BeeindigingsdatumVastVrij247</vt:lpstr>
      <vt:lpstr>Data_BeeindigingsdatumVastVrij248</vt:lpstr>
      <vt:lpstr>Data_BeeindigingsdatumVastVrij249</vt:lpstr>
      <vt:lpstr>Data_BeeindigingsdatumVastVrij250</vt:lpstr>
      <vt:lpstr>Data_BeeindigingsdatumVastVrij251</vt:lpstr>
      <vt:lpstr>Data_BeeindigingsdatumVastVrij252</vt:lpstr>
      <vt:lpstr>Data_BeeindigingsdatumVastVrij253</vt:lpstr>
      <vt:lpstr>Data_BeeindigingsdatumVastVrij254</vt:lpstr>
      <vt:lpstr>Data_BeeindigingsdatumVastVrij255</vt:lpstr>
      <vt:lpstr>Data_BeeindigingsdatumVastVrij256</vt:lpstr>
      <vt:lpstr>Data_BeeindigingsdatumVastVrij257</vt:lpstr>
      <vt:lpstr>Data_BeeindigingsdatumVastVrij258</vt:lpstr>
      <vt:lpstr>Data_BeeindigingsdatumVastVrij259</vt:lpstr>
      <vt:lpstr>Data_BeeindigingsdatumVastVrij260</vt:lpstr>
      <vt:lpstr>Data_BeeindigingsdatumVastVrij261</vt:lpstr>
      <vt:lpstr>Data_BeeindigingsdatumVastVrij262</vt:lpstr>
      <vt:lpstr>Data_BeeindigingsdatumVastVrij263</vt:lpstr>
      <vt:lpstr>Data_BeeindigingsdatumVastVrij264</vt:lpstr>
      <vt:lpstr>Data_BeeindigingsdatumVastVrij265</vt:lpstr>
      <vt:lpstr>Data_BeeindigingsdatumVastVrij266</vt:lpstr>
      <vt:lpstr>Data_BeeindigingsdatumVastVrij267</vt:lpstr>
      <vt:lpstr>Data_BeeindigingsdatumVastVrij268</vt:lpstr>
      <vt:lpstr>Data_BeeindigingsdatumVastVrij269</vt:lpstr>
      <vt:lpstr>Data_BeeindigingsdatumVastVrij270</vt:lpstr>
      <vt:lpstr>Data_BeeindigingsdatumVastVrij271</vt:lpstr>
      <vt:lpstr>Data_BeeindigingsdatumVastVrij272</vt:lpstr>
      <vt:lpstr>Data_BeeindigingsdatumVastVrij273</vt:lpstr>
      <vt:lpstr>Data_BeeindigingsdatumVastVrij274</vt:lpstr>
      <vt:lpstr>Data_BeeindigingsdatumVastVrij275</vt:lpstr>
      <vt:lpstr>Data_BeeindigingsdatumVastVrij276</vt:lpstr>
      <vt:lpstr>Data_BeeindigingsdatumVastVrij277</vt:lpstr>
      <vt:lpstr>Data_BeeindigingsdatumVastVrij278</vt:lpstr>
      <vt:lpstr>Data_BeeindigingsdatumVastVrij279</vt:lpstr>
      <vt:lpstr>Data_BeeindigingsdatumVastVrij280</vt:lpstr>
      <vt:lpstr>Data_BeeindigingsdatumVastVrij281</vt:lpstr>
      <vt:lpstr>Data_BeeindigingsdatumVastVrij282</vt:lpstr>
      <vt:lpstr>Data_BeeindigingsdatumVastVrij283</vt:lpstr>
      <vt:lpstr>Data_BeeindigingsdatumVastVrij284</vt:lpstr>
      <vt:lpstr>Data_BeeindigingsdatumVastVrij285</vt:lpstr>
      <vt:lpstr>Data_BeeindigingsdatumVastVrij286</vt:lpstr>
      <vt:lpstr>Data_BeeindigingsdatumVastVrij287</vt:lpstr>
      <vt:lpstr>Data_BeeindigingsdatumVastVrij288</vt:lpstr>
      <vt:lpstr>Data_BeeindigingsdatumVastVrij289</vt:lpstr>
      <vt:lpstr>Data_BeeindigingsdatumVastVrij290</vt:lpstr>
      <vt:lpstr>Data_BeeindigingsdatumVastVrij291</vt:lpstr>
      <vt:lpstr>Data_BeeindigingsdatumVastVrij292</vt:lpstr>
      <vt:lpstr>Data_BeeindigingsdatumVastVrij293</vt:lpstr>
      <vt:lpstr>Data_BeeindigingsdatumVastVrij294</vt:lpstr>
      <vt:lpstr>Data_BeeindigingsdatumVastVrij295</vt:lpstr>
      <vt:lpstr>Data_BeeindigingsdatumVastVrij296</vt:lpstr>
      <vt:lpstr>Data_BeeindigingsdatumVastVrij297</vt:lpstr>
      <vt:lpstr>Data_BeeindigingsdatumVastVrij298</vt:lpstr>
      <vt:lpstr>Data_BeeindigingsdatumVastVrij299</vt:lpstr>
      <vt:lpstr>Data_BeeindigingsdatumVastVrij300</vt:lpstr>
      <vt:lpstr>Data_BeeindigingsdatumVastVrij301</vt:lpstr>
      <vt:lpstr>Data_BeeindigingsdatumVastVrij302</vt:lpstr>
      <vt:lpstr>Data_BeeindigingsdatumVastVrij303</vt:lpstr>
      <vt:lpstr>Data_BeeindigingsdatumVastVrij304</vt:lpstr>
      <vt:lpstr>Data_BeeindigingsdatumVastVrij305</vt:lpstr>
      <vt:lpstr>Data_BeeindigingsdatumVastVrij306</vt:lpstr>
      <vt:lpstr>Data_BeeindigingsdatumVastVrij307</vt:lpstr>
      <vt:lpstr>Data_BeeindigingsdatumVastVrij308</vt:lpstr>
      <vt:lpstr>Data_BeeindigingsdatumVastVrij309</vt:lpstr>
      <vt:lpstr>Data_BeeindigingsdatumVastVrij310</vt:lpstr>
      <vt:lpstr>Data_BeeindigingsdatumVastVrij311</vt:lpstr>
      <vt:lpstr>Data_BeeindigingsdatumVastVrij312</vt:lpstr>
      <vt:lpstr>Data_BeeindigingsdatumVastVrij313</vt:lpstr>
      <vt:lpstr>Data_BeeindigingsdatumVastVrij314</vt:lpstr>
      <vt:lpstr>Data_BeeindigingsdatumVastVrij315</vt:lpstr>
      <vt:lpstr>Data_BeeindigingsdatumVastVrij316</vt:lpstr>
      <vt:lpstr>Data_BeeindigingsdatumVastVrij317</vt:lpstr>
      <vt:lpstr>Data_BeeindigingsdatumVastVrij318</vt:lpstr>
      <vt:lpstr>Data_BeeindigingsdatumVastVrij319</vt:lpstr>
      <vt:lpstr>Data_BeeindigingsdatumVastVrij320</vt:lpstr>
      <vt:lpstr>Data_BeeindigingsdatumVastVrij321</vt:lpstr>
      <vt:lpstr>Data_BeeindigingsdatumVastVrij322</vt:lpstr>
      <vt:lpstr>Data_BeeindigingsdatumVastVrij323</vt:lpstr>
      <vt:lpstr>Data_BeeindigingsdatumVastVrij324</vt:lpstr>
      <vt:lpstr>Data_BeeindigingsdatumVastVrij325</vt:lpstr>
      <vt:lpstr>Data_BeeindigingsdatumVastVrij326</vt:lpstr>
      <vt:lpstr>Data_BeeindigingsdatumVastVrij327</vt:lpstr>
      <vt:lpstr>Data_BeeindigingsdatumVastVrij328</vt:lpstr>
      <vt:lpstr>Data_BeeindigingsdatumVastVrij329</vt:lpstr>
      <vt:lpstr>Data_BeeindigingsdatumVastVrij330</vt:lpstr>
      <vt:lpstr>Data_BeeindigingsdatumVastVrij331</vt:lpstr>
      <vt:lpstr>Data_BeeindigingsdatumVastVrij332</vt:lpstr>
      <vt:lpstr>Data_BeeindigingsdatumVastVrij333</vt:lpstr>
      <vt:lpstr>Data_BeeindigingsdatumVastVrij334</vt:lpstr>
      <vt:lpstr>Data_BeeindigingsdatumVastVrij335</vt:lpstr>
      <vt:lpstr>Data_BeeindigingsdatumVastVrij336</vt:lpstr>
      <vt:lpstr>Data_BeeindigingsdatumVastVrij337</vt:lpstr>
      <vt:lpstr>Data_BeeindigingsdatumVastVrij338</vt:lpstr>
      <vt:lpstr>Data_BeeindigingsdatumVastVrij339</vt:lpstr>
      <vt:lpstr>Data_BeeindigingsdatumVastVrij340</vt:lpstr>
      <vt:lpstr>Data_BeeindigingsdatumVastVrij341</vt:lpstr>
      <vt:lpstr>Data_BeeindigingsdatumVastVrij342</vt:lpstr>
      <vt:lpstr>Data_BeeindigingsdatumVastVrij343</vt:lpstr>
      <vt:lpstr>Data_BeeindigingsdatumVastVrij344</vt:lpstr>
      <vt:lpstr>Data_BeeindigingsdatumVastVrij345</vt:lpstr>
      <vt:lpstr>Data_BeeindigingsdatumVastVrij346</vt:lpstr>
      <vt:lpstr>Data_BeeindigingsdatumVastVrij347</vt:lpstr>
      <vt:lpstr>Data_BeeindigingsdatumVastVrij348</vt:lpstr>
      <vt:lpstr>Data_BeeindigingsdatumVastVrij349</vt:lpstr>
      <vt:lpstr>Data_BeeindigingsdatumVastVrij350</vt:lpstr>
      <vt:lpstr>Data_BeeindigingsdatumVastVrij351</vt:lpstr>
      <vt:lpstr>Data_BeeindigingsdatumVastVrij352</vt:lpstr>
      <vt:lpstr>Data_BeeindigingsdatumVastVrij353</vt:lpstr>
      <vt:lpstr>Data_BeeindigingsdatumVastVrij354</vt:lpstr>
      <vt:lpstr>Data_BeeindigingsdatumVastVrij355</vt:lpstr>
      <vt:lpstr>Data_BeeindigingsdatumVastVrij356</vt:lpstr>
      <vt:lpstr>Data_BeeindigingsdatumVastVrij357</vt:lpstr>
      <vt:lpstr>Data_BeeindigingsdatumVastVrij358</vt:lpstr>
      <vt:lpstr>Data_BeeindigingsdatumVastVrij359</vt:lpstr>
      <vt:lpstr>Data_BeeindigingsdatumVastVrij360</vt:lpstr>
      <vt:lpstr>Data_BeeindigingsdatumVastVrij361</vt:lpstr>
      <vt:lpstr>Data_BeeindigingsdatumVastVrij362</vt:lpstr>
      <vt:lpstr>Data_BeeindigingsdatumVastVrij363</vt:lpstr>
      <vt:lpstr>Data_BeeindigingsdatumVastVrij364</vt:lpstr>
      <vt:lpstr>Data_BeeindigingsdatumVastVrij365</vt:lpstr>
      <vt:lpstr>Data_BeeindigingsdatumVastVrij366</vt:lpstr>
      <vt:lpstr>Data_BeeindigingsdatumVastVrij367</vt:lpstr>
      <vt:lpstr>Data_BeeindigingsdatumVastVrij368</vt:lpstr>
      <vt:lpstr>Data_BeeindigingsdatumVastVrij369</vt:lpstr>
      <vt:lpstr>Data_BeeindigingsdatumVastVrij370</vt:lpstr>
      <vt:lpstr>Data_BeeindigingsdatumVastVrij371</vt:lpstr>
      <vt:lpstr>Data_BeeindigingsdatumVastVrij372</vt:lpstr>
      <vt:lpstr>Data_BeeindigingsdatumVastVrij373</vt:lpstr>
      <vt:lpstr>Data_BeeindigingsdatumVastVrij374</vt:lpstr>
      <vt:lpstr>Data_BeeindigingsdatumVastVrij375</vt:lpstr>
      <vt:lpstr>Data_BeeindigingsdatumVastVrij376</vt:lpstr>
      <vt:lpstr>Data_BeeindigingsdatumVastVrij377</vt:lpstr>
      <vt:lpstr>Data_BeeindigingsdatumVastVrij378</vt:lpstr>
      <vt:lpstr>Data_BeeindigingsdatumVastVrij379</vt:lpstr>
      <vt:lpstr>Data_BeeindigingsdatumVastVrij380</vt:lpstr>
      <vt:lpstr>Data_BeeindigingsdatumVastVrij381</vt:lpstr>
      <vt:lpstr>Data_BeeindigingsdatumVastVrij382</vt:lpstr>
      <vt:lpstr>Data_BeeindigingsdatumVastVrij383</vt:lpstr>
      <vt:lpstr>Data_BeeindigingsdatumVastVrij384</vt:lpstr>
      <vt:lpstr>Data_BeeindigingsdatumVastVrij385</vt:lpstr>
      <vt:lpstr>Data_BeeindigingsdatumVastVrij386</vt:lpstr>
      <vt:lpstr>Data_BeeindigingsdatumVastVrij387</vt:lpstr>
      <vt:lpstr>Data_BeeindigingsdatumVastVrij388</vt:lpstr>
      <vt:lpstr>Data_BeeindigingsdatumVastVrij389</vt:lpstr>
      <vt:lpstr>Data_BeeindigingsdatumVastVrij390</vt:lpstr>
      <vt:lpstr>Data_BeeindigingsdatumVastVrij391</vt:lpstr>
      <vt:lpstr>Data_BeeindigingsdatumVastVrij392</vt:lpstr>
      <vt:lpstr>Data_BeeindigingsdatumVastVrij393</vt:lpstr>
      <vt:lpstr>Data_BeeindigingsdatumVastVrij394</vt:lpstr>
      <vt:lpstr>Data_BeeindigingsdatumVastVrij395</vt:lpstr>
      <vt:lpstr>Data_BeeindigingsdatumVastVrij396</vt:lpstr>
      <vt:lpstr>Data_BeeindigingsdatumVastVrij397</vt:lpstr>
      <vt:lpstr>Data_BeeindigingsdatumVastVrij398</vt:lpstr>
      <vt:lpstr>Data_BeeindigingsdatumVastVrij399</vt:lpstr>
      <vt:lpstr>Data_BeeindigingsdatumVastVrij400</vt:lpstr>
      <vt:lpstr>Data_BeeindigingsdatumVastVrij401</vt:lpstr>
      <vt:lpstr>Data_BeeindigingsdatumVastVrij402</vt:lpstr>
      <vt:lpstr>Data_BeeindigingsdatumVastVrij403</vt:lpstr>
      <vt:lpstr>Data_BeeindigingsdatumVastVrij404</vt:lpstr>
      <vt:lpstr>Data_BeeindigingsdatumVastVrij405</vt:lpstr>
      <vt:lpstr>Data_BeeindigingsdatumVastVrij406</vt:lpstr>
      <vt:lpstr>Data_BeeindigingsdatumVastVrij407</vt:lpstr>
      <vt:lpstr>Data_BeeindigingsdatumVastVrij408</vt:lpstr>
      <vt:lpstr>Data_BeeindigingsdatumVastVrij409</vt:lpstr>
      <vt:lpstr>Data_BeeindigingsdatumVastVrij410</vt:lpstr>
      <vt:lpstr>Data_BeeindigingsdatumVastVrij411</vt:lpstr>
      <vt:lpstr>Data_BeeindigingsdatumVastVrij412</vt:lpstr>
      <vt:lpstr>Data_BeeindigingsdatumVastVrij413</vt:lpstr>
      <vt:lpstr>Data_BeeindigingsdatumVastVrij414</vt:lpstr>
      <vt:lpstr>Data_BeeindigingsdatumVastVrij415</vt:lpstr>
      <vt:lpstr>Data_BeeindigingsdatumVastVrij416</vt:lpstr>
      <vt:lpstr>Data_BeeindigingsdatumVastVrij417</vt:lpstr>
      <vt:lpstr>Data_BeeindigingsdatumVastVrij418</vt:lpstr>
      <vt:lpstr>Data_BeeindigingsdatumVastVrij419</vt:lpstr>
      <vt:lpstr>Data_BeeindigingsdatumVastVrij420</vt:lpstr>
      <vt:lpstr>Data_BeeindigingsdatumVastVrij421</vt:lpstr>
      <vt:lpstr>Data_BeeindigingsdatumVastVrij422</vt:lpstr>
      <vt:lpstr>Data_BeeindigingsdatumVastVrij423</vt:lpstr>
      <vt:lpstr>Data_BeeindigingsdatumVastVrij424</vt:lpstr>
      <vt:lpstr>Data_BeeindigingsdatumVastVrij425</vt:lpstr>
      <vt:lpstr>Data_BeeindigingsdatumVastVrij426</vt:lpstr>
      <vt:lpstr>Data_BeeindigingsdatumVastVrij427</vt:lpstr>
      <vt:lpstr>Data_BeeindigingsdatumVastVrij428</vt:lpstr>
      <vt:lpstr>Data_BeeindigingsdatumVastVrij429</vt:lpstr>
      <vt:lpstr>Data_BeeindigingsdatumVastVrij430</vt:lpstr>
      <vt:lpstr>Data_BeeindigingsdatumVastVrij431</vt:lpstr>
      <vt:lpstr>Data_BeeindigingsdatumVastVrij432</vt:lpstr>
      <vt:lpstr>Data_BeeindigingsdatumVastVrij433</vt:lpstr>
      <vt:lpstr>Data_BeeindigingsdatumVastVrij434</vt:lpstr>
      <vt:lpstr>Data_BeeindigingsdatumVastVrij435</vt:lpstr>
      <vt:lpstr>Data_BeeindigingsdatumVastVrij436</vt:lpstr>
      <vt:lpstr>Data_BeeindigingsdatumVastVrij437</vt:lpstr>
      <vt:lpstr>Data_BeeindigingsdatumVastVrij438</vt:lpstr>
      <vt:lpstr>Data_BeeindigingsdatumVastVrij439</vt:lpstr>
      <vt:lpstr>Data_BeeindigingsdatumVastVrij440</vt:lpstr>
      <vt:lpstr>Data_BeeindigingsdatumVastVrij441</vt:lpstr>
      <vt:lpstr>Data_BeeindigingsdatumVastVrij442</vt:lpstr>
      <vt:lpstr>Data_BeeindigingsdatumVastVrij443</vt:lpstr>
      <vt:lpstr>Data_BeeindigingsdatumVastVrij444</vt:lpstr>
      <vt:lpstr>Data_BeeindigingsdatumVastVrij445</vt:lpstr>
      <vt:lpstr>Data_BeeindigingsdatumVastVrij446</vt:lpstr>
      <vt:lpstr>Data_BeeindigingsdatumVastVrij447</vt:lpstr>
      <vt:lpstr>Data_BeeindigingsdatumVastVrij448</vt:lpstr>
      <vt:lpstr>Data_BeeindigingsdatumVastVrij449</vt:lpstr>
      <vt:lpstr>Data_BeeindigingsdatumVastVrij450</vt:lpstr>
      <vt:lpstr>Data_BeeindigingsdatumVastVrij451</vt:lpstr>
      <vt:lpstr>Data_BeeindigingsdatumVastVrij452</vt:lpstr>
      <vt:lpstr>Data_BeeindigingsdatumVastVrij453</vt:lpstr>
      <vt:lpstr>Data_BeeindigingsdatumVastVrij454</vt:lpstr>
      <vt:lpstr>Data_BeeindigingsdatumVastVrij455</vt:lpstr>
      <vt:lpstr>Data_BeeindigingsdatumVastVrij456</vt:lpstr>
      <vt:lpstr>Data_BeeindigingsdatumVastVrij457</vt:lpstr>
      <vt:lpstr>Data_BeeindigingsdatumVastVrij458</vt:lpstr>
      <vt:lpstr>Data_BeeindigingsdatumVastVrij459</vt:lpstr>
      <vt:lpstr>Data_BeeindigingsdatumVastVrij460</vt:lpstr>
      <vt:lpstr>Data_BeeindigingsdatumVastVrij461</vt:lpstr>
      <vt:lpstr>Data_BeeindigingsdatumVastVrij462</vt:lpstr>
      <vt:lpstr>Data_BeeindigingsdatumVastVrij463</vt:lpstr>
      <vt:lpstr>Data_BeeindigingsdatumVastVrij464</vt:lpstr>
      <vt:lpstr>Data_BeeindigingsdatumVastVrij465</vt:lpstr>
      <vt:lpstr>Data_BeeindigingsdatumVastVrij466</vt:lpstr>
      <vt:lpstr>Data_BeeindigingsdatumVastVrij467</vt:lpstr>
      <vt:lpstr>Data_BeeindigingsdatumVastVrij468</vt:lpstr>
      <vt:lpstr>Data_BeeindigingsdatumVastVrij469</vt:lpstr>
      <vt:lpstr>Data_BeeindigingsdatumVastVrij470</vt:lpstr>
      <vt:lpstr>Data_BeeindigingsdatumVastVrij471</vt:lpstr>
      <vt:lpstr>Data_BeeindigingsdatumVastVrij472</vt:lpstr>
      <vt:lpstr>Data_BeeindigingsdatumVastVrij473</vt:lpstr>
      <vt:lpstr>Data_BeeindigingsdatumVastVrij474</vt:lpstr>
      <vt:lpstr>Data_BeeindigingsdatumVastVrij475</vt:lpstr>
      <vt:lpstr>Data_BeeindigingsdatumVastVrij476</vt:lpstr>
      <vt:lpstr>Data_BeeindigingsdatumVastVrij477</vt:lpstr>
      <vt:lpstr>Data_BeeindigingsdatumVastVrij478</vt:lpstr>
      <vt:lpstr>Data_BeeindigingsdatumVastVrij479</vt:lpstr>
      <vt:lpstr>Data_BeeindigingsdatumVastVrij480</vt:lpstr>
      <vt:lpstr>Data_BeeindigingsdatumVastVrij481</vt:lpstr>
      <vt:lpstr>Data_BeeindigingsdatumVastVrij482</vt:lpstr>
      <vt:lpstr>Data_BeeindigingsdatumVastVrij483</vt:lpstr>
      <vt:lpstr>Data_BeeindigingsdatumVastVrij484</vt:lpstr>
      <vt:lpstr>Data_BeeindigingsdatumVastVrij485</vt:lpstr>
      <vt:lpstr>Data_BeeindigingsdatumVastVrij486</vt:lpstr>
      <vt:lpstr>Data_BeeindigingsdatumVastVrij487</vt:lpstr>
      <vt:lpstr>Data_BeeindigingsdatumVastVrij488</vt:lpstr>
      <vt:lpstr>Data_BeeindigingsdatumVastVrij489</vt:lpstr>
      <vt:lpstr>Data_BeeindigingsdatumVastVrij490</vt:lpstr>
      <vt:lpstr>Data_BeeindigingsdatumVastVrij491</vt:lpstr>
      <vt:lpstr>Data_BeeindigingsdatumVastVrij492</vt:lpstr>
      <vt:lpstr>Data_BeeindigingsdatumVastVrij493</vt:lpstr>
      <vt:lpstr>Data_BeeindigingsdatumVastVrij494</vt:lpstr>
      <vt:lpstr>Data_BeeindigingsdatumVastVrij495</vt:lpstr>
      <vt:lpstr>Data_BeeindigingsdatumVastVrij496</vt:lpstr>
      <vt:lpstr>Data_BeeindigingsdatumVastVrij497</vt:lpstr>
      <vt:lpstr>Data_BeeindigingsdatumVastVrij498</vt:lpstr>
      <vt:lpstr>Data_BeeindigingsdatumVastVrij499</vt:lpstr>
      <vt:lpstr>Data_BeeindigingsdatumVastVrij500</vt:lpstr>
      <vt:lpstr>Data_BekostDerdenLabel01</vt:lpstr>
      <vt:lpstr>Data_BekostDerdenLabel02</vt:lpstr>
      <vt:lpstr>Data_BekostDerdenLabel03</vt:lpstr>
      <vt:lpstr>Data_BekostDerdenLabel04</vt:lpstr>
      <vt:lpstr>Data_BekostDerdenLabel05</vt:lpstr>
      <vt:lpstr>Data_BekostDerdenLabel06</vt:lpstr>
      <vt:lpstr>Data_BekostDerdenLabel07</vt:lpstr>
      <vt:lpstr>Data_BekostDerdenLabel08</vt:lpstr>
      <vt:lpstr>Data_BekostDerdenLabel09</vt:lpstr>
      <vt:lpstr>Data_BekostDerdenLabel10</vt:lpstr>
      <vt:lpstr>Data_BekostZorginfLabel01</vt:lpstr>
      <vt:lpstr>Data_BekostZorginfLabel02</vt:lpstr>
      <vt:lpstr>Data_BekostZorginfLabel03</vt:lpstr>
      <vt:lpstr>Data_BekostZorginfLabel04</vt:lpstr>
      <vt:lpstr>Data_BekostZorginfLabel05</vt:lpstr>
      <vt:lpstr>Data_BekostZorginfLabel06</vt:lpstr>
      <vt:lpstr>Data_BekostZorginfLabel07</vt:lpstr>
      <vt:lpstr>Data_BekostZorginfLabel08</vt:lpstr>
      <vt:lpstr>Data_BekostZorginfLabel09</vt:lpstr>
      <vt:lpstr>Data_BekostZorginfLabel10</vt:lpstr>
      <vt:lpstr>Data_GemSubsidie121301</vt:lpstr>
      <vt:lpstr>Data_GemSubsidie121302</vt:lpstr>
      <vt:lpstr>Data_GemSubsidie121303</vt:lpstr>
      <vt:lpstr>Data_GemSubsidie121304</vt:lpstr>
      <vt:lpstr>Data_GemSubsidie121305</vt:lpstr>
      <vt:lpstr>Data_GemSubsidie121306</vt:lpstr>
      <vt:lpstr>Data_GemSubsidie121307</vt:lpstr>
      <vt:lpstr>Data_GemSubsidie121308</vt:lpstr>
      <vt:lpstr>Data_GemSubsidie121309</vt:lpstr>
      <vt:lpstr>Data_GemSubsidie121310</vt:lpstr>
      <vt:lpstr>Data_GemSubsidie131401</vt:lpstr>
      <vt:lpstr>Data_GemSubsidie131402</vt:lpstr>
      <vt:lpstr>Data_GemSubsidie131403</vt:lpstr>
      <vt:lpstr>Data_GemSubsidie131404</vt:lpstr>
      <vt:lpstr>Data_GemSubsidie131405</vt:lpstr>
      <vt:lpstr>Data_GemSubsidie131406</vt:lpstr>
      <vt:lpstr>Data_GemSubsidie131407</vt:lpstr>
      <vt:lpstr>Data_GemSubsidie131408</vt:lpstr>
      <vt:lpstr>Data_GemSubsidie131409</vt:lpstr>
      <vt:lpstr>Data_GemSubsidie131410</vt:lpstr>
      <vt:lpstr>Data_GemSubsidieOmschr01</vt:lpstr>
      <vt:lpstr>Data_GemSubsidieOmschr02</vt:lpstr>
      <vt:lpstr>Data_GemSubsidieOmschr03</vt:lpstr>
      <vt:lpstr>Data_GemSubsidieOmschr04</vt:lpstr>
      <vt:lpstr>Data_GemSubsidieOmschr05</vt:lpstr>
      <vt:lpstr>Data_GemSubsidieOmschr06</vt:lpstr>
      <vt:lpstr>Data_GemSubsidieOmschr07</vt:lpstr>
      <vt:lpstr>Data_GemSubsidieOmschr08</vt:lpstr>
      <vt:lpstr>Data_GemSubsidieOmschr09</vt:lpstr>
      <vt:lpstr>Data_GemSubsidieOmschr10</vt:lpstr>
      <vt:lpstr>Data_LoonkostenNatVerloop001</vt:lpstr>
      <vt:lpstr>Data_LoonkostenNatVerloop002</vt:lpstr>
      <vt:lpstr>Data_LoonkostenNatVerloop003</vt:lpstr>
      <vt:lpstr>Data_LoonkostenNatVerloop004</vt:lpstr>
      <vt:lpstr>Data_LoonkostenNatVerloop005</vt:lpstr>
      <vt:lpstr>Data_LoonkostenNatVerloop006</vt:lpstr>
      <vt:lpstr>Data_LoonkostenNatVerloop007</vt:lpstr>
      <vt:lpstr>Data_LoonkostenNatVerloop008</vt:lpstr>
      <vt:lpstr>Data_LoonkostenNatVerloop009</vt:lpstr>
      <vt:lpstr>Data_LoonkostenNatVerloop010</vt:lpstr>
      <vt:lpstr>Data_LoonkostenNatVerloop011</vt:lpstr>
      <vt:lpstr>Data_LoonkostenNatVerloop012</vt:lpstr>
      <vt:lpstr>Data_LoonkostenNatVerloop013</vt:lpstr>
      <vt:lpstr>Data_LoonkostenNatVerloop014</vt:lpstr>
      <vt:lpstr>Data_LoonkostenNatVerloop015</vt:lpstr>
      <vt:lpstr>Data_LoonkostenNatVerloop016</vt:lpstr>
      <vt:lpstr>Data_LoonkostenNatVerloop017</vt:lpstr>
      <vt:lpstr>Data_LoonkostenNatVerloop018</vt:lpstr>
      <vt:lpstr>Data_LoonkostenNatVerloop019</vt:lpstr>
      <vt:lpstr>Data_LoonkostenNatVerloop020</vt:lpstr>
      <vt:lpstr>Data_LoonkostenNatVerloop021</vt:lpstr>
      <vt:lpstr>Data_LoonkostenNatVerloop022</vt:lpstr>
      <vt:lpstr>Data_LoonkostenNatVerloop023</vt:lpstr>
      <vt:lpstr>Data_LoonkostenNatVerloop024</vt:lpstr>
      <vt:lpstr>Data_LoonkostenNatVerloop025</vt:lpstr>
      <vt:lpstr>Data_LoonkostenNatVerloop026</vt:lpstr>
      <vt:lpstr>Data_LoonkostenNatVerloop027</vt:lpstr>
      <vt:lpstr>Data_LoonkostenNatVerloop028</vt:lpstr>
      <vt:lpstr>Data_LoonkostenNatVerloop029</vt:lpstr>
      <vt:lpstr>Data_LoonkostenNatVerloop030</vt:lpstr>
      <vt:lpstr>Data_LoonkostenNatVerloop031</vt:lpstr>
      <vt:lpstr>Data_LoonkostenNatVerloop032</vt:lpstr>
      <vt:lpstr>Data_LoonkostenNatVerloop033</vt:lpstr>
      <vt:lpstr>Data_LoonkostenNatVerloop034</vt:lpstr>
      <vt:lpstr>Data_LoonkostenNatVerloop035</vt:lpstr>
      <vt:lpstr>Data_LoonkostenNatVerloop036</vt:lpstr>
      <vt:lpstr>Data_LoonkostenNatVerloop037</vt:lpstr>
      <vt:lpstr>Data_LoonkostenNatVerloop038</vt:lpstr>
      <vt:lpstr>Data_LoonkostenNatVerloop039</vt:lpstr>
      <vt:lpstr>Data_LoonkostenNatVerloop040</vt:lpstr>
      <vt:lpstr>Data_LoonkostenNatVerloop041</vt:lpstr>
      <vt:lpstr>Data_LoonkostenNatVerloop042</vt:lpstr>
      <vt:lpstr>Data_LoonkostenNatVerloop043</vt:lpstr>
      <vt:lpstr>Data_LoonkostenNatVerloop044</vt:lpstr>
      <vt:lpstr>Data_LoonkostenNatVerloop045</vt:lpstr>
      <vt:lpstr>Data_LoonkostenNatVerloop046</vt:lpstr>
      <vt:lpstr>Data_LoonkostenNatVerloop047</vt:lpstr>
      <vt:lpstr>Data_LoonkostenNatVerloop048</vt:lpstr>
      <vt:lpstr>Data_LoonkostenNatVerloop049</vt:lpstr>
      <vt:lpstr>Data_LoonkostenNatVerloop050</vt:lpstr>
      <vt:lpstr>Data_LoonkostenNatVerloop051</vt:lpstr>
      <vt:lpstr>Data_LoonkostenNatVerloop052</vt:lpstr>
      <vt:lpstr>Data_LoonkostenNatVerloop053</vt:lpstr>
      <vt:lpstr>Data_LoonkostenNatVerloop054</vt:lpstr>
      <vt:lpstr>Data_LoonkostenNatVerloop055</vt:lpstr>
      <vt:lpstr>Data_LoonkostenNatVerloop056</vt:lpstr>
      <vt:lpstr>Data_LoonkostenNatVerloop057</vt:lpstr>
      <vt:lpstr>Data_LoonkostenNatVerloop058</vt:lpstr>
      <vt:lpstr>Data_LoonkostenNatVerloop059</vt:lpstr>
      <vt:lpstr>Data_LoonkostenNatVerloop060</vt:lpstr>
      <vt:lpstr>Data_LoonkostenNatVerloop061</vt:lpstr>
      <vt:lpstr>Data_LoonkostenNatVerloop062</vt:lpstr>
      <vt:lpstr>Data_LoonkostenNatVerloop063</vt:lpstr>
      <vt:lpstr>Data_LoonkostenNatVerloop064</vt:lpstr>
      <vt:lpstr>Data_LoonkostenNatVerloop065</vt:lpstr>
      <vt:lpstr>Data_LoonkostenNatVerloop066</vt:lpstr>
      <vt:lpstr>Data_LoonkostenNatVerloop067</vt:lpstr>
      <vt:lpstr>Data_LoonkostenNatVerloop068</vt:lpstr>
      <vt:lpstr>Data_LoonkostenNatVerloop069</vt:lpstr>
      <vt:lpstr>Data_LoonkostenNatVerloop070</vt:lpstr>
      <vt:lpstr>Data_LoonkostenNatVerloop071</vt:lpstr>
      <vt:lpstr>Data_LoonkostenNatVerloop072</vt:lpstr>
      <vt:lpstr>Data_LoonkostenNatVerloop073</vt:lpstr>
      <vt:lpstr>Data_LoonkostenNatVerloop074</vt:lpstr>
      <vt:lpstr>Data_LoonkostenNatVerloop075</vt:lpstr>
      <vt:lpstr>Data_LoonkostenNatVerloop076</vt:lpstr>
      <vt:lpstr>Data_LoonkostenNatVerloop077</vt:lpstr>
      <vt:lpstr>Data_LoonkostenNatVerloop078</vt:lpstr>
      <vt:lpstr>Data_LoonkostenNatVerloop079</vt:lpstr>
      <vt:lpstr>Data_LoonkostenNatVerloop080</vt:lpstr>
      <vt:lpstr>Data_LoonkostenNatVerloop081</vt:lpstr>
      <vt:lpstr>Data_LoonkostenNatVerloop082</vt:lpstr>
      <vt:lpstr>Data_LoonkostenNatVerloop083</vt:lpstr>
      <vt:lpstr>Data_LoonkostenNatVerloop084</vt:lpstr>
      <vt:lpstr>Data_LoonkostenNatVerloop085</vt:lpstr>
      <vt:lpstr>Data_LoonkostenNatVerloop086</vt:lpstr>
      <vt:lpstr>Data_LoonkostenNatVerloop087</vt:lpstr>
      <vt:lpstr>Data_LoonkostenNatVerloop088</vt:lpstr>
      <vt:lpstr>Data_LoonkostenNatVerloop089</vt:lpstr>
      <vt:lpstr>Data_LoonkostenNatVerloop090</vt:lpstr>
      <vt:lpstr>Data_LoonkostenNatVerloop091</vt:lpstr>
      <vt:lpstr>Data_LoonkostenNatVerloop092</vt:lpstr>
      <vt:lpstr>Data_LoonkostenNatVerloop093</vt:lpstr>
      <vt:lpstr>Data_LoonkostenNatVerloop094</vt:lpstr>
      <vt:lpstr>Data_LoonkostenNatVerloop095</vt:lpstr>
      <vt:lpstr>Data_LoonkostenNatVerloop096</vt:lpstr>
      <vt:lpstr>Data_LoonkostenNatVerloop097</vt:lpstr>
      <vt:lpstr>Data_LoonkostenNatVerloop098</vt:lpstr>
      <vt:lpstr>Data_LoonkostenNatVerloop099</vt:lpstr>
      <vt:lpstr>Data_LoonkostenNatVerloop100</vt:lpstr>
      <vt:lpstr>Data_LoonkostenNatVerloop101</vt:lpstr>
      <vt:lpstr>Data_LoonkostenNatVerloop102</vt:lpstr>
      <vt:lpstr>Data_LoonkostenNatVerloop103</vt:lpstr>
      <vt:lpstr>Data_LoonkostenNatVerloop104</vt:lpstr>
      <vt:lpstr>Data_LoonkostenNatVerloop105</vt:lpstr>
      <vt:lpstr>Data_LoonkostenNatVerloop106</vt:lpstr>
      <vt:lpstr>Data_LoonkostenNatVerloop107</vt:lpstr>
      <vt:lpstr>Data_LoonkostenNatVerloop108</vt:lpstr>
      <vt:lpstr>Data_LoonkostenNatVerloop109</vt:lpstr>
      <vt:lpstr>Data_LoonkostenNatVerloop110</vt:lpstr>
      <vt:lpstr>Data_LoonkostenNatVerloop111</vt:lpstr>
      <vt:lpstr>Data_LoonkostenNatVerloop112</vt:lpstr>
      <vt:lpstr>Data_LoonkostenNatVerloop113</vt:lpstr>
      <vt:lpstr>Data_LoonkostenNatVerloop114</vt:lpstr>
      <vt:lpstr>Data_LoonkostenNatVerloop115</vt:lpstr>
      <vt:lpstr>Data_LoonkostenNatVerloop116</vt:lpstr>
      <vt:lpstr>Data_LoonkostenNatVerloop117</vt:lpstr>
      <vt:lpstr>Data_LoonkostenNatVerloop118</vt:lpstr>
      <vt:lpstr>Data_LoonkostenNatVerloop119</vt:lpstr>
      <vt:lpstr>Data_LoonkostenNatVerloop120</vt:lpstr>
      <vt:lpstr>Data_LoonkostenNatVerloop121</vt:lpstr>
      <vt:lpstr>Data_LoonkostenNatVerloop122</vt:lpstr>
      <vt:lpstr>Data_LoonkostenNatVerloop123</vt:lpstr>
      <vt:lpstr>Data_LoonkostenNatVerloop124</vt:lpstr>
      <vt:lpstr>Data_LoonkostenNatVerloop125</vt:lpstr>
      <vt:lpstr>Data_LoonkostenNatVerloop126</vt:lpstr>
      <vt:lpstr>Data_LoonkostenNatVerloop127</vt:lpstr>
      <vt:lpstr>Data_LoonkostenNatVerloop128</vt:lpstr>
      <vt:lpstr>Data_LoonkostenNatVerloop129</vt:lpstr>
      <vt:lpstr>Data_LoonkostenNatVerloop130</vt:lpstr>
      <vt:lpstr>Data_LoonkostenNatVerloop131</vt:lpstr>
      <vt:lpstr>Data_LoonkostenNatVerloop132</vt:lpstr>
      <vt:lpstr>Data_LoonkostenNatVerloop133</vt:lpstr>
      <vt:lpstr>Data_LoonkostenNatVerloop134</vt:lpstr>
      <vt:lpstr>Data_LoonkostenNatVerloop135</vt:lpstr>
      <vt:lpstr>Data_LoonkostenNatVerloop136</vt:lpstr>
      <vt:lpstr>Data_LoonkostenNatVerloop137</vt:lpstr>
      <vt:lpstr>Data_LoonkostenNatVerloop138</vt:lpstr>
      <vt:lpstr>Data_LoonkostenNatVerloop139</vt:lpstr>
      <vt:lpstr>Data_LoonkostenNatVerloop140</vt:lpstr>
      <vt:lpstr>Data_LoonkostenNatVerloop141</vt:lpstr>
      <vt:lpstr>Data_LoonkostenNatVerloop142</vt:lpstr>
      <vt:lpstr>Data_LoonkostenNatVerloop143</vt:lpstr>
      <vt:lpstr>Data_LoonkostenNatVerloop144</vt:lpstr>
      <vt:lpstr>Data_LoonkostenNatVerloop145</vt:lpstr>
      <vt:lpstr>Data_LoonkostenNatVerloop146</vt:lpstr>
      <vt:lpstr>Data_LoonkostenNatVerloop147</vt:lpstr>
      <vt:lpstr>Data_LoonkostenNatVerloop148</vt:lpstr>
      <vt:lpstr>Data_LoonkostenNatVerloop149</vt:lpstr>
      <vt:lpstr>Data_LoonkostenNatVerloop150</vt:lpstr>
      <vt:lpstr>Data_LoonkostenNatVerloop151</vt:lpstr>
      <vt:lpstr>Data_LoonkostenNatVerloop152</vt:lpstr>
      <vt:lpstr>Data_LoonkostenNatVerloop153</vt:lpstr>
      <vt:lpstr>Data_LoonkostenNatVerloop154</vt:lpstr>
      <vt:lpstr>Data_LoonkostenNatVerloop155</vt:lpstr>
      <vt:lpstr>Data_LoonkostenNatVerloop156</vt:lpstr>
      <vt:lpstr>Data_LoonkostenNatVerloop157</vt:lpstr>
      <vt:lpstr>Data_LoonkostenNatVerloop158</vt:lpstr>
      <vt:lpstr>Data_LoonkostenNatVerloop159</vt:lpstr>
      <vt:lpstr>Data_LoonkostenNatVerloop160</vt:lpstr>
      <vt:lpstr>Data_LoonkostenNatVerloop161</vt:lpstr>
      <vt:lpstr>Data_LoonkostenNatVerloop162</vt:lpstr>
      <vt:lpstr>Data_LoonkostenNatVerloop163</vt:lpstr>
      <vt:lpstr>Data_LoonkostenNatVerloop164</vt:lpstr>
      <vt:lpstr>Data_LoonkostenNatVerloop165</vt:lpstr>
      <vt:lpstr>Data_LoonkostenNatVerloop166</vt:lpstr>
      <vt:lpstr>Data_LoonkostenNatVerloop167</vt:lpstr>
      <vt:lpstr>Data_LoonkostenNatVerloop168</vt:lpstr>
      <vt:lpstr>Data_LoonkostenNatVerloop169</vt:lpstr>
      <vt:lpstr>Data_LoonkostenNatVerloop170</vt:lpstr>
      <vt:lpstr>Data_LoonkostenNatVerloop171</vt:lpstr>
      <vt:lpstr>Data_LoonkostenNatVerloop172</vt:lpstr>
      <vt:lpstr>Data_LoonkostenNatVerloop173</vt:lpstr>
      <vt:lpstr>Data_LoonkostenNatVerloop174</vt:lpstr>
      <vt:lpstr>Data_LoonkostenNatVerloop175</vt:lpstr>
      <vt:lpstr>Data_LoonkostenNatVerloop176</vt:lpstr>
      <vt:lpstr>Data_LoonkostenNatVerloop177</vt:lpstr>
      <vt:lpstr>Data_LoonkostenNatVerloop178</vt:lpstr>
      <vt:lpstr>Data_LoonkostenNatVerloop179</vt:lpstr>
      <vt:lpstr>Data_LoonkostenNatVerloop180</vt:lpstr>
      <vt:lpstr>Data_LoonkostenNatVerloop181</vt:lpstr>
      <vt:lpstr>Data_LoonkostenNatVerloop182</vt:lpstr>
      <vt:lpstr>Data_LoonkostenNatVerloop183</vt:lpstr>
      <vt:lpstr>Data_LoonkostenNatVerloop184</vt:lpstr>
      <vt:lpstr>Data_LoonkostenNatVerloop185</vt:lpstr>
      <vt:lpstr>Data_LoonkostenNatVerloop186</vt:lpstr>
      <vt:lpstr>Data_LoonkostenNatVerloop187</vt:lpstr>
      <vt:lpstr>Data_LoonkostenNatVerloop188</vt:lpstr>
      <vt:lpstr>Data_LoonkostenNatVerloop189</vt:lpstr>
      <vt:lpstr>Data_LoonkostenNatVerloop190</vt:lpstr>
      <vt:lpstr>Data_LoonkostenNatVerloop191</vt:lpstr>
      <vt:lpstr>Data_LoonkostenNatVerloop192</vt:lpstr>
      <vt:lpstr>Data_LoonkostenNatVerloop193</vt:lpstr>
      <vt:lpstr>Data_LoonkostenNatVerloop194</vt:lpstr>
      <vt:lpstr>Data_LoonkostenNatVerloop195</vt:lpstr>
      <vt:lpstr>Data_LoonkostenNatVerloop196</vt:lpstr>
      <vt:lpstr>Data_LoonkostenNatVerloop197</vt:lpstr>
      <vt:lpstr>Data_LoonkostenNatVerloop198</vt:lpstr>
      <vt:lpstr>Data_LoonkostenNatVerloop199</vt:lpstr>
      <vt:lpstr>Data_LoonkostenNatVerloop200</vt:lpstr>
      <vt:lpstr>Data_LoonkostenNatVerloop201</vt:lpstr>
      <vt:lpstr>Data_LoonkostenNatVerloop202</vt:lpstr>
      <vt:lpstr>Data_LoonkostenNatVerloop203</vt:lpstr>
      <vt:lpstr>Data_LoonkostenNatVerloop204</vt:lpstr>
      <vt:lpstr>Data_LoonkostenNatVerloop205</vt:lpstr>
      <vt:lpstr>Data_LoonkostenNatVerloop206</vt:lpstr>
      <vt:lpstr>Data_LoonkostenNatVerloop207</vt:lpstr>
      <vt:lpstr>Data_LoonkostenNatVerloop208</vt:lpstr>
      <vt:lpstr>Data_LoonkostenNatVerloop209</vt:lpstr>
      <vt:lpstr>Data_LoonkostenNatVerloop210</vt:lpstr>
      <vt:lpstr>Data_LoonkostenNatVerloop211</vt:lpstr>
      <vt:lpstr>Data_LoonkostenNatVerloop212</vt:lpstr>
      <vt:lpstr>Data_LoonkostenNatVerloop213</vt:lpstr>
      <vt:lpstr>Data_LoonkostenNatVerloop214</vt:lpstr>
      <vt:lpstr>Data_LoonkostenNatVerloop215</vt:lpstr>
      <vt:lpstr>Data_LoonkostenNatVerloop216</vt:lpstr>
      <vt:lpstr>Data_LoonkostenNatVerloop217</vt:lpstr>
      <vt:lpstr>Data_LoonkostenNatVerloop218</vt:lpstr>
      <vt:lpstr>Data_LoonkostenNatVerloop219</vt:lpstr>
      <vt:lpstr>Data_LoonkostenNatVerloop220</vt:lpstr>
      <vt:lpstr>Data_LoonkostenNatVerloop221</vt:lpstr>
      <vt:lpstr>Data_LoonkostenNatVerloop222</vt:lpstr>
      <vt:lpstr>Data_LoonkostenNatVerloop223</vt:lpstr>
      <vt:lpstr>Data_LoonkostenNatVerloop224</vt:lpstr>
      <vt:lpstr>Data_LoonkostenNatVerloop225</vt:lpstr>
      <vt:lpstr>Data_LoonkostenNatVerloop226</vt:lpstr>
      <vt:lpstr>Data_LoonkostenNatVerloop227</vt:lpstr>
      <vt:lpstr>Data_LoonkostenNatVerloop228</vt:lpstr>
      <vt:lpstr>Data_LoonkostenNatVerloop229</vt:lpstr>
      <vt:lpstr>Data_LoonkostenNatVerloop230</vt:lpstr>
      <vt:lpstr>Data_LoonkostenNatVerloop231</vt:lpstr>
      <vt:lpstr>Data_LoonkostenNatVerloop232</vt:lpstr>
      <vt:lpstr>Data_LoonkostenNatVerloop233</vt:lpstr>
      <vt:lpstr>Data_LoonkostenNatVerloop234</vt:lpstr>
      <vt:lpstr>Data_LoonkostenNatVerloop235</vt:lpstr>
      <vt:lpstr>Data_LoonkostenNatVerloop236</vt:lpstr>
      <vt:lpstr>Data_LoonkostenNatVerloop237</vt:lpstr>
      <vt:lpstr>Data_LoonkostenNatVerloop238</vt:lpstr>
      <vt:lpstr>Data_LoonkostenNatVerloop239</vt:lpstr>
      <vt:lpstr>Data_LoonkostenNatVerloop240</vt:lpstr>
      <vt:lpstr>Data_LoonkostenNatVerloop241</vt:lpstr>
      <vt:lpstr>Data_LoonkostenNatVerloop242</vt:lpstr>
      <vt:lpstr>Data_LoonkostenNatVerloop243</vt:lpstr>
      <vt:lpstr>Data_LoonkostenNatVerloop244</vt:lpstr>
      <vt:lpstr>Data_LoonkostenNatVerloop245</vt:lpstr>
      <vt:lpstr>Data_LoonkostenNatVerloop246</vt:lpstr>
      <vt:lpstr>Data_LoonkostenNatVerloop247</vt:lpstr>
      <vt:lpstr>Data_LoonkostenNatVerloop248</vt:lpstr>
      <vt:lpstr>Data_LoonkostenNatVerloop249</vt:lpstr>
      <vt:lpstr>Data_LoonkostenNatVerloop250</vt:lpstr>
      <vt:lpstr>Data_LoonkostenNatVerloop251</vt:lpstr>
      <vt:lpstr>Data_LoonkostenNatVerloop252</vt:lpstr>
      <vt:lpstr>Data_LoonkostenNatVerloop253</vt:lpstr>
      <vt:lpstr>Data_LoonkostenNatVerloop254</vt:lpstr>
      <vt:lpstr>Data_LoonkostenNatVerloop255</vt:lpstr>
      <vt:lpstr>Data_LoonkostenNatVerloop256</vt:lpstr>
      <vt:lpstr>Data_LoonkostenNatVerloop257</vt:lpstr>
      <vt:lpstr>Data_LoonkostenNatVerloop258</vt:lpstr>
      <vt:lpstr>Data_LoonkostenNatVerloop259</vt:lpstr>
      <vt:lpstr>Data_LoonkostenNatVerloop260</vt:lpstr>
      <vt:lpstr>Data_LoonkostenNatVerloop261</vt:lpstr>
      <vt:lpstr>Data_LoonkostenNatVerloop262</vt:lpstr>
      <vt:lpstr>Data_LoonkostenNatVerloop263</vt:lpstr>
      <vt:lpstr>Data_LoonkostenNatVerloop264</vt:lpstr>
      <vt:lpstr>Data_LoonkostenNatVerloop265</vt:lpstr>
      <vt:lpstr>Data_LoonkostenNatVerloop266</vt:lpstr>
      <vt:lpstr>Data_LoonkostenNatVerloop267</vt:lpstr>
      <vt:lpstr>Data_LoonkostenNatVerloop268</vt:lpstr>
      <vt:lpstr>Data_LoonkostenNatVerloop269</vt:lpstr>
      <vt:lpstr>Data_LoonkostenNatVerloop270</vt:lpstr>
      <vt:lpstr>Data_LoonkostenNatVerloop271</vt:lpstr>
      <vt:lpstr>Data_LoonkostenNatVerloop272</vt:lpstr>
      <vt:lpstr>Data_LoonkostenNatVerloop273</vt:lpstr>
      <vt:lpstr>Data_LoonkostenNatVerloop274</vt:lpstr>
      <vt:lpstr>Data_LoonkostenNatVerloop275</vt:lpstr>
      <vt:lpstr>Data_LoonkostenNatVerloop276</vt:lpstr>
      <vt:lpstr>Data_LoonkostenNatVerloop277</vt:lpstr>
      <vt:lpstr>Data_LoonkostenNatVerloop278</vt:lpstr>
      <vt:lpstr>Data_LoonkostenNatVerloop279</vt:lpstr>
      <vt:lpstr>Data_LoonkostenNatVerloop280</vt:lpstr>
      <vt:lpstr>Data_LoonkostenNatVerloop281</vt:lpstr>
      <vt:lpstr>Data_LoonkostenNatVerloop282</vt:lpstr>
      <vt:lpstr>Data_LoonkostenNatVerloop283</vt:lpstr>
      <vt:lpstr>Data_LoonkostenNatVerloop284</vt:lpstr>
      <vt:lpstr>Data_LoonkostenNatVerloop285</vt:lpstr>
      <vt:lpstr>Data_LoonkostenNatVerloop286</vt:lpstr>
      <vt:lpstr>Data_LoonkostenNatVerloop287</vt:lpstr>
      <vt:lpstr>Data_LoonkostenNatVerloop288</vt:lpstr>
      <vt:lpstr>Data_LoonkostenNatVerloop289</vt:lpstr>
      <vt:lpstr>Data_LoonkostenNatVerloop290</vt:lpstr>
      <vt:lpstr>Data_LoonkostenNatVerloop291</vt:lpstr>
      <vt:lpstr>Data_LoonkostenNatVerloop292</vt:lpstr>
      <vt:lpstr>Data_LoonkostenNatVerloop293</vt:lpstr>
      <vt:lpstr>Data_LoonkostenNatVerloop294</vt:lpstr>
      <vt:lpstr>Data_LoonkostenNatVerloop295</vt:lpstr>
      <vt:lpstr>Data_LoonkostenNatVerloop296</vt:lpstr>
      <vt:lpstr>Data_LoonkostenNatVerloop297</vt:lpstr>
      <vt:lpstr>Data_LoonkostenNatVerloop298</vt:lpstr>
      <vt:lpstr>Data_LoonkostenNatVerloop299</vt:lpstr>
      <vt:lpstr>Data_LoonkostenNatVerloop300</vt:lpstr>
      <vt:lpstr>Data_LoonkostenNatVerloop301</vt:lpstr>
      <vt:lpstr>Data_LoonkostenNatVerloop302</vt:lpstr>
      <vt:lpstr>Data_LoonkostenNatVerloop303</vt:lpstr>
      <vt:lpstr>Data_LoonkostenNatVerloop304</vt:lpstr>
      <vt:lpstr>Data_LoonkostenNatVerloop305</vt:lpstr>
      <vt:lpstr>Data_LoonkostenNatVerloop306</vt:lpstr>
      <vt:lpstr>Data_LoonkostenNatVerloop307</vt:lpstr>
      <vt:lpstr>Data_LoonkostenNatVerloop308</vt:lpstr>
      <vt:lpstr>Data_LoonkostenNatVerloop309</vt:lpstr>
      <vt:lpstr>Data_LoonkostenNatVerloop310</vt:lpstr>
      <vt:lpstr>Data_LoonkostenNatVerloop311</vt:lpstr>
      <vt:lpstr>Data_LoonkostenNatVerloop312</vt:lpstr>
      <vt:lpstr>Data_LoonkostenNatVerloop313</vt:lpstr>
      <vt:lpstr>Data_LoonkostenNatVerloop314</vt:lpstr>
      <vt:lpstr>Data_LoonkostenNatVerloop315</vt:lpstr>
      <vt:lpstr>Data_LoonkostenNatVerloop316</vt:lpstr>
      <vt:lpstr>Data_LoonkostenNatVerloop317</vt:lpstr>
      <vt:lpstr>Data_LoonkostenNatVerloop318</vt:lpstr>
      <vt:lpstr>Data_LoonkostenNatVerloop319</vt:lpstr>
      <vt:lpstr>Data_LoonkostenNatVerloop320</vt:lpstr>
      <vt:lpstr>Data_LoonkostenNatVerloop321</vt:lpstr>
      <vt:lpstr>Data_LoonkostenNatVerloop322</vt:lpstr>
      <vt:lpstr>Data_LoonkostenNatVerloop323</vt:lpstr>
      <vt:lpstr>Data_LoonkostenNatVerloop324</vt:lpstr>
      <vt:lpstr>Data_LoonkostenNatVerloop325</vt:lpstr>
      <vt:lpstr>Data_LoonkostenNatVerloop326</vt:lpstr>
      <vt:lpstr>Data_LoonkostenNatVerloop327</vt:lpstr>
      <vt:lpstr>Data_LoonkostenNatVerloop328</vt:lpstr>
      <vt:lpstr>Data_LoonkostenNatVerloop329</vt:lpstr>
      <vt:lpstr>Data_LoonkostenNatVerloop330</vt:lpstr>
      <vt:lpstr>Data_LoonkostenNatVerloop331</vt:lpstr>
      <vt:lpstr>Data_LoonkostenNatVerloop332</vt:lpstr>
      <vt:lpstr>Data_LoonkostenNatVerloop333</vt:lpstr>
      <vt:lpstr>Data_LoonkostenNatVerloop334</vt:lpstr>
      <vt:lpstr>Data_LoonkostenNatVerloop335</vt:lpstr>
      <vt:lpstr>Data_LoonkostenNatVerloop336</vt:lpstr>
      <vt:lpstr>Data_LoonkostenNatVerloop337</vt:lpstr>
      <vt:lpstr>Data_LoonkostenNatVerloop338</vt:lpstr>
      <vt:lpstr>Data_LoonkostenNatVerloop339</vt:lpstr>
      <vt:lpstr>Data_LoonkostenNatVerloop340</vt:lpstr>
      <vt:lpstr>Data_LoonkostenNatVerloop341</vt:lpstr>
      <vt:lpstr>Data_LoonkostenNatVerloop342</vt:lpstr>
      <vt:lpstr>Data_LoonkostenNatVerloop343</vt:lpstr>
      <vt:lpstr>Data_LoonkostenNatVerloop344</vt:lpstr>
      <vt:lpstr>Data_LoonkostenNatVerloop345</vt:lpstr>
      <vt:lpstr>Data_LoonkostenNatVerloop346</vt:lpstr>
      <vt:lpstr>Data_LoonkostenNatVerloop347</vt:lpstr>
      <vt:lpstr>Data_LoonkostenNatVerloop348</vt:lpstr>
      <vt:lpstr>Data_LoonkostenNatVerloop349</vt:lpstr>
      <vt:lpstr>Data_LoonkostenNatVerloop350</vt:lpstr>
      <vt:lpstr>Data_LoonkostenNatVerloop351</vt:lpstr>
      <vt:lpstr>Data_LoonkostenNatVerloop352</vt:lpstr>
      <vt:lpstr>Data_LoonkostenNatVerloop353</vt:lpstr>
      <vt:lpstr>Data_LoonkostenNatVerloop354</vt:lpstr>
      <vt:lpstr>Data_LoonkostenNatVerloop355</vt:lpstr>
      <vt:lpstr>Data_LoonkostenNatVerloop356</vt:lpstr>
      <vt:lpstr>Data_LoonkostenNatVerloop357</vt:lpstr>
      <vt:lpstr>Data_LoonkostenNatVerloop358</vt:lpstr>
      <vt:lpstr>Data_LoonkostenNatVerloop359</vt:lpstr>
      <vt:lpstr>Data_LoonkostenNatVerloop360</vt:lpstr>
      <vt:lpstr>Data_LoonkostenNatVerloop361</vt:lpstr>
      <vt:lpstr>Data_LoonkostenNatVerloop362</vt:lpstr>
      <vt:lpstr>Data_LoonkostenNatVerloop363</vt:lpstr>
      <vt:lpstr>Data_LoonkostenNatVerloop364</vt:lpstr>
      <vt:lpstr>Data_LoonkostenNatVerloop365</vt:lpstr>
      <vt:lpstr>Data_LoonkostenNatVerloop366</vt:lpstr>
      <vt:lpstr>Data_LoonkostenNatVerloop367</vt:lpstr>
      <vt:lpstr>Data_LoonkostenNatVerloop368</vt:lpstr>
      <vt:lpstr>Data_LoonkostenNatVerloop369</vt:lpstr>
      <vt:lpstr>Data_LoonkostenNatVerloop370</vt:lpstr>
      <vt:lpstr>Data_LoonkostenNatVerloop371</vt:lpstr>
      <vt:lpstr>Data_LoonkostenNatVerloop372</vt:lpstr>
      <vt:lpstr>Data_LoonkostenNatVerloop373</vt:lpstr>
      <vt:lpstr>Data_LoonkostenNatVerloop374</vt:lpstr>
      <vt:lpstr>Data_LoonkostenNatVerloop375</vt:lpstr>
      <vt:lpstr>Data_LoonkostenNatVerloop376</vt:lpstr>
      <vt:lpstr>Data_LoonkostenNatVerloop377</vt:lpstr>
      <vt:lpstr>Data_LoonkostenNatVerloop378</vt:lpstr>
      <vt:lpstr>Data_LoonkostenNatVerloop379</vt:lpstr>
      <vt:lpstr>Data_LoonkostenNatVerloop380</vt:lpstr>
      <vt:lpstr>Data_LoonkostenNatVerloop381</vt:lpstr>
      <vt:lpstr>Data_LoonkostenNatVerloop382</vt:lpstr>
      <vt:lpstr>Data_LoonkostenNatVerloop383</vt:lpstr>
      <vt:lpstr>Data_LoonkostenNatVerloop384</vt:lpstr>
      <vt:lpstr>Data_LoonkostenNatVerloop385</vt:lpstr>
      <vt:lpstr>Data_LoonkostenNatVerloop386</vt:lpstr>
      <vt:lpstr>Data_LoonkostenNatVerloop387</vt:lpstr>
      <vt:lpstr>Data_LoonkostenNatVerloop388</vt:lpstr>
      <vt:lpstr>Data_LoonkostenNatVerloop389</vt:lpstr>
      <vt:lpstr>Data_LoonkostenNatVerloop390</vt:lpstr>
      <vt:lpstr>Data_LoonkostenNatVerloop391</vt:lpstr>
      <vt:lpstr>Data_LoonkostenNatVerloop392</vt:lpstr>
      <vt:lpstr>Data_LoonkostenNatVerloop393</vt:lpstr>
      <vt:lpstr>Data_LoonkostenNatVerloop394</vt:lpstr>
      <vt:lpstr>Data_LoonkostenNatVerloop395</vt:lpstr>
      <vt:lpstr>Data_LoonkostenNatVerloop396</vt:lpstr>
      <vt:lpstr>Data_LoonkostenNatVerloop397</vt:lpstr>
      <vt:lpstr>Data_LoonkostenNatVerloop398</vt:lpstr>
      <vt:lpstr>Data_LoonkostenNatVerloop399</vt:lpstr>
      <vt:lpstr>Data_LoonkostenNatVerloop400</vt:lpstr>
      <vt:lpstr>Data_LoonkostenNatVerloop401</vt:lpstr>
      <vt:lpstr>Data_LoonkostenNatVerloop402</vt:lpstr>
      <vt:lpstr>Data_LoonkostenNatVerloop403</vt:lpstr>
      <vt:lpstr>Data_LoonkostenNatVerloop404</vt:lpstr>
      <vt:lpstr>Data_LoonkostenNatVerloop405</vt:lpstr>
      <vt:lpstr>Data_LoonkostenNatVerloop406</vt:lpstr>
      <vt:lpstr>Data_LoonkostenNatVerloop407</vt:lpstr>
      <vt:lpstr>Data_LoonkostenNatVerloop408</vt:lpstr>
      <vt:lpstr>Data_LoonkostenNatVerloop409</vt:lpstr>
      <vt:lpstr>Data_LoonkostenNatVerloop410</vt:lpstr>
      <vt:lpstr>Data_LoonkostenNatVerloop411</vt:lpstr>
      <vt:lpstr>Data_LoonkostenNatVerloop412</vt:lpstr>
      <vt:lpstr>Data_LoonkostenNatVerloop413</vt:lpstr>
      <vt:lpstr>Data_LoonkostenNatVerloop414</vt:lpstr>
      <vt:lpstr>Data_LoonkostenNatVerloop415</vt:lpstr>
      <vt:lpstr>Data_LoonkostenNatVerloop416</vt:lpstr>
      <vt:lpstr>Data_LoonkostenNatVerloop417</vt:lpstr>
      <vt:lpstr>Data_LoonkostenNatVerloop418</vt:lpstr>
      <vt:lpstr>Data_LoonkostenNatVerloop419</vt:lpstr>
      <vt:lpstr>Data_LoonkostenNatVerloop420</vt:lpstr>
      <vt:lpstr>Data_LoonkostenNatVerloop421</vt:lpstr>
      <vt:lpstr>Data_LoonkostenNatVerloop422</vt:lpstr>
      <vt:lpstr>Data_LoonkostenNatVerloop423</vt:lpstr>
      <vt:lpstr>Data_LoonkostenNatVerloop424</vt:lpstr>
      <vt:lpstr>Data_LoonkostenNatVerloop425</vt:lpstr>
      <vt:lpstr>Data_LoonkostenNatVerloop426</vt:lpstr>
      <vt:lpstr>Data_LoonkostenNatVerloop427</vt:lpstr>
      <vt:lpstr>Data_LoonkostenNatVerloop428</vt:lpstr>
      <vt:lpstr>Data_LoonkostenNatVerloop429</vt:lpstr>
      <vt:lpstr>Data_LoonkostenNatVerloop430</vt:lpstr>
      <vt:lpstr>Data_LoonkostenNatVerloop431</vt:lpstr>
      <vt:lpstr>Data_LoonkostenNatVerloop432</vt:lpstr>
      <vt:lpstr>Data_LoonkostenNatVerloop433</vt:lpstr>
      <vt:lpstr>Data_LoonkostenNatVerloop434</vt:lpstr>
      <vt:lpstr>Data_LoonkostenNatVerloop435</vt:lpstr>
      <vt:lpstr>Data_LoonkostenNatVerloop436</vt:lpstr>
      <vt:lpstr>Data_LoonkostenNatVerloop437</vt:lpstr>
      <vt:lpstr>Data_LoonkostenNatVerloop438</vt:lpstr>
      <vt:lpstr>Data_LoonkostenNatVerloop439</vt:lpstr>
      <vt:lpstr>Data_LoonkostenNatVerloop440</vt:lpstr>
      <vt:lpstr>Data_LoonkostenNatVerloop441</vt:lpstr>
      <vt:lpstr>Data_LoonkostenNatVerloop442</vt:lpstr>
      <vt:lpstr>Data_LoonkostenNatVerloop443</vt:lpstr>
      <vt:lpstr>Data_LoonkostenNatVerloop444</vt:lpstr>
      <vt:lpstr>Data_LoonkostenNatVerloop445</vt:lpstr>
      <vt:lpstr>Data_LoonkostenNatVerloop446</vt:lpstr>
      <vt:lpstr>Data_LoonkostenNatVerloop447</vt:lpstr>
      <vt:lpstr>Data_LoonkostenNatVerloop448</vt:lpstr>
      <vt:lpstr>Data_LoonkostenNatVerloop449</vt:lpstr>
      <vt:lpstr>Data_LoonkostenNatVerloop450</vt:lpstr>
      <vt:lpstr>Data_LoonkostenNatVerloop451</vt:lpstr>
      <vt:lpstr>Data_LoonkostenNatVerloop452</vt:lpstr>
      <vt:lpstr>Data_LoonkostenNatVerloop453</vt:lpstr>
      <vt:lpstr>Data_LoonkostenNatVerloop454</vt:lpstr>
      <vt:lpstr>Data_LoonkostenNatVerloop455</vt:lpstr>
      <vt:lpstr>Data_LoonkostenNatVerloop456</vt:lpstr>
      <vt:lpstr>Data_LoonkostenNatVerloop457</vt:lpstr>
      <vt:lpstr>Data_LoonkostenNatVerloop458</vt:lpstr>
      <vt:lpstr>Data_LoonkostenNatVerloop459</vt:lpstr>
      <vt:lpstr>Data_LoonkostenNatVerloop460</vt:lpstr>
      <vt:lpstr>Data_LoonkostenNatVerloop461</vt:lpstr>
      <vt:lpstr>Data_LoonkostenNatVerloop462</vt:lpstr>
      <vt:lpstr>Data_LoonkostenNatVerloop463</vt:lpstr>
      <vt:lpstr>Data_LoonkostenNatVerloop464</vt:lpstr>
      <vt:lpstr>Data_LoonkostenNatVerloop465</vt:lpstr>
      <vt:lpstr>Data_LoonkostenNatVerloop466</vt:lpstr>
      <vt:lpstr>Data_LoonkostenNatVerloop467</vt:lpstr>
      <vt:lpstr>Data_LoonkostenNatVerloop468</vt:lpstr>
      <vt:lpstr>Data_LoonkostenNatVerloop469</vt:lpstr>
      <vt:lpstr>Data_LoonkostenNatVerloop470</vt:lpstr>
      <vt:lpstr>Data_LoonkostenNatVerloop471</vt:lpstr>
      <vt:lpstr>Data_LoonkostenNatVerloop472</vt:lpstr>
      <vt:lpstr>Data_LoonkostenNatVerloop473</vt:lpstr>
      <vt:lpstr>Data_LoonkostenNatVerloop474</vt:lpstr>
      <vt:lpstr>Data_LoonkostenNatVerloop475</vt:lpstr>
      <vt:lpstr>Data_LoonkostenNatVerloop476</vt:lpstr>
      <vt:lpstr>Data_LoonkostenNatVerloop477</vt:lpstr>
      <vt:lpstr>Data_LoonkostenNatVerloop478</vt:lpstr>
      <vt:lpstr>Data_LoonkostenNatVerloop479</vt:lpstr>
      <vt:lpstr>Data_LoonkostenNatVerloop480</vt:lpstr>
      <vt:lpstr>Data_LoonkostenNatVerloop481</vt:lpstr>
      <vt:lpstr>Data_LoonkostenNatVerloop482</vt:lpstr>
      <vt:lpstr>Data_LoonkostenNatVerloop483</vt:lpstr>
      <vt:lpstr>Data_LoonkostenNatVerloop484</vt:lpstr>
      <vt:lpstr>Data_LoonkostenNatVerloop485</vt:lpstr>
      <vt:lpstr>Data_LoonkostenNatVerloop486</vt:lpstr>
      <vt:lpstr>Data_LoonkostenNatVerloop487</vt:lpstr>
      <vt:lpstr>Data_LoonkostenNatVerloop488</vt:lpstr>
      <vt:lpstr>Data_LoonkostenNatVerloop489</vt:lpstr>
      <vt:lpstr>Data_LoonkostenNatVerloop490</vt:lpstr>
      <vt:lpstr>Data_LoonkostenNatVerloop491</vt:lpstr>
      <vt:lpstr>Data_LoonkostenNatVerloop492</vt:lpstr>
      <vt:lpstr>Data_LoonkostenNatVerloop493</vt:lpstr>
      <vt:lpstr>Data_LoonkostenNatVerloop494</vt:lpstr>
      <vt:lpstr>Data_LoonkostenNatVerloop495</vt:lpstr>
      <vt:lpstr>Data_LoonkostenNatVerloop496</vt:lpstr>
      <vt:lpstr>Data_LoonkostenNatVerloop497</vt:lpstr>
      <vt:lpstr>Data_LoonkostenNatVerloop498</vt:lpstr>
      <vt:lpstr>Data_LoonkostenNatVerloop499</vt:lpstr>
      <vt:lpstr>Data_LoonkostenNatVerloop500</vt:lpstr>
      <vt:lpstr>Data_LoonkostenTijd001</vt:lpstr>
      <vt:lpstr>Data_LoonkostenTijd002</vt:lpstr>
      <vt:lpstr>Data_LoonkostenTijd003</vt:lpstr>
      <vt:lpstr>Data_LoonkostenTijd004</vt:lpstr>
      <vt:lpstr>Data_LoonkostenTijd005</vt:lpstr>
      <vt:lpstr>Data_LoonkostenTijd006</vt:lpstr>
      <vt:lpstr>Data_LoonkostenTijd007</vt:lpstr>
      <vt:lpstr>Data_LoonkostenTijd008</vt:lpstr>
      <vt:lpstr>Data_LoonkostenTijd009</vt:lpstr>
      <vt:lpstr>Data_LoonkostenTijd010</vt:lpstr>
      <vt:lpstr>Data_LoonkostenTijd011</vt:lpstr>
      <vt:lpstr>Data_LoonkostenTijd012</vt:lpstr>
      <vt:lpstr>Data_LoonkostenTijd013</vt:lpstr>
      <vt:lpstr>Data_LoonkostenTijd014</vt:lpstr>
      <vt:lpstr>Data_LoonkostenTijd015</vt:lpstr>
      <vt:lpstr>Data_LoonkostenTijd016</vt:lpstr>
      <vt:lpstr>Data_LoonkostenTijd017</vt:lpstr>
      <vt:lpstr>Data_LoonkostenTijd018</vt:lpstr>
      <vt:lpstr>Data_LoonkostenTijd019</vt:lpstr>
      <vt:lpstr>Data_LoonkostenTijd020</vt:lpstr>
      <vt:lpstr>Data_LoonkostenTijd021</vt:lpstr>
      <vt:lpstr>Data_LoonkostenTijd022</vt:lpstr>
      <vt:lpstr>Data_LoonkostenTijd023</vt:lpstr>
      <vt:lpstr>Data_LoonkostenTijd024</vt:lpstr>
      <vt:lpstr>Data_LoonkostenTijd025</vt:lpstr>
      <vt:lpstr>Data_LoonkostenTijd026</vt:lpstr>
      <vt:lpstr>Data_LoonkostenTijd027</vt:lpstr>
      <vt:lpstr>Data_LoonkostenTijd028</vt:lpstr>
      <vt:lpstr>Data_LoonkostenTijd029</vt:lpstr>
      <vt:lpstr>Data_LoonkostenTijd030</vt:lpstr>
      <vt:lpstr>Data_LoonkostenTijd031</vt:lpstr>
      <vt:lpstr>Data_LoonkostenTijd032</vt:lpstr>
      <vt:lpstr>Data_LoonkostenTijd033</vt:lpstr>
      <vt:lpstr>Data_LoonkostenTijd034</vt:lpstr>
      <vt:lpstr>Data_LoonkostenTijd035</vt:lpstr>
      <vt:lpstr>Data_LoonkostenTijd036</vt:lpstr>
      <vt:lpstr>Data_LoonkostenTijd037</vt:lpstr>
      <vt:lpstr>Data_LoonkostenTijd038</vt:lpstr>
      <vt:lpstr>Data_LoonkostenTijd039</vt:lpstr>
      <vt:lpstr>Data_LoonkostenTijd040</vt:lpstr>
      <vt:lpstr>Data_LoonkostenTijd041</vt:lpstr>
      <vt:lpstr>Data_LoonkostenTijd042</vt:lpstr>
      <vt:lpstr>Data_LoonkostenTijd043</vt:lpstr>
      <vt:lpstr>Data_LoonkostenTijd044</vt:lpstr>
      <vt:lpstr>Data_LoonkostenTijd045</vt:lpstr>
      <vt:lpstr>Data_LoonkostenTijd046</vt:lpstr>
      <vt:lpstr>Data_LoonkostenTijd047</vt:lpstr>
      <vt:lpstr>Data_LoonkostenTijd048</vt:lpstr>
      <vt:lpstr>Data_LoonkostenTijd049</vt:lpstr>
      <vt:lpstr>Data_LoonkostenTijd050</vt:lpstr>
      <vt:lpstr>Data_LoonkostenTijd051</vt:lpstr>
      <vt:lpstr>Data_LoonkostenTijd052</vt:lpstr>
      <vt:lpstr>Data_LoonkostenTijd053</vt:lpstr>
      <vt:lpstr>Data_LoonkostenTijd054</vt:lpstr>
      <vt:lpstr>Data_LoonkostenTijd055</vt:lpstr>
      <vt:lpstr>Data_LoonkostenTijd056</vt:lpstr>
      <vt:lpstr>Data_LoonkostenTijd057</vt:lpstr>
      <vt:lpstr>Data_LoonkostenTijd058</vt:lpstr>
      <vt:lpstr>Data_LoonkostenTijd059</vt:lpstr>
      <vt:lpstr>Data_LoonkostenTijd060</vt:lpstr>
      <vt:lpstr>Data_LoonkostenTijd061</vt:lpstr>
      <vt:lpstr>Data_LoonkostenTijd062</vt:lpstr>
      <vt:lpstr>Data_LoonkostenTijd063</vt:lpstr>
      <vt:lpstr>Data_LoonkostenTijd064</vt:lpstr>
      <vt:lpstr>Data_LoonkostenTijd065</vt:lpstr>
      <vt:lpstr>Data_LoonkostenTijd066</vt:lpstr>
      <vt:lpstr>Data_LoonkostenTijd067</vt:lpstr>
      <vt:lpstr>Data_LoonkostenTijd068</vt:lpstr>
      <vt:lpstr>Data_LoonkostenTijd069</vt:lpstr>
      <vt:lpstr>Data_LoonkostenTijd070</vt:lpstr>
      <vt:lpstr>Data_LoonkostenTijd071</vt:lpstr>
      <vt:lpstr>Data_LoonkostenTijd072</vt:lpstr>
      <vt:lpstr>Data_LoonkostenTijd073</vt:lpstr>
      <vt:lpstr>Data_LoonkostenTijd074</vt:lpstr>
      <vt:lpstr>Data_LoonkostenTijd075</vt:lpstr>
      <vt:lpstr>Data_LoonkostenTijd076</vt:lpstr>
      <vt:lpstr>Data_LoonkostenTijd077</vt:lpstr>
      <vt:lpstr>Data_LoonkostenTijd078</vt:lpstr>
      <vt:lpstr>Data_LoonkostenTijd079</vt:lpstr>
      <vt:lpstr>Data_LoonkostenTijd080</vt:lpstr>
      <vt:lpstr>Data_LoonkostenTijd081</vt:lpstr>
      <vt:lpstr>Data_LoonkostenTijd082</vt:lpstr>
      <vt:lpstr>Data_LoonkostenTijd083</vt:lpstr>
      <vt:lpstr>Data_LoonkostenTijd084</vt:lpstr>
      <vt:lpstr>Data_LoonkostenTijd085</vt:lpstr>
      <vt:lpstr>Data_LoonkostenTijd086</vt:lpstr>
      <vt:lpstr>Data_LoonkostenTijd087</vt:lpstr>
      <vt:lpstr>Data_LoonkostenTijd088</vt:lpstr>
      <vt:lpstr>Data_LoonkostenTijd089</vt:lpstr>
      <vt:lpstr>Data_LoonkostenTijd090</vt:lpstr>
      <vt:lpstr>Data_LoonkostenTijd091</vt:lpstr>
      <vt:lpstr>Data_LoonkostenTijd092</vt:lpstr>
      <vt:lpstr>Data_LoonkostenTijd093</vt:lpstr>
      <vt:lpstr>Data_LoonkostenTijd094</vt:lpstr>
      <vt:lpstr>Data_LoonkostenTijd095</vt:lpstr>
      <vt:lpstr>Data_LoonkostenTijd096</vt:lpstr>
      <vt:lpstr>Data_LoonkostenTijd097</vt:lpstr>
      <vt:lpstr>Data_LoonkostenTijd098</vt:lpstr>
      <vt:lpstr>Data_LoonkostenTijd099</vt:lpstr>
      <vt:lpstr>Data_LoonkostenTijd100</vt:lpstr>
      <vt:lpstr>Data_LoonkostenTijd101</vt:lpstr>
      <vt:lpstr>Data_LoonkostenTijd102</vt:lpstr>
      <vt:lpstr>Data_LoonkostenTijd103</vt:lpstr>
      <vt:lpstr>Data_LoonkostenTijd104</vt:lpstr>
      <vt:lpstr>Data_LoonkostenTijd105</vt:lpstr>
      <vt:lpstr>Data_LoonkostenTijd106</vt:lpstr>
      <vt:lpstr>Data_LoonkostenTijd107</vt:lpstr>
      <vt:lpstr>Data_LoonkostenTijd108</vt:lpstr>
      <vt:lpstr>Data_LoonkostenTijd109</vt:lpstr>
      <vt:lpstr>Data_LoonkostenTijd110</vt:lpstr>
      <vt:lpstr>Data_LoonkostenTijd111</vt:lpstr>
      <vt:lpstr>Data_LoonkostenTijd112</vt:lpstr>
      <vt:lpstr>Data_LoonkostenTijd113</vt:lpstr>
      <vt:lpstr>Data_LoonkostenTijd114</vt:lpstr>
      <vt:lpstr>Data_LoonkostenTijd115</vt:lpstr>
      <vt:lpstr>Data_LoonkostenTijd116</vt:lpstr>
      <vt:lpstr>Data_LoonkostenTijd117</vt:lpstr>
      <vt:lpstr>Data_LoonkostenTijd118</vt:lpstr>
      <vt:lpstr>Data_LoonkostenTijd119</vt:lpstr>
      <vt:lpstr>Data_LoonkostenTijd120</vt:lpstr>
      <vt:lpstr>Data_LoonkostenTijd121</vt:lpstr>
      <vt:lpstr>Data_LoonkostenTijd122</vt:lpstr>
      <vt:lpstr>Data_LoonkostenTijd123</vt:lpstr>
      <vt:lpstr>Data_LoonkostenTijd124</vt:lpstr>
      <vt:lpstr>Data_LoonkostenTijd125</vt:lpstr>
      <vt:lpstr>Data_LoonkostenTijd126</vt:lpstr>
      <vt:lpstr>Data_LoonkostenTijd127</vt:lpstr>
      <vt:lpstr>Data_LoonkostenTijd128</vt:lpstr>
      <vt:lpstr>Data_LoonkostenTijd129</vt:lpstr>
      <vt:lpstr>Data_LoonkostenTijd130</vt:lpstr>
      <vt:lpstr>Data_LoonkostenTijd131</vt:lpstr>
      <vt:lpstr>Data_LoonkostenTijd132</vt:lpstr>
      <vt:lpstr>Data_LoonkostenTijd133</vt:lpstr>
      <vt:lpstr>Data_LoonkostenTijd134</vt:lpstr>
      <vt:lpstr>Data_LoonkostenTijd135</vt:lpstr>
      <vt:lpstr>Data_LoonkostenTijd136</vt:lpstr>
      <vt:lpstr>Data_LoonkostenTijd137</vt:lpstr>
      <vt:lpstr>Data_LoonkostenTijd138</vt:lpstr>
      <vt:lpstr>Data_LoonkostenTijd139</vt:lpstr>
      <vt:lpstr>Data_LoonkostenTijd140</vt:lpstr>
      <vt:lpstr>Data_LoonkostenTijd141</vt:lpstr>
      <vt:lpstr>Data_LoonkostenTijd142</vt:lpstr>
      <vt:lpstr>Data_LoonkostenTijd143</vt:lpstr>
      <vt:lpstr>Data_LoonkostenTijd144</vt:lpstr>
      <vt:lpstr>Data_LoonkostenTijd145</vt:lpstr>
      <vt:lpstr>Data_LoonkostenTijd146</vt:lpstr>
      <vt:lpstr>Data_LoonkostenTijd147</vt:lpstr>
      <vt:lpstr>Data_LoonkostenTijd148</vt:lpstr>
      <vt:lpstr>Data_LoonkostenTijd149</vt:lpstr>
      <vt:lpstr>Data_LoonkostenTijd150</vt:lpstr>
      <vt:lpstr>Data_LoonkostenTijd151</vt:lpstr>
      <vt:lpstr>Data_LoonkostenTijd152</vt:lpstr>
      <vt:lpstr>Data_LoonkostenTijd153</vt:lpstr>
      <vt:lpstr>Data_LoonkostenTijd154</vt:lpstr>
      <vt:lpstr>Data_LoonkostenTijd155</vt:lpstr>
      <vt:lpstr>Data_LoonkostenTijd156</vt:lpstr>
      <vt:lpstr>Data_LoonkostenTijd157</vt:lpstr>
      <vt:lpstr>Data_LoonkostenTijd158</vt:lpstr>
      <vt:lpstr>Data_LoonkostenTijd159</vt:lpstr>
      <vt:lpstr>Data_LoonkostenTijd160</vt:lpstr>
      <vt:lpstr>Data_LoonkostenTijd161</vt:lpstr>
      <vt:lpstr>Data_LoonkostenTijd162</vt:lpstr>
      <vt:lpstr>Data_LoonkostenTijd163</vt:lpstr>
      <vt:lpstr>Data_LoonkostenTijd164</vt:lpstr>
      <vt:lpstr>Data_LoonkostenTijd165</vt:lpstr>
      <vt:lpstr>Data_LoonkostenTijd166</vt:lpstr>
      <vt:lpstr>Data_LoonkostenTijd167</vt:lpstr>
      <vt:lpstr>Data_LoonkostenTijd168</vt:lpstr>
      <vt:lpstr>Data_LoonkostenTijd169</vt:lpstr>
      <vt:lpstr>Data_LoonkostenTijd170</vt:lpstr>
      <vt:lpstr>Data_LoonkostenTijd171</vt:lpstr>
      <vt:lpstr>Data_LoonkostenTijd172</vt:lpstr>
      <vt:lpstr>Data_LoonkostenTijd173</vt:lpstr>
      <vt:lpstr>Data_LoonkostenTijd174</vt:lpstr>
      <vt:lpstr>Data_LoonkostenTijd175</vt:lpstr>
      <vt:lpstr>Data_LoonkostenTijd176</vt:lpstr>
      <vt:lpstr>Data_LoonkostenTijd177</vt:lpstr>
      <vt:lpstr>Data_LoonkostenTijd178</vt:lpstr>
      <vt:lpstr>Data_LoonkostenTijd179</vt:lpstr>
      <vt:lpstr>Data_LoonkostenTijd180</vt:lpstr>
      <vt:lpstr>Data_LoonkostenTijd181</vt:lpstr>
      <vt:lpstr>Data_LoonkostenTijd182</vt:lpstr>
      <vt:lpstr>Data_LoonkostenTijd183</vt:lpstr>
      <vt:lpstr>Data_LoonkostenTijd184</vt:lpstr>
      <vt:lpstr>Data_LoonkostenTijd185</vt:lpstr>
      <vt:lpstr>Data_LoonkostenTijd186</vt:lpstr>
      <vt:lpstr>Data_LoonkostenTijd187</vt:lpstr>
      <vt:lpstr>Data_LoonkostenTijd188</vt:lpstr>
      <vt:lpstr>Data_LoonkostenTijd189</vt:lpstr>
      <vt:lpstr>Data_LoonkostenTijd190</vt:lpstr>
      <vt:lpstr>Data_LoonkostenTijd191</vt:lpstr>
      <vt:lpstr>Data_LoonkostenTijd192</vt:lpstr>
      <vt:lpstr>Data_LoonkostenTijd193</vt:lpstr>
      <vt:lpstr>Data_LoonkostenTijd194</vt:lpstr>
      <vt:lpstr>Data_LoonkostenTijd195</vt:lpstr>
      <vt:lpstr>Data_LoonkostenTijd196</vt:lpstr>
      <vt:lpstr>Data_LoonkostenTijd197</vt:lpstr>
      <vt:lpstr>Data_LoonkostenTijd198</vt:lpstr>
      <vt:lpstr>Data_LoonkostenTijd199</vt:lpstr>
      <vt:lpstr>Data_LoonkostenTijd200</vt:lpstr>
      <vt:lpstr>Data_LoonkostenTijd201</vt:lpstr>
      <vt:lpstr>Data_LoonkostenTijd202</vt:lpstr>
      <vt:lpstr>Data_LoonkostenTijd203</vt:lpstr>
      <vt:lpstr>Data_LoonkostenTijd204</vt:lpstr>
      <vt:lpstr>Data_LoonkostenTijd205</vt:lpstr>
      <vt:lpstr>Data_LoonkostenTijd206</vt:lpstr>
      <vt:lpstr>Data_LoonkostenTijd207</vt:lpstr>
      <vt:lpstr>Data_LoonkostenTijd208</vt:lpstr>
      <vt:lpstr>Data_LoonkostenTijd209</vt:lpstr>
      <vt:lpstr>Data_LoonkostenTijd210</vt:lpstr>
      <vt:lpstr>Data_LoonkostenTijd211</vt:lpstr>
      <vt:lpstr>Data_LoonkostenTijd212</vt:lpstr>
      <vt:lpstr>Data_LoonkostenTijd213</vt:lpstr>
      <vt:lpstr>Data_LoonkostenTijd214</vt:lpstr>
      <vt:lpstr>Data_LoonkostenTijd215</vt:lpstr>
      <vt:lpstr>Data_LoonkostenTijd216</vt:lpstr>
      <vt:lpstr>Data_LoonkostenTijd217</vt:lpstr>
      <vt:lpstr>Data_LoonkostenTijd218</vt:lpstr>
      <vt:lpstr>Data_LoonkostenTijd219</vt:lpstr>
      <vt:lpstr>Data_LoonkostenTijd220</vt:lpstr>
      <vt:lpstr>Data_LoonkostenTijd221</vt:lpstr>
      <vt:lpstr>Data_LoonkostenTijd222</vt:lpstr>
      <vt:lpstr>Data_LoonkostenTijd223</vt:lpstr>
      <vt:lpstr>Data_LoonkostenTijd224</vt:lpstr>
      <vt:lpstr>Data_LoonkostenTijd225</vt:lpstr>
      <vt:lpstr>Data_LoonkostenTijd226</vt:lpstr>
      <vt:lpstr>Data_LoonkostenTijd227</vt:lpstr>
      <vt:lpstr>Data_LoonkostenTijd228</vt:lpstr>
      <vt:lpstr>Data_LoonkostenTijd229</vt:lpstr>
      <vt:lpstr>Data_LoonkostenTijd230</vt:lpstr>
      <vt:lpstr>Data_LoonkostenTijd231</vt:lpstr>
      <vt:lpstr>Data_LoonkostenTijd232</vt:lpstr>
      <vt:lpstr>Data_LoonkostenTijd233</vt:lpstr>
      <vt:lpstr>Data_LoonkostenTijd234</vt:lpstr>
      <vt:lpstr>Data_LoonkostenTijd235</vt:lpstr>
      <vt:lpstr>Data_LoonkostenTijd236</vt:lpstr>
      <vt:lpstr>Data_LoonkostenTijd237</vt:lpstr>
      <vt:lpstr>Data_LoonkostenTijd238</vt:lpstr>
      <vt:lpstr>Data_LoonkostenTijd239</vt:lpstr>
      <vt:lpstr>Data_LoonkostenTijd240</vt:lpstr>
      <vt:lpstr>Data_LoonkostenTijd241</vt:lpstr>
      <vt:lpstr>Data_LoonkostenTijd242</vt:lpstr>
      <vt:lpstr>Data_LoonkostenTijd243</vt:lpstr>
      <vt:lpstr>Data_LoonkostenTijd244</vt:lpstr>
      <vt:lpstr>Data_LoonkostenTijd245</vt:lpstr>
      <vt:lpstr>Data_LoonkostenTijd246</vt:lpstr>
      <vt:lpstr>Data_LoonkostenTijd247</vt:lpstr>
      <vt:lpstr>Data_LoonkostenTijd248</vt:lpstr>
      <vt:lpstr>Data_LoonkostenTijd249</vt:lpstr>
      <vt:lpstr>Data_LoonkostenTijd250</vt:lpstr>
      <vt:lpstr>Data_LoonkostenTijd251</vt:lpstr>
      <vt:lpstr>Data_LoonkostenTijd252</vt:lpstr>
      <vt:lpstr>Data_LoonkostenTijd253</vt:lpstr>
      <vt:lpstr>Data_LoonkostenTijd254</vt:lpstr>
      <vt:lpstr>Data_LoonkostenTijd255</vt:lpstr>
      <vt:lpstr>Data_LoonkostenTijd256</vt:lpstr>
      <vt:lpstr>Data_LoonkostenTijd257</vt:lpstr>
      <vt:lpstr>Data_LoonkostenTijd258</vt:lpstr>
      <vt:lpstr>Data_LoonkostenTijd259</vt:lpstr>
      <vt:lpstr>Data_LoonkostenTijd260</vt:lpstr>
      <vt:lpstr>Data_LoonkostenTijd261</vt:lpstr>
      <vt:lpstr>Data_LoonkostenTijd262</vt:lpstr>
      <vt:lpstr>Data_LoonkostenTijd263</vt:lpstr>
      <vt:lpstr>Data_LoonkostenTijd264</vt:lpstr>
      <vt:lpstr>Data_LoonkostenTijd265</vt:lpstr>
      <vt:lpstr>Data_LoonkostenTijd266</vt:lpstr>
      <vt:lpstr>Data_LoonkostenTijd267</vt:lpstr>
      <vt:lpstr>Data_LoonkostenTijd268</vt:lpstr>
      <vt:lpstr>Data_LoonkostenTijd269</vt:lpstr>
      <vt:lpstr>Data_LoonkostenTijd270</vt:lpstr>
      <vt:lpstr>Data_LoonkostenTijd271</vt:lpstr>
      <vt:lpstr>Data_LoonkostenTijd272</vt:lpstr>
      <vt:lpstr>Data_LoonkostenTijd273</vt:lpstr>
      <vt:lpstr>Data_LoonkostenTijd274</vt:lpstr>
      <vt:lpstr>Data_LoonkostenTijd275</vt:lpstr>
      <vt:lpstr>Data_LoonkostenTijd276</vt:lpstr>
      <vt:lpstr>Data_LoonkostenTijd277</vt:lpstr>
      <vt:lpstr>Data_LoonkostenTijd278</vt:lpstr>
      <vt:lpstr>Data_LoonkostenTijd279</vt:lpstr>
      <vt:lpstr>Data_LoonkostenTijd280</vt:lpstr>
      <vt:lpstr>Data_LoonkostenTijd281</vt:lpstr>
      <vt:lpstr>Data_LoonkostenTijd282</vt:lpstr>
      <vt:lpstr>Data_LoonkostenTijd283</vt:lpstr>
      <vt:lpstr>Data_LoonkostenTijd284</vt:lpstr>
      <vt:lpstr>Data_LoonkostenTijd285</vt:lpstr>
      <vt:lpstr>Data_LoonkostenTijd286</vt:lpstr>
      <vt:lpstr>Data_LoonkostenTijd287</vt:lpstr>
      <vt:lpstr>Data_LoonkostenTijd288</vt:lpstr>
      <vt:lpstr>Data_LoonkostenTijd289</vt:lpstr>
      <vt:lpstr>Data_LoonkostenTijd290</vt:lpstr>
      <vt:lpstr>Data_LoonkostenTijd291</vt:lpstr>
      <vt:lpstr>Data_LoonkostenTijd292</vt:lpstr>
      <vt:lpstr>Data_LoonkostenTijd293</vt:lpstr>
      <vt:lpstr>Data_LoonkostenTijd294</vt:lpstr>
      <vt:lpstr>Data_LoonkostenTijd295</vt:lpstr>
      <vt:lpstr>Data_LoonkostenTijd296</vt:lpstr>
      <vt:lpstr>Data_LoonkostenTijd297</vt:lpstr>
      <vt:lpstr>Data_LoonkostenTijd298</vt:lpstr>
      <vt:lpstr>Data_LoonkostenTijd299</vt:lpstr>
      <vt:lpstr>Data_LoonkostenTijd300</vt:lpstr>
      <vt:lpstr>Data_LoonkostenTijd301</vt:lpstr>
      <vt:lpstr>Data_LoonkostenTijd302</vt:lpstr>
      <vt:lpstr>Data_LoonkostenTijd303</vt:lpstr>
      <vt:lpstr>Data_LoonkostenTijd304</vt:lpstr>
      <vt:lpstr>Data_LoonkostenTijd305</vt:lpstr>
      <vt:lpstr>Data_LoonkostenTijd306</vt:lpstr>
      <vt:lpstr>Data_LoonkostenTijd307</vt:lpstr>
      <vt:lpstr>Data_LoonkostenTijd308</vt:lpstr>
      <vt:lpstr>Data_LoonkostenTijd309</vt:lpstr>
      <vt:lpstr>Data_LoonkostenTijd310</vt:lpstr>
      <vt:lpstr>Data_LoonkostenTijd311</vt:lpstr>
      <vt:lpstr>Data_LoonkostenTijd312</vt:lpstr>
      <vt:lpstr>Data_LoonkostenTijd313</vt:lpstr>
      <vt:lpstr>Data_LoonkostenTijd314</vt:lpstr>
      <vt:lpstr>Data_LoonkostenTijd315</vt:lpstr>
      <vt:lpstr>Data_LoonkostenTijd316</vt:lpstr>
      <vt:lpstr>Data_LoonkostenTijd317</vt:lpstr>
      <vt:lpstr>Data_LoonkostenTijd318</vt:lpstr>
      <vt:lpstr>Data_LoonkostenTijd319</vt:lpstr>
      <vt:lpstr>Data_LoonkostenTijd320</vt:lpstr>
      <vt:lpstr>Data_LoonkostenTijd321</vt:lpstr>
      <vt:lpstr>Data_LoonkostenTijd322</vt:lpstr>
      <vt:lpstr>Data_LoonkostenTijd323</vt:lpstr>
      <vt:lpstr>Data_LoonkostenTijd324</vt:lpstr>
      <vt:lpstr>Data_LoonkostenTijd325</vt:lpstr>
      <vt:lpstr>Data_LoonkostenTijd326</vt:lpstr>
      <vt:lpstr>Data_LoonkostenTijd327</vt:lpstr>
      <vt:lpstr>Data_LoonkostenTijd328</vt:lpstr>
      <vt:lpstr>Data_LoonkostenTijd329</vt:lpstr>
      <vt:lpstr>Data_LoonkostenTijd330</vt:lpstr>
      <vt:lpstr>Data_LoonkostenTijd331</vt:lpstr>
      <vt:lpstr>Data_LoonkostenTijd332</vt:lpstr>
      <vt:lpstr>Data_LoonkostenTijd333</vt:lpstr>
      <vt:lpstr>Data_LoonkostenTijd334</vt:lpstr>
      <vt:lpstr>Data_LoonkostenTijd335</vt:lpstr>
      <vt:lpstr>Data_LoonkostenTijd336</vt:lpstr>
      <vt:lpstr>Data_LoonkostenTijd337</vt:lpstr>
      <vt:lpstr>Data_LoonkostenTijd338</vt:lpstr>
      <vt:lpstr>Data_LoonkostenTijd339</vt:lpstr>
      <vt:lpstr>Data_LoonkostenTijd340</vt:lpstr>
      <vt:lpstr>Data_LoonkostenTijd341</vt:lpstr>
      <vt:lpstr>Data_LoonkostenTijd342</vt:lpstr>
      <vt:lpstr>Data_LoonkostenTijd343</vt:lpstr>
      <vt:lpstr>Data_LoonkostenTijd344</vt:lpstr>
      <vt:lpstr>Data_LoonkostenTijd345</vt:lpstr>
      <vt:lpstr>Data_LoonkostenTijd346</vt:lpstr>
      <vt:lpstr>Data_LoonkostenTijd347</vt:lpstr>
      <vt:lpstr>Data_LoonkostenTijd348</vt:lpstr>
      <vt:lpstr>Data_LoonkostenTijd349</vt:lpstr>
      <vt:lpstr>Data_LoonkostenTijd350</vt:lpstr>
      <vt:lpstr>Data_LoonkostenTijd351</vt:lpstr>
      <vt:lpstr>Data_LoonkostenTijd352</vt:lpstr>
      <vt:lpstr>Data_LoonkostenTijd353</vt:lpstr>
      <vt:lpstr>Data_LoonkostenTijd354</vt:lpstr>
      <vt:lpstr>Data_LoonkostenTijd355</vt:lpstr>
      <vt:lpstr>Data_LoonkostenTijd356</vt:lpstr>
      <vt:lpstr>Data_LoonkostenTijd357</vt:lpstr>
      <vt:lpstr>Data_LoonkostenTijd358</vt:lpstr>
      <vt:lpstr>Data_LoonkostenTijd359</vt:lpstr>
      <vt:lpstr>Data_LoonkostenTijd360</vt:lpstr>
      <vt:lpstr>Data_LoonkostenTijd361</vt:lpstr>
      <vt:lpstr>Data_LoonkostenTijd362</vt:lpstr>
      <vt:lpstr>Data_LoonkostenTijd363</vt:lpstr>
      <vt:lpstr>Data_LoonkostenTijd364</vt:lpstr>
      <vt:lpstr>Data_LoonkostenTijd365</vt:lpstr>
      <vt:lpstr>Data_LoonkostenTijd366</vt:lpstr>
      <vt:lpstr>Data_LoonkostenTijd367</vt:lpstr>
      <vt:lpstr>Data_LoonkostenTijd368</vt:lpstr>
      <vt:lpstr>Data_LoonkostenTijd369</vt:lpstr>
      <vt:lpstr>Data_LoonkostenTijd370</vt:lpstr>
      <vt:lpstr>Data_LoonkostenTijd371</vt:lpstr>
      <vt:lpstr>Data_LoonkostenTijd372</vt:lpstr>
      <vt:lpstr>Data_LoonkostenTijd373</vt:lpstr>
      <vt:lpstr>Data_LoonkostenTijd374</vt:lpstr>
      <vt:lpstr>Data_LoonkostenTijd375</vt:lpstr>
      <vt:lpstr>Data_LoonkostenTijd376</vt:lpstr>
      <vt:lpstr>Data_LoonkostenTijd377</vt:lpstr>
      <vt:lpstr>Data_LoonkostenTijd378</vt:lpstr>
      <vt:lpstr>Data_LoonkostenTijd379</vt:lpstr>
      <vt:lpstr>Data_LoonkostenTijd380</vt:lpstr>
      <vt:lpstr>Data_LoonkostenTijd381</vt:lpstr>
      <vt:lpstr>Data_LoonkostenTijd382</vt:lpstr>
      <vt:lpstr>Data_LoonkostenTijd383</vt:lpstr>
      <vt:lpstr>Data_LoonkostenTijd384</vt:lpstr>
      <vt:lpstr>Data_LoonkostenTijd385</vt:lpstr>
      <vt:lpstr>Data_LoonkostenTijd386</vt:lpstr>
      <vt:lpstr>Data_LoonkostenTijd387</vt:lpstr>
      <vt:lpstr>Data_LoonkostenTijd388</vt:lpstr>
      <vt:lpstr>Data_LoonkostenTijd389</vt:lpstr>
      <vt:lpstr>Data_LoonkostenTijd390</vt:lpstr>
      <vt:lpstr>Data_LoonkostenTijd391</vt:lpstr>
      <vt:lpstr>Data_LoonkostenTijd392</vt:lpstr>
      <vt:lpstr>Data_LoonkostenTijd393</vt:lpstr>
      <vt:lpstr>Data_LoonkostenTijd394</vt:lpstr>
      <vt:lpstr>Data_LoonkostenTijd395</vt:lpstr>
      <vt:lpstr>Data_LoonkostenTijd396</vt:lpstr>
      <vt:lpstr>Data_LoonkostenTijd397</vt:lpstr>
      <vt:lpstr>Data_LoonkostenTijd398</vt:lpstr>
      <vt:lpstr>Data_LoonkostenTijd399</vt:lpstr>
      <vt:lpstr>Data_LoonkostenTijd400</vt:lpstr>
      <vt:lpstr>Data_LoonkostenTijd401</vt:lpstr>
      <vt:lpstr>Data_LoonkostenTijd402</vt:lpstr>
      <vt:lpstr>Data_LoonkostenTijd403</vt:lpstr>
      <vt:lpstr>Data_LoonkostenTijd404</vt:lpstr>
      <vt:lpstr>Data_LoonkostenTijd405</vt:lpstr>
      <vt:lpstr>Data_LoonkostenTijd406</vt:lpstr>
      <vt:lpstr>Data_LoonkostenTijd407</vt:lpstr>
      <vt:lpstr>Data_LoonkostenTijd408</vt:lpstr>
      <vt:lpstr>Data_LoonkostenTijd409</vt:lpstr>
      <vt:lpstr>Data_LoonkostenTijd410</vt:lpstr>
      <vt:lpstr>Data_LoonkostenTijd411</vt:lpstr>
      <vt:lpstr>Data_LoonkostenTijd412</vt:lpstr>
      <vt:lpstr>Data_LoonkostenTijd413</vt:lpstr>
      <vt:lpstr>Data_LoonkostenTijd414</vt:lpstr>
      <vt:lpstr>Data_LoonkostenTijd415</vt:lpstr>
      <vt:lpstr>Data_LoonkostenTijd416</vt:lpstr>
      <vt:lpstr>Data_LoonkostenTijd417</vt:lpstr>
      <vt:lpstr>Data_LoonkostenTijd418</vt:lpstr>
      <vt:lpstr>Data_LoonkostenTijd419</vt:lpstr>
      <vt:lpstr>Data_LoonkostenTijd420</vt:lpstr>
      <vt:lpstr>Data_LoonkostenTijd421</vt:lpstr>
      <vt:lpstr>Data_LoonkostenTijd422</vt:lpstr>
      <vt:lpstr>Data_LoonkostenTijd423</vt:lpstr>
      <vt:lpstr>Data_LoonkostenTijd424</vt:lpstr>
      <vt:lpstr>Data_LoonkostenTijd425</vt:lpstr>
      <vt:lpstr>Data_LoonkostenTijd426</vt:lpstr>
      <vt:lpstr>Data_LoonkostenTijd427</vt:lpstr>
      <vt:lpstr>Data_LoonkostenTijd428</vt:lpstr>
      <vt:lpstr>Data_LoonkostenTijd429</vt:lpstr>
      <vt:lpstr>Data_LoonkostenTijd430</vt:lpstr>
      <vt:lpstr>Data_LoonkostenTijd431</vt:lpstr>
      <vt:lpstr>Data_LoonkostenTijd432</vt:lpstr>
      <vt:lpstr>Data_LoonkostenTijd433</vt:lpstr>
      <vt:lpstr>Data_LoonkostenTijd434</vt:lpstr>
      <vt:lpstr>Data_LoonkostenTijd435</vt:lpstr>
      <vt:lpstr>Data_LoonkostenTijd436</vt:lpstr>
      <vt:lpstr>Data_LoonkostenTijd437</vt:lpstr>
      <vt:lpstr>Data_LoonkostenTijd438</vt:lpstr>
      <vt:lpstr>Data_LoonkostenTijd439</vt:lpstr>
      <vt:lpstr>Data_LoonkostenTijd440</vt:lpstr>
      <vt:lpstr>Data_LoonkostenTijd441</vt:lpstr>
      <vt:lpstr>Data_LoonkostenTijd442</vt:lpstr>
      <vt:lpstr>Data_LoonkostenTijd443</vt:lpstr>
      <vt:lpstr>Data_LoonkostenTijd444</vt:lpstr>
      <vt:lpstr>Data_LoonkostenTijd445</vt:lpstr>
      <vt:lpstr>Data_LoonkostenTijd446</vt:lpstr>
      <vt:lpstr>Data_LoonkostenTijd447</vt:lpstr>
      <vt:lpstr>Data_LoonkostenTijd448</vt:lpstr>
      <vt:lpstr>Data_LoonkostenTijd449</vt:lpstr>
      <vt:lpstr>Data_LoonkostenTijd450</vt:lpstr>
      <vt:lpstr>Data_LoonkostenTijd451</vt:lpstr>
      <vt:lpstr>Data_LoonkostenTijd452</vt:lpstr>
      <vt:lpstr>Data_LoonkostenTijd453</vt:lpstr>
      <vt:lpstr>Data_LoonkostenTijd454</vt:lpstr>
      <vt:lpstr>Data_LoonkostenTijd455</vt:lpstr>
      <vt:lpstr>Data_LoonkostenTijd456</vt:lpstr>
      <vt:lpstr>Data_LoonkostenTijd457</vt:lpstr>
      <vt:lpstr>Data_LoonkostenTijd458</vt:lpstr>
      <vt:lpstr>Data_LoonkostenTijd459</vt:lpstr>
      <vt:lpstr>Data_LoonkostenTijd460</vt:lpstr>
      <vt:lpstr>Data_LoonkostenTijd461</vt:lpstr>
      <vt:lpstr>Data_LoonkostenTijd462</vt:lpstr>
      <vt:lpstr>Data_LoonkostenTijd463</vt:lpstr>
      <vt:lpstr>Data_LoonkostenTijd464</vt:lpstr>
      <vt:lpstr>Data_LoonkostenTijd465</vt:lpstr>
      <vt:lpstr>Data_LoonkostenTijd466</vt:lpstr>
      <vt:lpstr>Data_LoonkostenTijd467</vt:lpstr>
      <vt:lpstr>Data_LoonkostenTijd468</vt:lpstr>
      <vt:lpstr>Data_LoonkostenTijd469</vt:lpstr>
      <vt:lpstr>Data_LoonkostenTijd470</vt:lpstr>
      <vt:lpstr>Data_LoonkostenTijd471</vt:lpstr>
      <vt:lpstr>Data_LoonkostenTijd472</vt:lpstr>
      <vt:lpstr>Data_LoonkostenTijd473</vt:lpstr>
      <vt:lpstr>Data_LoonkostenTijd474</vt:lpstr>
      <vt:lpstr>Data_LoonkostenTijd475</vt:lpstr>
      <vt:lpstr>Data_LoonkostenTijd476</vt:lpstr>
      <vt:lpstr>Data_LoonkostenTijd477</vt:lpstr>
      <vt:lpstr>Data_LoonkostenTijd478</vt:lpstr>
      <vt:lpstr>Data_LoonkostenTijd479</vt:lpstr>
      <vt:lpstr>Data_LoonkostenTijd480</vt:lpstr>
      <vt:lpstr>Data_LoonkostenTijd481</vt:lpstr>
      <vt:lpstr>Data_LoonkostenTijd482</vt:lpstr>
      <vt:lpstr>Data_LoonkostenTijd483</vt:lpstr>
      <vt:lpstr>Data_LoonkostenTijd484</vt:lpstr>
      <vt:lpstr>Data_LoonkostenTijd485</vt:lpstr>
      <vt:lpstr>Data_LoonkostenTijd486</vt:lpstr>
      <vt:lpstr>Data_LoonkostenTijd487</vt:lpstr>
      <vt:lpstr>Data_LoonkostenTijd488</vt:lpstr>
      <vt:lpstr>Data_LoonkostenTijd489</vt:lpstr>
      <vt:lpstr>Data_LoonkostenTijd490</vt:lpstr>
      <vt:lpstr>Data_LoonkostenTijd491</vt:lpstr>
      <vt:lpstr>Data_LoonkostenTijd492</vt:lpstr>
      <vt:lpstr>Data_LoonkostenTijd493</vt:lpstr>
      <vt:lpstr>Data_LoonkostenTijd494</vt:lpstr>
      <vt:lpstr>Data_LoonkostenTijd495</vt:lpstr>
      <vt:lpstr>Data_LoonkostenTijd496</vt:lpstr>
      <vt:lpstr>Data_LoonkostenTijd497</vt:lpstr>
      <vt:lpstr>Data_LoonkostenTijd498</vt:lpstr>
      <vt:lpstr>Data_LoonkostenTijd499</vt:lpstr>
      <vt:lpstr>Data_LoonkostenTijd500</vt:lpstr>
      <vt:lpstr>Data_LoonkostenVastOntslag001</vt:lpstr>
      <vt:lpstr>Data_LoonkostenVastOntslag002</vt:lpstr>
      <vt:lpstr>Data_LoonkostenVastOntslag003</vt:lpstr>
      <vt:lpstr>Data_LoonkostenVastOntslag004</vt:lpstr>
      <vt:lpstr>Data_LoonkostenVastOntslag005</vt:lpstr>
      <vt:lpstr>Data_LoonkostenVastOntslag006</vt:lpstr>
      <vt:lpstr>Data_LoonkostenVastOntslag007</vt:lpstr>
      <vt:lpstr>Data_LoonkostenVastOntslag008</vt:lpstr>
      <vt:lpstr>Data_LoonkostenVastOntslag009</vt:lpstr>
      <vt:lpstr>Data_LoonkostenVastOntslag010</vt:lpstr>
      <vt:lpstr>Data_LoonkostenVastOntslag011</vt:lpstr>
      <vt:lpstr>Data_LoonkostenVastOntslag012</vt:lpstr>
      <vt:lpstr>Data_LoonkostenVastOntslag013</vt:lpstr>
      <vt:lpstr>Data_LoonkostenVastOntslag014</vt:lpstr>
      <vt:lpstr>Data_LoonkostenVastOntslag015</vt:lpstr>
      <vt:lpstr>Data_LoonkostenVastOntslag016</vt:lpstr>
      <vt:lpstr>Data_LoonkostenVastOntslag017</vt:lpstr>
      <vt:lpstr>Data_LoonkostenVastOntslag018</vt:lpstr>
      <vt:lpstr>Data_LoonkostenVastOntslag019</vt:lpstr>
      <vt:lpstr>Data_LoonkostenVastOntslag020</vt:lpstr>
      <vt:lpstr>Data_LoonkostenVastOntslag021</vt:lpstr>
      <vt:lpstr>Data_LoonkostenVastOntslag022</vt:lpstr>
      <vt:lpstr>Data_LoonkostenVastOntslag023</vt:lpstr>
      <vt:lpstr>Data_LoonkostenVastOntslag024</vt:lpstr>
      <vt:lpstr>Data_LoonkostenVastOntslag025</vt:lpstr>
      <vt:lpstr>Data_LoonkostenVastOntslag026</vt:lpstr>
      <vt:lpstr>Data_LoonkostenVastOntslag027</vt:lpstr>
      <vt:lpstr>Data_LoonkostenVastOntslag028</vt:lpstr>
      <vt:lpstr>Data_LoonkostenVastOntslag029</vt:lpstr>
      <vt:lpstr>Data_LoonkostenVastOntslag030</vt:lpstr>
      <vt:lpstr>Data_LoonkostenVastOntslag031</vt:lpstr>
      <vt:lpstr>Data_LoonkostenVastOntslag032</vt:lpstr>
      <vt:lpstr>Data_LoonkostenVastOntslag033</vt:lpstr>
      <vt:lpstr>Data_LoonkostenVastOntslag034</vt:lpstr>
      <vt:lpstr>Data_LoonkostenVastOntslag035</vt:lpstr>
      <vt:lpstr>Data_LoonkostenVastOntslag036</vt:lpstr>
      <vt:lpstr>Data_LoonkostenVastOntslag037</vt:lpstr>
      <vt:lpstr>Data_LoonkostenVastOntslag038</vt:lpstr>
      <vt:lpstr>Data_LoonkostenVastOntslag039</vt:lpstr>
      <vt:lpstr>Data_LoonkostenVastOntslag040</vt:lpstr>
      <vt:lpstr>Data_LoonkostenVastOntslag041</vt:lpstr>
      <vt:lpstr>Data_LoonkostenVastOntslag042</vt:lpstr>
      <vt:lpstr>Data_LoonkostenVastOntslag043</vt:lpstr>
      <vt:lpstr>Data_LoonkostenVastOntslag044</vt:lpstr>
      <vt:lpstr>Data_LoonkostenVastOntslag045</vt:lpstr>
      <vt:lpstr>Data_LoonkostenVastOntslag046</vt:lpstr>
      <vt:lpstr>Data_LoonkostenVastOntslag047</vt:lpstr>
      <vt:lpstr>Data_LoonkostenVastOntslag048</vt:lpstr>
      <vt:lpstr>Data_LoonkostenVastOntslag049</vt:lpstr>
      <vt:lpstr>Data_LoonkostenVastOntslag050</vt:lpstr>
      <vt:lpstr>Data_LoonkostenVastOntslag051</vt:lpstr>
      <vt:lpstr>Data_LoonkostenVastOntslag052</vt:lpstr>
      <vt:lpstr>Data_LoonkostenVastOntslag053</vt:lpstr>
      <vt:lpstr>Data_LoonkostenVastOntslag054</vt:lpstr>
      <vt:lpstr>Data_LoonkostenVastOntslag055</vt:lpstr>
      <vt:lpstr>Data_LoonkostenVastOntslag056</vt:lpstr>
      <vt:lpstr>Data_LoonkostenVastOntslag057</vt:lpstr>
      <vt:lpstr>Data_LoonkostenVastOntslag058</vt:lpstr>
      <vt:lpstr>Data_LoonkostenVastOntslag059</vt:lpstr>
      <vt:lpstr>Data_LoonkostenVastOntslag060</vt:lpstr>
      <vt:lpstr>Data_LoonkostenVastOntslag061</vt:lpstr>
      <vt:lpstr>Data_LoonkostenVastOntslag062</vt:lpstr>
      <vt:lpstr>Data_LoonkostenVastOntslag063</vt:lpstr>
      <vt:lpstr>Data_LoonkostenVastOntslag064</vt:lpstr>
      <vt:lpstr>Data_LoonkostenVastOntslag065</vt:lpstr>
      <vt:lpstr>Data_LoonkostenVastOntslag066</vt:lpstr>
      <vt:lpstr>Data_LoonkostenVastOntslag067</vt:lpstr>
      <vt:lpstr>Data_LoonkostenVastOntslag068</vt:lpstr>
      <vt:lpstr>Data_LoonkostenVastOntslag069</vt:lpstr>
      <vt:lpstr>Data_LoonkostenVastOntslag070</vt:lpstr>
      <vt:lpstr>Data_LoonkostenVastOntslag071</vt:lpstr>
      <vt:lpstr>Data_LoonkostenVastOntslag072</vt:lpstr>
      <vt:lpstr>Data_LoonkostenVastOntslag073</vt:lpstr>
      <vt:lpstr>Data_LoonkostenVastOntslag074</vt:lpstr>
      <vt:lpstr>Data_LoonkostenVastOntslag075</vt:lpstr>
      <vt:lpstr>Data_LoonkostenVastOntslag076</vt:lpstr>
      <vt:lpstr>Data_LoonkostenVastOntslag077</vt:lpstr>
      <vt:lpstr>Data_LoonkostenVastOntslag078</vt:lpstr>
      <vt:lpstr>Data_LoonkostenVastOntslag079</vt:lpstr>
      <vt:lpstr>Data_LoonkostenVastOntslag080</vt:lpstr>
      <vt:lpstr>Data_LoonkostenVastOntslag081</vt:lpstr>
      <vt:lpstr>Data_LoonkostenVastOntslag082</vt:lpstr>
      <vt:lpstr>Data_LoonkostenVastOntslag083</vt:lpstr>
      <vt:lpstr>Data_LoonkostenVastOntslag084</vt:lpstr>
      <vt:lpstr>Data_LoonkostenVastOntslag085</vt:lpstr>
      <vt:lpstr>Data_LoonkostenVastOntslag086</vt:lpstr>
      <vt:lpstr>Data_LoonkostenVastOntslag087</vt:lpstr>
      <vt:lpstr>Data_LoonkostenVastOntslag088</vt:lpstr>
      <vt:lpstr>Data_LoonkostenVastOntslag089</vt:lpstr>
      <vt:lpstr>Data_LoonkostenVastOntslag090</vt:lpstr>
      <vt:lpstr>Data_LoonkostenVastOntslag091</vt:lpstr>
      <vt:lpstr>Data_LoonkostenVastOntslag092</vt:lpstr>
      <vt:lpstr>Data_LoonkostenVastOntslag093</vt:lpstr>
      <vt:lpstr>Data_LoonkostenVastOntslag094</vt:lpstr>
      <vt:lpstr>Data_LoonkostenVastOntslag095</vt:lpstr>
      <vt:lpstr>Data_LoonkostenVastOntslag096</vt:lpstr>
      <vt:lpstr>Data_LoonkostenVastOntslag097</vt:lpstr>
      <vt:lpstr>Data_LoonkostenVastOntslag098</vt:lpstr>
      <vt:lpstr>Data_LoonkostenVastOntslag099</vt:lpstr>
      <vt:lpstr>Data_LoonkostenVastOntslag100</vt:lpstr>
      <vt:lpstr>Data_LoonkostenVastOntslag101</vt:lpstr>
      <vt:lpstr>Data_LoonkostenVastOntslag102</vt:lpstr>
      <vt:lpstr>Data_LoonkostenVastOntslag103</vt:lpstr>
      <vt:lpstr>Data_LoonkostenVastOntslag104</vt:lpstr>
      <vt:lpstr>Data_LoonkostenVastOntslag105</vt:lpstr>
      <vt:lpstr>Data_LoonkostenVastOntslag106</vt:lpstr>
      <vt:lpstr>Data_LoonkostenVastOntslag107</vt:lpstr>
      <vt:lpstr>Data_LoonkostenVastOntslag108</vt:lpstr>
      <vt:lpstr>Data_LoonkostenVastOntslag109</vt:lpstr>
      <vt:lpstr>Data_LoonkostenVastOntslag110</vt:lpstr>
      <vt:lpstr>Data_LoonkostenVastOntslag111</vt:lpstr>
      <vt:lpstr>Data_LoonkostenVastOntslag112</vt:lpstr>
      <vt:lpstr>Data_LoonkostenVastOntslag113</vt:lpstr>
      <vt:lpstr>Data_LoonkostenVastOntslag114</vt:lpstr>
      <vt:lpstr>Data_LoonkostenVastOntslag115</vt:lpstr>
      <vt:lpstr>Data_LoonkostenVastOntslag116</vt:lpstr>
      <vt:lpstr>Data_LoonkostenVastOntslag117</vt:lpstr>
      <vt:lpstr>Data_LoonkostenVastOntslag118</vt:lpstr>
      <vt:lpstr>Data_LoonkostenVastOntslag119</vt:lpstr>
      <vt:lpstr>Data_LoonkostenVastOntslag120</vt:lpstr>
      <vt:lpstr>Data_LoonkostenVastOntslag121</vt:lpstr>
      <vt:lpstr>Data_LoonkostenVastOntslag122</vt:lpstr>
      <vt:lpstr>Data_LoonkostenVastOntslag123</vt:lpstr>
      <vt:lpstr>Data_LoonkostenVastOntslag124</vt:lpstr>
      <vt:lpstr>Data_LoonkostenVastOntslag125</vt:lpstr>
      <vt:lpstr>Data_LoonkostenVastOntslag126</vt:lpstr>
      <vt:lpstr>Data_LoonkostenVastOntslag127</vt:lpstr>
      <vt:lpstr>Data_LoonkostenVastOntslag128</vt:lpstr>
      <vt:lpstr>Data_LoonkostenVastOntslag129</vt:lpstr>
      <vt:lpstr>Data_LoonkostenVastOntslag130</vt:lpstr>
      <vt:lpstr>Data_LoonkostenVastOntslag131</vt:lpstr>
      <vt:lpstr>Data_LoonkostenVastOntslag132</vt:lpstr>
      <vt:lpstr>Data_LoonkostenVastOntslag133</vt:lpstr>
      <vt:lpstr>Data_LoonkostenVastOntslag134</vt:lpstr>
      <vt:lpstr>Data_LoonkostenVastOntslag135</vt:lpstr>
      <vt:lpstr>Data_LoonkostenVastOntslag136</vt:lpstr>
      <vt:lpstr>Data_LoonkostenVastOntslag137</vt:lpstr>
      <vt:lpstr>Data_LoonkostenVastOntslag138</vt:lpstr>
      <vt:lpstr>Data_LoonkostenVastOntslag139</vt:lpstr>
      <vt:lpstr>Data_LoonkostenVastOntslag140</vt:lpstr>
      <vt:lpstr>Data_LoonkostenVastOntslag141</vt:lpstr>
      <vt:lpstr>Data_LoonkostenVastOntslag142</vt:lpstr>
      <vt:lpstr>Data_LoonkostenVastOntslag143</vt:lpstr>
      <vt:lpstr>Data_LoonkostenVastOntslag144</vt:lpstr>
      <vt:lpstr>Data_LoonkostenVastOntslag145</vt:lpstr>
      <vt:lpstr>Data_LoonkostenVastOntslag146</vt:lpstr>
      <vt:lpstr>Data_LoonkostenVastOntslag147</vt:lpstr>
      <vt:lpstr>Data_LoonkostenVastOntslag148</vt:lpstr>
      <vt:lpstr>Data_LoonkostenVastOntslag149</vt:lpstr>
      <vt:lpstr>Data_LoonkostenVastOntslag150</vt:lpstr>
      <vt:lpstr>Data_LoonkostenVastOntslag151</vt:lpstr>
      <vt:lpstr>Data_LoonkostenVastOntslag152</vt:lpstr>
      <vt:lpstr>Data_LoonkostenVastOntslag153</vt:lpstr>
      <vt:lpstr>Data_LoonkostenVastOntslag154</vt:lpstr>
      <vt:lpstr>Data_LoonkostenVastOntslag155</vt:lpstr>
      <vt:lpstr>Data_LoonkostenVastOntslag156</vt:lpstr>
      <vt:lpstr>Data_LoonkostenVastOntslag157</vt:lpstr>
      <vt:lpstr>Data_LoonkostenVastOntslag158</vt:lpstr>
      <vt:lpstr>Data_LoonkostenVastOntslag159</vt:lpstr>
      <vt:lpstr>Data_LoonkostenVastOntslag160</vt:lpstr>
      <vt:lpstr>Data_LoonkostenVastOntslag161</vt:lpstr>
      <vt:lpstr>Data_LoonkostenVastOntslag162</vt:lpstr>
      <vt:lpstr>Data_LoonkostenVastOntslag163</vt:lpstr>
      <vt:lpstr>Data_LoonkostenVastOntslag164</vt:lpstr>
      <vt:lpstr>Data_LoonkostenVastOntslag165</vt:lpstr>
      <vt:lpstr>Data_LoonkostenVastOntslag166</vt:lpstr>
      <vt:lpstr>Data_LoonkostenVastOntslag167</vt:lpstr>
      <vt:lpstr>Data_LoonkostenVastOntslag168</vt:lpstr>
      <vt:lpstr>Data_LoonkostenVastOntslag169</vt:lpstr>
      <vt:lpstr>Data_LoonkostenVastOntslag170</vt:lpstr>
      <vt:lpstr>Data_LoonkostenVastOntslag171</vt:lpstr>
      <vt:lpstr>Data_LoonkostenVastOntslag172</vt:lpstr>
      <vt:lpstr>Data_LoonkostenVastOntslag173</vt:lpstr>
      <vt:lpstr>Data_LoonkostenVastOntslag174</vt:lpstr>
      <vt:lpstr>Data_LoonkostenVastOntslag175</vt:lpstr>
      <vt:lpstr>Data_LoonkostenVastOntslag176</vt:lpstr>
      <vt:lpstr>Data_LoonkostenVastOntslag177</vt:lpstr>
      <vt:lpstr>Data_LoonkostenVastOntslag178</vt:lpstr>
      <vt:lpstr>Data_LoonkostenVastOntslag179</vt:lpstr>
      <vt:lpstr>Data_LoonkostenVastOntslag180</vt:lpstr>
      <vt:lpstr>Data_LoonkostenVastOntslag181</vt:lpstr>
      <vt:lpstr>Data_LoonkostenVastOntslag182</vt:lpstr>
      <vt:lpstr>Data_LoonkostenVastOntslag183</vt:lpstr>
      <vt:lpstr>Data_LoonkostenVastOntslag184</vt:lpstr>
      <vt:lpstr>Data_LoonkostenVastOntslag185</vt:lpstr>
      <vt:lpstr>Data_LoonkostenVastOntslag186</vt:lpstr>
      <vt:lpstr>Data_LoonkostenVastOntslag187</vt:lpstr>
      <vt:lpstr>Data_LoonkostenVastOntslag188</vt:lpstr>
      <vt:lpstr>Data_LoonkostenVastOntslag189</vt:lpstr>
      <vt:lpstr>Data_LoonkostenVastOntslag190</vt:lpstr>
      <vt:lpstr>Data_LoonkostenVastOntslag191</vt:lpstr>
      <vt:lpstr>Data_LoonkostenVastOntslag192</vt:lpstr>
      <vt:lpstr>Data_LoonkostenVastOntslag193</vt:lpstr>
      <vt:lpstr>Data_LoonkostenVastOntslag194</vt:lpstr>
      <vt:lpstr>Data_LoonkostenVastOntslag195</vt:lpstr>
      <vt:lpstr>Data_LoonkostenVastOntslag196</vt:lpstr>
      <vt:lpstr>Data_LoonkostenVastOntslag197</vt:lpstr>
      <vt:lpstr>Data_LoonkostenVastOntslag198</vt:lpstr>
      <vt:lpstr>Data_LoonkostenVastOntslag199</vt:lpstr>
      <vt:lpstr>Data_LoonkostenVastOntslag200</vt:lpstr>
      <vt:lpstr>Data_LoonkostenVastOntslag201</vt:lpstr>
      <vt:lpstr>Data_LoonkostenVastOntslag202</vt:lpstr>
      <vt:lpstr>Data_LoonkostenVastOntslag203</vt:lpstr>
      <vt:lpstr>Data_LoonkostenVastOntslag204</vt:lpstr>
      <vt:lpstr>Data_LoonkostenVastOntslag205</vt:lpstr>
      <vt:lpstr>Data_LoonkostenVastOntslag206</vt:lpstr>
      <vt:lpstr>Data_LoonkostenVastOntslag207</vt:lpstr>
      <vt:lpstr>Data_LoonkostenVastOntslag208</vt:lpstr>
      <vt:lpstr>Data_LoonkostenVastOntslag209</vt:lpstr>
      <vt:lpstr>Data_LoonkostenVastOntslag210</vt:lpstr>
      <vt:lpstr>Data_LoonkostenVastOntslag211</vt:lpstr>
      <vt:lpstr>Data_LoonkostenVastOntslag212</vt:lpstr>
      <vt:lpstr>Data_LoonkostenVastOntslag213</vt:lpstr>
      <vt:lpstr>Data_LoonkostenVastOntslag214</vt:lpstr>
      <vt:lpstr>Data_LoonkostenVastOntslag215</vt:lpstr>
      <vt:lpstr>Data_LoonkostenVastOntslag216</vt:lpstr>
      <vt:lpstr>Data_LoonkostenVastOntslag217</vt:lpstr>
      <vt:lpstr>Data_LoonkostenVastOntslag218</vt:lpstr>
      <vt:lpstr>Data_LoonkostenVastOntslag219</vt:lpstr>
      <vt:lpstr>Data_LoonkostenVastOntslag220</vt:lpstr>
      <vt:lpstr>Data_LoonkostenVastOntslag221</vt:lpstr>
      <vt:lpstr>Data_LoonkostenVastOntslag222</vt:lpstr>
      <vt:lpstr>Data_LoonkostenVastOntslag223</vt:lpstr>
      <vt:lpstr>Data_LoonkostenVastOntslag224</vt:lpstr>
      <vt:lpstr>Data_LoonkostenVastOntslag225</vt:lpstr>
      <vt:lpstr>Data_LoonkostenVastOntslag226</vt:lpstr>
      <vt:lpstr>Data_LoonkostenVastOntslag227</vt:lpstr>
      <vt:lpstr>Data_LoonkostenVastOntslag228</vt:lpstr>
      <vt:lpstr>Data_LoonkostenVastOntslag229</vt:lpstr>
      <vt:lpstr>Data_LoonkostenVastOntslag230</vt:lpstr>
      <vt:lpstr>Data_LoonkostenVastOntslag231</vt:lpstr>
      <vt:lpstr>Data_LoonkostenVastOntslag232</vt:lpstr>
      <vt:lpstr>Data_LoonkostenVastOntslag233</vt:lpstr>
      <vt:lpstr>Data_LoonkostenVastOntslag234</vt:lpstr>
      <vt:lpstr>Data_LoonkostenVastOntslag235</vt:lpstr>
      <vt:lpstr>Data_LoonkostenVastOntslag236</vt:lpstr>
      <vt:lpstr>Data_LoonkostenVastOntslag237</vt:lpstr>
      <vt:lpstr>Data_LoonkostenVastOntslag238</vt:lpstr>
      <vt:lpstr>Data_LoonkostenVastOntslag239</vt:lpstr>
      <vt:lpstr>Data_LoonkostenVastOntslag240</vt:lpstr>
      <vt:lpstr>Data_LoonkostenVastOntslag241</vt:lpstr>
      <vt:lpstr>Data_LoonkostenVastOntslag242</vt:lpstr>
      <vt:lpstr>Data_LoonkostenVastOntslag243</vt:lpstr>
      <vt:lpstr>Data_LoonkostenVastOntslag244</vt:lpstr>
      <vt:lpstr>Data_LoonkostenVastOntslag245</vt:lpstr>
      <vt:lpstr>Data_LoonkostenVastOntslag246</vt:lpstr>
      <vt:lpstr>Data_LoonkostenVastOntslag247</vt:lpstr>
      <vt:lpstr>Data_LoonkostenVastOntslag248</vt:lpstr>
      <vt:lpstr>Data_LoonkostenVastOntslag249</vt:lpstr>
      <vt:lpstr>Data_LoonkostenVastOntslag250</vt:lpstr>
      <vt:lpstr>Data_LoonkostenVastOntslag251</vt:lpstr>
      <vt:lpstr>Data_LoonkostenVastOntslag252</vt:lpstr>
      <vt:lpstr>Data_LoonkostenVastOntslag253</vt:lpstr>
      <vt:lpstr>Data_LoonkostenVastOntslag254</vt:lpstr>
      <vt:lpstr>Data_LoonkostenVastOntslag255</vt:lpstr>
      <vt:lpstr>Data_LoonkostenVastOntslag256</vt:lpstr>
      <vt:lpstr>Data_LoonkostenVastOntslag257</vt:lpstr>
      <vt:lpstr>Data_LoonkostenVastOntslag258</vt:lpstr>
      <vt:lpstr>Data_LoonkostenVastOntslag259</vt:lpstr>
      <vt:lpstr>Data_LoonkostenVastOntslag260</vt:lpstr>
      <vt:lpstr>Data_LoonkostenVastOntslag261</vt:lpstr>
      <vt:lpstr>Data_LoonkostenVastOntslag262</vt:lpstr>
      <vt:lpstr>Data_LoonkostenVastOntslag263</vt:lpstr>
      <vt:lpstr>Data_LoonkostenVastOntslag264</vt:lpstr>
      <vt:lpstr>Data_LoonkostenVastOntslag265</vt:lpstr>
      <vt:lpstr>Data_LoonkostenVastOntslag266</vt:lpstr>
      <vt:lpstr>Data_LoonkostenVastOntslag267</vt:lpstr>
      <vt:lpstr>Data_LoonkostenVastOntslag268</vt:lpstr>
      <vt:lpstr>Data_LoonkostenVastOntslag269</vt:lpstr>
      <vt:lpstr>Data_LoonkostenVastOntslag270</vt:lpstr>
      <vt:lpstr>Data_LoonkostenVastOntslag271</vt:lpstr>
      <vt:lpstr>Data_LoonkostenVastOntslag272</vt:lpstr>
      <vt:lpstr>Data_LoonkostenVastOntslag273</vt:lpstr>
      <vt:lpstr>Data_LoonkostenVastOntslag274</vt:lpstr>
      <vt:lpstr>Data_LoonkostenVastOntslag275</vt:lpstr>
      <vt:lpstr>Data_LoonkostenVastOntslag276</vt:lpstr>
      <vt:lpstr>Data_LoonkostenVastOntslag277</vt:lpstr>
      <vt:lpstr>Data_LoonkostenVastOntslag278</vt:lpstr>
      <vt:lpstr>Data_LoonkostenVastOntslag279</vt:lpstr>
      <vt:lpstr>Data_LoonkostenVastOntslag280</vt:lpstr>
      <vt:lpstr>Data_LoonkostenVastOntslag281</vt:lpstr>
      <vt:lpstr>Data_LoonkostenVastOntslag282</vt:lpstr>
      <vt:lpstr>Data_LoonkostenVastOntslag283</vt:lpstr>
      <vt:lpstr>Data_LoonkostenVastOntslag284</vt:lpstr>
      <vt:lpstr>Data_LoonkostenVastOntslag285</vt:lpstr>
      <vt:lpstr>Data_LoonkostenVastOntslag286</vt:lpstr>
      <vt:lpstr>Data_LoonkostenVastOntslag287</vt:lpstr>
      <vt:lpstr>Data_LoonkostenVastOntslag288</vt:lpstr>
      <vt:lpstr>Data_LoonkostenVastOntslag289</vt:lpstr>
      <vt:lpstr>Data_LoonkostenVastOntslag290</vt:lpstr>
      <vt:lpstr>Data_LoonkostenVastOntslag291</vt:lpstr>
      <vt:lpstr>Data_LoonkostenVastOntslag292</vt:lpstr>
      <vt:lpstr>Data_LoonkostenVastOntslag293</vt:lpstr>
      <vt:lpstr>Data_LoonkostenVastOntslag294</vt:lpstr>
      <vt:lpstr>Data_LoonkostenVastOntslag295</vt:lpstr>
      <vt:lpstr>Data_LoonkostenVastOntslag296</vt:lpstr>
      <vt:lpstr>Data_LoonkostenVastOntslag297</vt:lpstr>
      <vt:lpstr>Data_LoonkostenVastOntslag298</vt:lpstr>
      <vt:lpstr>Data_LoonkostenVastOntslag299</vt:lpstr>
      <vt:lpstr>Data_LoonkostenVastOntslag300</vt:lpstr>
      <vt:lpstr>Data_LoonkostenVastOntslag301</vt:lpstr>
      <vt:lpstr>Data_LoonkostenVastOntslag302</vt:lpstr>
      <vt:lpstr>Data_LoonkostenVastOntslag303</vt:lpstr>
      <vt:lpstr>Data_LoonkostenVastOntslag304</vt:lpstr>
      <vt:lpstr>Data_LoonkostenVastOntslag305</vt:lpstr>
      <vt:lpstr>Data_LoonkostenVastOntslag306</vt:lpstr>
      <vt:lpstr>Data_LoonkostenVastOntslag307</vt:lpstr>
      <vt:lpstr>Data_LoonkostenVastOntslag308</vt:lpstr>
      <vt:lpstr>Data_LoonkostenVastOntslag309</vt:lpstr>
      <vt:lpstr>Data_LoonkostenVastOntslag310</vt:lpstr>
      <vt:lpstr>Data_LoonkostenVastOntslag311</vt:lpstr>
      <vt:lpstr>Data_LoonkostenVastOntslag312</vt:lpstr>
      <vt:lpstr>Data_LoonkostenVastOntslag313</vt:lpstr>
      <vt:lpstr>Data_LoonkostenVastOntslag314</vt:lpstr>
      <vt:lpstr>Data_LoonkostenVastOntslag315</vt:lpstr>
      <vt:lpstr>Data_LoonkostenVastOntslag316</vt:lpstr>
      <vt:lpstr>Data_LoonkostenVastOntslag317</vt:lpstr>
      <vt:lpstr>Data_LoonkostenVastOntslag318</vt:lpstr>
      <vt:lpstr>Data_LoonkostenVastOntslag319</vt:lpstr>
      <vt:lpstr>Data_LoonkostenVastOntslag320</vt:lpstr>
      <vt:lpstr>Data_LoonkostenVastOntslag321</vt:lpstr>
      <vt:lpstr>Data_LoonkostenVastOntslag322</vt:lpstr>
      <vt:lpstr>Data_LoonkostenVastOntslag323</vt:lpstr>
      <vt:lpstr>Data_LoonkostenVastOntslag324</vt:lpstr>
      <vt:lpstr>Data_LoonkostenVastOntslag325</vt:lpstr>
      <vt:lpstr>Data_LoonkostenVastOntslag326</vt:lpstr>
      <vt:lpstr>Data_LoonkostenVastOntslag327</vt:lpstr>
      <vt:lpstr>Data_LoonkostenVastOntslag328</vt:lpstr>
      <vt:lpstr>Data_LoonkostenVastOntslag329</vt:lpstr>
      <vt:lpstr>Data_LoonkostenVastOntslag330</vt:lpstr>
      <vt:lpstr>Data_LoonkostenVastOntslag331</vt:lpstr>
      <vt:lpstr>Data_LoonkostenVastOntslag332</vt:lpstr>
      <vt:lpstr>Data_LoonkostenVastOntslag333</vt:lpstr>
      <vt:lpstr>Data_LoonkostenVastOntslag334</vt:lpstr>
      <vt:lpstr>Data_LoonkostenVastOntslag335</vt:lpstr>
      <vt:lpstr>Data_LoonkostenVastOntslag336</vt:lpstr>
      <vt:lpstr>Data_LoonkostenVastOntslag337</vt:lpstr>
      <vt:lpstr>Data_LoonkostenVastOntslag338</vt:lpstr>
      <vt:lpstr>Data_LoonkostenVastOntslag339</vt:lpstr>
      <vt:lpstr>Data_LoonkostenVastOntslag340</vt:lpstr>
      <vt:lpstr>Data_LoonkostenVastOntslag341</vt:lpstr>
      <vt:lpstr>Data_LoonkostenVastOntslag342</vt:lpstr>
      <vt:lpstr>Data_LoonkostenVastOntslag343</vt:lpstr>
      <vt:lpstr>Data_LoonkostenVastOntslag344</vt:lpstr>
      <vt:lpstr>Data_LoonkostenVastOntslag345</vt:lpstr>
      <vt:lpstr>Data_LoonkostenVastOntslag346</vt:lpstr>
      <vt:lpstr>Data_LoonkostenVastOntslag347</vt:lpstr>
      <vt:lpstr>Data_LoonkostenVastOntslag348</vt:lpstr>
      <vt:lpstr>Data_LoonkostenVastOntslag349</vt:lpstr>
      <vt:lpstr>Data_LoonkostenVastOntslag350</vt:lpstr>
      <vt:lpstr>Data_LoonkostenVastOntslag351</vt:lpstr>
      <vt:lpstr>Data_LoonkostenVastOntslag352</vt:lpstr>
      <vt:lpstr>Data_LoonkostenVastOntslag353</vt:lpstr>
      <vt:lpstr>Data_LoonkostenVastOntslag354</vt:lpstr>
      <vt:lpstr>Data_LoonkostenVastOntslag355</vt:lpstr>
      <vt:lpstr>Data_LoonkostenVastOntslag356</vt:lpstr>
      <vt:lpstr>Data_LoonkostenVastOntslag357</vt:lpstr>
      <vt:lpstr>Data_LoonkostenVastOntslag358</vt:lpstr>
      <vt:lpstr>Data_LoonkostenVastOntslag359</vt:lpstr>
      <vt:lpstr>Data_LoonkostenVastOntslag360</vt:lpstr>
      <vt:lpstr>Data_LoonkostenVastOntslag361</vt:lpstr>
      <vt:lpstr>Data_LoonkostenVastOntslag362</vt:lpstr>
      <vt:lpstr>Data_LoonkostenVastOntslag363</vt:lpstr>
      <vt:lpstr>Data_LoonkostenVastOntslag364</vt:lpstr>
      <vt:lpstr>Data_LoonkostenVastOntslag365</vt:lpstr>
      <vt:lpstr>Data_LoonkostenVastOntslag366</vt:lpstr>
      <vt:lpstr>Data_LoonkostenVastOntslag367</vt:lpstr>
      <vt:lpstr>Data_LoonkostenVastOntslag368</vt:lpstr>
      <vt:lpstr>Data_LoonkostenVastOntslag369</vt:lpstr>
      <vt:lpstr>Data_LoonkostenVastOntslag370</vt:lpstr>
      <vt:lpstr>Data_LoonkostenVastOntslag371</vt:lpstr>
      <vt:lpstr>Data_LoonkostenVastOntslag372</vt:lpstr>
      <vt:lpstr>Data_LoonkostenVastOntslag373</vt:lpstr>
      <vt:lpstr>Data_LoonkostenVastOntslag374</vt:lpstr>
      <vt:lpstr>Data_LoonkostenVastOntslag375</vt:lpstr>
      <vt:lpstr>Data_LoonkostenVastOntslag376</vt:lpstr>
      <vt:lpstr>Data_LoonkostenVastOntslag377</vt:lpstr>
      <vt:lpstr>Data_LoonkostenVastOntslag378</vt:lpstr>
      <vt:lpstr>Data_LoonkostenVastOntslag379</vt:lpstr>
      <vt:lpstr>Data_LoonkostenVastOntslag380</vt:lpstr>
      <vt:lpstr>Data_LoonkostenVastOntslag381</vt:lpstr>
      <vt:lpstr>Data_LoonkostenVastOntslag382</vt:lpstr>
      <vt:lpstr>Data_LoonkostenVastOntslag383</vt:lpstr>
      <vt:lpstr>Data_LoonkostenVastOntslag384</vt:lpstr>
      <vt:lpstr>Data_LoonkostenVastOntslag385</vt:lpstr>
      <vt:lpstr>Data_LoonkostenVastOntslag386</vt:lpstr>
      <vt:lpstr>Data_LoonkostenVastOntslag387</vt:lpstr>
      <vt:lpstr>Data_LoonkostenVastOntslag388</vt:lpstr>
      <vt:lpstr>Data_LoonkostenVastOntslag389</vt:lpstr>
      <vt:lpstr>Data_LoonkostenVastOntslag390</vt:lpstr>
      <vt:lpstr>Data_LoonkostenVastOntslag391</vt:lpstr>
      <vt:lpstr>Data_LoonkostenVastOntslag392</vt:lpstr>
      <vt:lpstr>Data_LoonkostenVastOntslag393</vt:lpstr>
      <vt:lpstr>Data_LoonkostenVastOntslag394</vt:lpstr>
      <vt:lpstr>Data_LoonkostenVastOntslag395</vt:lpstr>
      <vt:lpstr>Data_LoonkostenVastOntslag396</vt:lpstr>
      <vt:lpstr>Data_LoonkostenVastOntslag397</vt:lpstr>
      <vt:lpstr>Data_LoonkostenVastOntslag398</vt:lpstr>
      <vt:lpstr>Data_LoonkostenVastOntslag399</vt:lpstr>
      <vt:lpstr>Data_LoonkostenVastOntslag400</vt:lpstr>
      <vt:lpstr>Data_LoonkostenVastOntslag401</vt:lpstr>
      <vt:lpstr>Data_LoonkostenVastOntslag402</vt:lpstr>
      <vt:lpstr>Data_LoonkostenVastOntslag403</vt:lpstr>
      <vt:lpstr>Data_LoonkostenVastOntslag404</vt:lpstr>
      <vt:lpstr>Data_LoonkostenVastOntslag405</vt:lpstr>
      <vt:lpstr>Data_LoonkostenVastOntslag406</vt:lpstr>
      <vt:lpstr>Data_LoonkostenVastOntslag407</vt:lpstr>
      <vt:lpstr>Data_LoonkostenVastOntslag408</vt:lpstr>
      <vt:lpstr>Data_LoonkostenVastOntslag409</vt:lpstr>
      <vt:lpstr>Data_LoonkostenVastOntslag410</vt:lpstr>
      <vt:lpstr>Data_LoonkostenVastOntslag411</vt:lpstr>
      <vt:lpstr>Data_LoonkostenVastOntslag412</vt:lpstr>
      <vt:lpstr>Data_LoonkostenVastOntslag413</vt:lpstr>
      <vt:lpstr>Data_LoonkostenVastOntslag414</vt:lpstr>
      <vt:lpstr>Data_LoonkostenVastOntslag415</vt:lpstr>
      <vt:lpstr>Data_LoonkostenVastOntslag416</vt:lpstr>
      <vt:lpstr>Data_LoonkostenVastOntslag417</vt:lpstr>
      <vt:lpstr>Data_LoonkostenVastOntslag418</vt:lpstr>
      <vt:lpstr>Data_LoonkostenVastOntslag419</vt:lpstr>
      <vt:lpstr>Data_LoonkostenVastOntslag420</vt:lpstr>
      <vt:lpstr>Data_LoonkostenVastOntslag421</vt:lpstr>
      <vt:lpstr>Data_LoonkostenVastOntslag422</vt:lpstr>
      <vt:lpstr>Data_LoonkostenVastOntslag423</vt:lpstr>
      <vt:lpstr>Data_LoonkostenVastOntslag424</vt:lpstr>
      <vt:lpstr>Data_LoonkostenVastOntslag425</vt:lpstr>
      <vt:lpstr>Data_LoonkostenVastOntslag426</vt:lpstr>
      <vt:lpstr>Data_LoonkostenVastOntslag427</vt:lpstr>
      <vt:lpstr>Data_LoonkostenVastOntslag428</vt:lpstr>
      <vt:lpstr>Data_LoonkostenVastOntslag429</vt:lpstr>
      <vt:lpstr>Data_LoonkostenVastOntslag430</vt:lpstr>
      <vt:lpstr>Data_LoonkostenVastOntslag431</vt:lpstr>
      <vt:lpstr>Data_LoonkostenVastOntslag432</vt:lpstr>
      <vt:lpstr>Data_LoonkostenVastOntslag433</vt:lpstr>
      <vt:lpstr>Data_LoonkostenVastOntslag434</vt:lpstr>
      <vt:lpstr>Data_LoonkostenVastOntslag435</vt:lpstr>
      <vt:lpstr>Data_LoonkostenVastOntslag436</vt:lpstr>
      <vt:lpstr>Data_LoonkostenVastOntslag437</vt:lpstr>
      <vt:lpstr>Data_LoonkostenVastOntslag438</vt:lpstr>
      <vt:lpstr>Data_LoonkostenVastOntslag439</vt:lpstr>
      <vt:lpstr>Data_LoonkostenVastOntslag440</vt:lpstr>
      <vt:lpstr>Data_LoonkostenVastOntslag441</vt:lpstr>
      <vt:lpstr>Data_LoonkostenVastOntslag442</vt:lpstr>
      <vt:lpstr>Data_LoonkostenVastOntslag443</vt:lpstr>
      <vt:lpstr>Data_LoonkostenVastOntslag444</vt:lpstr>
      <vt:lpstr>Data_LoonkostenVastOntslag445</vt:lpstr>
      <vt:lpstr>Data_LoonkostenVastOntslag446</vt:lpstr>
      <vt:lpstr>Data_LoonkostenVastOntslag447</vt:lpstr>
      <vt:lpstr>Data_LoonkostenVastOntslag448</vt:lpstr>
      <vt:lpstr>Data_LoonkostenVastOntslag449</vt:lpstr>
      <vt:lpstr>Data_LoonkostenVastOntslag450</vt:lpstr>
      <vt:lpstr>Data_LoonkostenVastOntslag451</vt:lpstr>
      <vt:lpstr>Data_LoonkostenVastOntslag452</vt:lpstr>
      <vt:lpstr>Data_LoonkostenVastOntslag453</vt:lpstr>
      <vt:lpstr>Data_LoonkostenVastOntslag454</vt:lpstr>
      <vt:lpstr>Data_LoonkostenVastOntslag455</vt:lpstr>
      <vt:lpstr>Data_LoonkostenVastOntslag456</vt:lpstr>
      <vt:lpstr>Data_LoonkostenVastOntslag457</vt:lpstr>
      <vt:lpstr>Data_LoonkostenVastOntslag458</vt:lpstr>
      <vt:lpstr>Data_LoonkostenVastOntslag459</vt:lpstr>
      <vt:lpstr>Data_LoonkostenVastOntslag460</vt:lpstr>
      <vt:lpstr>Data_LoonkostenVastOntslag461</vt:lpstr>
      <vt:lpstr>Data_LoonkostenVastOntslag462</vt:lpstr>
      <vt:lpstr>Data_LoonkostenVastOntslag463</vt:lpstr>
      <vt:lpstr>Data_LoonkostenVastOntslag464</vt:lpstr>
      <vt:lpstr>Data_LoonkostenVastOntslag465</vt:lpstr>
      <vt:lpstr>Data_LoonkostenVastOntslag466</vt:lpstr>
      <vt:lpstr>Data_LoonkostenVastOntslag467</vt:lpstr>
      <vt:lpstr>Data_LoonkostenVastOntslag468</vt:lpstr>
      <vt:lpstr>Data_LoonkostenVastOntslag469</vt:lpstr>
      <vt:lpstr>Data_LoonkostenVastOntslag470</vt:lpstr>
      <vt:lpstr>Data_LoonkostenVastOntslag471</vt:lpstr>
      <vt:lpstr>Data_LoonkostenVastOntslag472</vt:lpstr>
      <vt:lpstr>Data_LoonkostenVastOntslag473</vt:lpstr>
      <vt:lpstr>Data_LoonkostenVastOntslag474</vt:lpstr>
      <vt:lpstr>Data_LoonkostenVastOntslag475</vt:lpstr>
      <vt:lpstr>Data_LoonkostenVastOntslag476</vt:lpstr>
      <vt:lpstr>Data_LoonkostenVastOntslag477</vt:lpstr>
      <vt:lpstr>Data_LoonkostenVastOntslag478</vt:lpstr>
      <vt:lpstr>Data_LoonkostenVastOntslag479</vt:lpstr>
      <vt:lpstr>Data_LoonkostenVastOntslag480</vt:lpstr>
      <vt:lpstr>Data_LoonkostenVastOntslag481</vt:lpstr>
      <vt:lpstr>Data_LoonkostenVastOntslag482</vt:lpstr>
      <vt:lpstr>Data_LoonkostenVastOntslag483</vt:lpstr>
      <vt:lpstr>Data_LoonkostenVastOntslag484</vt:lpstr>
      <vt:lpstr>Data_LoonkostenVastOntslag485</vt:lpstr>
      <vt:lpstr>Data_LoonkostenVastOntslag486</vt:lpstr>
      <vt:lpstr>Data_LoonkostenVastOntslag487</vt:lpstr>
      <vt:lpstr>Data_LoonkostenVastOntslag488</vt:lpstr>
      <vt:lpstr>Data_LoonkostenVastOntslag489</vt:lpstr>
      <vt:lpstr>Data_LoonkostenVastOntslag490</vt:lpstr>
      <vt:lpstr>Data_LoonkostenVastOntslag491</vt:lpstr>
      <vt:lpstr>Data_LoonkostenVastOntslag492</vt:lpstr>
      <vt:lpstr>Data_LoonkostenVastOntslag493</vt:lpstr>
      <vt:lpstr>Data_LoonkostenVastOntslag494</vt:lpstr>
      <vt:lpstr>Data_LoonkostenVastOntslag495</vt:lpstr>
      <vt:lpstr>Data_LoonkostenVastOntslag496</vt:lpstr>
      <vt:lpstr>Data_LoonkostenVastOntslag497</vt:lpstr>
      <vt:lpstr>Data_LoonkostenVastOntslag498</vt:lpstr>
      <vt:lpstr>Data_LoonkostenVastOntslag499</vt:lpstr>
      <vt:lpstr>Data_LoonkostenVastOntslag500</vt:lpstr>
      <vt:lpstr>Data_LoonkostenVastVrij001</vt:lpstr>
      <vt:lpstr>Data_LoonkostenVastVrij002</vt:lpstr>
      <vt:lpstr>Data_LoonkostenVastVrij003</vt:lpstr>
      <vt:lpstr>Data_LoonkostenVastVrij004</vt:lpstr>
      <vt:lpstr>Data_LoonkostenVastVrij005</vt:lpstr>
      <vt:lpstr>Data_LoonkostenVastVrij006</vt:lpstr>
      <vt:lpstr>Data_LoonkostenVastVrij007</vt:lpstr>
      <vt:lpstr>Data_LoonkostenVastVrij008</vt:lpstr>
      <vt:lpstr>Data_LoonkostenVastVrij009</vt:lpstr>
      <vt:lpstr>Data_LoonkostenVastVrij010</vt:lpstr>
      <vt:lpstr>Data_LoonkostenVastVrij011</vt:lpstr>
      <vt:lpstr>Data_LoonkostenVastVrij012</vt:lpstr>
      <vt:lpstr>Data_LoonkostenVastVrij013</vt:lpstr>
      <vt:lpstr>Data_LoonkostenVastVrij014</vt:lpstr>
      <vt:lpstr>Data_LoonkostenVastVrij015</vt:lpstr>
      <vt:lpstr>Data_LoonkostenVastVrij016</vt:lpstr>
      <vt:lpstr>Data_LoonkostenVastVrij017</vt:lpstr>
      <vt:lpstr>Data_LoonkostenVastVrij018</vt:lpstr>
      <vt:lpstr>Data_LoonkostenVastVrij019</vt:lpstr>
      <vt:lpstr>Data_LoonkostenVastVrij020</vt:lpstr>
      <vt:lpstr>Data_LoonkostenVastVrij021</vt:lpstr>
      <vt:lpstr>Data_LoonkostenVastVrij022</vt:lpstr>
      <vt:lpstr>Data_LoonkostenVastVrij023</vt:lpstr>
      <vt:lpstr>Data_LoonkostenVastVrij024</vt:lpstr>
      <vt:lpstr>Data_LoonkostenVastVrij025</vt:lpstr>
      <vt:lpstr>Data_LoonkostenVastVrij026</vt:lpstr>
      <vt:lpstr>Data_LoonkostenVastVrij027</vt:lpstr>
      <vt:lpstr>Data_LoonkostenVastVrij028</vt:lpstr>
      <vt:lpstr>Data_LoonkostenVastVrij029</vt:lpstr>
      <vt:lpstr>Data_LoonkostenVastVrij030</vt:lpstr>
      <vt:lpstr>Data_LoonkostenVastVrij031</vt:lpstr>
      <vt:lpstr>Data_LoonkostenVastVrij032</vt:lpstr>
      <vt:lpstr>Data_LoonkostenVastVrij033</vt:lpstr>
      <vt:lpstr>Data_LoonkostenVastVrij034</vt:lpstr>
      <vt:lpstr>Data_LoonkostenVastVrij035</vt:lpstr>
      <vt:lpstr>Data_LoonkostenVastVrij036</vt:lpstr>
      <vt:lpstr>Data_LoonkostenVastVrij037</vt:lpstr>
      <vt:lpstr>Data_LoonkostenVastVrij038</vt:lpstr>
      <vt:lpstr>Data_LoonkostenVastVrij039</vt:lpstr>
      <vt:lpstr>Data_LoonkostenVastVrij040</vt:lpstr>
      <vt:lpstr>Data_LoonkostenVastVrij041</vt:lpstr>
      <vt:lpstr>Data_LoonkostenVastVrij042</vt:lpstr>
      <vt:lpstr>Data_LoonkostenVastVrij043</vt:lpstr>
      <vt:lpstr>Data_LoonkostenVastVrij044</vt:lpstr>
      <vt:lpstr>Data_LoonkostenVastVrij045</vt:lpstr>
      <vt:lpstr>Data_LoonkostenVastVrij046</vt:lpstr>
      <vt:lpstr>Data_LoonkostenVastVrij047</vt:lpstr>
      <vt:lpstr>Data_LoonkostenVastVrij048</vt:lpstr>
      <vt:lpstr>Data_LoonkostenVastVrij049</vt:lpstr>
      <vt:lpstr>Data_LoonkostenVastVrij050</vt:lpstr>
      <vt:lpstr>Data_LoonkostenVastVrij051</vt:lpstr>
      <vt:lpstr>Data_LoonkostenVastVrij052</vt:lpstr>
      <vt:lpstr>Data_LoonkostenVastVrij053</vt:lpstr>
      <vt:lpstr>Data_LoonkostenVastVrij054</vt:lpstr>
      <vt:lpstr>Data_LoonkostenVastVrij055</vt:lpstr>
      <vt:lpstr>Data_LoonkostenVastVrij056</vt:lpstr>
      <vt:lpstr>Data_LoonkostenVastVrij057</vt:lpstr>
      <vt:lpstr>Data_LoonkostenVastVrij058</vt:lpstr>
      <vt:lpstr>Data_LoonkostenVastVrij059</vt:lpstr>
      <vt:lpstr>Data_LoonkostenVastVrij060</vt:lpstr>
      <vt:lpstr>Data_LoonkostenVastVrij061</vt:lpstr>
      <vt:lpstr>Data_LoonkostenVastVrij062</vt:lpstr>
      <vt:lpstr>Data_LoonkostenVastVrij063</vt:lpstr>
      <vt:lpstr>Data_LoonkostenVastVrij064</vt:lpstr>
      <vt:lpstr>Data_LoonkostenVastVrij065</vt:lpstr>
      <vt:lpstr>Data_LoonkostenVastVrij066</vt:lpstr>
      <vt:lpstr>Data_LoonkostenVastVrij067</vt:lpstr>
      <vt:lpstr>Data_LoonkostenVastVrij068</vt:lpstr>
      <vt:lpstr>Data_LoonkostenVastVrij069</vt:lpstr>
      <vt:lpstr>Data_LoonkostenVastVrij070</vt:lpstr>
      <vt:lpstr>Data_LoonkostenVastVrij071</vt:lpstr>
      <vt:lpstr>Data_LoonkostenVastVrij072</vt:lpstr>
      <vt:lpstr>Data_LoonkostenVastVrij073</vt:lpstr>
      <vt:lpstr>Data_LoonkostenVastVrij074</vt:lpstr>
      <vt:lpstr>Data_LoonkostenVastVrij075</vt:lpstr>
      <vt:lpstr>Data_LoonkostenVastVrij076</vt:lpstr>
      <vt:lpstr>Data_LoonkostenVastVrij077</vt:lpstr>
      <vt:lpstr>Data_LoonkostenVastVrij078</vt:lpstr>
      <vt:lpstr>Data_LoonkostenVastVrij079</vt:lpstr>
      <vt:lpstr>Data_LoonkostenVastVrij080</vt:lpstr>
      <vt:lpstr>Data_LoonkostenVastVrij081</vt:lpstr>
      <vt:lpstr>Data_LoonkostenVastVrij082</vt:lpstr>
      <vt:lpstr>Data_LoonkostenVastVrij083</vt:lpstr>
      <vt:lpstr>Data_LoonkostenVastVrij084</vt:lpstr>
      <vt:lpstr>Data_LoonkostenVastVrij085</vt:lpstr>
      <vt:lpstr>Data_LoonkostenVastVrij086</vt:lpstr>
      <vt:lpstr>Data_LoonkostenVastVrij087</vt:lpstr>
      <vt:lpstr>Data_LoonkostenVastVrij088</vt:lpstr>
      <vt:lpstr>Data_LoonkostenVastVrij089</vt:lpstr>
      <vt:lpstr>Data_LoonkostenVastVrij090</vt:lpstr>
      <vt:lpstr>Data_LoonkostenVastVrij091</vt:lpstr>
      <vt:lpstr>Data_LoonkostenVastVrij092</vt:lpstr>
      <vt:lpstr>Data_LoonkostenVastVrij093</vt:lpstr>
      <vt:lpstr>Data_LoonkostenVastVrij094</vt:lpstr>
      <vt:lpstr>Data_LoonkostenVastVrij095</vt:lpstr>
      <vt:lpstr>Data_LoonkostenVastVrij096</vt:lpstr>
      <vt:lpstr>Data_LoonkostenVastVrij097</vt:lpstr>
      <vt:lpstr>Data_LoonkostenVastVrij098</vt:lpstr>
      <vt:lpstr>Data_LoonkostenVastVrij099</vt:lpstr>
      <vt:lpstr>Data_LoonkostenVastVrij100</vt:lpstr>
      <vt:lpstr>Data_LoonkostenVastVrij101</vt:lpstr>
      <vt:lpstr>Data_LoonkostenVastVrij102</vt:lpstr>
      <vt:lpstr>Data_LoonkostenVastVrij103</vt:lpstr>
      <vt:lpstr>Data_LoonkostenVastVrij104</vt:lpstr>
      <vt:lpstr>Data_LoonkostenVastVrij105</vt:lpstr>
      <vt:lpstr>Data_LoonkostenVastVrij106</vt:lpstr>
      <vt:lpstr>Data_LoonkostenVastVrij107</vt:lpstr>
      <vt:lpstr>Data_LoonkostenVastVrij108</vt:lpstr>
      <vt:lpstr>Data_LoonkostenVastVrij109</vt:lpstr>
      <vt:lpstr>Data_LoonkostenVastVrij110</vt:lpstr>
      <vt:lpstr>Data_LoonkostenVastVrij111</vt:lpstr>
      <vt:lpstr>Data_LoonkostenVastVrij112</vt:lpstr>
      <vt:lpstr>Data_LoonkostenVastVrij113</vt:lpstr>
      <vt:lpstr>Data_LoonkostenVastVrij114</vt:lpstr>
      <vt:lpstr>Data_LoonkostenVastVrij115</vt:lpstr>
      <vt:lpstr>Data_LoonkostenVastVrij116</vt:lpstr>
      <vt:lpstr>Data_LoonkostenVastVrij117</vt:lpstr>
      <vt:lpstr>Data_LoonkostenVastVrij118</vt:lpstr>
      <vt:lpstr>Data_LoonkostenVastVrij119</vt:lpstr>
      <vt:lpstr>Data_LoonkostenVastVrij120</vt:lpstr>
      <vt:lpstr>Data_LoonkostenVastVrij121</vt:lpstr>
      <vt:lpstr>Data_LoonkostenVastVrij122</vt:lpstr>
      <vt:lpstr>Data_LoonkostenVastVrij123</vt:lpstr>
      <vt:lpstr>Data_LoonkostenVastVrij124</vt:lpstr>
      <vt:lpstr>Data_LoonkostenVastVrij125</vt:lpstr>
      <vt:lpstr>Data_LoonkostenVastVrij126</vt:lpstr>
      <vt:lpstr>Data_LoonkostenVastVrij127</vt:lpstr>
      <vt:lpstr>Data_LoonkostenVastVrij128</vt:lpstr>
      <vt:lpstr>Data_LoonkostenVastVrij129</vt:lpstr>
      <vt:lpstr>Data_LoonkostenVastVrij130</vt:lpstr>
      <vt:lpstr>Data_LoonkostenVastVrij131</vt:lpstr>
      <vt:lpstr>Data_LoonkostenVastVrij132</vt:lpstr>
      <vt:lpstr>Data_LoonkostenVastVrij133</vt:lpstr>
      <vt:lpstr>Data_LoonkostenVastVrij134</vt:lpstr>
      <vt:lpstr>Data_LoonkostenVastVrij135</vt:lpstr>
      <vt:lpstr>Data_LoonkostenVastVrij136</vt:lpstr>
      <vt:lpstr>Data_LoonkostenVastVrij137</vt:lpstr>
      <vt:lpstr>Data_LoonkostenVastVrij138</vt:lpstr>
      <vt:lpstr>Data_LoonkostenVastVrij139</vt:lpstr>
      <vt:lpstr>Data_LoonkostenVastVrij140</vt:lpstr>
      <vt:lpstr>Data_LoonkostenVastVrij141</vt:lpstr>
      <vt:lpstr>Data_LoonkostenVastVrij142</vt:lpstr>
      <vt:lpstr>Data_LoonkostenVastVrij143</vt:lpstr>
      <vt:lpstr>Data_LoonkostenVastVrij144</vt:lpstr>
      <vt:lpstr>Data_LoonkostenVastVrij145</vt:lpstr>
      <vt:lpstr>Data_LoonkostenVastVrij146</vt:lpstr>
      <vt:lpstr>Data_LoonkostenVastVrij147</vt:lpstr>
      <vt:lpstr>Data_LoonkostenVastVrij148</vt:lpstr>
      <vt:lpstr>Data_LoonkostenVastVrij149</vt:lpstr>
      <vt:lpstr>Data_LoonkostenVastVrij150</vt:lpstr>
      <vt:lpstr>Data_LoonkostenVastVrij151</vt:lpstr>
      <vt:lpstr>Data_LoonkostenVastVrij152</vt:lpstr>
      <vt:lpstr>Data_LoonkostenVastVrij153</vt:lpstr>
      <vt:lpstr>Data_LoonkostenVastVrij154</vt:lpstr>
      <vt:lpstr>Data_LoonkostenVastVrij155</vt:lpstr>
      <vt:lpstr>Data_LoonkostenVastVrij156</vt:lpstr>
      <vt:lpstr>Data_LoonkostenVastVrij157</vt:lpstr>
      <vt:lpstr>Data_LoonkostenVastVrij158</vt:lpstr>
      <vt:lpstr>Data_LoonkostenVastVrij159</vt:lpstr>
      <vt:lpstr>Data_LoonkostenVastVrij160</vt:lpstr>
      <vt:lpstr>Data_LoonkostenVastVrij161</vt:lpstr>
      <vt:lpstr>Data_LoonkostenVastVrij162</vt:lpstr>
      <vt:lpstr>Data_LoonkostenVastVrij163</vt:lpstr>
      <vt:lpstr>Data_LoonkostenVastVrij164</vt:lpstr>
      <vt:lpstr>Data_LoonkostenVastVrij165</vt:lpstr>
      <vt:lpstr>Data_LoonkostenVastVrij166</vt:lpstr>
      <vt:lpstr>Data_LoonkostenVastVrij167</vt:lpstr>
      <vt:lpstr>Data_LoonkostenVastVrij168</vt:lpstr>
      <vt:lpstr>Data_LoonkostenVastVrij169</vt:lpstr>
      <vt:lpstr>Data_LoonkostenVastVrij170</vt:lpstr>
      <vt:lpstr>Data_LoonkostenVastVrij171</vt:lpstr>
      <vt:lpstr>Data_LoonkostenVastVrij172</vt:lpstr>
      <vt:lpstr>Data_LoonkostenVastVrij173</vt:lpstr>
      <vt:lpstr>Data_LoonkostenVastVrij174</vt:lpstr>
      <vt:lpstr>Data_LoonkostenVastVrij175</vt:lpstr>
      <vt:lpstr>Data_LoonkostenVastVrij176</vt:lpstr>
      <vt:lpstr>Data_LoonkostenVastVrij177</vt:lpstr>
      <vt:lpstr>Data_LoonkostenVastVrij178</vt:lpstr>
      <vt:lpstr>Data_LoonkostenVastVrij179</vt:lpstr>
      <vt:lpstr>Data_LoonkostenVastVrij180</vt:lpstr>
      <vt:lpstr>Data_LoonkostenVastVrij181</vt:lpstr>
      <vt:lpstr>Data_LoonkostenVastVrij182</vt:lpstr>
      <vt:lpstr>Data_LoonkostenVastVrij183</vt:lpstr>
      <vt:lpstr>Data_LoonkostenVastVrij184</vt:lpstr>
      <vt:lpstr>Data_LoonkostenVastVrij185</vt:lpstr>
      <vt:lpstr>Data_LoonkostenVastVrij186</vt:lpstr>
      <vt:lpstr>Data_LoonkostenVastVrij187</vt:lpstr>
      <vt:lpstr>Data_LoonkostenVastVrij188</vt:lpstr>
      <vt:lpstr>Data_LoonkostenVastVrij189</vt:lpstr>
      <vt:lpstr>Data_LoonkostenVastVrij190</vt:lpstr>
      <vt:lpstr>Data_LoonkostenVastVrij191</vt:lpstr>
      <vt:lpstr>Data_LoonkostenVastVrij192</vt:lpstr>
      <vt:lpstr>Data_LoonkostenVastVrij193</vt:lpstr>
      <vt:lpstr>Data_LoonkostenVastVrij194</vt:lpstr>
      <vt:lpstr>Data_LoonkostenVastVrij195</vt:lpstr>
      <vt:lpstr>Data_LoonkostenVastVrij196</vt:lpstr>
      <vt:lpstr>Data_LoonkostenVastVrij197</vt:lpstr>
      <vt:lpstr>Data_LoonkostenVastVrij198</vt:lpstr>
      <vt:lpstr>Data_LoonkostenVastVrij199</vt:lpstr>
      <vt:lpstr>Data_LoonkostenVastVrij200</vt:lpstr>
      <vt:lpstr>Data_LoonkostenVastVrij201</vt:lpstr>
      <vt:lpstr>Data_LoonkostenVastVrij202</vt:lpstr>
      <vt:lpstr>Data_LoonkostenVastVrij203</vt:lpstr>
      <vt:lpstr>Data_LoonkostenVastVrij204</vt:lpstr>
      <vt:lpstr>Data_LoonkostenVastVrij205</vt:lpstr>
      <vt:lpstr>Data_LoonkostenVastVrij206</vt:lpstr>
      <vt:lpstr>Data_LoonkostenVastVrij207</vt:lpstr>
      <vt:lpstr>Data_LoonkostenVastVrij208</vt:lpstr>
      <vt:lpstr>Data_LoonkostenVastVrij209</vt:lpstr>
      <vt:lpstr>Data_LoonkostenVastVrij210</vt:lpstr>
      <vt:lpstr>Data_LoonkostenVastVrij211</vt:lpstr>
      <vt:lpstr>Data_LoonkostenVastVrij212</vt:lpstr>
      <vt:lpstr>Data_LoonkostenVastVrij213</vt:lpstr>
      <vt:lpstr>Data_LoonkostenVastVrij214</vt:lpstr>
      <vt:lpstr>Data_LoonkostenVastVrij215</vt:lpstr>
      <vt:lpstr>Data_LoonkostenVastVrij216</vt:lpstr>
      <vt:lpstr>Data_LoonkostenVastVrij217</vt:lpstr>
      <vt:lpstr>Data_LoonkostenVastVrij218</vt:lpstr>
      <vt:lpstr>Data_LoonkostenVastVrij219</vt:lpstr>
      <vt:lpstr>Data_LoonkostenVastVrij220</vt:lpstr>
      <vt:lpstr>Data_LoonkostenVastVrij221</vt:lpstr>
      <vt:lpstr>Data_LoonkostenVastVrij222</vt:lpstr>
      <vt:lpstr>Data_LoonkostenVastVrij223</vt:lpstr>
      <vt:lpstr>Data_LoonkostenVastVrij224</vt:lpstr>
      <vt:lpstr>Data_LoonkostenVastVrij225</vt:lpstr>
      <vt:lpstr>Data_LoonkostenVastVrij226</vt:lpstr>
      <vt:lpstr>Data_LoonkostenVastVrij227</vt:lpstr>
      <vt:lpstr>Data_LoonkostenVastVrij228</vt:lpstr>
      <vt:lpstr>Data_LoonkostenVastVrij229</vt:lpstr>
      <vt:lpstr>Data_LoonkostenVastVrij230</vt:lpstr>
      <vt:lpstr>Data_LoonkostenVastVrij231</vt:lpstr>
      <vt:lpstr>Data_LoonkostenVastVrij232</vt:lpstr>
      <vt:lpstr>Data_LoonkostenVastVrij233</vt:lpstr>
      <vt:lpstr>Data_LoonkostenVastVrij234</vt:lpstr>
      <vt:lpstr>Data_LoonkostenVastVrij235</vt:lpstr>
      <vt:lpstr>Data_LoonkostenVastVrij236</vt:lpstr>
      <vt:lpstr>Data_LoonkostenVastVrij237</vt:lpstr>
      <vt:lpstr>Data_LoonkostenVastVrij238</vt:lpstr>
      <vt:lpstr>Data_LoonkostenVastVrij239</vt:lpstr>
      <vt:lpstr>Data_LoonkostenVastVrij240</vt:lpstr>
      <vt:lpstr>Data_LoonkostenVastVrij241</vt:lpstr>
      <vt:lpstr>Data_LoonkostenVastVrij242</vt:lpstr>
      <vt:lpstr>Data_LoonkostenVastVrij243</vt:lpstr>
      <vt:lpstr>Data_LoonkostenVastVrij244</vt:lpstr>
      <vt:lpstr>Data_LoonkostenVastVrij245</vt:lpstr>
      <vt:lpstr>Data_LoonkostenVastVrij246</vt:lpstr>
      <vt:lpstr>Data_LoonkostenVastVrij247</vt:lpstr>
      <vt:lpstr>Data_LoonkostenVastVrij248</vt:lpstr>
      <vt:lpstr>Data_LoonkostenVastVrij249</vt:lpstr>
      <vt:lpstr>Data_LoonkostenVastVrij250</vt:lpstr>
      <vt:lpstr>Data_LoonkostenVastVrij251</vt:lpstr>
      <vt:lpstr>Data_LoonkostenVastVrij252</vt:lpstr>
      <vt:lpstr>Data_LoonkostenVastVrij253</vt:lpstr>
      <vt:lpstr>Data_LoonkostenVastVrij254</vt:lpstr>
      <vt:lpstr>Data_LoonkostenVastVrij255</vt:lpstr>
      <vt:lpstr>Data_LoonkostenVastVrij256</vt:lpstr>
      <vt:lpstr>Data_LoonkostenVastVrij257</vt:lpstr>
      <vt:lpstr>Data_LoonkostenVastVrij258</vt:lpstr>
      <vt:lpstr>Data_LoonkostenVastVrij259</vt:lpstr>
      <vt:lpstr>Data_LoonkostenVastVrij260</vt:lpstr>
      <vt:lpstr>Data_LoonkostenVastVrij261</vt:lpstr>
      <vt:lpstr>Data_LoonkostenVastVrij262</vt:lpstr>
      <vt:lpstr>Data_LoonkostenVastVrij263</vt:lpstr>
      <vt:lpstr>Data_LoonkostenVastVrij264</vt:lpstr>
      <vt:lpstr>Data_LoonkostenVastVrij265</vt:lpstr>
      <vt:lpstr>Data_LoonkostenVastVrij266</vt:lpstr>
      <vt:lpstr>Data_LoonkostenVastVrij267</vt:lpstr>
      <vt:lpstr>Data_LoonkostenVastVrij268</vt:lpstr>
      <vt:lpstr>Data_LoonkostenVastVrij269</vt:lpstr>
      <vt:lpstr>Data_LoonkostenVastVrij270</vt:lpstr>
      <vt:lpstr>Data_LoonkostenVastVrij271</vt:lpstr>
      <vt:lpstr>Data_LoonkostenVastVrij272</vt:lpstr>
      <vt:lpstr>Data_LoonkostenVastVrij273</vt:lpstr>
      <vt:lpstr>Data_LoonkostenVastVrij274</vt:lpstr>
      <vt:lpstr>Data_LoonkostenVastVrij275</vt:lpstr>
      <vt:lpstr>Data_LoonkostenVastVrij276</vt:lpstr>
      <vt:lpstr>Data_LoonkostenVastVrij277</vt:lpstr>
      <vt:lpstr>Data_LoonkostenVastVrij278</vt:lpstr>
      <vt:lpstr>Data_LoonkostenVastVrij279</vt:lpstr>
      <vt:lpstr>Data_LoonkostenVastVrij280</vt:lpstr>
      <vt:lpstr>Data_LoonkostenVastVrij281</vt:lpstr>
      <vt:lpstr>Data_LoonkostenVastVrij282</vt:lpstr>
      <vt:lpstr>Data_LoonkostenVastVrij283</vt:lpstr>
      <vt:lpstr>Data_LoonkostenVastVrij284</vt:lpstr>
      <vt:lpstr>Data_LoonkostenVastVrij285</vt:lpstr>
      <vt:lpstr>Data_LoonkostenVastVrij286</vt:lpstr>
      <vt:lpstr>Data_LoonkostenVastVrij287</vt:lpstr>
      <vt:lpstr>Data_LoonkostenVastVrij288</vt:lpstr>
      <vt:lpstr>Data_LoonkostenVastVrij289</vt:lpstr>
      <vt:lpstr>Data_LoonkostenVastVrij290</vt:lpstr>
      <vt:lpstr>Data_LoonkostenVastVrij291</vt:lpstr>
      <vt:lpstr>Data_LoonkostenVastVrij292</vt:lpstr>
      <vt:lpstr>Data_LoonkostenVastVrij293</vt:lpstr>
      <vt:lpstr>Data_LoonkostenVastVrij294</vt:lpstr>
      <vt:lpstr>Data_LoonkostenVastVrij295</vt:lpstr>
      <vt:lpstr>Data_LoonkostenVastVrij296</vt:lpstr>
      <vt:lpstr>Data_LoonkostenVastVrij297</vt:lpstr>
      <vt:lpstr>Data_LoonkostenVastVrij298</vt:lpstr>
      <vt:lpstr>Data_LoonkostenVastVrij299</vt:lpstr>
      <vt:lpstr>Data_LoonkostenVastVrij300</vt:lpstr>
      <vt:lpstr>Data_LoonkostenVastVrij301</vt:lpstr>
      <vt:lpstr>Data_LoonkostenVastVrij302</vt:lpstr>
      <vt:lpstr>Data_LoonkostenVastVrij303</vt:lpstr>
      <vt:lpstr>Data_LoonkostenVastVrij304</vt:lpstr>
      <vt:lpstr>Data_LoonkostenVastVrij305</vt:lpstr>
      <vt:lpstr>Data_LoonkostenVastVrij306</vt:lpstr>
      <vt:lpstr>Data_LoonkostenVastVrij307</vt:lpstr>
      <vt:lpstr>Data_LoonkostenVastVrij308</vt:lpstr>
      <vt:lpstr>Data_LoonkostenVastVrij309</vt:lpstr>
      <vt:lpstr>Data_LoonkostenVastVrij310</vt:lpstr>
      <vt:lpstr>Data_LoonkostenVastVrij311</vt:lpstr>
      <vt:lpstr>Data_LoonkostenVastVrij312</vt:lpstr>
      <vt:lpstr>Data_LoonkostenVastVrij313</vt:lpstr>
      <vt:lpstr>Data_LoonkostenVastVrij314</vt:lpstr>
      <vt:lpstr>Data_LoonkostenVastVrij315</vt:lpstr>
      <vt:lpstr>Data_LoonkostenVastVrij316</vt:lpstr>
      <vt:lpstr>Data_LoonkostenVastVrij317</vt:lpstr>
      <vt:lpstr>Data_LoonkostenVastVrij318</vt:lpstr>
      <vt:lpstr>Data_LoonkostenVastVrij319</vt:lpstr>
      <vt:lpstr>Data_LoonkostenVastVrij320</vt:lpstr>
      <vt:lpstr>Data_LoonkostenVastVrij321</vt:lpstr>
      <vt:lpstr>Data_LoonkostenVastVrij322</vt:lpstr>
      <vt:lpstr>Data_LoonkostenVastVrij323</vt:lpstr>
      <vt:lpstr>Data_LoonkostenVastVrij324</vt:lpstr>
      <vt:lpstr>Data_LoonkostenVastVrij325</vt:lpstr>
      <vt:lpstr>Data_LoonkostenVastVrij326</vt:lpstr>
      <vt:lpstr>Data_LoonkostenVastVrij327</vt:lpstr>
      <vt:lpstr>Data_LoonkostenVastVrij328</vt:lpstr>
      <vt:lpstr>Data_LoonkostenVastVrij329</vt:lpstr>
      <vt:lpstr>Data_LoonkostenVastVrij330</vt:lpstr>
      <vt:lpstr>Data_LoonkostenVastVrij331</vt:lpstr>
      <vt:lpstr>Data_LoonkostenVastVrij332</vt:lpstr>
      <vt:lpstr>Data_LoonkostenVastVrij333</vt:lpstr>
      <vt:lpstr>Data_LoonkostenVastVrij334</vt:lpstr>
      <vt:lpstr>Data_LoonkostenVastVrij335</vt:lpstr>
      <vt:lpstr>Data_LoonkostenVastVrij336</vt:lpstr>
      <vt:lpstr>Data_LoonkostenVastVrij337</vt:lpstr>
      <vt:lpstr>Data_LoonkostenVastVrij338</vt:lpstr>
      <vt:lpstr>Data_LoonkostenVastVrij339</vt:lpstr>
      <vt:lpstr>Data_LoonkostenVastVrij340</vt:lpstr>
      <vt:lpstr>Data_LoonkostenVastVrij341</vt:lpstr>
      <vt:lpstr>Data_LoonkostenVastVrij342</vt:lpstr>
      <vt:lpstr>Data_LoonkostenVastVrij343</vt:lpstr>
      <vt:lpstr>Data_LoonkostenVastVrij344</vt:lpstr>
      <vt:lpstr>Data_LoonkostenVastVrij345</vt:lpstr>
      <vt:lpstr>Data_LoonkostenVastVrij346</vt:lpstr>
      <vt:lpstr>Data_LoonkostenVastVrij347</vt:lpstr>
      <vt:lpstr>Data_LoonkostenVastVrij348</vt:lpstr>
      <vt:lpstr>Data_LoonkostenVastVrij349</vt:lpstr>
      <vt:lpstr>Data_LoonkostenVastVrij350</vt:lpstr>
      <vt:lpstr>Data_LoonkostenVastVrij351</vt:lpstr>
      <vt:lpstr>Data_LoonkostenVastVrij352</vt:lpstr>
      <vt:lpstr>Data_LoonkostenVastVrij353</vt:lpstr>
      <vt:lpstr>Data_LoonkostenVastVrij354</vt:lpstr>
      <vt:lpstr>Data_LoonkostenVastVrij355</vt:lpstr>
      <vt:lpstr>Data_LoonkostenVastVrij356</vt:lpstr>
      <vt:lpstr>Data_LoonkostenVastVrij357</vt:lpstr>
      <vt:lpstr>Data_LoonkostenVastVrij358</vt:lpstr>
      <vt:lpstr>Data_LoonkostenVastVrij359</vt:lpstr>
      <vt:lpstr>Data_LoonkostenVastVrij360</vt:lpstr>
      <vt:lpstr>Data_LoonkostenVastVrij361</vt:lpstr>
      <vt:lpstr>Data_LoonkostenVastVrij362</vt:lpstr>
      <vt:lpstr>Data_LoonkostenVastVrij363</vt:lpstr>
      <vt:lpstr>Data_LoonkostenVastVrij364</vt:lpstr>
      <vt:lpstr>Data_LoonkostenVastVrij365</vt:lpstr>
      <vt:lpstr>Data_LoonkostenVastVrij366</vt:lpstr>
      <vt:lpstr>Data_LoonkostenVastVrij367</vt:lpstr>
      <vt:lpstr>Data_LoonkostenVastVrij368</vt:lpstr>
      <vt:lpstr>Data_LoonkostenVastVrij369</vt:lpstr>
      <vt:lpstr>Data_LoonkostenVastVrij370</vt:lpstr>
      <vt:lpstr>Data_LoonkostenVastVrij371</vt:lpstr>
      <vt:lpstr>Data_LoonkostenVastVrij372</vt:lpstr>
      <vt:lpstr>Data_LoonkostenVastVrij373</vt:lpstr>
      <vt:lpstr>Data_LoonkostenVastVrij374</vt:lpstr>
      <vt:lpstr>Data_LoonkostenVastVrij375</vt:lpstr>
      <vt:lpstr>Data_LoonkostenVastVrij376</vt:lpstr>
      <vt:lpstr>Data_LoonkostenVastVrij377</vt:lpstr>
      <vt:lpstr>Data_LoonkostenVastVrij378</vt:lpstr>
      <vt:lpstr>Data_LoonkostenVastVrij379</vt:lpstr>
      <vt:lpstr>Data_LoonkostenVastVrij380</vt:lpstr>
      <vt:lpstr>Data_LoonkostenVastVrij381</vt:lpstr>
      <vt:lpstr>Data_LoonkostenVastVrij382</vt:lpstr>
      <vt:lpstr>Data_LoonkostenVastVrij383</vt:lpstr>
      <vt:lpstr>Data_LoonkostenVastVrij384</vt:lpstr>
      <vt:lpstr>Data_LoonkostenVastVrij385</vt:lpstr>
      <vt:lpstr>Data_LoonkostenVastVrij386</vt:lpstr>
      <vt:lpstr>Data_LoonkostenVastVrij387</vt:lpstr>
      <vt:lpstr>Data_LoonkostenVastVrij388</vt:lpstr>
      <vt:lpstr>Data_LoonkostenVastVrij389</vt:lpstr>
      <vt:lpstr>Data_LoonkostenVastVrij390</vt:lpstr>
      <vt:lpstr>Data_LoonkostenVastVrij391</vt:lpstr>
      <vt:lpstr>Data_LoonkostenVastVrij392</vt:lpstr>
      <vt:lpstr>Data_LoonkostenVastVrij393</vt:lpstr>
      <vt:lpstr>Data_LoonkostenVastVrij394</vt:lpstr>
      <vt:lpstr>Data_LoonkostenVastVrij395</vt:lpstr>
      <vt:lpstr>Data_LoonkostenVastVrij396</vt:lpstr>
      <vt:lpstr>Data_LoonkostenVastVrij397</vt:lpstr>
      <vt:lpstr>Data_LoonkostenVastVrij398</vt:lpstr>
      <vt:lpstr>Data_LoonkostenVastVrij399</vt:lpstr>
      <vt:lpstr>Data_LoonkostenVastVrij400</vt:lpstr>
      <vt:lpstr>Data_LoonkostenVastVrij401</vt:lpstr>
      <vt:lpstr>Data_LoonkostenVastVrij402</vt:lpstr>
      <vt:lpstr>Data_LoonkostenVastVrij403</vt:lpstr>
      <vt:lpstr>Data_LoonkostenVastVrij404</vt:lpstr>
      <vt:lpstr>Data_LoonkostenVastVrij405</vt:lpstr>
      <vt:lpstr>Data_LoonkostenVastVrij406</vt:lpstr>
      <vt:lpstr>Data_LoonkostenVastVrij407</vt:lpstr>
      <vt:lpstr>Data_LoonkostenVastVrij408</vt:lpstr>
      <vt:lpstr>Data_LoonkostenVastVrij409</vt:lpstr>
      <vt:lpstr>Data_LoonkostenVastVrij410</vt:lpstr>
      <vt:lpstr>Data_LoonkostenVastVrij411</vt:lpstr>
      <vt:lpstr>Data_LoonkostenVastVrij412</vt:lpstr>
      <vt:lpstr>Data_LoonkostenVastVrij413</vt:lpstr>
      <vt:lpstr>Data_LoonkostenVastVrij414</vt:lpstr>
      <vt:lpstr>Data_LoonkostenVastVrij415</vt:lpstr>
      <vt:lpstr>Data_LoonkostenVastVrij416</vt:lpstr>
      <vt:lpstr>Data_LoonkostenVastVrij417</vt:lpstr>
      <vt:lpstr>Data_LoonkostenVastVrij418</vt:lpstr>
      <vt:lpstr>Data_LoonkostenVastVrij419</vt:lpstr>
      <vt:lpstr>Data_LoonkostenVastVrij420</vt:lpstr>
      <vt:lpstr>Data_LoonkostenVastVrij421</vt:lpstr>
      <vt:lpstr>Data_LoonkostenVastVrij422</vt:lpstr>
      <vt:lpstr>Data_LoonkostenVastVrij423</vt:lpstr>
      <vt:lpstr>Data_LoonkostenVastVrij424</vt:lpstr>
      <vt:lpstr>Data_LoonkostenVastVrij425</vt:lpstr>
      <vt:lpstr>Data_LoonkostenVastVrij426</vt:lpstr>
      <vt:lpstr>Data_LoonkostenVastVrij427</vt:lpstr>
      <vt:lpstr>Data_LoonkostenVastVrij428</vt:lpstr>
      <vt:lpstr>Data_LoonkostenVastVrij429</vt:lpstr>
      <vt:lpstr>Data_LoonkostenVastVrij430</vt:lpstr>
      <vt:lpstr>Data_LoonkostenVastVrij431</vt:lpstr>
      <vt:lpstr>Data_LoonkostenVastVrij432</vt:lpstr>
      <vt:lpstr>Data_LoonkostenVastVrij433</vt:lpstr>
      <vt:lpstr>Data_LoonkostenVastVrij434</vt:lpstr>
      <vt:lpstr>Data_LoonkostenVastVrij435</vt:lpstr>
      <vt:lpstr>Data_LoonkostenVastVrij436</vt:lpstr>
      <vt:lpstr>Data_LoonkostenVastVrij437</vt:lpstr>
      <vt:lpstr>Data_LoonkostenVastVrij438</vt:lpstr>
      <vt:lpstr>Data_LoonkostenVastVrij439</vt:lpstr>
      <vt:lpstr>Data_LoonkostenVastVrij440</vt:lpstr>
      <vt:lpstr>Data_LoonkostenVastVrij441</vt:lpstr>
      <vt:lpstr>Data_LoonkostenVastVrij442</vt:lpstr>
      <vt:lpstr>Data_LoonkostenVastVrij443</vt:lpstr>
      <vt:lpstr>Data_LoonkostenVastVrij444</vt:lpstr>
      <vt:lpstr>Data_LoonkostenVastVrij445</vt:lpstr>
      <vt:lpstr>Data_LoonkostenVastVrij446</vt:lpstr>
      <vt:lpstr>Data_LoonkostenVastVrij447</vt:lpstr>
      <vt:lpstr>Data_LoonkostenVastVrij448</vt:lpstr>
      <vt:lpstr>Data_LoonkostenVastVrij449</vt:lpstr>
      <vt:lpstr>Data_LoonkostenVastVrij450</vt:lpstr>
      <vt:lpstr>Data_LoonkostenVastVrij451</vt:lpstr>
      <vt:lpstr>Data_LoonkostenVastVrij452</vt:lpstr>
      <vt:lpstr>Data_LoonkostenVastVrij453</vt:lpstr>
      <vt:lpstr>Data_LoonkostenVastVrij454</vt:lpstr>
      <vt:lpstr>Data_LoonkostenVastVrij455</vt:lpstr>
      <vt:lpstr>Data_LoonkostenVastVrij456</vt:lpstr>
      <vt:lpstr>Data_LoonkostenVastVrij457</vt:lpstr>
      <vt:lpstr>Data_LoonkostenVastVrij458</vt:lpstr>
      <vt:lpstr>Data_LoonkostenVastVrij459</vt:lpstr>
      <vt:lpstr>Data_LoonkostenVastVrij460</vt:lpstr>
      <vt:lpstr>Data_LoonkostenVastVrij461</vt:lpstr>
      <vt:lpstr>Data_LoonkostenVastVrij462</vt:lpstr>
      <vt:lpstr>Data_LoonkostenVastVrij463</vt:lpstr>
      <vt:lpstr>Data_LoonkostenVastVrij464</vt:lpstr>
      <vt:lpstr>Data_LoonkostenVastVrij465</vt:lpstr>
      <vt:lpstr>Data_LoonkostenVastVrij466</vt:lpstr>
      <vt:lpstr>Data_LoonkostenVastVrij467</vt:lpstr>
      <vt:lpstr>Data_LoonkostenVastVrij468</vt:lpstr>
      <vt:lpstr>Data_LoonkostenVastVrij469</vt:lpstr>
      <vt:lpstr>Data_LoonkostenVastVrij470</vt:lpstr>
      <vt:lpstr>Data_LoonkostenVastVrij471</vt:lpstr>
      <vt:lpstr>Data_LoonkostenVastVrij472</vt:lpstr>
      <vt:lpstr>Data_LoonkostenVastVrij473</vt:lpstr>
      <vt:lpstr>Data_LoonkostenVastVrij474</vt:lpstr>
      <vt:lpstr>Data_LoonkostenVastVrij475</vt:lpstr>
      <vt:lpstr>Data_LoonkostenVastVrij476</vt:lpstr>
      <vt:lpstr>Data_LoonkostenVastVrij477</vt:lpstr>
      <vt:lpstr>Data_LoonkostenVastVrij478</vt:lpstr>
      <vt:lpstr>Data_LoonkostenVastVrij479</vt:lpstr>
      <vt:lpstr>Data_LoonkostenVastVrij480</vt:lpstr>
      <vt:lpstr>Data_LoonkostenVastVrij481</vt:lpstr>
      <vt:lpstr>Data_LoonkostenVastVrij482</vt:lpstr>
      <vt:lpstr>Data_LoonkostenVastVrij483</vt:lpstr>
      <vt:lpstr>Data_LoonkostenVastVrij484</vt:lpstr>
      <vt:lpstr>Data_LoonkostenVastVrij485</vt:lpstr>
      <vt:lpstr>Data_LoonkostenVastVrij486</vt:lpstr>
      <vt:lpstr>Data_LoonkostenVastVrij487</vt:lpstr>
      <vt:lpstr>Data_LoonkostenVastVrij488</vt:lpstr>
      <vt:lpstr>Data_LoonkostenVastVrij489</vt:lpstr>
      <vt:lpstr>Data_LoonkostenVastVrij490</vt:lpstr>
      <vt:lpstr>Data_LoonkostenVastVrij491</vt:lpstr>
      <vt:lpstr>Data_LoonkostenVastVrij492</vt:lpstr>
      <vt:lpstr>Data_LoonkostenVastVrij493</vt:lpstr>
      <vt:lpstr>Data_LoonkostenVastVrij494</vt:lpstr>
      <vt:lpstr>Data_LoonkostenVastVrij495</vt:lpstr>
      <vt:lpstr>Data_LoonkostenVastVrij496</vt:lpstr>
      <vt:lpstr>Data_LoonkostenVastVrij497</vt:lpstr>
      <vt:lpstr>Data_LoonkostenVastVrij498</vt:lpstr>
      <vt:lpstr>Data_LoonkostenVastVrij499</vt:lpstr>
      <vt:lpstr>Data_LoonkostenVastVrij500</vt:lpstr>
      <vt:lpstr>Data_NaamPersoonNatVerloop001</vt:lpstr>
      <vt:lpstr>Data_NaamPersoonNatVerloop002</vt:lpstr>
      <vt:lpstr>Data_NaamPersoonNatVerloop003</vt:lpstr>
      <vt:lpstr>Data_NaamPersoonNatVerloop004</vt:lpstr>
      <vt:lpstr>Data_NaamPersoonNatVerloop005</vt:lpstr>
      <vt:lpstr>Data_NaamPersoonNatVerloop006</vt:lpstr>
      <vt:lpstr>Data_NaamPersoonNatVerloop007</vt:lpstr>
      <vt:lpstr>Data_NaamPersoonNatVerloop008</vt:lpstr>
      <vt:lpstr>Data_NaamPersoonNatVerloop009</vt:lpstr>
      <vt:lpstr>Data_NaamPersoonNatVerloop010</vt:lpstr>
      <vt:lpstr>Data_NaamPersoonNatVerloop011</vt:lpstr>
      <vt:lpstr>Data_NaamPersoonNatVerloop012</vt:lpstr>
      <vt:lpstr>Data_NaamPersoonNatVerloop013</vt:lpstr>
      <vt:lpstr>Data_NaamPersoonNatVerloop014</vt:lpstr>
      <vt:lpstr>Data_NaamPersoonNatVerloop015</vt:lpstr>
      <vt:lpstr>Data_NaamPersoonNatVerloop016</vt:lpstr>
      <vt:lpstr>Data_NaamPersoonNatVerloop017</vt:lpstr>
      <vt:lpstr>Data_NaamPersoonNatVerloop018</vt:lpstr>
      <vt:lpstr>Data_NaamPersoonNatVerloop019</vt:lpstr>
      <vt:lpstr>Data_NaamPersoonNatVerloop020</vt:lpstr>
      <vt:lpstr>Data_NaamPersoonNatVerloop021</vt:lpstr>
      <vt:lpstr>Data_NaamPersoonNatVerloop022</vt:lpstr>
      <vt:lpstr>Data_NaamPersoonNatVerloop023</vt:lpstr>
      <vt:lpstr>Data_NaamPersoonNatVerloop024</vt:lpstr>
      <vt:lpstr>Data_NaamPersoonNatVerloop025</vt:lpstr>
      <vt:lpstr>Data_NaamPersoonNatVerloop026</vt:lpstr>
      <vt:lpstr>Data_NaamPersoonNatVerloop027</vt:lpstr>
      <vt:lpstr>Data_NaamPersoonNatVerloop028</vt:lpstr>
      <vt:lpstr>Data_NaamPersoonNatVerloop029</vt:lpstr>
      <vt:lpstr>Data_NaamPersoonNatVerloop030</vt:lpstr>
      <vt:lpstr>Data_NaamPersoonNatVerloop031</vt:lpstr>
      <vt:lpstr>Data_NaamPersoonNatVerloop032</vt:lpstr>
      <vt:lpstr>Data_NaamPersoonNatVerloop033</vt:lpstr>
      <vt:lpstr>Data_NaamPersoonNatVerloop034</vt:lpstr>
      <vt:lpstr>Data_NaamPersoonNatVerloop035</vt:lpstr>
      <vt:lpstr>Data_NaamPersoonNatVerloop036</vt:lpstr>
      <vt:lpstr>Data_NaamPersoonNatVerloop037</vt:lpstr>
      <vt:lpstr>Data_NaamPersoonNatVerloop038</vt:lpstr>
      <vt:lpstr>Data_NaamPersoonNatVerloop039</vt:lpstr>
      <vt:lpstr>Data_NaamPersoonNatVerloop040</vt:lpstr>
      <vt:lpstr>Data_NaamPersoonNatVerloop041</vt:lpstr>
      <vt:lpstr>Data_NaamPersoonNatVerloop042</vt:lpstr>
      <vt:lpstr>Data_NaamPersoonNatVerloop043</vt:lpstr>
      <vt:lpstr>Data_NaamPersoonNatVerloop044</vt:lpstr>
      <vt:lpstr>Data_NaamPersoonNatVerloop045</vt:lpstr>
      <vt:lpstr>Data_NaamPersoonNatVerloop046</vt:lpstr>
      <vt:lpstr>Data_NaamPersoonNatVerloop047</vt:lpstr>
      <vt:lpstr>Data_NaamPersoonNatVerloop048</vt:lpstr>
      <vt:lpstr>Data_NaamPersoonNatVerloop049</vt:lpstr>
      <vt:lpstr>Data_NaamPersoonNatVerloop050</vt:lpstr>
      <vt:lpstr>Data_NaamPersoonNatVerloop051</vt:lpstr>
      <vt:lpstr>Data_NaamPersoonNatVerloop052</vt:lpstr>
      <vt:lpstr>Data_NaamPersoonNatVerloop053</vt:lpstr>
      <vt:lpstr>Data_NaamPersoonNatVerloop054</vt:lpstr>
      <vt:lpstr>Data_NaamPersoonNatVerloop055</vt:lpstr>
      <vt:lpstr>Data_NaamPersoonNatVerloop056</vt:lpstr>
      <vt:lpstr>Data_NaamPersoonNatVerloop057</vt:lpstr>
      <vt:lpstr>Data_NaamPersoonNatVerloop058</vt:lpstr>
      <vt:lpstr>Data_NaamPersoonNatVerloop059</vt:lpstr>
      <vt:lpstr>Data_NaamPersoonNatVerloop060</vt:lpstr>
      <vt:lpstr>Data_NaamPersoonNatVerloop061</vt:lpstr>
      <vt:lpstr>Data_NaamPersoonNatVerloop062</vt:lpstr>
      <vt:lpstr>Data_NaamPersoonNatVerloop063</vt:lpstr>
      <vt:lpstr>Data_NaamPersoonNatVerloop064</vt:lpstr>
      <vt:lpstr>Data_NaamPersoonNatVerloop065</vt:lpstr>
      <vt:lpstr>Data_NaamPersoonNatVerloop066</vt:lpstr>
      <vt:lpstr>Data_NaamPersoonNatVerloop067</vt:lpstr>
      <vt:lpstr>Data_NaamPersoonNatVerloop068</vt:lpstr>
      <vt:lpstr>Data_NaamPersoonNatVerloop069</vt:lpstr>
      <vt:lpstr>Data_NaamPersoonNatVerloop070</vt:lpstr>
      <vt:lpstr>Data_NaamPersoonNatVerloop071</vt:lpstr>
      <vt:lpstr>Data_NaamPersoonNatVerloop072</vt:lpstr>
      <vt:lpstr>Data_NaamPersoonNatVerloop073</vt:lpstr>
      <vt:lpstr>Data_NaamPersoonNatVerloop074</vt:lpstr>
      <vt:lpstr>Data_NaamPersoonNatVerloop075</vt:lpstr>
      <vt:lpstr>Data_NaamPersoonNatVerloop076</vt:lpstr>
      <vt:lpstr>Data_NaamPersoonNatVerloop077</vt:lpstr>
      <vt:lpstr>Data_NaamPersoonNatVerloop078</vt:lpstr>
      <vt:lpstr>Data_NaamPersoonNatVerloop079</vt:lpstr>
      <vt:lpstr>Data_NaamPersoonNatVerloop080</vt:lpstr>
      <vt:lpstr>Data_NaamPersoonNatVerloop081</vt:lpstr>
      <vt:lpstr>Data_NaamPersoonNatVerloop082</vt:lpstr>
      <vt:lpstr>Data_NaamPersoonNatVerloop083</vt:lpstr>
      <vt:lpstr>Data_NaamPersoonNatVerloop084</vt:lpstr>
      <vt:lpstr>Data_NaamPersoonNatVerloop085</vt:lpstr>
      <vt:lpstr>Data_NaamPersoonNatVerloop086</vt:lpstr>
      <vt:lpstr>Data_NaamPersoonNatVerloop087</vt:lpstr>
      <vt:lpstr>Data_NaamPersoonNatVerloop088</vt:lpstr>
      <vt:lpstr>Data_NaamPersoonNatVerloop089</vt:lpstr>
      <vt:lpstr>Data_NaamPersoonNatVerloop090</vt:lpstr>
      <vt:lpstr>Data_NaamPersoonNatVerloop091</vt:lpstr>
      <vt:lpstr>Data_NaamPersoonNatVerloop092</vt:lpstr>
      <vt:lpstr>Data_NaamPersoonNatVerloop093</vt:lpstr>
      <vt:lpstr>Data_NaamPersoonNatVerloop094</vt:lpstr>
      <vt:lpstr>Data_NaamPersoonNatVerloop095</vt:lpstr>
      <vt:lpstr>Data_NaamPersoonNatVerloop096</vt:lpstr>
      <vt:lpstr>Data_NaamPersoonNatVerloop097</vt:lpstr>
      <vt:lpstr>Data_NaamPersoonNatVerloop098</vt:lpstr>
      <vt:lpstr>Data_NaamPersoonNatVerloop099</vt:lpstr>
      <vt:lpstr>Data_NaamPersoonNatVerloop100</vt:lpstr>
      <vt:lpstr>Data_NaamPersoonNatVerloop101</vt:lpstr>
      <vt:lpstr>Data_NaamPersoonNatVerloop102</vt:lpstr>
      <vt:lpstr>Data_NaamPersoonNatVerloop103</vt:lpstr>
      <vt:lpstr>Data_NaamPersoonNatVerloop104</vt:lpstr>
      <vt:lpstr>Data_NaamPersoonNatVerloop105</vt:lpstr>
      <vt:lpstr>Data_NaamPersoonNatVerloop106</vt:lpstr>
      <vt:lpstr>Data_NaamPersoonNatVerloop107</vt:lpstr>
      <vt:lpstr>Data_NaamPersoonNatVerloop108</vt:lpstr>
      <vt:lpstr>Data_NaamPersoonNatVerloop109</vt:lpstr>
      <vt:lpstr>Data_NaamPersoonNatVerloop110</vt:lpstr>
      <vt:lpstr>Data_NaamPersoonNatVerloop111</vt:lpstr>
      <vt:lpstr>Data_NaamPersoonNatVerloop112</vt:lpstr>
      <vt:lpstr>Data_NaamPersoonNatVerloop113</vt:lpstr>
      <vt:lpstr>Data_NaamPersoonNatVerloop114</vt:lpstr>
      <vt:lpstr>Data_NaamPersoonNatVerloop115</vt:lpstr>
      <vt:lpstr>Data_NaamPersoonNatVerloop116</vt:lpstr>
      <vt:lpstr>Data_NaamPersoonNatVerloop117</vt:lpstr>
      <vt:lpstr>Data_NaamPersoonNatVerloop118</vt:lpstr>
      <vt:lpstr>Data_NaamPersoonNatVerloop119</vt:lpstr>
      <vt:lpstr>Data_NaamPersoonNatVerloop120</vt:lpstr>
      <vt:lpstr>Data_NaamPersoonNatVerloop121</vt:lpstr>
      <vt:lpstr>Data_NaamPersoonNatVerloop122</vt:lpstr>
      <vt:lpstr>Data_NaamPersoonNatVerloop123</vt:lpstr>
      <vt:lpstr>Data_NaamPersoonNatVerloop124</vt:lpstr>
      <vt:lpstr>Data_NaamPersoonNatVerloop125</vt:lpstr>
      <vt:lpstr>Data_NaamPersoonNatVerloop126</vt:lpstr>
      <vt:lpstr>Data_NaamPersoonNatVerloop127</vt:lpstr>
      <vt:lpstr>Data_NaamPersoonNatVerloop128</vt:lpstr>
      <vt:lpstr>Data_NaamPersoonNatVerloop129</vt:lpstr>
      <vt:lpstr>Data_NaamPersoonNatVerloop130</vt:lpstr>
      <vt:lpstr>Data_NaamPersoonNatVerloop131</vt:lpstr>
      <vt:lpstr>Data_NaamPersoonNatVerloop132</vt:lpstr>
      <vt:lpstr>Data_NaamPersoonNatVerloop133</vt:lpstr>
      <vt:lpstr>Data_NaamPersoonNatVerloop134</vt:lpstr>
      <vt:lpstr>Data_NaamPersoonNatVerloop135</vt:lpstr>
      <vt:lpstr>Data_NaamPersoonNatVerloop136</vt:lpstr>
      <vt:lpstr>Data_NaamPersoonNatVerloop137</vt:lpstr>
      <vt:lpstr>Data_NaamPersoonNatVerloop138</vt:lpstr>
      <vt:lpstr>Data_NaamPersoonNatVerloop139</vt:lpstr>
      <vt:lpstr>Data_NaamPersoonNatVerloop140</vt:lpstr>
      <vt:lpstr>Data_NaamPersoonNatVerloop141</vt:lpstr>
      <vt:lpstr>Data_NaamPersoonNatVerloop142</vt:lpstr>
      <vt:lpstr>Data_NaamPersoonNatVerloop143</vt:lpstr>
      <vt:lpstr>Data_NaamPersoonNatVerloop144</vt:lpstr>
      <vt:lpstr>Data_NaamPersoonNatVerloop145</vt:lpstr>
      <vt:lpstr>Data_NaamPersoonNatVerloop146</vt:lpstr>
      <vt:lpstr>Data_NaamPersoonNatVerloop147</vt:lpstr>
      <vt:lpstr>Data_NaamPersoonNatVerloop148</vt:lpstr>
      <vt:lpstr>Data_NaamPersoonNatVerloop149</vt:lpstr>
      <vt:lpstr>Data_NaamPersoonNatVerloop150</vt:lpstr>
      <vt:lpstr>Data_NaamPersoonNatVerloop151</vt:lpstr>
      <vt:lpstr>Data_NaamPersoonNatVerloop152</vt:lpstr>
      <vt:lpstr>Data_NaamPersoonNatVerloop153</vt:lpstr>
      <vt:lpstr>Data_NaamPersoonNatVerloop154</vt:lpstr>
      <vt:lpstr>Data_NaamPersoonNatVerloop155</vt:lpstr>
      <vt:lpstr>Data_NaamPersoonNatVerloop156</vt:lpstr>
      <vt:lpstr>Data_NaamPersoonNatVerloop157</vt:lpstr>
      <vt:lpstr>Data_NaamPersoonNatVerloop158</vt:lpstr>
      <vt:lpstr>Data_NaamPersoonNatVerloop159</vt:lpstr>
      <vt:lpstr>Data_NaamPersoonNatVerloop160</vt:lpstr>
      <vt:lpstr>Data_NaamPersoonNatVerloop161</vt:lpstr>
      <vt:lpstr>Data_NaamPersoonNatVerloop162</vt:lpstr>
      <vt:lpstr>Data_NaamPersoonNatVerloop163</vt:lpstr>
      <vt:lpstr>Data_NaamPersoonNatVerloop164</vt:lpstr>
      <vt:lpstr>Data_NaamPersoonNatVerloop165</vt:lpstr>
      <vt:lpstr>Data_NaamPersoonNatVerloop166</vt:lpstr>
      <vt:lpstr>Data_NaamPersoonNatVerloop167</vt:lpstr>
      <vt:lpstr>Data_NaamPersoonNatVerloop168</vt:lpstr>
      <vt:lpstr>Data_NaamPersoonNatVerloop169</vt:lpstr>
      <vt:lpstr>Data_NaamPersoonNatVerloop170</vt:lpstr>
      <vt:lpstr>Data_NaamPersoonNatVerloop171</vt:lpstr>
      <vt:lpstr>Data_NaamPersoonNatVerloop172</vt:lpstr>
      <vt:lpstr>Data_NaamPersoonNatVerloop173</vt:lpstr>
      <vt:lpstr>Data_NaamPersoonNatVerloop174</vt:lpstr>
      <vt:lpstr>Data_NaamPersoonNatVerloop175</vt:lpstr>
      <vt:lpstr>Data_NaamPersoonNatVerloop176</vt:lpstr>
      <vt:lpstr>Data_NaamPersoonNatVerloop177</vt:lpstr>
      <vt:lpstr>Data_NaamPersoonNatVerloop178</vt:lpstr>
      <vt:lpstr>Data_NaamPersoonNatVerloop179</vt:lpstr>
      <vt:lpstr>Data_NaamPersoonNatVerloop180</vt:lpstr>
      <vt:lpstr>Data_NaamPersoonNatVerloop181</vt:lpstr>
      <vt:lpstr>Data_NaamPersoonNatVerloop182</vt:lpstr>
      <vt:lpstr>Data_NaamPersoonNatVerloop183</vt:lpstr>
      <vt:lpstr>Data_NaamPersoonNatVerloop184</vt:lpstr>
      <vt:lpstr>Data_NaamPersoonNatVerloop185</vt:lpstr>
      <vt:lpstr>Data_NaamPersoonNatVerloop186</vt:lpstr>
      <vt:lpstr>Data_NaamPersoonNatVerloop187</vt:lpstr>
      <vt:lpstr>Data_NaamPersoonNatVerloop188</vt:lpstr>
      <vt:lpstr>Data_NaamPersoonNatVerloop189</vt:lpstr>
      <vt:lpstr>Data_NaamPersoonNatVerloop190</vt:lpstr>
      <vt:lpstr>Data_NaamPersoonNatVerloop191</vt:lpstr>
      <vt:lpstr>Data_NaamPersoonNatVerloop192</vt:lpstr>
      <vt:lpstr>Data_NaamPersoonNatVerloop193</vt:lpstr>
      <vt:lpstr>Data_NaamPersoonNatVerloop194</vt:lpstr>
      <vt:lpstr>Data_NaamPersoonNatVerloop195</vt:lpstr>
      <vt:lpstr>Data_NaamPersoonNatVerloop196</vt:lpstr>
      <vt:lpstr>Data_NaamPersoonNatVerloop197</vt:lpstr>
      <vt:lpstr>Data_NaamPersoonNatVerloop198</vt:lpstr>
      <vt:lpstr>Data_NaamPersoonNatVerloop199</vt:lpstr>
      <vt:lpstr>Data_NaamPersoonNatVerloop200</vt:lpstr>
      <vt:lpstr>Data_NaamPersoonNatVerloop201</vt:lpstr>
      <vt:lpstr>Data_NaamPersoonNatVerloop202</vt:lpstr>
      <vt:lpstr>Data_NaamPersoonNatVerloop203</vt:lpstr>
      <vt:lpstr>Data_NaamPersoonNatVerloop204</vt:lpstr>
      <vt:lpstr>Data_NaamPersoonNatVerloop205</vt:lpstr>
      <vt:lpstr>Data_NaamPersoonNatVerloop206</vt:lpstr>
      <vt:lpstr>Data_NaamPersoonNatVerloop207</vt:lpstr>
      <vt:lpstr>Data_NaamPersoonNatVerloop208</vt:lpstr>
      <vt:lpstr>Data_NaamPersoonNatVerloop209</vt:lpstr>
      <vt:lpstr>Data_NaamPersoonNatVerloop210</vt:lpstr>
      <vt:lpstr>Data_NaamPersoonNatVerloop211</vt:lpstr>
      <vt:lpstr>Data_NaamPersoonNatVerloop212</vt:lpstr>
      <vt:lpstr>Data_NaamPersoonNatVerloop213</vt:lpstr>
      <vt:lpstr>Data_NaamPersoonNatVerloop214</vt:lpstr>
      <vt:lpstr>Data_NaamPersoonNatVerloop215</vt:lpstr>
      <vt:lpstr>Data_NaamPersoonNatVerloop216</vt:lpstr>
      <vt:lpstr>Data_NaamPersoonNatVerloop217</vt:lpstr>
      <vt:lpstr>Data_NaamPersoonNatVerloop218</vt:lpstr>
      <vt:lpstr>Data_NaamPersoonNatVerloop219</vt:lpstr>
      <vt:lpstr>Data_NaamPersoonNatVerloop220</vt:lpstr>
      <vt:lpstr>Data_NaamPersoonNatVerloop221</vt:lpstr>
      <vt:lpstr>Data_NaamPersoonNatVerloop222</vt:lpstr>
      <vt:lpstr>Data_NaamPersoonNatVerloop223</vt:lpstr>
      <vt:lpstr>Data_NaamPersoonNatVerloop224</vt:lpstr>
      <vt:lpstr>Data_NaamPersoonNatVerloop225</vt:lpstr>
      <vt:lpstr>Data_NaamPersoonNatVerloop226</vt:lpstr>
      <vt:lpstr>Data_NaamPersoonNatVerloop227</vt:lpstr>
      <vt:lpstr>Data_NaamPersoonNatVerloop228</vt:lpstr>
      <vt:lpstr>Data_NaamPersoonNatVerloop229</vt:lpstr>
      <vt:lpstr>Data_NaamPersoonNatVerloop230</vt:lpstr>
      <vt:lpstr>Data_NaamPersoonNatVerloop231</vt:lpstr>
      <vt:lpstr>Data_NaamPersoonNatVerloop232</vt:lpstr>
      <vt:lpstr>Data_NaamPersoonNatVerloop233</vt:lpstr>
      <vt:lpstr>Data_NaamPersoonNatVerloop234</vt:lpstr>
      <vt:lpstr>Data_NaamPersoonNatVerloop235</vt:lpstr>
      <vt:lpstr>Data_NaamPersoonNatVerloop236</vt:lpstr>
      <vt:lpstr>Data_NaamPersoonNatVerloop237</vt:lpstr>
      <vt:lpstr>Data_NaamPersoonNatVerloop238</vt:lpstr>
      <vt:lpstr>Data_NaamPersoonNatVerloop239</vt:lpstr>
      <vt:lpstr>Data_NaamPersoonNatVerloop240</vt:lpstr>
      <vt:lpstr>Data_NaamPersoonNatVerloop241</vt:lpstr>
      <vt:lpstr>Data_NaamPersoonNatVerloop242</vt:lpstr>
      <vt:lpstr>Data_NaamPersoonNatVerloop243</vt:lpstr>
      <vt:lpstr>Data_NaamPersoonNatVerloop244</vt:lpstr>
      <vt:lpstr>Data_NaamPersoonNatVerloop245</vt:lpstr>
      <vt:lpstr>Data_NaamPersoonNatVerloop246</vt:lpstr>
      <vt:lpstr>Data_NaamPersoonNatVerloop247</vt:lpstr>
      <vt:lpstr>Data_NaamPersoonNatVerloop248</vt:lpstr>
      <vt:lpstr>Data_NaamPersoonNatVerloop249</vt:lpstr>
      <vt:lpstr>Data_NaamPersoonNatVerloop250</vt:lpstr>
      <vt:lpstr>Data_NaamPersoonNatVerloop251</vt:lpstr>
      <vt:lpstr>Data_NaamPersoonNatVerloop252</vt:lpstr>
      <vt:lpstr>Data_NaamPersoonNatVerloop253</vt:lpstr>
      <vt:lpstr>Data_NaamPersoonNatVerloop254</vt:lpstr>
      <vt:lpstr>Data_NaamPersoonNatVerloop255</vt:lpstr>
      <vt:lpstr>Data_NaamPersoonNatVerloop256</vt:lpstr>
      <vt:lpstr>Data_NaamPersoonNatVerloop257</vt:lpstr>
      <vt:lpstr>Data_NaamPersoonNatVerloop258</vt:lpstr>
      <vt:lpstr>Data_NaamPersoonNatVerloop259</vt:lpstr>
      <vt:lpstr>Data_NaamPersoonNatVerloop260</vt:lpstr>
      <vt:lpstr>Data_NaamPersoonNatVerloop261</vt:lpstr>
      <vt:lpstr>Data_NaamPersoonNatVerloop262</vt:lpstr>
      <vt:lpstr>Data_NaamPersoonNatVerloop263</vt:lpstr>
      <vt:lpstr>Data_NaamPersoonNatVerloop264</vt:lpstr>
      <vt:lpstr>Data_NaamPersoonNatVerloop265</vt:lpstr>
      <vt:lpstr>Data_NaamPersoonNatVerloop266</vt:lpstr>
      <vt:lpstr>Data_NaamPersoonNatVerloop267</vt:lpstr>
      <vt:lpstr>Data_NaamPersoonNatVerloop268</vt:lpstr>
      <vt:lpstr>Data_NaamPersoonNatVerloop269</vt:lpstr>
      <vt:lpstr>Data_NaamPersoonNatVerloop270</vt:lpstr>
      <vt:lpstr>Data_NaamPersoonNatVerloop271</vt:lpstr>
      <vt:lpstr>Data_NaamPersoonNatVerloop272</vt:lpstr>
      <vt:lpstr>Data_NaamPersoonNatVerloop273</vt:lpstr>
      <vt:lpstr>Data_NaamPersoonNatVerloop274</vt:lpstr>
      <vt:lpstr>Data_NaamPersoonNatVerloop275</vt:lpstr>
      <vt:lpstr>Data_NaamPersoonNatVerloop276</vt:lpstr>
      <vt:lpstr>Data_NaamPersoonNatVerloop277</vt:lpstr>
      <vt:lpstr>Data_NaamPersoonNatVerloop278</vt:lpstr>
      <vt:lpstr>Data_NaamPersoonNatVerloop279</vt:lpstr>
      <vt:lpstr>Data_NaamPersoonNatVerloop280</vt:lpstr>
      <vt:lpstr>Data_NaamPersoonNatVerloop281</vt:lpstr>
      <vt:lpstr>Data_NaamPersoonNatVerloop282</vt:lpstr>
      <vt:lpstr>Data_NaamPersoonNatVerloop283</vt:lpstr>
      <vt:lpstr>Data_NaamPersoonNatVerloop284</vt:lpstr>
      <vt:lpstr>Data_NaamPersoonNatVerloop285</vt:lpstr>
      <vt:lpstr>Data_NaamPersoonNatVerloop286</vt:lpstr>
      <vt:lpstr>Data_NaamPersoonNatVerloop287</vt:lpstr>
      <vt:lpstr>Data_NaamPersoonNatVerloop288</vt:lpstr>
      <vt:lpstr>Data_NaamPersoonNatVerloop289</vt:lpstr>
      <vt:lpstr>Data_NaamPersoonNatVerloop290</vt:lpstr>
      <vt:lpstr>Data_NaamPersoonNatVerloop291</vt:lpstr>
      <vt:lpstr>Data_NaamPersoonNatVerloop292</vt:lpstr>
      <vt:lpstr>Data_NaamPersoonNatVerloop293</vt:lpstr>
      <vt:lpstr>Data_NaamPersoonNatVerloop294</vt:lpstr>
      <vt:lpstr>Data_NaamPersoonNatVerloop295</vt:lpstr>
      <vt:lpstr>Data_NaamPersoonNatVerloop296</vt:lpstr>
      <vt:lpstr>Data_NaamPersoonNatVerloop297</vt:lpstr>
      <vt:lpstr>Data_NaamPersoonNatVerloop298</vt:lpstr>
      <vt:lpstr>Data_NaamPersoonNatVerloop299</vt:lpstr>
      <vt:lpstr>Data_NaamPersoonNatVerloop300</vt:lpstr>
      <vt:lpstr>Data_NaamPersoonNatVerloop301</vt:lpstr>
      <vt:lpstr>Data_NaamPersoonNatVerloop302</vt:lpstr>
      <vt:lpstr>Data_NaamPersoonNatVerloop303</vt:lpstr>
      <vt:lpstr>Data_NaamPersoonNatVerloop304</vt:lpstr>
      <vt:lpstr>Data_NaamPersoonNatVerloop305</vt:lpstr>
      <vt:lpstr>Data_NaamPersoonNatVerloop306</vt:lpstr>
      <vt:lpstr>Data_NaamPersoonNatVerloop307</vt:lpstr>
      <vt:lpstr>Data_NaamPersoonNatVerloop308</vt:lpstr>
      <vt:lpstr>Data_NaamPersoonNatVerloop309</vt:lpstr>
      <vt:lpstr>Data_NaamPersoonNatVerloop310</vt:lpstr>
      <vt:lpstr>Data_NaamPersoonNatVerloop311</vt:lpstr>
      <vt:lpstr>Data_NaamPersoonNatVerloop312</vt:lpstr>
      <vt:lpstr>Data_NaamPersoonNatVerloop313</vt:lpstr>
      <vt:lpstr>Data_NaamPersoonNatVerloop314</vt:lpstr>
      <vt:lpstr>Data_NaamPersoonNatVerloop315</vt:lpstr>
      <vt:lpstr>Data_NaamPersoonNatVerloop316</vt:lpstr>
      <vt:lpstr>Data_NaamPersoonNatVerloop317</vt:lpstr>
      <vt:lpstr>Data_NaamPersoonNatVerloop318</vt:lpstr>
      <vt:lpstr>Data_NaamPersoonNatVerloop319</vt:lpstr>
      <vt:lpstr>Data_NaamPersoonNatVerloop320</vt:lpstr>
      <vt:lpstr>Data_NaamPersoonNatVerloop321</vt:lpstr>
      <vt:lpstr>Data_NaamPersoonNatVerloop322</vt:lpstr>
      <vt:lpstr>Data_NaamPersoonNatVerloop323</vt:lpstr>
      <vt:lpstr>Data_NaamPersoonNatVerloop324</vt:lpstr>
      <vt:lpstr>Data_NaamPersoonNatVerloop325</vt:lpstr>
      <vt:lpstr>Data_NaamPersoonNatVerloop326</vt:lpstr>
      <vt:lpstr>Data_NaamPersoonNatVerloop327</vt:lpstr>
      <vt:lpstr>Data_NaamPersoonNatVerloop328</vt:lpstr>
      <vt:lpstr>Data_NaamPersoonNatVerloop329</vt:lpstr>
      <vt:lpstr>Data_NaamPersoonNatVerloop330</vt:lpstr>
      <vt:lpstr>Data_NaamPersoonNatVerloop331</vt:lpstr>
      <vt:lpstr>Data_NaamPersoonNatVerloop332</vt:lpstr>
      <vt:lpstr>Data_NaamPersoonNatVerloop333</vt:lpstr>
      <vt:lpstr>Data_NaamPersoonNatVerloop334</vt:lpstr>
      <vt:lpstr>Data_NaamPersoonNatVerloop335</vt:lpstr>
      <vt:lpstr>Data_NaamPersoonNatVerloop336</vt:lpstr>
      <vt:lpstr>Data_NaamPersoonNatVerloop337</vt:lpstr>
      <vt:lpstr>Data_NaamPersoonNatVerloop338</vt:lpstr>
      <vt:lpstr>Data_NaamPersoonNatVerloop339</vt:lpstr>
      <vt:lpstr>Data_NaamPersoonNatVerloop340</vt:lpstr>
      <vt:lpstr>Data_NaamPersoonNatVerloop341</vt:lpstr>
      <vt:lpstr>Data_NaamPersoonNatVerloop342</vt:lpstr>
      <vt:lpstr>Data_NaamPersoonNatVerloop343</vt:lpstr>
      <vt:lpstr>Data_NaamPersoonNatVerloop344</vt:lpstr>
      <vt:lpstr>Data_NaamPersoonNatVerloop345</vt:lpstr>
      <vt:lpstr>Data_NaamPersoonNatVerloop346</vt:lpstr>
      <vt:lpstr>Data_NaamPersoonNatVerloop347</vt:lpstr>
      <vt:lpstr>Data_NaamPersoonNatVerloop348</vt:lpstr>
      <vt:lpstr>Data_NaamPersoonNatVerloop349</vt:lpstr>
      <vt:lpstr>Data_NaamPersoonNatVerloop350</vt:lpstr>
      <vt:lpstr>Data_NaamPersoonNatVerloop351</vt:lpstr>
      <vt:lpstr>Data_NaamPersoonNatVerloop352</vt:lpstr>
      <vt:lpstr>Data_NaamPersoonNatVerloop353</vt:lpstr>
      <vt:lpstr>Data_NaamPersoonNatVerloop354</vt:lpstr>
      <vt:lpstr>Data_NaamPersoonNatVerloop355</vt:lpstr>
      <vt:lpstr>Data_NaamPersoonNatVerloop356</vt:lpstr>
      <vt:lpstr>Data_NaamPersoonNatVerloop357</vt:lpstr>
      <vt:lpstr>Data_NaamPersoonNatVerloop358</vt:lpstr>
      <vt:lpstr>Data_NaamPersoonNatVerloop359</vt:lpstr>
      <vt:lpstr>Data_NaamPersoonNatVerloop360</vt:lpstr>
      <vt:lpstr>Data_NaamPersoonNatVerloop361</vt:lpstr>
      <vt:lpstr>Data_NaamPersoonNatVerloop362</vt:lpstr>
      <vt:lpstr>Data_NaamPersoonNatVerloop363</vt:lpstr>
      <vt:lpstr>Data_NaamPersoonNatVerloop364</vt:lpstr>
      <vt:lpstr>Data_NaamPersoonNatVerloop365</vt:lpstr>
      <vt:lpstr>Data_NaamPersoonNatVerloop366</vt:lpstr>
      <vt:lpstr>Data_NaamPersoonNatVerloop367</vt:lpstr>
      <vt:lpstr>Data_NaamPersoonNatVerloop368</vt:lpstr>
      <vt:lpstr>Data_NaamPersoonNatVerloop369</vt:lpstr>
      <vt:lpstr>Data_NaamPersoonNatVerloop370</vt:lpstr>
      <vt:lpstr>Data_NaamPersoonNatVerloop371</vt:lpstr>
      <vt:lpstr>Data_NaamPersoonNatVerloop372</vt:lpstr>
      <vt:lpstr>Data_NaamPersoonNatVerloop373</vt:lpstr>
      <vt:lpstr>Data_NaamPersoonNatVerloop374</vt:lpstr>
      <vt:lpstr>Data_NaamPersoonNatVerloop375</vt:lpstr>
      <vt:lpstr>Data_NaamPersoonNatVerloop376</vt:lpstr>
      <vt:lpstr>Data_NaamPersoonNatVerloop377</vt:lpstr>
      <vt:lpstr>Data_NaamPersoonNatVerloop378</vt:lpstr>
      <vt:lpstr>Data_NaamPersoonNatVerloop379</vt:lpstr>
      <vt:lpstr>Data_NaamPersoonNatVerloop380</vt:lpstr>
      <vt:lpstr>Data_NaamPersoonNatVerloop381</vt:lpstr>
      <vt:lpstr>Data_NaamPersoonNatVerloop382</vt:lpstr>
      <vt:lpstr>Data_NaamPersoonNatVerloop383</vt:lpstr>
      <vt:lpstr>Data_NaamPersoonNatVerloop384</vt:lpstr>
      <vt:lpstr>Data_NaamPersoonNatVerloop385</vt:lpstr>
      <vt:lpstr>Data_NaamPersoonNatVerloop386</vt:lpstr>
      <vt:lpstr>Data_NaamPersoonNatVerloop387</vt:lpstr>
      <vt:lpstr>Data_NaamPersoonNatVerloop388</vt:lpstr>
      <vt:lpstr>Data_NaamPersoonNatVerloop389</vt:lpstr>
      <vt:lpstr>Data_NaamPersoonNatVerloop390</vt:lpstr>
      <vt:lpstr>Data_NaamPersoonNatVerloop391</vt:lpstr>
      <vt:lpstr>Data_NaamPersoonNatVerloop392</vt:lpstr>
      <vt:lpstr>Data_NaamPersoonNatVerloop393</vt:lpstr>
      <vt:lpstr>Data_NaamPersoonNatVerloop394</vt:lpstr>
      <vt:lpstr>Data_NaamPersoonNatVerloop395</vt:lpstr>
      <vt:lpstr>Data_NaamPersoonNatVerloop396</vt:lpstr>
      <vt:lpstr>Data_NaamPersoonNatVerloop397</vt:lpstr>
      <vt:lpstr>Data_NaamPersoonNatVerloop398</vt:lpstr>
      <vt:lpstr>Data_NaamPersoonNatVerloop399</vt:lpstr>
      <vt:lpstr>Data_NaamPersoonNatVerloop400</vt:lpstr>
      <vt:lpstr>Data_NaamPersoonNatVerloop401</vt:lpstr>
      <vt:lpstr>Data_NaamPersoonNatVerloop402</vt:lpstr>
      <vt:lpstr>Data_NaamPersoonNatVerloop403</vt:lpstr>
      <vt:lpstr>Data_NaamPersoonNatVerloop404</vt:lpstr>
      <vt:lpstr>Data_NaamPersoonNatVerloop405</vt:lpstr>
      <vt:lpstr>Data_NaamPersoonNatVerloop406</vt:lpstr>
      <vt:lpstr>Data_NaamPersoonNatVerloop407</vt:lpstr>
      <vt:lpstr>Data_NaamPersoonNatVerloop408</vt:lpstr>
      <vt:lpstr>Data_NaamPersoonNatVerloop409</vt:lpstr>
      <vt:lpstr>Data_NaamPersoonNatVerloop410</vt:lpstr>
      <vt:lpstr>Data_NaamPersoonNatVerloop411</vt:lpstr>
      <vt:lpstr>Data_NaamPersoonNatVerloop412</vt:lpstr>
      <vt:lpstr>Data_NaamPersoonNatVerloop413</vt:lpstr>
      <vt:lpstr>Data_NaamPersoonNatVerloop414</vt:lpstr>
      <vt:lpstr>Data_NaamPersoonNatVerloop415</vt:lpstr>
      <vt:lpstr>Data_NaamPersoonNatVerloop416</vt:lpstr>
      <vt:lpstr>Data_NaamPersoonNatVerloop417</vt:lpstr>
      <vt:lpstr>Data_NaamPersoonNatVerloop418</vt:lpstr>
      <vt:lpstr>Data_NaamPersoonNatVerloop419</vt:lpstr>
      <vt:lpstr>Data_NaamPersoonNatVerloop420</vt:lpstr>
      <vt:lpstr>Data_NaamPersoonNatVerloop421</vt:lpstr>
      <vt:lpstr>Data_NaamPersoonNatVerloop422</vt:lpstr>
      <vt:lpstr>Data_NaamPersoonNatVerloop423</vt:lpstr>
      <vt:lpstr>Data_NaamPersoonNatVerloop424</vt:lpstr>
      <vt:lpstr>Data_NaamPersoonNatVerloop425</vt:lpstr>
      <vt:lpstr>Data_NaamPersoonNatVerloop426</vt:lpstr>
      <vt:lpstr>Data_NaamPersoonNatVerloop427</vt:lpstr>
      <vt:lpstr>Data_NaamPersoonNatVerloop428</vt:lpstr>
      <vt:lpstr>Data_NaamPersoonNatVerloop429</vt:lpstr>
      <vt:lpstr>Data_NaamPersoonNatVerloop430</vt:lpstr>
      <vt:lpstr>Data_NaamPersoonNatVerloop431</vt:lpstr>
      <vt:lpstr>Data_NaamPersoonNatVerloop432</vt:lpstr>
      <vt:lpstr>Data_NaamPersoonNatVerloop433</vt:lpstr>
      <vt:lpstr>Data_NaamPersoonNatVerloop434</vt:lpstr>
      <vt:lpstr>Data_NaamPersoonNatVerloop435</vt:lpstr>
      <vt:lpstr>Data_NaamPersoonNatVerloop436</vt:lpstr>
      <vt:lpstr>Data_NaamPersoonNatVerloop437</vt:lpstr>
      <vt:lpstr>Data_NaamPersoonNatVerloop438</vt:lpstr>
      <vt:lpstr>Data_NaamPersoonNatVerloop439</vt:lpstr>
      <vt:lpstr>Data_NaamPersoonNatVerloop440</vt:lpstr>
      <vt:lpstr>Data_NaamPersoonNatVerloop441</vt:lpstr>
      <vt:lpstr>Data_NaamPersoonNatVerloop442</vt:lpstr>
      <vt:lpstr>Data_NaamPersoonNatVerloop443</vt:lpstr>
      <vt:lpstr>Data_NaamPersoonNatVerloop444</vt:lpstr>
      <vt:lpstr>Data_NaamPersoonNatVerloop445</vt:lpstr>
      <vt:lpstr>Data_NaamPersoonNatVerloop446</vt:lpstr>
      <vt:lpstr>Data_NaamPersoonNatVerloop447</vt:lpstr>
      <vt:lpstr>Data_NaamPersoonNatVerloop448</vt:lpstr>
      <vt:lpstr>Data_NaamPersoonNatVerloop449</vt:lpstr>
      <vt:lpstr>Data_NaamPersoonNatVerloop450</vt:lpstr>
      <vt:lpstr>Data_NaamPersoonNatVerloop451</vt:lpstr>
      <vt:lpstr>Data_NaamPersoonNatVerloop452</vt:lpstr>
      <vt:lpstr>Data_NaamPersoonNatVerloop453</vt:lpstr>
      <vt:lpstr>Data_NaamPersoonNatVerloop454</vt:lpstr>
      <vt:lpstr>Data_NaamPersoonNatVerloop455</vt:lpstr>
      <vt:lpstr>Data_NaamPersoonNatVerloop456</vt:lpstr>
      <vt:lpstr>Data_NaamPersoonNatVerloop457</vt:lpstr>
      <vt:lpstr>Data_NaamPersoonNatVerloop458</vt:lpstr>
      <vt:lpstr>Data_NaamPersoonNatVerloop459</vt:lpstr>
      <vt:lpstr>Data_NaamPersoonNatVerloop460</vt:lpstr>
      <vt:lpstr>Data_NaamPersoonNatVerloop461</vt:lpstr>
      <vt:lpstr>Data_NaamPersoonNatVerloop462</vt:lpstr>
      <vt:lpstr>Data_NaamPersoonNatVerloop463</vt:lpstr>
      <vt:lpstr>Data_NaamPersoonNatVerloop464</vt:lpstr>
      <vt:lpstr>Data_NaamPersoonNatVerloop465</vt:lpstr>
      <vt:lpstr>Data_NaamPersoonNatVerloop466</vt:lpstr>
      <vt:lpstr>Data_NaamPersoonNatVerloop467</vt:lpstr>
      <vt:lpstr>Data_NaamPersoonNatVerloop468</vt:lpstr>
      <vt:lpstr>Data_NaamPersoonNatVerloop469</vt:lpstr>
      <vt:lpstr>Data_NaamPersoonNatVerloop470</vt:lpstr>
      <vt:lpstr>Data_NaamPersoonNatVerloop471</vt:lpstr>
      <vt:lpstr>Data_NaamPersoonNatVerloop472</vt:lpstr>
      <vt:lpstr>Data_NaamPersoonNatVerloop473</vt:lpstr>
      <vt:lpstr>Data_NaamPersoonNatVerloop474</vt:lpstr>
      <vt:lpstr>Data_NaamPersoonNatVerloop475</vt:lpstr>
      <vt:lpstr>Data_NaamPersoonNatVerloop476</vt:lpstr>
      <vt:lpstr>Data_NaamPersoonNatVerloop477</vt:lpstr>
      <vt:lpstr>Data_NaamPersoonNatVerloop478</vt:lpstr>
      <vt:lpstr>Data_NaamPersoonNatVerloop479</vt:lpstr>
      <vt:lpstr>Data_NaamPersoonNatVerloop480</vt:lpstr>
      <vt:lpstr>Data_NaamPersoonNatVerloop481</vt:lpstr>
      <vt:lpstr>Data_NaamPersoonNatVerloop482</vt:lpstr>
      <vt:lpstr>Data_NaamPersoonNatVerloop483</vt:lpstr>
      <vt:lpstr>Data_NaamPersoonNatVerloop484</vt:lpstr>
      <vt:lpstr>Data_NaamPersoonNatVerloop485</vt:lpstr>
      <vt:lpstr>Data_NaamPersoonNatVerloop486</vt:lpstr>
      <vt:lpstr>Data_NaamPersoonNatVerloop487</vt:lpstr>
      <vt:lpstr>Data_NaamPersoonNatVerloop488</vt:lpstr>
      <vt:lpstr>Data_NaamPersoonNatVerloop489</vt:lpstr>
      <vt:lpstr>Data_NaamPersoonNatVerloop490</vt:lpstr>
      <vt:lpstr>Data_NaamPersoonNatVerloop491</vt:lpstr>
      <vt:lpstr>Data_NaamPersoonNatVerloop492</vt:lpstr>
      <vt:lpstr>Data_NaamPersoonNatVerloop493</vt:lpstr>
      <vt:lpstr>Data_NaamPersoonNatVerloop494</vt:lpstr>
      <vt:lpstr>Data_NaamPersoonNatVerloop495</vt:lpstr>
      <vt:lpstr>Data_NaamPersoonNatVerloop496</vt:lpstr>
      <vt:lpstr>Data_NaamPersoonNatVerloop497</vt:lpstr>
      <vt:lpstr>Data_NaamPersoonNatVerloop498</vt:lpstr>
      <vt:lpstr>Data_NaamPersoonNatVerloop499</vt:lpstr>
      <vt:lpstr>Data_NaamPersoonNatVerloop500</vt:lpstr>
      <vt:lpstr>Data_NaamPersoonTijd001</vt:lpstr>
      <vt:lpstr>Data_NaamPersoonTijd002</vt:lpstr>
      <vt:lpstr>Data_NaamPersoonTijd003</vt:lpstr>
      <vt:lpstr>Data_NaamPersoonTijd004</vt:lpstr>
      <vt:lpstr>Data_NaamPersoonTijd005</vt:lpstr>
      <vt:lpstr>Data_NaamPersoonTijd006</vt:lpstr>
      <vt:lpstr>Data_NaamPersoonTijd007</vt:lpstr>
      <vt:lpstr>Data_NaamPersoonTijd008</vt:lpstr>
      <vt:lpstr>Data_NaamPersoonTijd009</vt:lpstr>
      <vt:lpstr>Data_NaamPersoonTijd010</vt:lpstr>
      <vt:lpstr>Data_NaamPersoonTijd011</vt:lpstr>
      <vt:lpstr>Data_NaamPersoonTijd012</vt:lpstr>
      <vt:lpstr>Data_NaamPersoonTijd013</vt:lpstr>
      <vt:lpstr>Data_NaamPersoonTijd014</vt:lpstr>
      <vt:lpstr>Data_NaamPersoonTijd015</vt:lpstr>
      <vt:lpstr>Data_NaamPersoonTijd016</vt:lpstr>
      <vt:lpstr>Data_NaamPersoonTijd017</vt:lpstr>
      <vt:lpstr>Data_NaamPersoonTijd018</vt:lpstr>
      <vt:lpstr>Data_NaamPersoonTijd019</vt:lpstr>
      <vt:lpstr>Data_NaamPersoonTijd020</vt:lpstr>
      <vt:lpstr>Data_NaamPersoonTijd021</vt:lpstr>
      <vt:lpstr>Data_NaamPersoonTijd022</vt:lpstr>
      <vt:lpstr>Data_NaamPersoonTijd023</vt:lpstr>
      <vt:lpstr>Data_NaamPersoonTijd024</vt:lpstr>
      <vt:lpstr>Data_NaamPersoonTijd025</vt:lpstr>
      <vt:lpstr>Data_NaamPersoonTijd026</vt:lpstr>
      <vt:lpstr>Data_NaamPersoonTijd027</vt:lpstr>
      <vt:lpstr>Data_NaamPersoonTijd028</vt:lpstr>
      <vt:lpstr>Data_NaamPersoonTijd029</vt:lpstr>
      <vt:lpstr>Data_NaamPersoonTijd030</vt:lpstr>
      <vt:lpstr>Data_NaamPersoonTijd031</vt:lpstr>
      <vt:lpstr>Data_NaamPersoonTijd032</vt:lpstr>
      <vt:lpstr>Data_NaamPersoonTijd033</vt:lpstr>
      <vt:lpstr>Data_NaamPersoonTijd034</vt:lpstr>
      <vt:lpstr>Data_NaamPersoonTijd035</vt:lpstr>
      <vt:lpstr>Data_NaamPersoonTijd036</vt:lpstr>
      <vt:lpstr>Data_NaamPersoonTijd037</vt:lpstr>
      <vt:lpstr>Data_NaamPersoonTijd038</vt:lpstr>
      <vt:lpstr>Data_NaamPersoonTijd039</vt:lpstr>
      <vt:lpstr>Data_NaamPersoonTijd040</vt:lpstr>
      <vt:lpstr>Data_NaamPersoonTijd041</vt:lpstr>
      <vt:lpstr>Data_NaamPersoonTijd042</vt:lpstr>
      <vt:lpstr>Data_NaamPersoonTijd043</vt:lpstr>
      <vt:lpstr>Data_NaamPersoonTijd044</vt:lpstr>
      <vt:lpstr>Data_NaamPersoonTijd045</vt:lpstr>
      <vt:lpstr>Data_NaamPersoonTijd046</vt:lpstr>
      <vt:lpstr>Data_NaamPersoonTijd047</vt:lpstr>
      <vt:lpstr>Data_NaamPersoonTijd048</vt:lpstr>
      <vt:lpstr>Data_NaamPersoonTijd049</vt:lpstr>
      <vt:lpstr>Data_NaamPersoonTijd050</vt:lpstr>
      <vt:lpstr>Data_NaamPersoonTijd051</vt:lpstr>
      <vt:lpstr>Data_NaamPersoonTijd052</vt:lpstr>
      <vt:lpstr>Data_NaamPersoonTijd053</vt:lpstr>
      <vt:lpstr>Data_NaamPersoonTijd054</vt:lpstr>
      <vt:lpstr>Data_NaamPersoonTijd055</vt:lpstr>
      <vt:lpstr>Data_NaamPersoonTijd056</vt:lpstr>
      <vt:lpstr>Data_NaamPersoonTijd057</vt:lpstr>
      <vt:lpstr>Data_NaamPersoonTijd058</vt:lpstr>
      <vt:lpstr>Data_NaamPersoonTijd059</vt:lpstr>
      <vt:lpstr>Data_NaamPersoonTijd060</vt:lpstr>
      <vt:lpstr>Data_NaamPersoonTijd061</vt:lpstr>
      <vt:lpstr>Data_NaamPersoonTijd062</vt:lpstr>
      <vt:lpstr>Data_NaamPersoonTijd063</vt:lpstr>
      <vt:lpstr>Data_NaamPersoonTijd064</vt:lpstr>
      <vt:lpstr>Data_NaamPersoonTijd065</vt:lpstr>
      <vt:lpstr>Data_NaamPersoonTijd066</vt:lpstr>
      <vt:lpstr>Data_NaamPersoonTijd067</vt:lpstr>
      <vt:lpstr>Data_NaamPersoonTijd068</vt:lpstr>
      <vt:lpstr>Data_NaamPersoonTijd069</vt:lpstr>
      <vt:lpstr>Data_NaamPersoonTijd070</vt:lpstr>
      <vt:lpstr>Data_NaamPersoonTijd071</vt:lpstr>
      <vt:lpstr>Data_NaamPersoonTijd072</vt:lpstr>
      <vt:lpstr>Data_NaamPersoonTijd073</vt:lpstr>
      <vt:lpstr>Data_NaamPersoonTijd074</vt:lpstr>
      <vt:lpstr>Data_NaamPersoonTijd075</vt:lpstr>
      <vt:lpstr>Data_NaamPersoonTijd076</vt:lpstr>
      <vt:lpstr>Data_NaamPersoonTijd077</vt:lpstr>
      <vt:lpstr>Data_NaamPersoonTijd078</vt:lpstr>
      <vt:lpstr>Data_NaamPersoonTijd079</vt:lpstr>
      <vt:lpstr>Data_NaamPersoonTijd080</vt:lpstr>
      <vt:lpstr>Data_NaamPersoonTijd081</vt:lpstr>
      <vt:lpstr>Data_NaamPersoonTijd082</vt:lpstr>
      <vt:lpstr>Data_NaamPersoonTijd083</vt:lpstr>
      <vt:lpstr>Data_NaamPersoonTijd084</vt:lpstr>
      <vt:lpstr>Data_NaamPersoonTijd085</vt:lpstr>
      <vt:lpstr>Data_NaamPersoonTijd086</vt:lpstr>
      <vt:lpstr>Data_NaamPersoonTijd087</vt:lpstr>
      <vt:lpstr>Data_NaamPersoonTijd088</vt:lpstr>
      <vt:lpstr>Data_NaamPersoonTijd089</vt:lpstr>
      <vt:lpstr>Data_NaamPersoonTijd090</vt:lpstr>
      <vt:lpstr>Data_NaamPersoonTijd091</vt:lpstr>
      <vt:lpstr>Data_NaamPersoonTijd092</vt:lpstr>
      <vt:lpstr>Data_NaamPersoonTijd093</vt:lpstr>
      <vt:lpstr>Data_NaamPersoonTijd094</vt:lpstr>
      <vt:lpstr>Data_NaamPersoonTijd095</vt:lpstr>
      <vt:lpstr>Data_NaamPersoonTijd096</vt:lpstr>
      <vt:lpstr>Data_NaamPersoonTijd097</vt:lpstr>
      <vt:lpstr>Data_NaamPersoonTijd098</vt:lpstr>
      <vt:lpstr>Data_NaamPersoonTijd099</vt:lpstr>
      <vt:lpstr>Data_NaamPersoonTijd100</vt:lpstr>
      <vt:lpstr>Data_NaamPersoonTijd101</vt:lpstr>
      <vt:lpstr>Data_NaamPersoonTijd102</vt:lpstr>
      <vt:lpstr>Data_NaamPersoonTijd103</vt:lpstr>
      <vt:lpstr>Data_NaamPersoonTijd104</vt:lpstr>
      <vt:lpstr>Data_NaamPersoonTijd105</vt:lpstr>
      <vt:lpstr>Data_NaamPersoonTijd106</vt:lpstr>
      <vt:lpstr>Data_NaamPersoonTijd107</vt:lpstr>
      <vt:lpstr>Data_NaamPersoonTijd108</vt:lpstr>
      <vt:lpstr>Data_NaamPersoonTijd109</vt:lpstr>
      <vt:lpstr>Data_NaamPersoonTijd110</vt:lpstr>
      <vt:lpstr>Data_NaamPersoonTijd111</vt:lpstr>
      <vt:lpstr>Data_NaamPersoonTijd112</vt:lpstr>
      <vt:lpstr>Data_NaamPersoonTijd113</vt:lpstr>
      <vt:lpstr>Data_NaamPersoonTijd114</vt:lpstr>
      <vt:lpstr>Data_NaamPersoonTijd115</vt:lpstr>
      <vt:lpstr>Data_NaamPersoonTijd116</vt:lpstr>
      <vt:lpstr>Data_NaamPersoonTijd117</vt:lpstr>
      <vt:lpstr>Data_NaamPersoonTijd118</vt:lpstr>
      <vt:lpstr>Data_NaamPersoonTijd119</vt:lpstr>
      <vt:lpstr>Data_NaamPersoonTijd120</vt:lpstr>
      <vt:lpstr>Data_NaamPersoonTijd121</vt:lpstr>
      <vt:lpstr>Data_NaamPersoonTijd122</vt:lpstr>
      <vt:lpstr>Data_NaamPersoonTijd123</vt:lpstr>
      <vt:lpstr>Data_NaamPersoonTijd124</vt:lpstr>
      <vt:lpstr>Data_NaamPersoonTijd125</vt:lpstr>
      <vt:lpstr>Data_NaamPersoonTijd126</vt:lpstr>
      <vt:lpstr>Data_NaamPersoonTijd127</vt:lpstr>
      <vt:lpstr>Data_NaamPersoonTijd128</vt:lpstr>
      <vt:lpstr>Data_NaamPersoonTijd129</vt:lpstr>
      <vt:lpstr>Data_NaamPersoonTijd130</vt:lpstr>
      <vt:lpstr>Data_NaamPersoonTijd131</vt:lpstr>
      <vt:lpstr>Data_NaamPersoonTijd132</vt:lpstr>
      <vt:lpstr>Data_NaamPersoonTijd133</vt:lpstr>
      <vt:lpstr>Data_NaamPersoonTijd134</vt:lpstr>
      <vt:lpstr>Data_NaamPersoonTijd135</vt:lpstr>
      <vt:lpstr>Data_NaamPersoonTijd136</vt:lpstr>
      <vt:lpstr>Data_NaamPersoonTijd137</vt:lpstr>
      <vt:lpstr>Data_NaamPersoonTijd138</vt:lpstr>
      <vt:lpstr>Data_NaamPersoonTijd139</vt:lpstr>
      <vt:lpstr>Data_NaamPersoonTijd140</vt:lpstr>
      <vt:lpstr>Data_NaamPersoonTijd141</vt:lpstr>
      <vt:lpstr>Data_NaamPersoonTijd142</vt:lpstr>
      <vt:lpstr>Data_NaamPersoonTijd143</vt:lpstr>
      <vt:lpstr>Data_NaamPersoonTijd144</vt:lpstr>
      <vt:lpstr>Data_NaamPersoonTijd145</vt:lpstr>
      <vt:lpstr>Data_NaamPersoonTijd146</vt:lpstr>
      <vt:lpstr>Data_NaamPersoonTijd147</vt:lpstr>
      <vt:lpstr>Data_NaamPersoonTijd148</vt:lpstr>
      <vt:lpstr>Data_NaamPersoonTijd149</vt:lpstr>
      <vt:lpstr>Data_NaamPersoonTijd150</vt:lpstr>
      <vt:lpstr>Data_NaamPersoonTijd151</vt:lpstr>
      <vt:lpstr>Data_NaamPersoonTijd152</vt:lpstr>
      <vt:lpstr>Data_NaamPersoonTijd153</vt:lpstr>
      <vt:lpstr>Data_NaamPersoonTijd154</vt:lpstr>
      <vt:lpstr>Data_NaamPersoonTijd155</vt:lpstr>
      <vt:lpstr>Data_NaamPersoonTijd156</vt:lpstr>
      <vt:lpstr>Data_NaamPersoonTijd157</vt:lpstr>
      <vt:lpstr>Data_NaamPersoonTijd158</vt:lpstr>
      <vt:lpstr>Data_NaamPersoonTijd159</vt:lpstr>
      <vt:lpstr>Data_NaamPersoonTijd160</vt:lpstr>
      <vt:lpstr>Data_NaamPersoonTijd161</vt:lpstr>
      <vt:lpstr>Data_NaamPersoonTijd162</vt:lpstr>
      <vt:lpstr>Data_NaamPersoonTijd163</vt:lpstr>
      <vt:lpstr>Data_NaamPersoonTijd164</vt:lpstr>
      <vt:lpstr>Data_NaamPersoonTijd165</vt:lpstr>
      <vt:lpstr>Data_NaamPersoonTijd166</vt:lpstr>
      <vt:lpstr>Data_NaamPersoonTijd167</vt:lpstr>
      <vt:lpstr>Data_NaamPersoonTijd168</vt:lpstr>
      <vt:lpstr>Data_NaamPersoonTijd169</vt:lpstr>
      <vt:lpstr>Data_NaamPersoonTijd170</vt:lpstr>
      <vt:lpstr>Data_NaamPersoonTijd171</vt:lpstr>
      <vt:lpstr>Data_NaamPersoonTijd172</vt:lpstr>
      <vt:lpstr>Data_NaamPersoonTijd173</vt:lpstr>
      <vt:lpstr>Data_NaamPersoonTijd174</vt:lpstr>
      <vt:lpstr>Data_NaamPersoonTijd175</vt:lpstr>
      <vt:lpstr>Data_NaamPersoonTijd176</vt:lpstr>
      <vt:lpstr>Data_NaamPersoonTijd177</vt:lpstr>
      <vt:lpstr>Data_NaamPersoonTijd178</vt:lpstr>
      <vt:lpstr>Data_NaamPersoonTijd179</vt:lpstr>
      <vt:lpstr>Data_NaamPersoonTijd180</vt:lpstr>
      <vt:lpstr>Data_NaamPersoonTijd181</vt:lpstr>
      <vt:lpstr>Data_NaamPersoonTijd182</vt:lpstr>
      <vt:lpstr>Data_NaamPersoonTijd183</vt:lpstr>
      <vt:lpstr>Data_NaamPersoonTijd184</vt:lpstr>
      <vt:lpstr>Data_NaamPersoonTijd185</vt:lpstr>
      <vt:lpstr>Data_NaamPersoonTijd186</vt:lpstr>
      <vt:lpstr>Data_NaamPersoonTijd187</vt:lpstr>
      <vt:lpstr>Data_NaamPersoonTijd188</vt:lpstr>
      <vt:lpstr>Data_NaamPersoonTijd189</vt:lpstr>
      <vt:lpstr>Data_NaamPersoonTijd190</vt:lpstr>
      <vt:lpstr>Data_NaamPersoonTijd191</vt:lpstr>
      <vt:lpstr>Data_NaamPersoonTijd192</vt:lpstr>
      <vt:lpstr>Data_NaamPersoonTijd193</vt:lpstr>
      <vt:lpstr>Data_NaamPersoonTijd194</vt:lpstr>
      <vt:lpstr>Data_NaamPersoonTijd195</vt:lpstr>
      <vt:lpstr>Data_NaamPersoonTijd196</vt:lpstr>
      <vt:lpstr>Data_NaamPersoonTijd197</vt:lpstr>
      <vt:lpstr>Data_NaamPersoonTijd198</vt:lpstr>
      <vt:lpstr>Data_NaamPersoonTijd199</vt:lpstr>
      <vt:lpstr>Data_NaamPersoonTijd200</vt:lpstr>
      <vt:lpstr>Data_NaamPersoonTijd201</vt:lpstr>
      <vt:lpstr>Data_NaamPersoonTijd202</vt:lpstr>
      <vt:lpstr>Data_NaamPersoonTijd203</vt:lpstr>
      <vt:lpstr>Data_NaamPersoonTijd204</vt:lpstr>
      <vt:lpstr>Data_NaamPersoonTijd205</vt:lpstr>
      <vt:lpstr>Data_NaamPersoonTijd206</vt:lpstr>
      <vt:lpstr>Data_NaamPersoonTijd207</vt:lpstr>
      <vt:lpstr>Data_NaamPersoonTijd208</vt:lpstr>
      <vt:lpstr>Data_NaamPersoonTijd209</vt:lpstr>
      <vt:lpstr>Data_NaamPersoonTijd210</vt:lpstr>
      <vt:lpstr>Data_NaamPersoonTijd211</vt:lpstr>
      <vt:lpstr>Data_NaamPersoonTijd212</vt:lpstr>
      <vt:lpstr>Data_NaamPersoonTijd213</vt:lpstr>
      <vt:lpstr>Data_NaamPersoonTijd214</vt:lpstr>
      <vt:lpstr>Data_NaamPersoonTijd215</vt:lpstr>
      <vt:lpstr>Data_NaamPersoonTijd216</vt:lpstr>
      <vt:lpstr>Data_NaamPersoonTijd217</vt:lpstr>
      <vt:lpstr>Data_NaamPersoonTijd218</vt:lpstr>
      <vt:lpstr>Data_NaamPersoonTijd219</vt:lpstr>
      <vt:lpstr>Data_NaamPersoonTijd220</vt:lpstr>
      <vt:lpstr>Data_NaamPersoonTijd221</vt:lpstr>
      <vt:lpstr>Data_NaamPersoonTijd222</vt:lpstr>
      <vt:lpstr>Data_NaamPersoonTijd223</vt:lpstr>
      <vt:lpstr>Data_NaamPersoonTijd224</vt:lpstr>
      <vt:lpstr>Data_NaamPersoonTijd225</vt:lpstr>
      <vt:lpstr>Data_NaamPersoonTijd226</vt:lpstr>
      <vt:lpstr>Data_NaamPersoonTijd227</vt:lpstr>
      <vt:lpstr>Data_NaamPersoonTijd228</vt:lpstr>
      <vt:lpstr>Data_NaamPersoonTijd229</vt:lpstr>
      <vt:lpstr>Data_NaamPersoonTijd230</vt:lpstr>
      <vt:lpstr>Data_NaamPersoonTijd231</vt:lpstr>
      <vt:lpstr>Data_NaamPersoonTijd232</vt:lpstr>
      <vt:lpstr>Data_NaamPersoonTijd233</vt:lpstr>
      <vt:lpstr>Data_NaamPersoonTijd234</vt:lpstr>
      <vt:lpstr>Data_NaamPersoonTijd235</vt:lpstr>
      <vt:lpstr>Data_NaamPersoonTijd236</vt:lpstr>
      <vt:lpstr>Data_NaamPersoonTijd237</vt:lpstr>
      <vt:lpstr>Data_NaamPersoonTijd238</vt:lpstr>
      <vt:lpstr>Data_NaamPersoonTijd239</vt:lpstr>
      <vt:lpstr>Data_NaamPersoonTijd240</vt:lpstr>
      <vt:lpstr>Data_NaamPersoonTijd241</vt:lpstr>
      <vt:lpstr>Data_NaamPersoonTijd242</vt:lpstr>
      <vt:lpstr>Data_NaamPersoonTijd243</vt:lpstr>
      <vt:lpstr>Data_NaamPersoonTijd244</vt:lpstr>
      <vt:lpstr>Data_NaamPersoonTijd245</vt:lpstr>
      <vt:lpstr>Data_NaamPersoonTijd246</vt:lpstr>
      <vt:lpstr>Data_NaamPersoonTijd247</vt:lpstr>
      <vt:lpstr>Data_NaamPersoonTijd248</vt:lpstr>
      <vt:lpstr>Data_NaamPersoonTijd249</vt:lpstr>
      <vt:lpstr>Data_NaamPersoonTijd250</vt:lpstr>
      <vt:lpstr>Data_NaamPersoonTijd251</vt:lpstr>
      <vt:lpstr>Data_NaamPersoonTijd252</vt:lpstr>
      <vt:lpstr>Data_NaamPersoonTijd253</vt:lpstr>
      <vt:lpstr>Data_NaamPersoonTijd254</vt:lpstr>
      <vt:lpstr>Data_NaamPersoonTijd255</vt:lpstr>
      <vt:lpstr>Data_NaamPersoonTijd256</vt:lpstr>
      <vt:lpstr>Data_NaamPersoonTijd257</vt:lpstr>
      <vt:lpstr>Data_NaamPersoonTijd258</vt:lpstr>
      <vt:lpstr>Data_NaamPersoonTijd259</vt:lpstr>
      <vt:lpstr>Data_NaamPersoonTijd260</vt:lpstr>
      <vt:lpstr>Data_NaamPersoonTijd261</vt:lpstr>
      <vt:lpstr>Data_NaamPersoonTijd262</vt:lpstr>
      <vt:lpstr>Data_NaamPersoonTijd263</vt:lpstr>
      <vt:lpstr>Data_NaamPersoonTijd264</vt:lpstr>
      <vt:lpstr>Data_NaamPersoonTijd265</vt:lpstr>
      <vt:lpstr>Data_NaamPersoonTijd266</vt:lpstr>
      <vt:lpstr>Data_NaamPersoonTijd267</vt:lpstr>
      <vt:lpstr>Data_NaamPersoonTijd268</vt:lpstr>
      <vt:lpstr>Data_NaamPersoonTijd269</vt:lpstr>
      <vt:lpstr>Data_NaamPersoonTijd270</vt:lpstr>
      <vt:lpstr>Data_NaamPersoonTijd271</vt:lpstr>
      <vt:lpstr>Data_NaamPersoonTijd272</vt:lpstr>
      <vt:lpstr>Data_NaamPersoonTijd273</vt:lpstr>
      <vt:lpstr>Data_NaamPersoonTijd274</vt:lpstr>
      <vt:lpstr>Data_NaamPersoonTijd275</vt:lpstr>
      <vt:lpstr>Data_NaamPersoonTijd276</vt:lpstr>
      <vt:lpstr>Data_NaamPersoonTijd277</vt:lpstr>
      <vt:lpstr>Data_NaamPersoonTijd278</vt:lpstr>
      <vt:lpstr>Data_NaamPersoonTijd279</vt:lpstr>
      <vt:lpstr>Data_NaamPersoonTijd280</vt:lpstr>
      <vt:lpstr>Data_NaamPersoonTijd281</vt:lpstr>
      <vt:lpstr>Data_NaamPersoonTijd282</vt:lpstr>
      <vt:lpstr>Data_NaamPersoonTijd283</vt:lpstr>
      <vt:lpstr>Data_NaamPersoonTijd284</vt:lpstr>
      <vt:lpstr>Data_NaamPersoonTijd285</vt:lpstr>
      <vt:lpstr>Data_NaamPersoonTijd286</vt:lpstr>
      <vt:lpstr>Data_NaamPersoonTijd287</vt:lpstr>
      <vt:lpstr>Data_NaamPersoonTijd288</vt:lpstr>
      <vt:lpstr>Data_NaamPersoonTijd289</vt:lpstr>
      <vt:lpstr>Data_NaamPersoonTijd290</vt:lpstr>
      <vt:lpstr>Data_NaamPersoonTijd291</vt:lpstr>
      <vt:lpstr>Data_NaamPersoonTijd292</vt:lpstr>
      <vt:lpstr>Data_NaamPersoonTijd293</vt:lpstr>
      <vt:lpstr>Data_NaamPersoonTijd294</vt:lpstr>
      <vt:lpstr>Data_NaamPersoonTijd295</vt:lpstr>
      <vt:lpstr>Data_NaamPersoonTijd296</vt:lpstr>
      <vt:lpstr>Data_NaamPersoonTijd297</vt:lpstr>
      <vt:lpstr>Data_NaamPersoonTijd298</vt:lpstr>
      <vt:lpstr>Data_NaamPersoonTijd299</vt:lpstr>
      <vt:lpstr>Data_NaamPersoonTijd300</vt:lpstr>
      <vt:lpstr>Data_NaamPersoonTijd301</vt:lpstr>
      <vt:lpstr>Data_NaamPersoonTijd302</vt:lpstr>
      <vt:lpstr>Data_NaamPersoonTijd303</vt:lpstr>
      <vt:lpstr>Data_NaamPersoonTijd304</vt:lpstr>
      <vt:lpstr>Data_NaamPersoonTijd305</vt:lpstr>
      <vt:lpstr>Data_NaamPersoonTijd306</vt:lpstr>
      <vt:lpstr>Data_NaamPersoonTijd307</vt:lpstr>
      <vt:lpstr>Data_NaamPersoonTijd308</vt:lpstr>
      <vt:lpstr>Data_NaamPersoonTijd309</vt:lpstr>
      <vt:lpstr>Data_NaamPersoonTijd310</vt:lpstr>
      <vt:lpstr>Data_NaamPersoonTijd311</vt:lpstr>
      <vt:lpstr>Data_NaamPersoonTijd312</vt:lpstr>
      <vt:lpstr>Data_NaamPersoonTijd313</vt:lpstr>
      <vt:lpstr>Data_NaamPersoonTijd314</vt:lpstr>
      <vt:lpstr>Data_NaamPersoonTijd315</vt:lpstr>
      <vt:lpstr>Data_NaamPersoonTijd316</vt:lpstr>
      <vt:lpstr>Data_NaamPersoonTijd317</vt:lpstr>
      <vt:lpstr>Data_NaamPersoonTijd318</vt:lpstr>
      <vt:lpstr>Data_NaamPersoonTijd319</vt:lpstr>
      <vt:lpstr>Data_NaamPersoonTijd320</vt:lpstr>
      <vt:lpstr>Data_NaamPersoonTijd321</vt:lpstr>
      <vt:lpstr>Data_NaamPersoonTijd322</vt:lpstr>
      <vt:lpstr>Data_NaamPersoonTijd323</vt:lpstr>
      <vt:lpstr>Data_NaamPersoonTijd324</vt:lpstr>
      <vt:lpstr>Data_NaamPersoonTijd325</vt:lpstr>
      <vt:lpstr>Data_NaamPersoonTijd326</vt:lpstr>
      <vt:lpstr>Data_NaamPersoonTijd327</vt:lpstr>
      <vt:lpstr>Data_NaamPersoonTijd328</vt:lpstr>
      <vt:lpstr>Data_NaamPersoonTijd329</vt:lpstr>
      <vt:lpstr>Data_NaamPersoonTijd330</vt:lpstr>
      <vt:lpstr>Data_NaamPersoonTijd331</vt:lpstr>
      <vt:lpstr>Data_NaamPersoonTijd332</vt:lpstr>
      <vt:lpstr>Data_NaamPersoonTijd333</vt:lpstr>
      <vt:lpstr>Data_NaamPersoonTijd334</vt:lpstr>
      <vt:lpstr>Data_NaamPersoonTijd335</vt:lpstr>
      <vt:lpstr>Data_NaamPersoonTijd336</vt:lpstr>
      <vt:lpstr>Data_NaamPersoonTijd337</vt:lpstr>
      <vt:lpstr>Data_NaamPersoonTijd338</vt:lpstr>
      <vt:lpstr>Data_NaamPersoonTijd339</vt:lpstr>
      <vt:lpstr>Data_NaamPersoonTijd340</vt:lpstr>
      <vt:lpstr>Data_NaamPersoonTijd341</vt:lpstr>
      <vt:lpstr>Data_NaamPersoonTijd342</vt:lpstr>
      <vt:lpstr>Data_NaamPersoonTijd343</vt:lpstr>
      <vt:lpstr>Data_NaamPersoonTijd344</vt:lpstr>
      <vt:lpstr>Data_NaamPersoonTijd345</vt:lpstr>
      <vt:lpstr>Data_NaamPersoonTijd346</vt:lpstr>
      <vt:lpstr>Data_NaamPersoonTijd347</vt:lpstr>
      <vt:lpstr>Data_NaamPersoonTijd348</vt:lpstr>
      <vt:lpstr>Data_NaamPersoonTijd349</vt:lpstr>
      <vt:lpstr>Data_NaamPersoonTijd350</vt:lpstr>
      <vt:lpstr>Data_NaamPersoonTijd351</vt:lpstr>
      <vt:lpstr>Data_NaamPersoonTijd352</vt:lpstr>
      <vt:lpstr>Data_NaamPersoonTijd353</vt:lpstr>
      <vt:lpstr>Data_NaamPersoonTijd354</vt:lpstr>
      <vt:lpstr>Data_NaamPersoonTijd355</vt:lpstr>
      <vt:lpstr>Data_NaamPersoonTijd356</vt:lpstr>
      <vt:lpstr>Data_NaamPersoonTijd357</vt:lpstr>
      <vt:lpstr>Data_NaamPersoonTijd358</vt:lpstr>
      <vt:lpstr>Data_NaamPersoonTijd359</vt:lpstr>
      <vt:lpstr>Data_NaamPersoonTijd360</vt:lpstr>
      <vt:lpstr>Data_NaamPersoonTijd361</vt:lpstr>
      <vt:lpstr>Data_NaamPersoonTijd362</vt:lpstr>
      <vt:lpstr>Data_NaamPersoonTijd363</vt:lpstr>
      <vt:lpstr>Data_NaamPersoonTijd364</vt:lpstr>
      <vt:lpstr>Data_NaamPersoonTijd365</vt:lpstr>
      <vt:lpstr>Data_NaamPersoonTijd366</vt:lpstr>
      <vt:lpstr>Data_NaamPersoonTijd367</vt:lpstr>
      <vt:lpstr>Data_NaamPersoonTijd368</vt:lpstr>
      <vt:lpstr>Data_NaamPersoonTijd369</vt:lpstr>
      <vt:lpstr>Data_NaamPersoonTijd370</vt:lpstr>
      <vt:lpstr>Data_NaamPersoonTijd371</vt:lpstr>
      <vt:lpstr>Data_NaamPersoonTijd372</vt:lpstr>
      <vt:lpstr>Data_NaamPersoonTijd373</vt:lpstr>
      <vt:lpstr>Data_NaamPersoonTijd374</vt:lpstr>
      <vt:lpstr>Data_NaamPersoonTijd375</vt:lpstr>
      <vt:lpstr>Data_NaamPersoonTijd376</vt:lpstr>
      <vt:lpstr>Data_NaamPersoonTijd377</vt:lpstr>
      <vt:lpstr>Data_NaamPersoonTijd378</vt:lpstr>
      <vt:lpstr>Data_NaamPersoonTijd379</vt:lpstr>
      <vt:lpstr>Data_NaamPersoonTijd380</vt:lpstr>
      <vt:lpstr>Data_NaamPersoonTijd381</vt:lpstr>
      <vt:lpstr>Data_NaamPersoonTijd382</vt:lpstr>
      <vt:lpstr>Data_NaamPersoonTijd383</vt:lpstr>
      <vt:lpstr>Data_NaamPersoonTijd384</vt:lpstr>
      <vt:lpstr>Data_NaamPersoonTijd385</vt:lpstr>
      <vt:lpstr>Data_NaamPersoonTijd386</vt:lpstr>
      <vt:lpstr>Data_NaamPersoonTijd387</vt:lpstr>
      <vt:lpstr>Data_NaamPersoonTijd388</vt:lpstr>
      <vt:lpstr>Data_NaamPersoonTijd389</vt:lpstr>
      <vt:lpstr>Data_NaamPersoonTijd390</vt:lpstr>
      <vt:lpstr>Data_NaamPersoonTijd391</vt:lpstr>
      <vt:lpstr>Data_NaamPersoonTijd392</vt:lpstr>
      <vt:lpstr>Data_NaamPersoonTijd393</vt:lpstr>
      <vt:lpstr>Data_NaamPersoonTijd394</vt:lpstr>
      <vt:lpstr>Data_NaamPersoonTijd395</vt:lpstr>
      <vt:lpstr>Data_NaamPersoonTijd396</vt:lpstr>
      <vt:lpstr>Data_NaamPersoonTijd397</vt:lpstr>
      <vt:lpstr>Data_NaamPersoonTijd398</vt:lpstr>
      <vt:lpstr>Data_NaamPersoonTijd399</vt:lpstr>
      <vt:lpstr>Data_NaamPersoonTijd400</vt:lpstr>
      <vt:lpstr>Data_NaamPersoonTijd401</vt:lpstr>
      <vt:lpstr>Data_NaamPersoonTijd402</vt:lpstr>
      <vt:lpstr>Data_NaamPersoonTijd403</vt:lpstr>
      <vt:lpstr>Data_NaamPersoonTijd404</vt:lpstr>
      <vt:lpstr>Data_NaamPersoonTijd405</vt:lpstr>
      <vt:lpstr>Data_NaamPersoonTijd406</vt:lpstr>
      <vt:lpstr>Data_NaamPersoonTijd407</vt:lpstr>
      <vt:lpstr>Data_NaamPersoonTijd408</vt:lpstr>
      <vt:lpstr>Data_NaamPersoonTijd409</vt:lpstr>
      <vt:lpstr>Data_NaamPersoonTijd410</vt:lpstr>
      <vt:lpstr>Data_NaamPersoonTijd411</vt:lpstr>
      <vt:lpstr>Data_NaamPersoonTijd412</vt:lpstr>
      <vt:lpstr>Data_NaamPersoonTijd413</vt:lpstr>
      <vt:lpstr>Data_NaamPersoonTijd414</vt:lpstr>
      <vt:lpstr>Data_NaamPersoonTijd415</vt:lpstr>
      <vt:lpstr>Data_NaamPersoonTijd416</vt:lpstr>
      <vt:lpstr>Data_NaamPersoonTijd417</vt:lpstr>
      <vt:lpstr>Data_NaamPersoonTijd418</vt:lpstr>
      <vt:lpstr>Data_NaamPersoonTijd419</vt:lpstr>
      <vt:lpstr>Data_NaamPersoonTijd420</vt:lpstr>
      <vt:lpstr>Data_NaamPersoonTijd421</vt:lpstr>
      <vt:lpstr>Data_NaamPersoonTijd422</vt:lpstr>
      <vt:lpstr>Data_NaamPersoonTijd423</vt:lpstr>
      <vt:lpstr>Data_NaamPersoonTijd424</vt:lpstr>
      <vt:lpstr>Data_NaamPersoonTijd425</vt:lpstr>
      <vt:lpstr>Data_NaamPersoonTijd426</vt:lpstr>
      <vt:lpstr>Data_NaamPersoonTijd427</vt:lpstr>
      <vt:lpstr>Data_NaamPersoonTijd428</vt:lpstr>
      <vt:lpstr>Data_NaamPersoonTijd429</vt:lpstr>
      <vt:lpstr>Data_NaamPersoonTijd430</vt:lpstr>
      <vt:lpstr>Data_NaamPersoonTijd431</vt:lpstr>
      <vt:lpstr>Data_NaamPersoonTijd432</vt:lpstr>
      <vt:lpstr>Data_NaamPersoonTijd433</vt:lpstr>
      <vt:lpstr>Data_NaamPersoonTijd434</vt:lpstr>
      <vt:lpstr>Data_NaamPersoonTijd435</vt:lpstr>
      <vt:lpstr>Data_NaamPersoonTijd436</vt:lpstr>
      <vt:lpstr>Data_NaamPersoonTijd437</vt:lpstr>
      <vt:lpstr>Data_NaamPersoonTijd438</vt:lpstr>
      <vt:lpstr>Data_NaamPersoonTijd439</vt:lpstr>
      <vt:lpstr>Data_NaamPersoonTijd440</vt:lpstr>
      <vt:lpstr>Data_NaamPersoonTijd441</vt:lpstr>
      <vt:lpstr>Data_NaamPersoonTijd442</vt:lpstr>
      <vt:lpstr>Data_NaamPersoonTijd443</vt:lpstr>
      <vt:lpstr>Data_NaamPersoonTijd444</vt:lpstr>
      <vt:lpstr>Data_NaamPersoonTijd445</vt:lpstr>
      <vt:lpstr>Data_NaamPersoonTijd446</vt:lpstr>
      <vt:lpstr>Data_NaamPersoonTijd447</vt:lpstr>
      <vt:lpstr>Data_NaamPersoonTijd448</vt:lpstr>
      <vt:lpstr>Data_NaamPersoonTijd449</vt:lpstr>
      <vt:lpstr>Data_NaamPersoonTijd450</vt:lpstr>
      <vt:lpstr>Data_NaamPersoonTijd451</vt:lpstr>
      <vt:lpstr>Data_NaamPersoonTijd452</vt:lpstr>
      <vt:lpstr>Data_NaamPersoonTijd453</vt:lpstr>
      <vt:lpstr>Data_NaamPersoonTijd454</vt:lpstr>
      <vt:lpstr>Data_NaamPersoonTijd455</vt:lpstr>
      <vt:lpstr>Data_NaamPersoonTijd456</vt:lpstr>
      <vt:lpstr>Data_NaamPersoonTijd457</vt:lpstr>
      <vt:lpstr>Data_NaamPersoonTijd458</vt:lpstr>
      <vt:lpstr>Data_NaamPersoonTijd459</vt:lpstr>
      <vt:lpstr>Data_NaamPersoonTijd460</vt:lpstr>
      <vt:lpstr>Data_NaamPersoonTijd461</vt:lpstr>
      <vt:lpstr>Data_NaamPersoonTijd462</vt:lpstr>
      <vt:lpstr>Data_NaamPersoonTijd463</vt:lpstr>
      <vt:lpstr>Data_NaamPersoonTijd464</vt:lpstr>
      <vt:lpstr>Data_NaamPersoonTijd465</vt:lpstr>
      <vt:lpstr>Data_NaamPersoonTijd466</vt:lpstr>
      <vt:lpstr>Data_NaamPersoonTijd467</vt:lpstr>
      <vt:lpstr>Data_NaamPersoonTijd468</vt:lpstr>
      <vt:lpstr>Data_NaamPersoonTijd469</vt:lpstr>
      <vt:lpstr>Data_NaamPersoonTijd470</vt:lpstr>
      <vt:lpstr>Data_NaamPersoonTijd471</vt:lpstr>
      <vt:lpstr>Data_NaamPersoonTijd472</vt:lpstr>
      <vt:lpstr>Data_NaamPersoonTijd473</vt:lpstr>
      <vt:lpstr>Data_NaamPersoonTijd474</vt:lpstr>
      <vt:lpstr>Data_NaamPersoonTijd475</vt:lpstr>
      <vt:lpstr>Data_NaamPersoonTijd476</vt:lpstr>
      <vt:lpstr>Data_NaamPersoonTijd477</vt:lpstr>
      <vt:lpstr>Data_NaamPersoonTijd478</vt:lpstr>
      <vt:lpstr>Data_NaamPersoonTijd479</vt:lpstr>
      <vt:lpstr>Data_NaamPersoonTijd480</vt:lpstr>
      <vt:lpstr>Data_NaamPersoonTijd481</vt:lpstr>
      <vt:lpstr>Data_NaamPersoonTijd482</vt:lpstr>
      <vt:lpstr>Data_NaamPersoonTijd483</vt:lpstr>
      <vt:lpstr>Data_NaamPersoonTijd484</vt:lpstr>
      <vt:lpstr>Data_NaamPersoonTijd485</vt:lpstr>
      <vt:lpstr>Data_NaamPersoonTijd486</vt:lpstr>
      <vt:lpstr>Data_NaamPersoonTijd487</vt:lpstr>
      <vt:lpstr>Data_NaamPersoonTijd488</vt:lpstr>
      <vt:lpstr>Data_NaamPersoonTijd489</vt:lpstr>
      <vt:lpstr>Data_NaamPersoonTijd490</vt:lpstr>
      <vt:lpstr>Data_NaamPersoonTijd491</vt:lpstr>
      <vt:lpstr>Data_NaamPersoonTijd492</vt:lpstr>
      <vt:lpstr>Data_NaamPersoonTijd493</vt:lpstr>
      <vt:lpstr>Data_NaamPersoonTijd494</vt:lpstr>
      <vt:lpstr>Data_NaamPersoonTijd495</vt:lpstr>
      <vt:lpstr>Data_NaamPersoonTijd496</vt:lpstr>
      <vt:lpstr>Data_NaamPersoonTijd497</vt:lpstr>
      <vt:lpstr>Data_NaamPersoonTijd498</vt:lpstr>
      <vt:lpstr>Data_NaamPersoonTijd499</vt:lpstr>
      <vt:lpstr>Data_NaamPersoonTijd500</vt:lpstr>
      <vt:lpstr>Data_NaamPersoonVastOntslag001</vt:lpstr>
      <vt:lpstr>Data_NaamPersoonVastOntslag002</vt:lpstr>
      <vt:lpstr>Data_NaamPersoonVastOntslag003</vt:lpstr>
      <vt:lpstr>Data_NaamPersoonVastOntslag004</vt:lpstr>
      <vt:lpstr>Data_NaamPersoonVastOntslag005</vt:lpstr>
      <vt:lpstr>Data_NaamPersoonVastOntslag006</vt:lpstr>
      <vt:lpstr>Data_NaamPersoonVastOntslag007</vt:lpstr>
      <vt:lpstr>Data_NaamPersoonVastOntslag008</vt:lpstr>
      <vt:lpstr>Data_NaamPersoonVastOntslag009</vt:lpstr>
      <vt:lpstr>Data_NaamPersoonVastOntslag010</vt:lpstr>
      <vt:lpstr>Data_NaamPersoonVastOntslag011</vt:lpstr>
      <vt:lpstr>Data_NaamPersoonVastOntslag012</vt:lpstr>
      <vt:lpstr>Data_NaamPersoonVastOntslag013</vt:lpstr>
      <vt:lpstr>Data_NaamPersoonVastOntslag014</vt:lpstr>
      <vt:lpstr>Data_NaamPersoonVastOntslag015</vt:lpstr>
      <vt:lpstr>Data_NaamPersoonVastOntslag016</vt:lpstr>
      <vt:lpstr>Data_NaamPersoonVastOntslag017</vt:lpstr>
      <vt:lpstr>Data_NaamPersoonVastOntslag018</vt:lpstr>
      <vt:lpstr>Data_NaamPersoonVastOntslag019</vt:lpstr>
      <vt:lpstr>Data_NaamPersoonVastOntslag020</vt:lpstr>
      <vt:lpstr>Data_NaamPersoonVastOntslag021</vt:lpstr>
      <vt:lpstr>Data_NaamPersoonVastOntslag022</vt:lpstr>
      <vt:lpstr>Data_NaamPersoonVastOntslag023</vt:lpstr>
      <vt:lpstr>Data_NaamPersoonVastOntslag024</vt:lpstr>
      <vt:lpstr>Data_NaamPersoonVastOntslag025</vt:lpstr>
      <vt:lpstr>Data_NaamPersoonVastOntslag026</vt:lpstr>
      <vt:lpstr>Data_NaamPersoonVastOntslag027</vt:lpstr>
      <vt:lpstr>Data_NaamPersoonVastOntslag028</vt:lpstr>
      <vt:lpstr>Data_NaamPersoonVastOntslag029</vt:lpstr>
      <vt:lpstr>Data_NaamPersoonVastOntslag030</vt:lpstr>
      <vt:lpstr>Data_NaamPersoonVastOntslag031</vt:lpstr>
      <vt:lpstr>Data_NaamPersoonVastOntslag032</vt:lpstr>
      <vt:lpstr>Data_NaamPersoonVastOntslag033</vt:lpstr>
      <vt:lpstr>Data_NaamPersoonVastOntslag034</vt:lpstr>
      <vt:lpstr>Data_NaamPersoonVastOntslag035</vt:lpstr>
      <vt:lpstr>Data_NaamPersoonVastOntslag036</vt:lpstr>
      <vt:lpstr>Data_NaamPersoonVastOntslag037</vt:lpstr>
      <vt:lpstr>Data_NaamPersoonVastOntslag038</vt:lpstr>
      <vt:lpstr>Data_NaamPersoonVastOntslag039</vt:lpstr>
      <vt:lpstr>Data_NaamPersoonVastOntslag040</vt:lpstr>
      <vt:lpstr>Data_NaamPersoonVastOntslag041</vt:lpstr>
      <vt:lpstr>Data_NaamPersoonVastOntslag042</vt:lpstr>
      <vt:lpstr>Data_NaamPersoonVastOntslag043</vt:lpstr>
      <vt:lpstr>Data_NaamPersoonVastOntslag044</vt:lpstr>
      <vt:lpstr>Data_NaamPersoonVastOntslag045</vt:lpstr>
      <vt:lpstr>Data_NaamPersoonVastOntslag046</vt:lpstr>
      <vt:lpstr>Data_NaamPersoonVastOntslag047</vt:lpstr>
      <vt:lpstr>Data_NaamPersoonVastOntslag048</vt:lpstr>
      <vt:lpstr>Data_NaamPersoonVastOntslag049</vt:lpstr>
      <vt:lpstr>Data_NaamPersoonVastOntslag050</vt:lpstr>
      <vt:lpstr>Data_NaamPersoonVastOntslag051</vt:lpstr>
      <vt:lpstr>Data_NaamPersoonVastOntslag052</vt:lpstr>
      <vt:lpstr>Data_NaamPersoonVastOntslag053</vt:lpstr>
      <vt:lpstr>Data_NaamPersoonVastOntslag054</vt:lpstr>
      <vt:lpstr>Data_NaamPersoonVastOntslag055</vt:lpstr>
      <vt:lpstr>Data_NaamPersoonVastOntslag056</vt:lpstr>
      <vt:lpstr>Data_NaamPersoonVastOntslag057</vt:lpstr>
      <vt:lpstr>Data_NaamPersoonVastOntslag058</vt:lpstr>
      <vt:lpstr>Data_NaamPersoonVastOntslag059</vt:lpstr>
      <vt:lpstr>Data_NaamPersoonVastOntslag060</vt:lpstr>
      <vt:lpstr>Data_NaamPersoonVastOntslag061</vt:lpstr>
      <vt:lpstr>Data_NaamPersoonVastOntslag062</vt:lpstr>
      <vt:lpstr>Data_NaamPersoonVastOntslag063</vt:lpstr>
      <vt:lpstr>Data_NaamPersoonVastOntslag064</vt:lpstr>
      <vt:lpstr>Data_NaamPersoonVastOntslag065</vt:lpstr>
      <vt:lpstr>Data_NaamPersoonVastOntslag066</vt:lpstr>
      <vt:lpstr>Data_NaamPersoonVastOntslag067</vt:lpstr>
      <vt:lpstr>Data_NaamPersoonVastOntslag068</vt:lpstr>
      <vt:lpstr>Data_NaamPersoonVastOntslag069</vt:lpstr>
      <vt:lpstr>Data_NaamPersoonVastOntslag070</vt:lpstr>
      <vt:lpstr>Data_NaamPersoonVastOntslag071</vt:lpstr>
      <vt:lpstr>Data_NaamPersoonVastOntslag072</vt:lpstr>
      <vt:lpstr>Data_NaamPersoonVastOntslag073</vt:lpstr>
      <vt:lpstr>Data_NaamPersoonVastOntslag074</vt:lpstr>
      <vt:lpstr>Data_NaamPersoonVastOntslag075</vt:lpstr>
      <vt:lpstr>Data_NaamPersoonVastOntslag076</vt:lpstr>
      <vt:lpstr>Data_NaamPersoonVastOntslag077</vt:lpstr>
      <vt:lpstr>Data_NaamPersoonVastOntslag078</vt:lpstr>
      <vt:lpstr>Data_NaamPersoonVastOntslag079</vt:lpstr>
      <vt:lpstr>Data_NaamPersoonVastOntslag080</vt:lpstr>
      <vt:lpstr>Data_NaamPersoonVastOntslag081</vt:lpstr>
      <vt:lpstr>Data_NaamPersoonVastOntslag082</vt:lpstr>
      <vt:lpstr>Data_NaamPersoonVastOntslag083</vt:lpstr>
      <vt:lpstr>Data_NaamPersoonVastOntslag084</vt:lpstr>
      <vt:lpstr>Data_NaamPersoonVastOntslag085</vt:lpstr>
      <vt:lpstr>Data_NaamPersoonVastOntslag086</vt:lpstr>
      <vt:lpstr>Data_NaamPersoonVastOntslag087</vt:lpstr>
      <vt:lpstr>Data_NaamPersoonVastOntslag088</vt:lpstr>
      <vt:lpstr>Data_NaamPersoonVastOntslag089</vt:lpstr>
      <vt:lpstr>Data_NaamPersoonVastOntslag090</vt:lpstr>
      <vt:lpstr>Data_NaamPersoonVastOntslag091</vt:lpstr>
      <vt:lpstr>Data_NaamPersoonVastOntslag092</vt:lpstr>
      <vt:lpstr>Data_NaamPersoonVastOntslag093</vt:lpstr>
      <vt:lpstr>Data_NaamPersoonVastOntslag094</vt:lpstr>
      <vt:lpstr>Data_NaamPersoonVastOntslag095</vt:lpstr>
      <vt:lpstr>Data_NaamPersoonVastOntslag096</vt:lpstr>
      <vt:lpstr>Data_NaamPersoonVastOntslag097</vt:lpstr>
      <vt:lpstr>Data_NaamPersoonVastOntslag098</vt:lpstr>
      <vt:lpstr>Data_NaamPersoonVastOntslag099</vt:lpstr>
      <vt:lpstr>Data_NaamPersoonVastOntslag100</vt:lpstr>
      <vt:lpstr>Data_NaamPersoonVastOntslag101</vt:lpstr>
      <vt:lpstr>Data_NaamPersoonVastOntslag102</vt:lpstr>
      <vt:lpstr>Data_NaamPersoonVastOntslag103</vt:lpstr>
      <vt:lpstr>Data_NaamPersoonVastOntslag104</vt:lpstr>
      <vt:lpstr>Data_NaamPersoonVastOntslag105</vt:lpstr>
      <vt:lpstr>Data_NaamPersoonVastOntslag106</vt:lpstr>
      <vt:lpstr>Data_NaamPersoonVastOntslag107</vt:lpstr>
      <vt:lpstr>Data_NaamPersoonVastOntslag108</vt:lpstr>
      <vt:lpstr>Data_NaamPersoonVastOntslag109</vt:lpstr>
      <vt:lpstr>Data_NaamPersoonVastOntslag110</vt:lpstr>
      <vt:lpstr>Data_NaamPersoonVastOntslag111</vt:lpstr>
      <vt:lpstr>Data_NaamPersoonVastOntslag112</vt:lpstr>
      <vt:lpstr>Data_NaamPersoonVastOntslag113</vt:lpstr>
      <vt:lpstr>Data_NaamPersoonVastOntslag114</vt:lpstr>
      <vt:lpstr>Data_NaamPersoonVastOntslag115</vt:lpstr>
      <vt:lpstr>Data_NaamPersoonVastOntslag116</vt:lpstr>
      <vt:lpstr>Data_NaamPersoonVastOntslag117</vt:lpstr>
      <vt:lpstr>Data_NaamPersoonVastOntslag118</vt:lpstr>
      <vt:lpstr>Data_NaamPersoonVastOntslag119</vt:lpstr>
      <vt:lpstr>Data_NaamPersoonVastOntslag120</vt:lpstr>
      <vt:lpstr>Data_NaamPersoonVastOntslag121</vt:lpstr>
      <vt:lpstr>Data_NaamPersoonVastOntslag122</vt:lpstr>
      <vt:lpstr>Data_NaamPersoonVastOntslag123</vt:lpstr>
      <vt:lpstr>Data_NaamPersoonVastOntslag124</vt:lpstr>
      <vt:lpstr>Data_NaamPersoonVastOntslag125</vt:lpstr>
      <vt:lpstr>Data_NaamPersoonVastOntslag126</vt:lpstr>
      <vt:lpstr>Data_NaamPersoonVastOntslag127</vt:lpstr>
      <vt:lpstr>Data_NaamPersoonVastOntslag128</vt:lpstr>
      <vt:lpstr>Data_NaamPersoonVastOntslag129</vt:lpstr>
      <vt:lpstr>Data_NaamPersoonVastOntslag130</vt:lpstr>
      <vt:lpstr>Data_NaamPersoonVastOntslag131</vt:lpstr>
      <vt:lpstr>Data_NaamPersoonVastOntslag132</vt:lpstr>
      <vt:lpstr>Data_NaamPersoonVastOntslag133</vt:lpstr>
      <vt:lpstr>Data_NaamPersoonVastOntslag134</vt:lpstr>
      <vt:lpstr>Data_NaamPersoonVastOntslag135</vt:lpstr>
      <vt:lpstr>Data_NaamPersoonVastOntslag136</vt:lpstr>
      <vt:lpstr>Data_NaamPersoonVastOntslag137</vt:lpstr>
      <vt:lpstr>Data_NaamPersoonVastOntslag138</vt:lpstr>
      <vt:lpstr>Data_NaamPersoonVastOntslag139</vt:lpstr>
      <vt:lpstr>Data_NaamPersoonVastOntslag140</vt:lpstr>
      <vt:lpstr>Data_NaamPersoonVastOntslag141</vt:lpstr>
      <vt:lpstr>Data_NaamPersoonVastOntslag142</vt:lpstr>
      <vt:lpstr>Data_NaamPersoonVastOntslag143</vt:lpstr>
      <vt:lpstr>Data_NaamPersoonVastOntslag144</vt:lpstr>
      <vt:lpstr>Data_NaamPersoonVastOntslag145</vt:lpstr>
      <vt:lpstr>Data_NaamPersoonVastOntslag146</vt:lpstr>
      <vt:lpstr>Data_NaamPersoonVastOntslag147</vt:lpstr>
      <vt:lpstr>Data_NaamPersoonVastOntslag148</vt:lpstr>
      <vt:lpstr>Data_NaamPersoonVastOntslag149</vt:lpstr>
      <vt:lpstr>Data_NaamPersoonVastOntslag150</vt:lpstr>
      <vt:lpstr>Data_NaamPersoonVastOntslag151</vt:lpstr>
      <vt:lpstr>Data_NaamPersoonVastOntslag152</vt:lpstr>
      <vt:lpstr>Data_NaamPersoonVastOntslag153</vt:lpstr>
      <vt:lpstr>Data_NaamPersoonVastOntslag154</vt:lpstr>
      <vt:lpstr>Data_NaamPersoonVastOntslag155</vt:lpstr>
      <vt:lpstr>Data_NaamPersoonVastOntslag156</vt:lpstr>
      <vt:lpstr>Data_NaamPersoonVastOntslag157</vt:lpstr>
      <vt:lpstr>Data_NaamPersoonVastOntslag158</vt:lpstr>
      <vt:lpstr>Data_NaamPersoonVastOntslag159</vt:lpstr>
      <vt:lpstr>Data_NaamPersoonVastOntslag160</vt:lpstr>
      <vt:lpstr>Data_NaamPersoonVastOntslag161</vt:lpstr>
      <vt:lpstr>Data_NaamPersoonVastOntslag162</vt:lpstr>
      <vt:lpstr>Data_NaamPersoonVastOntslag163</vt:lpstr>
      <vt:lpstr>Data_NaamPersoonVastOntslag164</vt:lpstr>
      <vt:lpstr>Data_NaamPersoonVastOntslag165</vt:lpstr>
      <vt:lpstr>Data_NaamPersoonVastOntslag166</vt:lpstr>
      <vt:lpstr>Data_NaamPersoonVastOntslag167</vt:lpstr>
      <vt:lpstr>Data_NaamPersoonVastOntslag168</vt:lpstr>
      <vt:lpstr>Data_NaamPersoonVastOntslag169</vt:lpstr>
      <vt:lpstr>Data_NaamPersoonVastOntslag170</vt:lpstr>
      <vt:lpstr>Data_NaamPersoonVastOntslag171</vt:lpstr>
      <vt:lpstr>Data_NaamPersoonVastOntslag172</vt:lpstr>
      <vt:lpstr>Data_NaamPersoonVastOntslag173</vt:lpstr>
      <vt:lpstr>Data_NaamPersoonVastOntslag174</vt:lpstr>
      <vt:lpstr>Data_NaamPersoonVastOntslag175</vt:lpstr>
      <vt:lpstr>Data_NaamPersoonVastOntslag176</vt:lpstr>
      <vt:lpstr>Data_NaamPersoonVastOntslag177</vt:lpstr>
      <vt:lpstr>Data_NaamPersoonVastOntslag178</vt:lpstr>
      <vt:lpstr>Data_NaamPersoonVastOntslag179</vt:lpstr>
      <vt:lpstr>Data_NaamPersoonVastOntslag180</vt:lpstr>
      <vt:lpstr>Data_NaamPersoonVastOntslag181</vt:lpstr>
      <vt:lpstr>Data_NaamPersoonVastOntslag182</vt:lpstr>
      <vt:lpstr>Data_NaamPersoonVastOntslag183</vt:lpstr>
      <vt:lpstr>Data_NaamPersoonVastOntslag184</vt:lpstr>
      <vt:lpstr>Data_NaamPersoonVastOntslag185</vt:lpstr>
      <vt:lpstr>Data_NaamPersoonVastOntslag186</vt:lpstr>
      <vt:lpstr>Data_NaamPersoonVastOntslag187</vt:lpstr>
      <vt:lpstr>Data_NaamPersoonVastOntslag188</vt:lpstr>
      <vt:lpstr>Data_NaamPersoonVastOntslag189</vt:lpstr>
      <vt:lpstr>Data_NaamPersoonVastOntslag190</vt:lpstr>
      <vt:lpstr>Data_NaamPersoonVastOntslag191</vt:lpstr>
      <vt:lpstr>Data_NaamPersoonVastOntslag192</vt:lpstr>
      <vt:lpstr>Data_NaamPersoonVastOntslag193</vt:lpstr>
      <vt:lpstr>Data_NaamPersoonVastOntslag194</vt:lpstr>
      <vt:lpstr>Data_NaamPersoonVastOntslag195</vt:lpstr>
      <vt:lpstr>Data_NaamPersoonVastOntslag196</vt:lpstr>
      <vt:lpstr>Data_NaamPersoonVastOntslag197</vt:lpstr>
      <vt:lpstr>Data_NaamPersoonVastOntslag198</vt:lpstr>
      <vt:lpstr>Data_NaamPersoonVastOntslag199</vt:lpstr>
      <vt:lpstr>Data_NaamPersoonVastOntslag200</vt:lpstr>
      <vt:lpstr>Data_NaamPersoonVastOntslag201</vt:lpstr>
      <vt:lpstr>Data_NaamPersoonVastOntslag202</vt:lpstr>
      <vt:lpstr>Data_NaamPersoonVastOntslag203</vt:lpstr>
      <vt:lpstr>Data_NaamPersoonVastOntslag204</vt:lpstr>
      <vt:lpstr>Data_NaamPersoonVastOntslag205</vt:lpstr>
      <vt:lpstr>Data_NaamPersoonVastOntslag206</vt:lpstr>
      <vt:lpstr>Data_NaamPersoonVastOntslag207</vt:lpstr>
      <vt:lpstr>Data_NaamPersoonVastOntslag208</vt:lpstr>
      <vt:lpstr>Data_NaamPersoonVastOntslag209</vt:lpstr>
      <vt:lpstr>Data_NaamPersoonVastOntslag210</vt:lpstr>
      <vt:lpstr>Data_NaamPersoonVastOntslag211</vt:lpstr>
      <vt:lpstr>Data_NaamPersoonVastOntslag212</vt:lpstr>
      <vt:lpstr>Data_NaamPersoonVastOntslag213</vt:lpstr>
      <vt:lpstr>Data_NaamPersoonVastOntslag214</vt:lpstr>
      <vt:lpstr>Data_NaamPersoonVastOntslag215</vt:lpstr>
      <vt:lpstr>Data_NaamPersoonVastOntslag216</vt:lpstr>
      <vt:lpstr>Data_NaamPersoonVastOntslag217</vt:lpstr>
      <vt:lpstr>Data_NaamPersoonVastOntslag218</vt:lpstr>
      <vt:lpstr>Data_NaamPersoonVastOntslag219</vt:lpstr>
      <vt:lpstr>Data_NaamPersoonVastOntslag220</vt:lpstr>
      <vt:lpstr>Data_NaamPersoonVastOntslag221</vt:lpstr>
      <vt:lpstr>Data_NaamPersoonVastOntslag222</vt:lpstr>
      <vt:lpstr>Data_NaamPersoonVastOntslag223</vt:lpstr>
      <vt:lpstr>Data_NaamPersoonVastOntslag224</vt:lpstr>
      <vt:lpstr>Data_NaamPersoonVastOntslag225</vt:lpstr>
      <vt:lpstr>Data_NaamPersoonVastOntslag226</vt:lpstr>
      <vt:lpstr>Data_NaamPersoonVastOntslag227</vt:lpstr>
      <vt:lpstr>Data_NaamPersoonVastOntslag228</vt:lpstr>
      <vt:lpstr>Data_NaamPersoonVastOntslag229</vt:lpstr>
      <vt:lpstr>Data_NaamPersoonVastOntslag230</vt:lpstr>
      <vt:lpstr>Data_NaamPersoonVastOntslag231</vt:lpstr>
      <vt:lpstr>Data_NaamPersoonVastOntslag232</vt:lpstr>
      <vt:lpstr>Data_NaamPersoonVastOntslag233</vt:lpstr>
      <vt:lpstr>Data_NaamPersoonVastOntslag234</vt:lpstr>
      <vt:lpstr>Data_NaamPersoonVastOntslag235</vt:lpstr>
      <vt:lpstr>Data_NaamPersoonVastOntslag236</vt:lpstr>
      <vt:lpstr>Data_NaamPersoonVastOntslag237</vt:lpstr>
      <vt:lpstr>Data_NaamPersoonVastOntslag238</vt:lpstr>
      <vt:lpstr>Data_NaamPersoonVastOntslag239</vt:lpstr>
      <vt:lpstr>Data_NaamPersoonVastOntslag240</vt:lpstr>
      <vt:lpstr>Data_NaamPersoonVastOntslag241</vt:lpstr>
      <vt:lpstr>Data_NaamPersoonVastOntslag242</vt:lpstr>
      <vt:lpstr>Data_NaamPersoonVastOntslag243</vt:lpstr>
      <vt:lpstr>Data_NaamPersoonVastOntslag244</vt:lpstr>
      <vt:lpstr>Data_NaamPersoonVastOntslag245</vt:lpstr>
      <vt:lpstr>Data_NaamPersoonVastOntslag246</vt:lpstr>
      <vt:lpstr>Data_NaamPersoonVastOntslag247</vt:lpstr>
      <vt:lpstr>Data_NaamPersoonVastOntslag248</vt:lpstr>
      <vt:lpstr>Data_NaamPersoonVastOntslag249</vt:lpstr>
      <vt:lpstr>Data_NaamPersoonVastOntslag250</vt:lpstr>
      <vt:lpstr>Data_NaamPersoonVastOntslag251</vt:lpstr>
      <vt:lpstr>Data_NaamPersoonVastOntslag252</vt:lpstr>
      <vt:lpstr>Data_NaamPersoonVastOntslag253</vt:lpstr>
      <vt:lpstr>Data_NaamPersoonVastOntslag254</vt:lpstr>
      <vt:lpstr>Data_NaamPersoonVastOntslag255</vt:lpstr>
      <vt:lpstr>Data_NaamPersoonVastOntslag256</vt:lpstr>
      <vt:lpstr>Data_NaamPersoonVastOntslag257</vt:lpstr>
      <vt:lpstr>Data_NaamPersoonVastOntslag258</vt:lpstr>
      <vt:lpstr>Data_NaamPersoonVastOntslag259</vt:lpstr>
      <vt:lpstr>Data_NaamPersoonVastOntslag260</vt:lpstr>
      <vt:lpstr>Data_NaamPersoonVastOntslag261</vt:lpstr>
      <vt:lpstr>Data_NaamPersoonVastOntslag262</vt:lpstr>
      <vt:lpstr>Data_NaamPersoonVastOntslag263</vt:lpstr>
      <vt:lpstr>Data_NaamPersoonVastOntslag264</vt:lpstr>
      <vt:lpstr>Data_NaamPersoonVastOntslag265</vt:lpstr>
      <vt:lpstr>Data_NaamPersoonVastOntslag266</vt:lpstr>
      <vt:lpstr>Data_NaamPersoonVastOntslag267</vt:lpstr>
      <vt:lpstr>Data_NaamPersoonVastOntslag268</vt:lpstr>
      <vt:lpstr>Data_NaamPersoonVastOntslag269</vt:lpstr>
      <vt:lpstr>Data_NaamPersoonVastOntslag270</vt:lpstr>
      <vt:lpstr>Data_NaamPersoonVastOntslag271</vt:lpstr>
      <vt:lpstr>Data_NaamPersoonVastOntslag272</vt:lpstr>
      <vt:lpstr>Data_NaamPersoonVastOntslag273</vt:lpstr>
      <vt:lpstr>Data_NaamPersoonVastOntslag274</vt:lpstr>
      <vt:lpstr>Data_NaamPersoonVastOntslag275</vt:lpstr>
      <vt:lpstr>Data_NaamPersoonVastOntslag276</vt:lpstr>
      <vt:lpstr>Data_NaamPersoonVastOntslag277</vt:lpstr>
      <vt:lpstr>Data_NaamPersoonVastOntslag278</vt:lpstr>
      <vt:lpstr>Data_NaamPersoonVastOntslag279</vt:lpstr>
      <vt:lpstr>Data_NaamPersoonVastOntslag280</vt:lpstr>
      <vt:lpstr>Data_NaamPersoonVastOntslag281</vt:lpstr>
      <vt:lpstr>Data_NaamPersoonVastOntslag282</vt:lpstr>
      <vt:lpstr>Data_NaamPersoonVastOntslag283</vt:lpstr>
      <vt:lpstr>Data_NaamPersoonVastOntslag284</vt:lpstr>
      <vt:lpstr>Data_NaamPersoonVastOntslag285</vt:lpstr>
      <vt:lpstr>Data_NaamPersoonVastOntslag286</vt:lpstr>
      <vt:lpstr>Data_NaamPersoonVastOntslag287</vt:lpstr>
      <vt:lpstr>Data_NaamPersoonVastOntslag288</vt:lpstr>
      <vt:lpstr>Data_NaamPersoonVastOntslag289</vt:lpstr>
      <vt:lpstr>Data_NaamPersoonVastOntslag290</vt:lpstr>
      <vt:lpstr>Data_NaamPersoonVastOntslag291</vt:lpstr>
      <vt:lpstr>Data_NaamPersoonVastOntslag292</vt:lpstr>
      <vt:lpstr>Data_NaamPersoonVastOntslag293</vt:lpstr>
      <vt:lpstr>Data_NaamPersoonVastOntslag294</vt:lpstr>
      <vt:lpstr>Data_NaamPersoonVastOntslag295</vt:lpstr>
      <vt:lpstr>Data_NaamPersoonVastOntslag296</vt:lpstr>
      <vt:lpstr>Data_NaamPersoonVastOntslag297</vt:lpstr>
      <vt:lpstr>Data_NaamPersoonVastOntslag298</vt:lpstr>
      <vt:lpstr>Data_NaamPersoonVastOntslag299</vt:lpstr>
      <vt:lpstr>Data_NaamPersoonVastOntslag300</vt:lpstr>
      <vt:lpstr>Data_NaamPersoonVastOntslag301</vt:lpstr>
      <vt:lpstr>Data_NaamPersoonVastOntslag302</vt:lpstr>
      <vt:lpstr>Data_NaamPersoonVastOntslag303</vt:lpstr>
      <vt:lpstr>Data_NaamPersoonVastOntslag304</vt:lpstr>
      <vt:lpstr>Data_NaamPersoonVastOntslag305</vt:lpstr>
      <vt:lpstr>Data_NaamPersoonVastOntslag306</vt:lpstr>
      <vt:lpstr>Data_NaamPersoonVastOntslag307</vt:lpstr>
      <vt:lpstr>Data_NaamPersoonVastOntslag308</vt:lpstr>
      <vt:lpstr>Data_NaamPersoonVastOntslag309</vt:lpstr>
      <vt:lpstr>Data_NaamPersoonVastOntslag310</vt:lpstr>
      <vt:lpstr>Data_NaamPersoonVastOntslag311</vt:lpstr>
      <vt:lpstr>Data_NaamPersoonVastOntslag312</vt:lpstr>
      <vt:lpstr>Data_NaamPersoonVastOntslag313</vt:lpstr>
      <vt:lpstr>Data_NaamPersoonVastOntslag314</vt:lpstr>
      <vt:lpstr>Data_NaamPersoonVastOntslag315</vt:lpstr>
      <vt:lpstr>Data_NaamPersoonVastOntslag316</vt:lpstr>
      <vt:lpstr>Data_NaamPersoonVastOntslag317</vt:lpstr>
      <vt:lpstr>Data_NaamPersoonVastOntslag318</vt:lpstr>
      <vt:lpstr>Data_NaamPersoonVastOntslag319</vt:lpstr>
      <vt:lpstr>Data_NaamPersoonVastOntslag320</vt:lpstr>
      <vt:lpstr>Data_NaamPersoonVastOntslag321</vt:lpstr>
      <vt:lpstr>Data_NaamPersoonVastOntslag322</vt:lpstr>
      <vt:lpstr>Data_NaamPersoonVastOntslag323</vt:lpstr>
      <vt:lpstr>Data_NaamPersoonVastOntslag324</vt:lpstr>
      <vt:lpstr>Data_NaamPersoonVastOntslag325</vt:lpstr>
      <vt:lpstr>Data_NaamPersoonVastOntslag326</vt:lpstr>
      <vt:lpstr>Data_NaamPersoonVastOntslag327</vt:lpstr>
      <vt:lpstr>Data_NaamPersoonVastOntslag328</vt:lpstr>
      <vt:lpstr>Data_NaamPersoonVastOntslag329</vt:lpstr>
      <vt:lpstr>Data_NaamPersoonVastOntslag330</vt:lpstr>
      <vt:lpstr>Data_NaamPersoonVastOntslag331</vt:lpstr>
      <vt:lpstr>Data_NaamPersoonVastOntslag332</vt:lpstr>
      <vt:lpstr>Data_NaamPersoonVastOntslag333</vt:lpstr>
      <vt:lpstr>Data_NaamPersoonVastOntslag334</vt:lpstr>
      <vt:lpstr>Data_NaamPersoonVastOntslag335</vt:lpstr>
      <vt:lpstr>Data_NaamPersoonVastOntslag336</vt:lpstr>
      <vt:lpstr>Data_NaamPersoonVastOntslag337</vt:lpstr>
      <vt:lpstr>Data_NaamPersoonVastOntslag338</vt:lpstr>
      <vt:lpstr>Data_NaamPersoonVastOntslag339</vt:lpstr>
      <vt:lpstr>Data_NaamPersoonVastOntslag340</vt:lpstr>
      <vt:lpstr>Data_NaamPersoonVastOntslag341</vt:lpstr>
      <vt:lpstr>Data_NaamPersoonVastOntslag342</vt:lpstr>
      <vt:lpstr>Data_NaamPersoonVastOntslag343</vt:lpstr>
      <vt:lpstr>Data_NaamPersoonVastOntslag344</vt:lpstr>
      <vt:lpstr>Data_NaamPersoonVastOntslag345</vt:lpstr>
      <vt:lpstr>Data_NaamPersoonVastOntslag346</vt:lpstr>
      <vt:lpstr>Data_NaamPersoonVastOntslag347</vt:lpstr>
      <vt:lpstr>Data_NaamPersoonVastOntslag348</vt:lpstr>
      <vt:lpstr>Data_NaamPersoonVastOntslag349</vt:lpstr>
      <vt:lpstr>Data_NaamPersoonVastOntslag350</vt:lpstr>
      <vt:lpstr>Data_NaamPersoonVastOntslag351</vt:lpstr>
      <vt:lpstr>Data_NaamPersoonVastOntslag352</vt:lpstr>
      <vt:lpstr>Data_NaamPersoonVastOntslag353</vt:lpstr>
      <vt:lpstr>Data_NaamPersoonVastOntslag354</vt:lpstr>
      <vt:lpstr>Data_NaamPersoonVastOntslag355</vt:lpstr>
      <vt:lpstr>Data_NaamPersoonVastOntslag356</vt:lpstr>
      <vt:lpstr>Data_NaamPersoonVastOntslag357</vt:lpstr>
      <vt:lpstr>Data_NaamPersoonVastOntslag358</vt:lpstr>
      <vt:lpstr>Data_NaamPersoonVastOntslag359</vt:lpstr>
      <vt:lpstr>Data_NaamPersoonVastOntslag360</vt:lpstr>
      <vt:lpstr>Data_NaamPersoonVastOntslag361</vt:lpstr>
      <vt:lpstr>Data_NaamPersoonVastOntslag362</vt:lpstr>
      <vt:lpstr>Data_NaamPersoonVastOntslag363</vt:lpstr>
      <vt:lpstr>Data_NaamPersoonVastOntslag364</vt:lpstr>
      <vt:lpstr>Data_NaamPersoonVastOntslag365</vt:lpstr>
      <vt:lpstr>Data_NaamPersoonVastOntslag366</vt:lpstr>
      <vt:lpstr>Data_NaamPersoonVastOntslag367</vt:lpstr>
      <vt:lpstr>Data_NaamPersoonVastOntslag368</vt:lpstr>
      <vt:lpstr>Data_NaamPersoonVastOntslag369</vt:lpstr>
      <vt:lpstr>Data_NaamPersoonVastOntslag370</vt:lpstr>
      <vt:lpstr>Data_NaamPersoonVastOntslag371</vt:lpstr>
      <vt:lpstr>Data_NaamPersoonVastOntslag372</vt:lpstr>
      <vt:lpstr>Data_NaamPersoonVastOntslag373</vt:lpstr>
      <vt:lpstr>Data_NaamPersoonVastOntslag374</vt:lpstr>
      <vt:lpstr>Data_NaamPersoonVastOntslag375</vt:lpstr>
      <vt:lpstr>Data_NaamPersoonVastOntslag376</vt:lpstr>
      <vt:lpstr>Data_NaamPersoonVastOntslag377</vt:lpstr>
      <vt:lpstr>Data_NaamPersoonVastOntslag378</vt:lpstr>
      <vt:lpstr>Data_NaamPersoonVastOntslag379</vt:lpstr>
      <vt:lpstr>Data_NaamPersoonVastOntslag380</vt:lpstr>
      <vt:lpstr>Data_NaamPersoonVastOntslag381</vt:lpstr>
      <vt:lpstr>Data_NaamPersoonVastOntslag382</vt:lpstr>
      <vt:lpstr>Data_NaamPersoonVastOntslag383</vt:lpstr>
      <vt:lpstr>Data_NaamPersoonVastOntslag384</vt:lpstr>
      <vt:lpstr>Data_NaamPersoonVastOntslag385</vt:lpstr>
      <vt:lpstr>Data_NaamPersoonVastOntslag386</vt:lpstr>
      <vt:lpstr>Data_NaamPersoonVastOntslag387</vt:lpstr>
      <vt:lpstr>Data_NaamPersoonVastOntslag388</vt:lpstr>
      <vt:lpstr>Data_NaamPersoonVastOntslag389</vt:lpstr>
      <vt:lpstr>Data_NaamPersoonVastOntslag390</vt:lpstr>
      <vt:lpstr>Data_NaamPersoonVastOntslag391</vt:lpstr>
      <vt:lpstr>Data_NaamPersoonVastOntslag392</vt:lpstr>
      <vt:lpstr>Data_NaamPersoonVastOntslag393</vt:lpstr>
      <vt:lpstr>Data_NaamPersoonVastOntslag394</vt:lpstr>
      <vt:lpstr>Data_NaamPersoonVastOntslag395</vt:lpstr>
      <vt:lpstr>Data_NaamPersoonVastOntslag396</vt:lpstr>
      <vt:lpstr>Data_NaamPersoonVastOntslag397</vt:lpstr>
      <vt:lpstr>Data_NaamPersoonVastOntslag398</vt:lpstr>
      <vt:lpstr>Data_NaamPersoonVastOntslag399</vt:lpstr>
      <vt:lpstr>Data_NaamPersoonVastOntslag400</vt:lpstr>
      <vt:lpstr>Data_NaamPersoonVastOntslag401</vt:lpstr>
      <vt:lpstr>Data_NaamPersoonVastOntslag402</vt:lpstr>
      <vt:lpstr>Data_NaamPersoonVastOntslag403</vt:lpstr>
      <vt:lpstr>Data_NaamPersoonVastOntslag404</vt:lpstr>
      <vt:lpstr>Data_NaamPersoonVastOntslag405</vt:lpstr>
      <vt:lpstr>Data_NaamPersoonVastOntslag406</vt:lpstr>
      <vt:lpstr>Data_NaamPersoonVastOntslag407</vt:lpstr>
      <vt:lpstr>Data_NaamPersoonVastOntslag408</vt:lpstr>
      <vt:lpstr>Data_NaamPersoonVastOntslag409</vt:lpstr>
      <vt:lpstr>Data_NaamPersoonVastOntslag410</vt:lpstr>
      <vt:lpstr>Data_NaamPersoonVastOntslag411</vt:lpstr>
      <vt:lpstr>Data_NaamPersoonVastOntslag412</vt:lpstr>
      <vt:lpstr>Data_NaamPersoonVastOntslag413</vt:lpstr>
      <vt:lpstr>Data_NaamPersoonVastOntslag414</vt:lpstr>
      <vt:lpstr>Data_NaamPersoonVastOntslag415</vt:lpstr>
      <vt:lpstr>Data_NaamPersoonVastOntslag416</vt:lpstr>
      <vt:lpstr>Data_NaamPersoonVastOntslag417</vt:lpstr>
      <vt:lpstr>Data_NaamPersoonVastOntslag418</vt:lpstr>
      <vt:lpstr>Data_NaamPersoonVastOntslag419</vt:lpstr>
      <vt:lpstr>Data_NaamPersoonVastOntslag420</vt:lpstr>
      <vt:lpstr>Data_NaamPersoonVastOntslag421</vt:lpstr>
      <vt:lpstr>Data_NaamPersoonVastOntslag422</vt:lpstr>
      <vt:lpstr>Data_NaamPersoonVastOntslag423</vt:lpstr>
      <vt:lpstr>Data_NaamPersoonVastOntslag424</vt:lpstr>
      <vt:lpstr>Data_NaamPersoonVastOntslag425</vt:lpstr>
      <vt:lpstr>Data_NaamPersoonVastOntslag426</vt:lpstr>
      <vt:lpstr>Data_NaamPersoonVastOntslag427</vt:lpstr>
      <vt:lpstr>Data_NaamPersoonVastOntslag428</vt:lpstr>
      <vt:lpstr>Data_NaamPersoonVastOntslag429</vt:lpstr>
      <vt:lpstr>Data_NaamPersoonVastOntslag430</vt:lpstr>
      <vt:lpstr>Data_NaamPersoonVastOntslag431</vt:lpstr>
      <vt:lpstr>Data_NaamPersoonVastOntslag432</vt:lpstr>
      <vt:lpstr>Data_NaamPersoonVastOntslag433</vt:lpstr>
      <vt:lpstr>Data_NaamPersoonVastOntslag434</vt:lpstr>
      <vt:lpstr>Data_NaamPersoonVastOntslag435</vt:lpstr>
      <vt:lpstr>Data_NaamPersoonVastOntslag436</vt:lpstr>
      <vt:lpstr>Data_NaamPersoonVastOntslag437</vt:lpstr>
      <vt:lpstr>Data_NaamPersoonVastOntslag438</vt:lpstr>
      <vt:lpstr>Data_NaamPersoonVastOntslag439</vt:lpstr>
      <vt:lpstr>Data_NaamPersoonVastOntslag440</vt:lpstr>
      <vt:lpstr>Data_NaamPersoonVastOntslag441</vt:lpstr>
      <vt:lpstr>Data_NaamPersoonVastOntslag442</vt:lpstr>
      <vt:lpstr>Data_NaamPersoonVastOntslag443</vt:lpstr>
      <vt:lpstr>Data_NaamPersoonVastOntslag444</vt:lpstr>
      <vt:lpstr>Data_NaamPersoonVastOntslag445</vt:lpstr>
      <vt:lpstr>Data_NaamPersoonVastOntslag446</vt:lpstr>
      <vt:lpstr>Data_NaamPersoonVastOntslag447</vt:lpstr>
      <vt:lpstr>Data_NaamPersoonVastOntslag448</vt:lpstr>
      <vt:lpstr>Data_NaamPersoonVastOntslag449</vt:lpstr>
      <vt:lpstr>Data_NaamPersoonVastOntslag450</vt:lpstr>
      <vt:lpstr>Data_NaamPersoonVastOntslag451</vt:lpstr>
      <vt:lpstr>Data_NaamPersoonVastOntslag452</vt:lpstr>
      <vt:lpstr>Data_NaamPersoonVastOntslag453</vt:lpstr>
      <vt:lpstr>Data_NaamPersoonVastOntslag454</vt:lpstr>
      <vt:lpstr>Data_NaamPersoonVastOntslag455</vt:lpstr>
      <vt:lpstr>Data_NaamPersoonVastOntslag456</vt:lpstr>
      <vt:lpstr>Data_NaamPersoonVastOntslag457</vt:lpstr>
      <vt:lpstr>Data_NaamPersoonVastOntslag458</vt:lpstr>
      <vt:lpstr>Data_NaamPersoonVastOntslag459</vt:lpstr>
      <vt:lpstr>Data_NaamPersoonVastOntslag460</vt:lpstr>
      <vt:lpstr>Data_NaamPersoonVastOntslag461</vt:lpstr>
      <vt:lpstr>Data_NaamPersoonVastOntslag462</vt:lpstr>
      <vt:lpstr>Data_NaamPersoonVastOntslag463</vt:lpstr>
      <vt:lpstr>Data_NaamPersoonVastOntslag464</vt:lpstr>
      <vt:lpstr>Data_NaamPersoonVastOntslag465</vt:lpstr>
      <vt:lpstr>Data_NaamPersoonVastOntslag466</vt:lpstr>
      <vt:lpstr>Data_NaamPersoonVastOntslag467</vt:lpstr>
      <vt:lpstr>Data_NaamPersoonVastOntslag468</vt:lpstr>
      <vt:lpstr>Data_NaamPersoonVastOntslag469</vt:lpstr>
      <vt:lpstr>Data_NaamPersoonVastOntslag470</vt:lpstr>
      <vt:lpstr>Data_NaamPersoonVastOntslag471</vt:lpstr>
      <vt:lpstr>Data_NaamPersoonVastOntslag472</vt:lpstr>
      <vt:lpstr>Data_NaamPersoonVastOntslag473</vt:lpstr>
      <vt:lpstr>Data_NaamPersoonVastOntslag474</vt:lpstr>
      <vt:lpstr>Data_NaamPersoonVastOntslag475</vt:lpstr>
      <vt:lpstr>Data_NaamPersoonVastOntslag476</vt:lpstr>
      <vt:lpstr>Data_NaamPersoonVastOntslag477</vt:lpstr>
      <vt:lpstr>Data_NaamPersoonVastOntslag478</vt:lpstr>
      <vt:lpstr>Data_NaamPersoonVastOntslag479</vt:lpstr>
      <vt:lpstr>Data_NaamPersoonVastOntslag480</vt:lpstr>
      <vt:lpstr>Data_NaamPersoonVastOntslag481</vt:lpstr>
      <vt:lpstr>Data_NaamPersoonVastOntslag482</vt:lpstr>
      <vt:lpstr>Data_NaamPersoonVastOntslag483</vt:lpstr>
      <vt:lpstr>Data_NaamPersoonVastOntslag484</vt:lpstr>
      <vt:lpstr>Data_NaamPersoonVastOntslag485</vt:lpstr>
      <vt:lpstr>Data_NaamPersoonVastOntslag486</vt:lpstr>
      <vt:lpstr>Data_NaamPersoonVastOntslag487</vt:lpstr>
      <vt:lpstr>Data_NaamPersoonVastOntslag488</vt:lpstr>
      <vt:lpstr>Data_NaamPersoonVastOntslag489</vt:lpstr>
      <vt:lpstr>Data_NaamPersoonVastOntslag490</vt:lpstr>
      <vt:lpstr>Data_NaamPersoonVastOntslag491</vt:lpstr>
      <vt:lpstr>Data_NaamPersoonVastOntslag492</vt:lpstr>
      <vt:lpstr>Data_NaamPersoonVastOntslag493</vt:lpstr>
      <vt:lpstr>Data_NaamPersoonVastOntslag494</vt:lpstr>
      <vt:lpstr>Data_NaamPersoonVastOntslag495</vt:lpstr>
      <vt:lpstr>Data_NaamPersoonVastOntslag496</vt:lpstr>
      <vt:lpstr>Data_NaamPersoonVastOntslag497</vt:lpstr>
      <vt:lpstr>Data_NaamPersoonVastOntslag498</vt:lpstr>
      <vt:lpstr>Data_NaamPersoonVastOntslag499</vt:lpstr>
      <vt:lpstr>Data_NaamPersoonVastOntslag500</vt:lpstr>
      <vt:lpstr>Data_NaamPersoonVastVrij001</vt:lpstr>
      <vt:lpstr>Data_NaamPersoonVastVrij002</vt:lpstr>
      <vt:lpstr>Data_NaamPersoonVastVrij003</vt:lpstr>
      <vt:lpstr>Data_NaamPersoonVastVrij004</vt:lpstr>
      <vt:lpstr>Data_NaamPersoonVastVrij005</vt:lpstr>
      <vt:lpstr>Data_NaamPersoonVastVrij006</vt:lpstr>
      <vt:lpstr>Data_NaamPersoonVastVrij007</vt:lpstr>
      <vt:lpstr>Data_NaamPersoonVastVrij008</vt:lpstr>
      <vt:lpstr>Data_NaamPersoonVastVrij009</vt:lpstr>
      <vt:lpstr>Data_NaamPersoonVastVrij010</vt:lpstr>
      <vt:lpstr>Data_NaamPersoonVastVrij011</vt:lpstr>
      <vt:lpstr>Data_NaamPersoonVastVrij012</vt:lpstr>
      <vt:lpstr>Data_NaamPersoonVastVrij013</vt:lpstr>
      <vt:lpstr>Data_NaamPersoonVastVrij014</vt:lpstr>
      <vt:lpstr>Data_NaamPersoonVastVrij015</vt:lpstr>
      <vt:lpstr>Data_NaamPersoonVastVrij016</vt:lpstr>
      <vt:lpstr>Data_NaamPersoonVastVrij017</vt:lpstr>
      <vt:lpstr>Data_NaamPersoonVastVrij018</vt:lpstr>
      <vt:lpstr>Data_NaamPersoonVastVrij019</vt:lpstr>
      <vt:lpstr>Data_NaamPersoonVastVrij020</vt:lpstr>
      <vt:lpstr>Data_NaamPersoonVastVrij021</vt:lpstr>
      <vt:lpstr>Data_NaamPersoonVastVrij022</vt:lpstr>
      <vt:lpstr>Data_NaamPersoonVastVrij023</vt:lpstr>
      <vt:lpstr>Data_NaamPersoonVastVrij024</vt:lpstr>
      <vt:lpstr>Data_NaamPersoonVastVrij025</vt:lpstr>
      <vt:lpstr>Data_NaamPersoonVastVrij026</vt:lpstr>
      <vt:lpstr>Data_NaamPersoonVastVrij027</vt:lpstr>
      <vt:lpstr>Data_NaamPersoonVastVrij028</vt:lpstr>
      <vt:lpstr>Data_NaamPersoonVastVrij029</vt:lpstr>
      <vt:lpstr>Data_NaamPersoonVastVrij030</vt:lpstr>
      <vt:lpstr>Data_NaamPersoonVastVrij031</vt:lpstr>
      <vt:lpstr>Data_NaamPersoonVastVrij032</vt:lpstr>
      <vt:lpstr>Data_NaamPersoonVastVrij033</vt:lpstr>
      <vt:lpstr>Data_NaamPersoonVastVrij034</vt:lpstr>
      <vt:lpstr>Data_NaamPersoonVastVrij035</vt:lpstr>
      <vt:lpstr>Data_NaamPersoonVastVrij036</vt:lpstr>
      <vt:lpstr>Data_NaamPersoonVastVrij037</vt:lpstr>
      <vt:lpstr>Data_NaamPersoonVastVrij038</vt:lpstr>
      <vt:lpstr>Data_NaamPersoonVastVrij039</vt:lpstr>
      <vt:lpstr>Data_NaamPersoonVastVrij040</vt:lpstr>
      <vt:lpstr>Data_NaamPersoonVastVrij041</vt:lpstr>
      <vt:lpstr>Data_NaamPersoonVastVrij042</vt:lpstr>
      <vt:lpstr>Data_NaamPersoonVastVrij043</vt:lpstr>
      <vt:lpstr>Data_NaamPersoonVastVrij044</vt:lpstr>
      <vt:lpstr>Data_NaamPersoonVastVrij045</vt:lpstr>
      <vt:lpstr>Data_NaamPersoonVastVrij046</vt:lpstr>
      <vt:lpstr>Data_NaamPersoonVastVrij047</vt:lpstr>
      <vt:lpstr>Data_NaamPersoonVastVrij048</vt:lpstr>
      <vt:lpstr>Data_NaamPersoonVastVrij049</vt:lpstr>
      <vt:lpstr>Data_NaamPersoonVastVrij050</vt:lpstr>
      <vt:lpstr>Data_NaamPersoonVastVrij051</vt:lpstr>
      <vt:lpstr>Data_NaamPersoonVastVrij052</vt:lpstr>
      <vt:lpstr>Data_NaamPersoonVastVrij053</vt:lpstr>
      <vt:lpstr>Data_NaamPersoonVastVrij054</vt:lpstr>
      <vt:lpstr>Data_NaamPersoonVastVrij055</vt:lpstr>
      <vt:lpstr>Data_NaamPersoonVastVrij056</vt:lpstr>
      <vt:lpstr>Data_NaamPersoonVastVrij057</vt:lpstr>
      <vt:lpstr>Data_NaamPersoonVastVrij058</vt:lpstr>
      <vt:lpstr>Data_NaamPersoonVastVrij059</vt:lpstr>
      <vt:lpstr>Data_NaamPersoonVastVrij060</vt:lpstr>
      <vt:lpstr>Data_NaamPersoonVastVrij061</vt:lpstr>
      <vt:lpstr>Data_NaamPersoonVastVrij062</vt:lpstr>
      <vt:lpstr>Data_NaamPersoonVastVrij063</vt:lpstr>
      <vt:lpstr>Data_NaamPersoonVastVrij064</vt:lpstr>
      <vt:lpstr>Data_NaamPersoonVastVrij065</vt:lpstr>
      <vt:lpstr>Data_NaamPersoonVastVrij066</vt:lpstr>
      <vt:lpstr>Data_NaamPersoonVastVrij067</vt:lpstr>
      <vt:lpstr>Data_NaamPersoonVastVrij068</vt:lpstr>
      <vt:lpstr>Data_NaamPersoonVastVrij069</vt:lpstr>
      <vt:lpstr>Data_NaamPersoonVastVrij070</vt:lpstr>
      <vt:lpstr>Data_NaamPersoonVastVrij071</vt:lpstr>
      <vt:lpstr>Data_NaamPersoonVastVrij072</vt:lpstr>
      <vt:lpstr>Data_NaamPersoonVastVrij073</vt:lpstr>
      <vt:lpstr>Data_NaamPersoonVastVrij074</vt:lpstr>
      <vt:lpstr>Data_NaamPersoonVastVrij075</vt:lpstr>
      <vt:lpstr>Data_NaamPersoonVastVrij076</vt:lpstr>
      <vt:lpstr>Data_NaamPersoonVastVrij077</vt:lpstr>
      <vt:lpstr>Data_NaamPersoonVastVrij078</vt:lpstr>
      <vt:lpstr>Data_NaamPersoonVastVrij079</vt:lpstr>
      <vt:lpstr>Data_NaamPersoonVastVrij080</vt:lpstr>
      <vt:lpstr>Data_NaamPersoonVastVrij081</vt:lpstr>
      <vt:lpstr>Data_NaamPersoonVastVrij082</vt:lpstr>
      <vt:lpstr>Data_NaamPersoonVastVrij083</vt:lpstr>
      <vt:lpstr>Data_NaamPersoonVastVrij084</vt:lpstr>
      <vt:lpstr>Data_NaamPersoonVastVrij085</vt:lpstr>
      <vt:lpstr>Data_NaamPersoonVastVrij086</vt:lpstr>
      <vt:lpstr>Data_NaamPersoonVastVrij087</vt:lpstr>
      <vt:lpstr>Data_NaamPersoonVastVrij088</vt:lpstr>
      <vt:lpstr>Data_NaamPersoonVastVrij089</vt:lpstr>
      <vt:lpstr>Data_NaamPersoonVastVrij090</vt:lpstr>
      <vt:lpstr>Data_NaamPersoonVastVrij091</vt:lpstr>
      <vt:lpstr>Data_NaamPersoonVastVrij092</vt:lpstr>
      <vt:lpstr>Data_NaamPersoonVastVrij093</vt:lpstr>
      <vt:lpstr>Data_NaamPersoonVastVrij094</vt:lpstr>
      <vt:lpstr>Data_NaamPersoonVastVrij095</vt:lpstr>
      <vt:lpstr>Data_NaamPersoonVastVrij096</vt:lpstr>
      <vt:lpstr>Data_NaamPersoonVastVrij097</vt:lpstr>
      <vt:lpstr>Data_NaamPersoonVastVrij098</vt:lpstr>
      <vt:lpstr>Data_NaamPersoonVastVrij099</vt:lpstr>
      <vt:lpstr>Data_NaamPersoonVastVrij100</vt:lpstr>
      <vt:lpstr>Data_NaamPersoonVastVrij101</vt:lpstr>
      <vt:lpstr>Data_NaamPersoonVastVrij102</vt:lpstr>
      <vt:lpstr>Data_NaamPersoonVastVrij103</vt:lpstr>
      <vt:lpstr>Data_NaamPersoonVastVrij104</vt:lpstr>
      <vt:lpstr>Data_NaamPersoonVastVrij105</vt:lpstr>
      <vt:lpstr>Data_NaamPersoonVastVrij106</vt:lpstr>
      <vt:lpstr>Data_NaamPersoonVastVrij107</vt:lpstr>
      <vt:lpstr>Data_NaamPersoonVastVrij108</vt:lpstr>
      <vt:lpstr>Data_NaamPersoonVastVrij109</vt:lpstr>
      <vt:lpstr>Data_NaamPersoonVastVrij110</vt:lpstr>
      <vt:lpstr>Data_NaamPersoonVastVrij111</vt:lpstr>
      <vt:lpstr>Data_NaamPersoonVastVrij112</vt:lpstr>
      <vt:lpstr>Data_NaamPersoonVastVrij113</vt:lpstr>
      <vt:lpstr>Data_NaamPersoonVastVrij114</vt:lpstr>
      <vt:lpstr>Data_NaamPersoonVastVrij115</vt:lpstr>
      <vt:lpstr>Data_NaamPersoonVastVrij116</vt:lpstr>
      <vt:lpstr>Data_NaamPersoonVastVrij117</vt:lpstr>
      <vt:lpstr>Data_NaamPersoonVastVrij118</vt:lpstr>
      <vt:lpstr>Data_NaamPersoonVastVrij119</vt:lpstr>
      <vt:lpstr>Data_NaamPersoonVastVrij120</vt:lpstr>
      <vt:lpstr>Data_NaamPersoonVastVrij121</vt:lpstr>
      <vt:lpstr>Data_NaamPersoonVastVrij122</vt:lpstr>
      <vt:lpstr>Data_NaamPersoonVastVrij123</vt:lpstr>
      <vt:lpstr>Data_NaamPersoonVastVrij124</vt:lpstr>
      <vt:lpstr>Data_NaamPersoonVastVrij125</vt:lpstr>
      <vt:lpstr>Data_NaamPersoonVastVrij126</vt:lpstr>
      <vt:lpstr>Data_NaamPersoonVastVrij127</vt:lpstr>
      <vt:lpstr>Data_NaamPersoonVastVrij128</vt:lpstr>
      <vt:lpstr>Data_NaamPersoonVastVrij129</vt:lpstr>
      <vt:lpstr>Data_NaamPersoonVastVrij130</vt:lpstr>
      <vt:lpstr>Data_NaamPersoonVastVrij131</vt:lpstr>
      <vt:lpstr>Data_NaamPersoonVastVrij132</vt:lpstr>
      <vt:lpstr>Data_NaamPersoonVastVrij133</vt:lpstr>
      <vt:lpstr>Data_NaamPersoonVastVrij134</vt:lpstr>
      <vt:lpstr>Data_NaamPersoonVastVrij135</vt:lpstr>
      <vt:lpstr>Data_NaamPersoonVastVrij136</vt:lpstr>
      <vt:lpstr>Data_NaamPersoonVastVrij137</vt:lpstr>
      <vt:lpstr>Data_NaamPersoonVastVrij138</vt:lpstr>
      <vt:lpstr>Data_NaamPersoonVastVrij139</vt:lpstr>
      <vt:lpstr>Data_NaamPersoonVastVrij140</vt:lpstr>
      <vt:lpstr>Data_NaamPersoonVastVrij141</vt:lpstr>
      <vt:lpstr>Data_NaamPersoonVastVrij142</vt:lpstr>
      <vt:lpstr>Data_NaamPersoonVastVrij143</vt:lpstr>
      <vt:lpstr>Data_NaamPersoonVastVrij144</vt:lpstr>
      <vt:lpstr>Data_NaamPersoonVastVrij145</vt:lpstr>
      <vt:lpstr>Data_NaamPersoonVastVrij146</vt:lpstr>
      <vt:lpstr>Data_NaamPersoonVastVrij147</vt:lpstr>
      <vt:lpstr>Data_NaamPersoonVastVrij148</vt:lpstr>
      <vt:lpstr>Data_NaamPersoonVastVrij149</vt:lpstr>
      <vt:lpstr>Data_NaamPersoonVastVrij150</vt:lpstr>
      <vt:lpstr>Data_NaamPersoonVastVrij151</vt:lpstr>
      <vt:lpstr>Data_NaamPersoonVastVrij152</vt:lpstr>
      <vt:lpstr>Data_NaamPersoonVastVrij153</vt:lpstr>
      <vt:lpstr>Data_NaamPersoonVastVrij154</vt:lpstr>
      <vt:lpstr>Data_NaamPersoonVastVrij155</vt:lpstr>
      <vt:lpstr>Data_NaamPersoonVastVrij156</vt:lpstr>
      <vt:lpstr>Data_NaamPersoonVastVrij157</vt:lpstr>
      <vt:lpstr>Data_NaamPersoonVastVrij158</vt:lpstr>
      <vt:lpstr>Data_NaamPersoonVastVrij159</vt:lpstr>
      <vt:lpstr>Data_NaamPersoonVastVrij160</vt:lpstr>
      <vt:lpstr>Data_NaamPersoonVastVrij161</vt:lpstr>
      <vt:lpstr>Data_NaamPersoonVastVrij162</vt:lpstr>
      <vt:lpstr>Data_NaamPersoonVastVrij163</vt:lpstr>
      <vt:lpstr>Data_NaamPersoonVastVrij164</vt:lpstr>
      <vt:lpstr>Data_NaamPersoonVastVrij165</vt:lpstr>
      <vt:lpstr>Data_NaamPersoonVastVrij166</vt:lpstr>
      <vt:lpstr>Data_NaamPersoonVastVrij167</vt:lpstr>
      <vt:lpstr>Data_NaamPersoonVastVrij168</vt:lpstr>
      <vt:lpstr>Data_NaamPersoonVastVrij169</vt:lpstr>
      <vt:lpstr>Data_NaamPersoonVastVrij170</vt:lpstr>
      <vt:lpstr>Data_NaamPersoonVastVrij171</vt:lpstr>
      <vt:lpstr>Data_NaamPersoonVastVrij172</vt:lpstr>
      <vt:lpstr>Data_NaamPersoonVastVrij173</vt:lpstr>
      <vt:lpstr>Data_NaamPersoonVastVrij174</vt:lpstr>
      <vt:lpstr>Data_NaamPersoonVastVrij175</vt:lpstr>
      <vt:lpstr>Data_NaamPersoonVastVrij176</vt:lpstr>
      <vt:lpstr>Data_NaamPersoonVastVrij177</vt:lpstr>
      <vt:lpstr>Data_NaamPersoonVastVrij178</vt:lpstr>
      <vt:lpstr>Data_NaamPersoonVastVrij179</vt:lpstr>
      <vt:lpstr>Data_NaamPersoonVastVrij180</vt:lpstr>
      <vt:lpstr>Data_NaamPersoonVastVrij181</vt:lpstr>
      <vt:lpstr>Data_NaamPersoonVastVrij182</vt:lpstr>
      <vt:lpstr>Data_NaamPersoonVastVrij183</vt:lpstr>
      <vt:lpstr>Data_NaamPersoonVastVrij184</vt:lpstr>
      <vt:lpstr>Data_NaamPersoonVastVrij185</vt:lpstr>
      <vt:lpstr>Data_NaamPersoonVastVrij186</vt:lpstr>
      <vt:lpstr>Data_NaamPersoonVastVrij187</vt:lpstr>
      <vt:lpstr>Data_NaamPersoonVastVrij188</vt:lpstr>
      <vt:lpstr>Data_NaamPersoonVastVrij189</vt:lpstr>
      <vt:lpstr>Data_NaamPersoonVastVrij190</vt:lpstr>
      <vt:lpstr>Data_NaamPersoonVastVrij191</vt:lpstr>
      <vt:lpstr>Data_NaamPersoonVastVrij192</vt:lpstr>
      <vt:lpstr>Data_NaamPersoonVastVrij193</vt:lpstr>
      <vt:lpstr>Data_NaamPersoonVastVrij194</vt:lpstr>
      <vt:lpstr>Data_NaamPersoonVastVrij195</vt:lpstr>
      <vt:lpstr>Data_NaamPersoonVastVrij196</vt:lpstr>
      <vt:lpstr>Data_NaamPersoonVastVrij197</vt:lpstr>
      <vt:lpstr>Data_NaamPersoonVastVrij198</vt:lpstr>
      <vt:lpstr>Data_NaamPersoonVastVrij199</vt:lpstr>
      <vt:lpstr>Data_NaamPersoonVastVrij200</vt:lpstr>
      <vt:lpstr>Data_NaamPersoonVastVrij201</vt:lpstr>
      <vt:lpstr>Data_NaamPersoonVastVrij202</vt:lpstr>
      <vt:lpstr>Data_NaamPersoonVastVrij203</vt:lpstr>
      <vt:lpstr>Data_NaamPersoonVastVrij204</vt:lpstr>
      <vt:lpstr>Data_NaamPersoonVastVrij205</vt:lpstr>
      <vt:lpstr>Data_NaamPersoonVastVrij206</vt:lpstr>
      <vt:lpstr>Data_NaamPersoonVastVrij207</vt:lpstr>
      <vt:lpstr>Data_NaamPersoonVastVrij208</vt:lpstr>
      <vt:lpstr>Data_NaamPersoonVastVrij209</vt:lpstr>
      <vt:lpstr>Data_NaamPersoonVastVrij210</vt:lpstr>
      <vt:lpstr>Data_NaamPersoonVastVrij211</vt:lpstr>
      <vt:lpstr>Data_NaamPersoonVastVrij212</vt:lpstr>
      <vt:lpstr>Data_NaamPersoonVastVrij213</vt:lpstr>
      <vt:lpstr>Data_NaamPersoonVastVrij214</vt:lpstr>
      <vt:lpstr>Data_NaamPersoonVastVrij215</vt:lpstr>
      <vt:lpstr>Data_NaamPersoonVastVrij216</vt:lpstr>
      <vt:lpstr>Data_NaamPersoonVastVrij217</vt:lpstr>
      <vt:lpstr>Data_NaamPersoonVastVrij218</vt:lpstr>
      <vt:lpstr>Data_NaamPersoonVastVrij219</vt:lpstr>
      <vt:lpstr>Data_NaamPersoonVastVrij220</vt:lpstr>
      <vt:lpstr>Data_NaamPersoonVastVrij221</vt:lpstr>
      <vt:lpstr>Data_NaamPersoonVastVrij222</vt:lpstr>
      <vt:lpstr>Data_NaamPersoonVastVrij223</vt:lpstr>
      <vt:lpstr>Data_NaamPersoonVastVrij224</vt:lpstr>
      <vt:lpstr>Data_NaamPersoonVastVrij225</vt:lpstr>
      <vt:lpstr>Data_NaamPersoonVastVrij226</vt:lpstr>
      <vt:lpstr>Data_NaamPersoonVastVrij227</vt:lpstr>
      <vt:lpstr>Data_NaamPersoonVastVrij228</vt:lpstr>
      <vt:lpstr>Data_NaamPersoonVastVrij229</vt:lpstr>
      <vt:lpstr>Data_NaamPersoonVastVrij230</vt:lpstr>
      <vt:lpstr>Data_NaamPersoonVastVrij231</vt:lpstr>
      <vt:lpstr>Data_NaamPersoonVastVrij232</vt:lpstr>
      <vt:lpstr>Data_NaamPersoonVastVrij233</vt:lpstr>
      <vt:lpstr>Data_NaamPersoonVastVrij234</vt:lpstr>
      <vt:lpstr>Data_NaamPersoonVastVrij235</vt:lpstr>
      <vt:lpstr>Data_NaamPersoonVastVrij236</vt:lpstr>
      <vt:lpstr>Data_NaamPersoonVastVrij237</vt:lpstr>
      <vt:lpstr>Data_NaamPersoonVastVrij238</vt:lpstr>
      <vt:lpstr>Data_NaamPersoonVastVrij239</vt:lpstr>
      <vt:lpstr>Data_NaamPersoonVastVrij240</vt:lpstr>
      <vt:lpstr>Data_NaamPersoonVastVrij241</vt:lpstr>
      <vt:lpstr>Data_NaamPersoonVastVrij242</vt:lpstr>
      <vt:lpstr>Data_NaamPersoonVastVrij243</vt:lpstr>
      <vt:lpstr>Data_NaamPersoonVastVrij244</vt:lpstr>
      <vt:lpstr>Data_NaamPersoonVastVrij245</vt:lpstr>
      <vt:lpstr>Data_NaamPersoonVastVrij246</vt:lpstr>
      <vt:lpstr>Data_NaamPersoonVastVrij247</vt:lpstr>
      <vt:lpstr>Data_NaamPersoonVastVrij248</vt:lpstr>
      <vt:lpstr>Data_NaamPersoonVastVrij249</vt:lpstr>
      <vt:lpstr>Data_NaamPersoonVastVrij250</vt:lpstr>
      <vt:lpstr>Data_NaamPersoonVastVrij251</vt:lpstr>
      <vt:lpstr>Data_NaamPersoonVastVrij252</vt:lpstr>
      <vt:lpstr>Data_NaamPersoonVastVrij253</vt:lpstr>
      <vt:lpstr>Data_NaamPersoonVastVrij254</vt:lpstr>
      <vt:lpstr>Data_NaamPersoonVastVrij255</vt:lpstr>
      <vt:lpstr>Data_NaamPersoonVastVrij256</vt:lpstr>
      <vt:lpstr>Data_NaamPersoonVastVrij257</vt:lpstr>
      <vt:lpstr>Data_NaamPersoonVastVrij258</vt:lpstr>
      <vt:lpstr>Data_NaamPersoonVastVrij259</vt:lpstr>
      <vt:lpstr>Data_NaamPersoonVastVrij260</vt:lpstr>
      <vt:lpstr>Data_NaamPersoonVastVrij261</vt:lpstr>
      <vt:lpstr>Data_NaamPersoonVastVrij262</vt:lpstr>
      <vt:lpstr>Data_NaamPersoonVastVrij263</vt:lpstr>
      <vt:lpstr>Data_NaamPersoonVastVrij264</vt:lpstr>
      <vt:lpstr>Data_NaamPersoonVastVrij265</vt:lpstr>
      <vt:lpstr>Data_NaamPersoonVastVrij266</vt:lpstr>
      <vt:lpstr>Data_NaamPersoonVastVrij267</vt:lpstr>
      <vt:lpstr>Data_NaamPersoonVastVrij268</vt:lpstr>
      <vt:lpstr>Data_NaamPersoonVastVrij269</vt:lpstr>
      <vt:lpstr>Data_NaamPersoonVastVrij270</vt:lpstr>
      <vt:lpstr>Data_NaamPersoonVastVrij271</vt:lpstr>
      <vt:lpstr>Data_NaamPersoonVastVrij272</vt:lpstr>
      <vt:lpstr>Data_NaamPersoonVastVrij273</vt:lpstr>
      <vt:lpstr>Data_NaamPersoonVastVrij274</vt:lpstr>
      <vt:lpstr>Data_NaamPersoonVastVrij275</vt:lpstr>
      <vt:lpstr>Data_NaamPersoonVastVrij276</vt:lpstr>
      <vt:lpstr>Data_NaamPersoonVastVrij277</vt:lpstr>
      <vt:lpstr>Data_NaamPersoonVastVrij278</vt:lpstr>
      <vt:lpstr>Data_NaamPersoonVastVrij279</vt:lpstr>
      <vt:lpstr>Data_NaamPersoonVastVrij280</vt:lpstr>
      <vt:lpstr>Data_NaamPersoonVastVrij281</vt:lpstr>
      <vt:lpstr>Data_NaamPersoonVastVrij282</vt:lpstr>
      <vt:lpstr>Data_NaamPersoonVastVrij283</vt:lpstr>
      <vt:lpstr>Data_NaamPersoonVastVrij284</vt:lpstr>
      <vt:lpstr>Data_NaamPersoonVastVrij285</vt:lpstr>
      <vt:lpstr>Data_NaamPersoonVastVrij286</vt:lpstr>
      <vt:lpstr>Data_NaamPersoonVastVrij287</vt:lpstr>
      <vt:lpstr>Data_NaamPersoonVastVrij288</vt:lpstr>
      <vt:lpstr>Data_NaamPersoonVastVrij289</vt:lpstr>
      <vt:lpstr>Data_NaamPersoonVastVrij290</vt:lpstr>
      <vt:lpstr>Data_NaamPersoonVastVrij291</vt:lpstr>
      <vt:lpstr>Data_NaamPersoonVastVrij292</vt:lpstr>
      <vt:lpstr>Data_NaamPersoonVastVrij293</vt:lpstr>
      <vt:lpstr>Data_NaamPersoonVastVrij294</vt:lpstr>
      <vt:lpstr>Data_NaamPersoonVastVrij295</vt:lpstr>
      <vt:lpstr>Data_NaamPersoonVastVrij296</vt:lpstr>
      <vt:lpstr>Data_NaamPersoonVastVrij297</vt:lpstr>
      <vt:lpstr>Data_NaamPersoonVastVrij298</vt:lpstr>
      <vt:lpstr>Data_NaamPersoonVastVrij299</vt:lpstr>
      <vt:lpstr>Data_NaamPersoonVastVrij300</vt:lpstr>
      <vt:lpstr>Data_NaamPersoonVastVrij301</vt:lpstr>
      <vt:lpstr>Data_NaamPersoonVastVrij302</vt:lpstr>
      <vt:lpstr>Data_NaamPersoonVastVrij303</vt:lpstr>
      <vt:lpstr>Data_NaamPersoonVastVrij304</vt:lpstr>
      <vt:lpstr>Data_NaamPersoonVastVrij305</vt:lpstr>
      <vt:lpstr>Data_NaamPersoonVastVrij306</vt:lpstr>
      <vt:lpstr>Data_NaamPersoonVastVrij307</vt:lpstr>
      <vt:lpstr>Data_NaamPersoonVastVrij308</vt:lpstr>
      <vt:lpstr>Data_NaamPersoonVastVrij309</vt:lpstr>
      <vt:lpstr>Data_NaamPersoonVastVrij310</vt:lpstr>
      <vt:lpstr>Data_NaamPersoonVastVrij311</vt:lpstr>
      <vt:lpstr>Data_NaamPersoonVastVrij312</vt:lpstr>
      <vt:lpstr>Data_NaamPersoonVastVrij313</vt:lpstr>
      <vt:lpstr>Data_NaamPersoonVastVrij314</vt:lpstr>
      <vt:lpstr>Data_NaamPersoonVastVrij315</vt:lpstr>
      <vt:lpstr>Data_NaamPersoonVastVrij316</vt:lpstr>
      <vt:lpstr>Data_NaamPersoonVastVrij317</vt:lpstr>
      <vt:lpstr>Data_NaamPersoonVastVrij318</vt:lpstr>
      <vt:lpstr>Data_NaamPersoonVastVrij319</vt:lpstr>
      <vt:lpstr>Data_NaamPersoonVastVrij320</vt:lpstr>
      <vt:lpstr>Data_NaamPersoonVastVrij321</vt:lpstr>
      <vt:lpstr>Data_NaamPersoonVastVrij322</vt:lpstr>
      <vt:lpstr>Data_NaamPersoonVastVrij323</vt:lpstr>
      <vt:lpstr>Data_NaamPersoonVastVrij324</vt:lpstr>
      <vt:lpstr>Data_NaamPersoonVastVrij325</vt:lpstr>
      <vt:lpstr>Data_NaamPersoonVastVrij326</vt:lpstr>
      <vt:lpstr>Data_NaamPersoonVastVrij327</vt:lpstr>
      <vt:lpstr>Data_NaamPersoonVastVrij328</vt:lpstr>
      <vt:lpstr>Data_NaamPersoonVastVrij329</vt:lpstr>
      <vt:lpstr>Data_NaamPersoonVastVrij330</vt:lpstr>
      <vt:lpstr>Data_NaamPersoonVastVrij331</vt:lpstr>
      <vt:lpstr>Data_NaamPersoonVastVrij332</vt:lpstr>
      <vt:lpstr>Data_NaamPersoonVastVrij333</vt:lpstr>
      <vt:lpstr>Data_NaamPersoonVastVrij334</vt:lpstr>
      <vt:lpstr>Data_NaamPersoonVastVrij335</vt:lpstr>
      <vt:lpstr>Data_NaamPersoonVastVrij336</vt:lpstr>
      <vt:lpstr>Data_NaamPersoonVastVrij337</vt:lpstr>
      <vt:lpstr>Data_NaamPersoonVastVrij338</vt:lpstr>
      <vt:lpstr>Data_NaamPersoonVastVrij339</vt:lpstr>
      <vt:lpstr>Data_NaamPersoonVastVrij340</vt:lpstr>
      <vt:lpstr>Data_NaamPersoonVastVrij341</vt:lpstr>
      <vt:lpstr>Data_NaamPersoonVastVrij342</vt:lpstr>
      <vt:lpstr>Data_NaamPersoonVastVrij343</vt:lpstr>
      <vt:lpstr>Data_NaamPersoonVastVrij344</vt:lpstr>
      <vt:lpstr>Data_NaamPersoonVastVrij345</vt:lpstr>
      <vt:lpstr>Data_NaamPersoonVastVrij346</vt:lpstr>
      <vt:lpstr>Data_NaamPersoonVastVrij347</vt:lpstr>
      <vt:lpstr>Data_NaamPersoonVastVrij348</vt:lpstr>
      <vt:lpstr>Data_NaamPersoonVastVrij349</vt:lpstr>
      <vt:lpstr>Data_NaamPersoonVastVrij350</vt:lpstr>
      <vt:lpstr>Data_NaamPersoonVastVrij351</vt:lpstr>
      <vt:lpstr>Data_NaamPersoonVastVrij352</vt:lpstr>
      <vt:lpstr>Data_NaamPersoonVastVrij353</vt:lpstr>
      <vt:lpstr>Data_NaamPersoonVastVrij354</vt:lpstr>
      <vt:lpstr>Data_NaamPersoonVastVrij355</vt:lpstr>
      <vt:lpstr>Data_NaamPersoonVastVrij356</vt:lpstr>
      <vt:lpstr>Data_NaamPersoonVastVrij357</vt:lpstr>
      <vt:lpstr>Data_NaamPersoonVastVrij358</vt:lpstr>
      <vt:lpstr>Data_NaamPersoonVastVrij359</vt:lpstr>
      <vt:lpstr>Data_NaamPersoonVastVrij360</vt:lpstr>
      <vt:lpstr>Data_NaamPersoonVastVrij361</vt:lpstr>
      <vt:lpstr>Data_NaamPersoonVastVrij362</vt:lpstr>
      <vt:lpstr>Data_NaamPersoonVastVrij363</vt:lpstr>
      <vt:lpstr>Data_NaamPersoonVastVrij364</vt:lpstr>
      <vt:lpstr>Data_NaamPersoonVastVrij365</vt:lpstr>
      <vt:lpstr>Data_NaamPersoonVastVrij366</vt:lpstr>
      <vt:lpstr>Data_NaamPersoonVastVrij367</vt:lpstr>
      <vt:lpstr>Data_NaamPersoonVastVrij368</vt:lpstr>
      <vt:lpstr>Data_NaamPersoonVastVrij369</vt:lpstr>
      <vt:lpstr>Data_NaamPersoonVastVrij370</vt:lpstr>
      <vt:lpstr>Data_NaamPersoonVastVrij371</vt:lpstr>
      <vt:lpstr>Data_NaamPersoonVastVrij372</vt:lpstr>
      <vt:lpstr>Data_NaamPersoonVastVrij373</vt:lpstr>
      <vt:lpstr>Data_NaamPersoonVastVrij374</vt:lpstr>
      <vt:lpstr>Data_NaamPersoonVastVrij375</vt:lpstr>
      <vt:lpstr>Data_NaamPersoonVastVrij376</vt:lpstr>
      <vt:lpstr>Data_NaamPersoonVastVrij377</vt:lpstr>
      <vt:lpstr>Data_NaamPersoonVastVrij378</vt:lpstr>
      <vt:lpstr>Data_NaamPersoonVastVrij379</vt:lpstr>
      <vt:lpstr>Data_NaamPersoonVastVrij380</vt:lpstr>
      <vt:lpstr>Data_NaamPersoonVastVrij381</vt:lpstr>
      <vt:lpstr>Data_NaamPersoonVastVrij382</vt:lpstr>
      <vt:lpstr>Data_NaamPersoonVastVrij383</vt:lpstr>
      <vt:lpstr>Data_NaamPersoonVastVrij384</vt:lpstr>
      <vt:lpstr>Data_NaamPersoonVastVrij385</vt:lpstr>
      <vt:lpstr>Data_NaamPersoonVastVrij386</vt:lpstr>
      <vt:lpstr>Data_NaamPersoonVastVrij387</vt:lpstr>
      <vt:lpstr>Data_NaamPersoonVastVrij388</vt:lpstr>
      <vt:lpstr>Data_NaamPersoonVastVrij389</vt:lpstr>
      <vt:lpstr>Data_NaamPersoonVastVrij390</vt:lpstr>
      <vt:lpstr>Data_NaamPersoonVastVrij391</vt:lpstr>
      <vt:lpstr>Data_NaamPersoonVastVrij392</vt:lpstr>
      <vt:lpstr>Data_NaamPersoonVastVrij393</vt:lpstr>
      <vt:lpstr>Data_NaamPersoonVastVrij394</vt:lpstr>
      <vt:lpstr>Data_NaamPersoonVastVrij395</vt:lpstr>
      <vt:lpstr>Data_NaamPersoonVastVrij396</vt:lpstr>
      <vt:lpstr>Data_NaamPersoonVastVrij397</vt:lpstr>
      <vt:lpstr>Data_NaamPersoonVastVrij398</vt:lpstr>
      <vt:lpstr>Data_NaamPersoonVastVrij399</vt:lpstr>
      <vt:lpstr>Data_NaamPersoonVastVrij400</vt:lpstr>
      <vt:lpstr>Data_NaamPersoonVastVrij401</vt:lpstr>
      <vt:lpstr>Data_NaamPersoonVastVrij402</vt:lpstr>
      <vt:lpstr>Data_NaamPersoonVastVrij403</vt:lpstr>
      <vt:lpstr>Data_NaamPersoonVastVrij404</vt:lpstr>
      <vt:lpstr>Data_NaamPersoonVastVrij405</vt:lpstr>
      <vt:lpstr>Data_NaamPersoonVastVrij406</vt:lpstr>
      <vt:lpstr>Data_NaamPersoonVastVrij407</vt:lpstr>
      <vt:lpstr>Data_NaamPersoonVastVrij408</vt:lpstr>
      <vt:lpstr>Data_NaamPersoonVastVrij409</vt:lpstr>
      <vt:lpstr>Data_NaamPersoonVastVrij410</vt:lpstr>
      <vt:lpstr>Data_NaamPersoonVastVrij411</vt:lpstr>
      <vt:lpstr>Data_NaamPersoonVastVrij412</vt:lpstr>
      <vt:lpstr>Data_NaamPersoonVastVrij413</vt:lpstr>
      <vt:lpstr>Data_NaamPersoonVastVrij414</vt:lpstr>
      <vt:lpstr>Data_NaamPersoonVastVrij415</vt:lpstr>
      <vt:lpstr>Data_NaamPersoonVastVrij416</vt:lpstr>
      <vt:lpstr>Data_NaamPersoonVastVrij417</vt:lpstr>
      <vt:lpstr>Data_NaamPersoonVastVrij418</vt:lpstr>
      <vt:lpstr>Data_NaamPersoonVastVrij419</vt:lpstr>
      <vt:lpstr>Data_NaamPersoonVastVrij420</vt:lpstr>
      <vt:lpstr>Data_NaamPersoonVastVrij421</vt:lpstr>
      <vt:lpstr>Data_NaamPersoonVastVrij422</vt:lpstr>
      <vt:lpstr>Data_NaamPersoonVastVrij423</vt:lpstr>
      <vt:lpstr>Data_NaamPersoonVastVrij424</vt:lpstr>
      <vt:lpstr>Data_NaamPersoonVastVrij425</vt:lpstr>
      <vt:lpstr>Data_NaamPersoonVastVrij426</vt:lpstr>
      <vt:lpstr>Data_NaamPersoonVastVrij427</vt:lpstr>
      <vt:lpstr>Data_NaamPersoonVastVrij428</vt:lpstr>
      <vt:lpstr>Data_NaamPersoonVastVrij429</vt:lpstr>
      <vt:lpstr>Data_NaamPersoonVastVrij430</vt:lpstr>
      <vt:lpstr>Data_NaamPersoonVastVrij431</vt:lpstr>
      <vt:lpstr>Data_NaamPersoonVastVrij432</vt:lpstr>
      <vt:lpstr>Data_NaamPersoonVastVrij433</vt:lpstr>
      <vt:lpstr>Data_NaamPersoonVastVrij434</vt:lpstr>
      <vt:lpstr>Data_NaamPersoonVastVrij435</vt:lpstr>
      <vt:lpstr>Data_NaamPersoonVastVrij436</vt:lpstr>
      <vt:lpstr>Data_NaamPersoonVastVrij437</vt:lpstr>
      <vt:lpstr>Data_NaamPersoonVastVrij438</vt:lpstr>
      <vt:lpstr>Data_NaamPersoonVastVrij439</vt:lpstr>
      <vt:lpstr>Data_NaamPersoonVastVrij440</vt:lpstr>
      <vt:lpstr>Data_NaamPersoonVastVrij441</vt:lpstr>
      <vt:lpstr>Data_NaamPersoonVastVrij442</vt:lpstr>
      <vt:lpstr>Data_NaamPersoonVastVrij443</vt:lpstr>
      <vt:lpstr>Data_NaamPersoonVastVrij444</vt:lpstr>
      <vt:lpstr>Data_NaamPersoonVastVrij445</vt:lpstr>
      <vt:lpstr>Data_NaamPersoonVastVrij446</vt:lpstr>
      <vt:lpstr>Data_NaamPersoonVastVrij447</vt:lpstr>
      <vt:lpstr>Data_NaamPersoonVastVrij448</vt:lpstr>
      <vt:lpstr>Data_NaamPersoonVastVrij449</vt:lpstr>
      <vt:lpstr>Data_NaamPersoonVastVrij450</vt:lpstr>
      <vt:lpstr>Data_NaamPersoonVastVrij451</vt:lpstr>
      <vt:lpstr>Data_NaamPersoonVastVrij452</vt:lpstr>
      <vt:lpstr>Data_NaamPersoonVastVrij453</vt:lpstr>
      <vt:lpstr>Data_NaamPersoonVastVrij454</vt:lpstr>
      <vt:lpstr>Data_NaamPersoonVastVrij455</vt:lpstr>
      <vt:lpstr>Data_NaamPersoonVastVrij456</vt:lpstr>
      <vt:lpstr>Data_NaamPersoonVastVrij457</vt:lpstr>
      <vt:lpstr>Data_NaamPersoonVastVrij458</vt:lpstr>
      <vt:lpstr>Data_NaamPersoonVastVrij459</vt:lpstr>
      <vt:lpstr>Data_NaamPersoonVastVrij460</vt:lpstr>
      <vt:lpstr>Data_NaamPersoonVastVrij461</vt:lpstr>
      <vt:lpstr>Data_NaamPersoonVastVrij462</vt:lpstr>
      <vt:lpstr>Data_NaamPersoonVastVrij463</vt:lpstr>
      <vt:lpstr>Data_NaamPersoonVastVrij464</vt:lpstr>
      <vt:lpstr>Data_NaamPersoonVastVrij465</vt:lpstr>
      <vt:lpstr>Data_NaamPersoonVastVrij466</vt:lpstr>
      <vt:lpstr>Data_NaamPersoonVastVrij467</vt:lpstr>
      <vt:lpstr>Data_NaamPersoonVastVrij468</vt:lpstr>
      <vt:lpstr>Data_NaamPersoonVastVrij469</vt:lpstr>
      <vt:lpstr>Data_NaamPersoonVastVrij470</vt:lpstr>
      <vt:lpstr>Data_NaamPersoonVastVrij471</vt:lpstr>
      <vt:lpstr>Data_NaamPersoonVastVrij472</vt:lpstr>
      <vt:lpstr>Data_NaamPersoonVastVrij473</vt:lpstr>
      <vt:lpstr>Data_NaamPersoonVastVrij474</vt:lpstr>
      <vt:lpstr>Data_NaamPersoonVastVrij475</vt:lpstr>
      <vt:lpstr>Data_NaamPersoonVastVrij476</vt:lpstr>
      <vt:lpstr>Data_NaamPersoonVastVrij477</vt:lpstr>
      <vt:lpstr>Data_NaamPersoonVastVrij478</vt:lpstr>
      <vt:lpstr>Data_NaamPersoonVastVrij479</vt:lpstr>
      <vt:lpstr>Data_NaamPersoonVastVrij480</vt:lpstr>
      <vt:lpstr>Data_NaamPersoonVastVrij481</vt:lpstr>
      <vt:lpstr>Data_NaamPersoonVastVrij482</vt:lpstr>
      <vt:lpstr>Data_NaamPersoonVastVrij483</vt:lpstr>
      <vt:lpstr>Data_NaamPersoonVastVrij484</vt:lpstr>
      <vt:lpstr>Data_NaamPersoonVastVrij485</vt:lpstr>
      <vt:lpstr>Data_NaamPersoonVastVrij486</vt:lpstr>
      <vt:lpstr>Data_NaamPersoonVastVrij487</vt:lpstr>
      <vt:lpstr>Data_NaamPersoonVastVrij488</vt:lpstr>
      <vt:lpstr>Data_NaamPersoonVastVrij489</vt:lpstr>
      <vt:lpstr>Data_NaamPersoonVastVrij490</vt:lpstr>
      <vt:lpstr>Data_NaamPersoonVastVrij491</vt:lpstr>
      <vt:lpstr>Data_NaamPersoonVastVrij492</vt:lpstr>
      <vt:lpstr>Data_NaamPersoonVastVrij493</vt:lpstr>
      <vt:lpstr>Data_NaamPersoonVastVrij494</vt:lpstr>
      <vt:lpstr>Data_NaamPersoonVastVrij495</vt:lpstr>
      <vt:lpstr>Data_NaamPersoonVastVrij496</vt:lpstr>
      <vt:lpstr>Data_NaamPersoonVastVrij497</vt:lpstr>
      <vt:lpstr>Data_NaamPersoonVastVrij498</vt:lpstr>
      <vt:lpstr>Data_NaamPersoonVastVrij499</vt:lpstr>
      <vt:lpstr>Data_NaamPersoonVastVrij500</vt:lpstr>
      <vt:lpstr>Data_PerformanceBoxPanelBRINNumber2011</vt:lpstr>
      <vt:lpstr>Data_PerformanceBoxPanelBRINNumber2012</vt:lpstr>
      <vt:lpstr>Data_PerformanceBoxPanelLearnerNumber2011</vt:lpstr>
      <vt:lpstr>Data_PerformanceBoxPanelLearnerNumber2012</vt:lpstr>
      <vt:lpstr>Data_PersonPanelSchaal</vt:lpstr>
      <vt:lpstr>Data_PersonPanelToelageDirecteur</vt:lpstr>
      <vt:lpstr>Data_PersonPanelTrede</vt:lpstr>
      <vt:lpstr>Data_PersonPanelUitloopschaal</vt:lpstr>
      <vt:lpstr>Data_PersonPanelWerktijdfactor</vt:lpstr>
      <vt:lpstr>Data_PersoonAanUitNatVerloop001</vt:lpstr>
      <vt:lpstr>Data_PersoonAanUitNatVerloop002</vt:lpstr>
      <vt:lpstr>Data_PersoonAanUitNatVerloop003</vt:lpstr>
      <vt:lpstr>Data_PersoonAanUitNatVerloop004</vt:lpstr>
      <vt:lpstr>Data_PersoonAanUitNatVerloop005</vt:lpstr>
      <vt:lpstr>Data_PersoonAanUitNatVerloop006</vt:lpstr>
      <vt:lpstr>Data_PersoonAanUitNatVerloop007</vt:lpstr>
      <vt:lpstr>Data_PersoonAanUitNatVerloop008</vt:lpstr>
      <vt:lpstr>Data_PersoonAanUitNatVerloop009</vt:lpstr>
      <vt:lpstr>Data_PersoonAanUitNatVerloop010</vt:lpstr>
      <vt:lpstr>Data_PersoonAanUitNatVerloop011</vt:lpstr>
      <vt:lpstr>Data_PersoonAanUitNatVerloop012</vt:lpstr>
      <vt:lpstr>Data_PersoonAanUitNatVerloop013</vt:lpstr>
      <vt:lpstr>Data_PersoonAanUitNatVerloop014</vt:lpstr>
      <vt:lpstr>Data_PersoonAanUitNatVerloop015</vt:lpstr>
      <vt:lpstr>Data_PersoonAanUitNatVerloop016</vt:lpstr>
      <vt:lpstr>Data_PersoonAanUitNatVerloop017</vt:lpstr>
      <vt:lpstr>Data_PersoonAanUitNatVerloop018</vt:lpstr>
      <vt:lpstr>Data_PersoonAanUitNatVerloop019</vt:lpstr>
      <vt:lpstr>Data_PersoonAanUitNatVerloop020</vt:lpstr>
      <vt:lpstr>Data_PersoonAanUitNatVerloop021</vt:lpstr>
      <vt:lpstr>Data_PersoonAanUitNatVerloop022</vt:lpstr>
      <vt:lpstr>Data_PersoonAanUitNatVerloop023</vt:lpstr>
      <vt:lpstr>Data_PersoonAanUitNatVerloop024</vt:lpstr>
      <vt:lpstr>Data_PersoonAanUitNatVerloop025</vt:lpstr>
      <vt:lpstr>Data_PersoonAanUitNatVerloop026</vt:lpstr>
      <vt:lpstr>Data_PersoonAanUitNatVerloop027</vt:lpstr>
      <vt:lpstr>Data_PersoonAanUitNatVerloop028</vt:lpstr>
      <vt:lpstr>Data_PersoonAanUitNatVerloop029</vt:lpstr>
      <vt:lpstr>Data_PersoonAanUitNatVerloop030</vt:lpstr>
      <vt:lpstr>Data_PersoonAanUitNatVerloop031</vt:lpstr>
      <vt:lpstr>Data_PersoonAanUitNatVerloop032</vt:lpstr>
      <vt:lpstr>Data_PersoonAanUitNatVerloop033</vt:lpstr>
      <vt:lpstr>Data_PersoonAanUitNatVerloop034</vt:lpstr>
      <vt:lpstr>Data_PersoonAanUitNatVerloop035</vt:lpstr>
      <vt:lpstr>Data_PersoonAanUitNatVerloop036</vt:lpstr>
      <vt:lpstr>Data_PersoonAanUitNatVerloop037</vt:lpstr>
      <vt:lpstr>Data_PersoonAanUitNatVerloop038</vt:lpstr>
      <vt:lpstr>Data_PersoonAanUitNatVerloop039</vt:lpstr>
      <vt:lpstr>Data_PersoonAanUitNatVerloop040</vt:lpstr>
      <vt:lpstr>Data_PersoonAanUitNatVerloop041</vt:lpstr>
      <vt:lpstr>Data_PersoonAanUitNatVerloop042</vt:lpstr>
      <vt:lpstr>Data_PersoonAanUitNatVerloop043</vt:lpstr>
      <vt:lpstr>Data_PersoonAanUitNatVerloop044</vt:lpstr>
      <vt:lpstr>Data_PersoonAanUitNatVerloop045</vt:lpstr>
      <vt:lpstr>Data_PersoonAanUitNatVerloop046</vt:lpstr>
      <vt:lpstr>Data_PersoonAanUitNatVerloop047</vt:lpstr>
      <vt:lpstr>Data_PersoonAanUitNatVerloop048</vt:lpstr>
      <vt:lpstr>Data_PersoonAanUitNatVerloop049</vt:lpstr>
      <vt:lpstr>Data_PersoonAanUitNatVerloop050</vt:lpstr>
      <vt:lpstr>Data_PersoonAanUitNatVerloop051</vt:lpstr>
      <vt:lpstr>Data_PersoonAanUitNatVerloop052</vt:lpstr>
      <vt:lpstr>Data_PersoonAanUitNatVerloop053</vt:lpstr>
      <vt:lpstr>Data_PersoonAanUitNatVerloop054</vt:lpstr>
      <vt:lpstr>Data_PersoonAanUitNatVerloop055</vt:lpstr>
      <vt:lpstr>Data_PersoonAanUitNatVerloop056</vt:lpstr>
      <vt:lpstr>Data_PersoonAanUitNatVerloop057</vt:lpstr>
      <vt:lpstr>Data_PersoonAanUitNatVerloop058</vt:lpstr>
      <vt:lpstr>Data_PersoonAanUitNatVerloop059</vt:lpstr>
      <vt:lpstr>Data_PersoonAanUitNatVerloop060</vt:lpstr>
      <vt:lpstr>Data_PersoonAanUitNatVerloop061</vt:lpstr>
      <vt:lpstr>Data_PersoonAanUitNatVerloop062</vt:lpstr>
      <vt:lpstr>Data_PersoonAanUitNatVerloop063</vt:lpstr>
      <vt:lpstr>Data_PersoonAanUitNatVerloop064</vt:lpstr>
      <vt:lpstr>Data_PersoonAanUitNatVerloop065</vt:lpstr>
      <vt:lpstr>Data_PersoonAanUitNatVerloop066</vt:lpstr>
      <vt:lpstr>Data_PersoonAanUitNatVerloop067</vt:lpstr>
      <vt:lpstr>Data_PersoonAanUitNatVerloop068</vt:lpstr>
      <vt:lpstr>Data_PersoonAanUitNatVerloop069</vt:lpstr>
      <vt:lpstr>Data_PersoonAanUitNatVerloop070</vt:lpstr>
      <vt:lpstr>Data_PersoonAanUitNatVerloop071</vt:lpstr>
      <vt:lpstr>Data_PersoonAanUitNatVerloop072</vt:lpstr>
      <vt:lpstr>Data_PersoonAanUitNatVerloop073</vt:lpstr>
      <vt:lpstr>Data_PersoonAanUitNatVerloop074</vt:lpstr>
      <vt:lpstr>Data_PersoonAanUitNatVerloop075</vt:lpstr>
      <vt:lpstr>Data_PersoonAanUitNatVerloop076</vt:lpstr>
      <vt:lpstr>Data_PersoonAanUitNatVerloop077</vt:lpstr>
      <vt:lpstr>Data_PersoonAanUitNatVerloop078</vt:lpstr>
      <vt:lpstr>Data_PersoonAanUitNatVerloop079</vt:lpstr>
      <vt:lpstr>Data_PersoonAanUitNatVerloop080</vt:lpstr>
      <vt:lpstr>Data_PersoonAanUitNatVerloop081</vt:lpstr>
      <vt:lpstr>Data_PersoonAanUitNatVerloop082</vt:lpstr>
      <vt:lpstr>Data_PersoonAanUitNatVerloop083</vt:lpstr>
      <vt:lpstr>Data_PersoonAanUitNatVerloop084</vt:lpstr>
      <vt:lpstr>Data_PersoonAanUitNatVerloop085</vt:lpstr>
      <vt:lpstr>Data_PersoonAanUitNatVerloop086</vt:lpstr>
      <vt:lpstr>Data_PersoonAanUitNatVerloop087</vt:lpstr>
      <vt:lpstr>Data_PersoonAanUitNatVerloop088</vt:lpstr>
      <vt:lpstr>Data_PersoonAanUitNatVerloop089</vt:lpstr>
      <vt:lpstr>Data_PersoonAanUitNatVerloop090</vt:lpstr>
      <vt:lpstr>Data_PersoonAanUitNatVerloop091</vt:lpstr>
      <vt:lpstr>Data_PersoonAanUitNatVerloop092</vt:lpstr>
      <vt:lpstr>Data_PersoonAanUitNatVerloop093</vt:lpstr>
      <vt:lpstr>Data_PersoonAanUitNatVerloop094</vt:lpstr>
      <vt:lpstr>Data_PersoonAanUitNatVerloop095</vt:lpstr>
      <vt:lpstr>Data_PersoonAanUitNatVerloop096</vt:lpstr>
      <vt:lpstr>Data_PersoonAanUitNatVerloop097</vt:lpstr>
      <vt:lpstr>Data_PersoonAanUitNatVerloop098</vt:lpstr>
      <vt:lpstr>Data_PersoonAanUitNatVerloop099</vt:lpstr>
      <vt:lpstr>Data_PersoonAanUitNatVerloop100</vt:lpstr>
      <vt:lpstr>Data_PersoonAanUitNatVerloop101</vt:lpstr>
      <vt:lpstr>Data_PersoonAanUitNatVerloop102</vt:lpstr>
      <vt:lpstr>Data_PersoonAanUitNatVerloop103</vt:lpstr>
      <vt:lpstr>Data_PersoonAanUitNatVerloop104</vt:lpstr>
      <vt:lpstr>Data_PersoonAanUitNatVerloop105</vt:lpstr>
      <vt:lpstr>Data_PersoonAanUitNatVerloop106</vt:lpstr>
      <vt:lpstr>Data_PersoonAanUitNatVerloop107</vt:lpstr>
      <vt:lpstr>Data_PersoonAanUitNatVerloop108</vt:lpstr>
      <vt:lpstr>Data_PersoonAanUitNatVerloop109</vt:lpstr>
      <vt:lpstr>Data_PersoonAanUitNatVerloop110</vt:lpstr>
      <vt:lpstr>Data_PersoonAanUitNatVerloop111</vt:lpstr>
      <vt:lpstr>Data_PersoonAanUitNatVerloop112</vt:lpstr>
      <vt:lpstr>Data_PersoonAanUitNatVerloop113</vt:lpstr>
      <vt:lpstr>Data_PersoonAanUitNatVerloop114</vt:lpstr>
      <vt:lpstr>Data_PersoonAanUitNatVerloop115</vt:lpstr>
      <vt:lpstr>Data_PersoonAanUitNatVerloop116</vt:lpstr>
      <vt:lpstr>Data_PersoonAanUitNatVerloop117</vt:lpstr>
      <vt:lpstr>Data_PersoonAanUitNatVerloop118</vt:lpstr>
      <vt:lpstr>Data_PersoonAanUitNatVerloop119</vt:lpstr>
      <vt:lpstr>Data_PersoonAanUitNatVerloop120</vt:lpstr>
      <vt:lpstr>Data_PersoonAanUitNatVerloop121</vt:lpstr>
      <vt:lpstr>Data_PersoonAanUitNatVerloop122</vt:lpstr>
      <vt:lpstr>Data_PersoonAanUitNatVerloop123</vt:lpstr>
      <vt:lpstr>Data_PersoonAanUitNatVerloop124</vt:lpstr>
      <vt:lpstr>Data_PersoonAanUitNatVerloop125</vt:lpstr>
      <vt:lpstr>Data_PersoonAanUitNatVerloop126</vt:lpstr>
      <vt:lpstr>Data_PersoonAanUitNatVerloop127</vt:lpstr>
      <vt:lpstr>Data_PersoonAanUitNatVerloop128</vt:lpstr>
      <vt:lpstr>Data_PersoonAanUitNatVerloop129</vt:lpstr>
      <vt:lpstr>Data_PersoonAanUitNatVerloop130</vt:lpstr>
      <vt:lpstr>Data_PersoonAanUitNatVerloop131</vt:lpstr>
      <vt:lpstr>Data_PersoonAanUitNatVerloop132</vt:lpstr>
      <vt:lpstr>Data_PersoonAanUitNatVerloop133</vt:lpstr>
      <vt:lpstr>Data_PersoonAanUitNatVerloop134</vt:lpstr>
      <vt:lpstr>Data_PersoonAanUitNatVerloop135</vt:lpstr>
      <vt:lpstr>Data_PersoonAanUitNatVerloop136</vt:lpstr>
      <vt:lpstr>Data_PersoonAanUitNatVerloop137</vt:lpstr>
      <vt:lpstr>Data_PersoonAanUitNatVerloop138</vt:lpstr>
      <vt:lpstr>Data_PersoonAanUitNatVerloop139</vt:lpstr>
      <vt:lpstr>Data_PersoonAanUitNatVerloop140</vt:lpstr>
      <vt:lpstr>Data_PersoonAanUitNatVerloop141</vt:lpstr>
      <vt:lpstr>Data_PersoonAanUitNatVerloop142</vt:lpstr>
      <vt:lpstr>Data_PersoonAanUitNatVerloop143</vt:lpstr>
      <vt:lpstr>Data_PersoonAanUitNatVerloop144</vt:lpstr>
      <vt:lpstr>Data_PersoonAanUitNatVerloop145</vt:lpstr>
      <vt:lpstr>Data_PersoonAanUitNatVerloop146</vt:lpstr>
      <vt:lpstr>Data_PersoonAanUitNatVerloop147</vt:lpstr>
      <vt:lpstr>Data_PersoonAanUitNatVerloop148</vt:lpstr>
      <vt:lpstr>Data_PersoonAanUitNatVerloop149</vt:lpstr>
      <vt:lpstr>Data_PersoonAanUitNatVerloop150</vt:lpstr>
      <vt:lpstr>Data_PersoonAanUitNatVerloop151</vt:lpstr>
      <vt:lpstr>Data_PersoonAanUitNatVerloop152</vt:lpstr>
      <vt:lpstr>Data_PersoonAanUitNatVerloop153</vt:lpstr>
      <vt:lpstr>Data_PersoonAanUitNatVerloop154</vt:lpstr>
      <vt:lpstr>Data_PersoonAanUitNatVerloop155</vt:lpstr>
      <vt:lpstr>Data_PersoonAanUitNatVerloop156</vt:lpstr>
      <vt:lpstr>Data_PersoonAanUitNatVerloop157</vt:lpstr>
      <vt:lpstr>Data_PersoonAanUitNatVerloop158</vt:lpstr>
      <vt:lpstr>Data_PersoonAanUitNatVerloop159</vt:lpstr>
      <vt:lpstr>Data_PersoonAanUitNatVerloop160</vt:lpstr>
      <vt:lpstr>Data_PersoonAanUitNatVerloop161</vt:lpstr>
      <vt:lpstr>Data_PersoonAanUitNatVerloop162</vt:lpstr>
      <vt:lpstr>Data_PersoonAanUitNatVerloop163</vt:lpstr>
      <vt:lpstr>Data_PersoonAanUitNatVerloop164</vt:lpstr>
      <vt:lpstr>Data_PersoonAanUitNatVerloop165</vt:lpstr>
      <vt:lpstr>Data_PersoonAanUitNatVerloop166</vt:lpstr>
      <vt:lpstr>Data_PersoonAanUitNatVerloop167</vt:lpstr>
      <vt:lpstr>Data_PersoonAanUitNatVerloop168</vt:lpstr>
      <vt:lpstr>Data_PersoonAanUitNatVerloop169</vt:lpstr>
      <vt:lpstr>Data_PersoonAanUitNatVerloop170</vt:lpstr>
      <vt:lpstr>Data_PersoonAanUitNatVerloop171</vt:lpstr>
      <vt:lpstr>Data_PersoonAanUitNatVerloop172</vt:lpstr>
      <vt:lpstr>Data_PersoonAanUitNatVerloop173</vt:lpstr>
      <vt:lpstr>Data_PersoonAanUitNatVerloop174</vt:lpstr>
      <vt:lpstr>Data_PersoonAanUitNatVerloop175</vt:lpstr>
      <vt:lpstr>Data_PersoonAanUitNatVerloop176</vt:lpstr>
      <vt:lpstr>Data_PersoonAanUitNatVerloop177</vt:lpstr>
      <vt:lpstr>Data_PersoonAanUitNatVerloop178</vt:lpstr>
      <vt:lpstr>Data_PersoonAanUitNatVerloop179</vt:lpstr>
      <vt:lpstr>Data_PersoonAanUitNatVerloop180</vt:lpstr>
      <vt:lpstr>Data_PersoonAanUitNatVerloop181</vt:lpstr>
      <vt:lpstr>Data_PersoonAanUitNatVerloop182</vt:lpstr>
      <vt:lpstr>Data_PersoonAanUitNatVerloop183</vt:lpstr>
      <vt:lpstr>Data_PersoonAanUitNatVerloop184</vt:lpstr>
      <vt:lpstr>Data_PersoonAanUitNatVerloop185</vt:lpstr>
      <vt:lpstr>Data_PersoonAanUitNatVerloop186</vt:lpstr>
      <vt:lpstr>Data_PersoonAanUitNatVerloop187</vt:lpstr>
      <vt:lpstr>Data_PersoonAanUitNatVerloop188</vt:lpstr>
      <vt:lpstr>Data_PersoonAanUitNatVerloop189</vt:lpstr>
      <vt:lpstr>Data_PersoonAanUitNatVerloop190</vt:lpstr>
      <vt:lpstr>Data_PersoonAanUitNatVerloop191</vt:lpstr>
      <vt:lpstr>Data_PersoonAanUitNatVerloop192</vt:lpstr>
      <vt:lpstr>Data_PersoonAanUitNatVerloop193</vt:lpstr>
      <vt:lpstr>Data_PersoonAanUitNatVerloop194</vt:lpstr>
      <vt:lpstr>Data_PersoonAanUitNatVerloop195</vt:lpstr>
      <vt:lpstr>Data_PersoonAanUitNatVerloop196</vt:lpstr>
      <vt:lpstr>Data_PersoonAanUitNatVerloop197</vt:lpstr>
      <vt:lpstr>Data_PersoonAanUitNatVerloop198</vt:lpstr>
      <vt:lpstr>Data_PersoonAanUitNatVerloop199</vt:lpstr>
      <vt:lpstr>Data_PersoonAanUitNatVerloop200</vt:lpstr>
      <vt:lpstr>Data_PersoonAanUitNatVerloop201</vt:lpstr>
      <vt:lpstr>Data_PersoonAanUitNatVerloop202</vt:lpstr>
      <vt:lpstr>Data_PersoonAanUitNatVerloop203</vt:lpstr>
      <vt:lpstr>Data_PersoonAanUitNatVerloop204</vt:lpstr>
      <vt:lpstr>Data_PersoonAanUitNatVerloop205</vt:lpstr>
      <vt:lpstr>Data_PersoonAanUitNatVerloop206</vt:lpstr>
      <vt:lpstr>Data_PersoonAanUitNatVerloop207</vt:lpstr>
      <vt:lpstr>Data_PersoonAanUitNatVerloop208</vt:lpstr>
      <vt:lpstr>Data_PersoonAanUitNatVerloop209</vt:lpstr>
      <vt:lpstr>Data_PersoonAanUitNatVerloop210</vt:lpstr>
      <vt:lpstr>Data_PersoonAanUitNatVerloop211</vt:lpstr>
      <vt:lpstr>Data_PersoonAanUitNatVerloop212</vt:lpstr>
      <vt:lpstr>Data_PersoonAanUitNatVerloop213</vt:lpstr>
      <vt:lpstr>Data_PersoonAanUitNatVerloop214</vt:lpstr>
      <vt:lpstr>Data_PersoonAanUitNatVerloop215</vt:lpstr>
      <vt:lpstr>Data_PersoonAanUitNatVerloop216</vt:lpstr>
      <vt:lpstr>Data_PersoonAanUitNatVerloop217</vt:lpstr>
      <vt:lpstr>Data_PersoonAanUitNatVerloop218</vt:lpstr>
      <vt:lpstr>Data_PersoonAanUitNatVerloop219</vt:lpstr>
      <vt:lpstr>Data_PersoonAanUitNatVerloop220</vt:lpstr>
      <vt:lpstr>Data_PersoonAanUitNatVerloop221</vt:lpstr>
      <vt:lpstr>Data_PersoonAanUitNatVerloop222</vt:lpstr>
      <vt:lpstr>Data_PersoonAanUitNatVerloop223</vt:lpstr>
      <vt:lpstr>Data_PersoonAanUitNatVerloop224</vt:lpstr>
      <vt:lpstr>Data_PersoonAanUitNatVerloop225</vt:lpstr>
      <vt:lpstr>Data_PersoonAanUitNatVerloop226</vt:lpstr>
      <vt:lpstr>Data_PersoonAanUitNatVerloop227</vt:lpstr>
      <vt:lpstr>Data_PersoonAanUitNatVerloop228</vt:lpstr>
      <vt:lpstr>Data_PersoonAanUitNatVerloop229</vt:lpstr>
      <vt:lpstr>Data_PersoonAanUitNatVerloop230</vt:lpstr>
      <vt:lpstr>Data_PersoonAanUitNatVerloop231</vt:lpstr>
      <vt:lpstr>Data_PersoonAanUitNatVerloop232</vt:lpstr>
      <vt:lpstr>Data_PersoonAanUitNatVerloop233</vt:lpstr>
      <vt:lpstr>Data_PersoonAanUitNatVerloop234</vt:lpstr>
      <vt:lpstr>Data_PersoonAanUitNatVerloop235</vt:lpstr>
      <vt:lpstr>Data_PersoonAanUitNatVerloop236</vt:lpstr>
      <vt:lpstr>Data_PersoonAanUitNatVerloop237</vt:lpstr>
      <vt:lpstr>Data_PersoonAanUitNatVerloop238</vt:lpstr>
      <vt:lpstr>Data_PersoonAanUitNatVerloop239</vt:lpstr>
      <vt:lpstr>Data_PersoonAanUitNatVerloop240</vt:lpstr>
      <vt:lpstr>Data_PersoonAanUitNatVerloop241</vt:lpstr>
      <vt:lpstr>Data_PersoonAanUitNatVerloop242</vt:lpstr>
      <vt:lpstr>Data_PersoonAanUitNatVerloop243</vt:lpstr>
      <vt:lpstr>Data_PersoonAanUitNatVerloop244</vt:lpstr>
      <vt:lpstr>Data_PersoonAanUitNatVerloop245</vt:lpstr>
      <vt:lpstr>Data_PersoonAanUitNatVerloop246</vt:lpstr>
      <vt:lpstr>Data_PersoonAanUitNatVerloop247</vt:lpstr>
      <vt:lpstr>Data_PersoonAanUitNatVerloop248</vt:lpstr>
      <vt:lpstr>Data_PersoonAanUitNatVerloop249</vt:lpstr>
      <vt:lpstr>Data_PersoonAanUitNatVerloop250</vt:lpstr>
      <vt:lpstr>Data_PersoonAanUitNatVerloop251</vt:lpstr>
      <vt:lpstr>Data_PersoonAanUitNatVerloop252</vt:lpstr>
      <vt:lpstr>Data_PersoonAanUitNatVerloop253</vt:lpstr>
      <vt:lpstr>Data_PersoonAanUitNatVerloop254</vt:lpstr>
      <vt:lpstr>Data_PersoonAanUitNatVerloop255</vt:lpstr>
      <vt:lpstr>Data_PersoonAanUitNatVerloop256</vt:lpstr>
      <vt:lpstr>Data_PersoonAanUitNatVerloop257</vt:lpstr>
      <vt:lpstr>Data_PersoonAanUitNatVerloop258</vt:lpstr>
      <vt:lpstr>Data_PersoonAanUitNatVerloop259</vt:lpstr>
      <vt:lpstr>Data_PersoonAanUitNatVerloop260</vt:lpstr>
      <vt:lpstr>Data_PersoonAanUitNatVerloop261</vt:lpstr>
      <vt:lpstr>Data_PersoonAanUitNatVerloop262</vt:lpstr>
      <vt:lpstr>Data_PersoonAanUitNatVerloop263</vt:lpstr>
      <vt:lpstr>Data_PersoonAanUitNatVerloop264</vt:lpstr>
      <vt:lpstr>Data_PersoonAanUitNatVerloop265</vt:lpstr>
      <vt:lpstr>Data_PersoonAanUitNatVerloop266</vt:lpstr>
      <vt:lpstr>Data_PersoonAanUitNatVerloop267</vt:lpstr>
      <vt:lpstr>Data_PersoonAanUitNatVerloop268</vt:lpstr>
      <vt:lpstr>Data_PersoonAanUitNatVerloop269</vt:lpstr>
      <vt:lpstr>Data_PersoonAanUitNatVerloop270</vt:lpstr>
      <vt:lpstr>Data_PersoonAanUitNatVerloop271</vt:lpstr>
      <vt:lpstr>Data_PersoonAanUitNatVerloop272</vt:lpstr>
      <vt:lpstr>Data_PersoonAanUitNatVerloop273</vt:lpstr>
      <vt:lpstr>Data_PersoonAanUitNatVerloop274</vt:lpstr>
      <vt:lpstr>Data_PersoonAanUitNatVerloop275</vt:lpstr>
      <vt:lpstr>Data_PersoonAanUitNatVerloop276</vt:lpstr>
      <vt:lpstr>Data_PersoonAanUitNatVerloop277</vt:lpstr>
      <vt:lpstr>Data_PersoonAanUitNatVerloop278</vt:lpstr>
      <vt:lpstr>Data_PersoonAanUitNatVerloop279</vt:lpstr>
      <vt:lpstr>Data_PersoonAanUitNatVerloop280</vt:lpstr>
      <vt:lpstr>Data_PersoonAanUitNatVerloop281</vt:lpstr>
      <vt:lpstr>Data_PersoonAanUitNatVerloop282</vt:lpstr>
      <vt:lpstr>Data_PersoonAanUitNatVerloop283</vt:lpstr>
      <vt:lpstr>Data_PersoonAanUitNatVerloop284</vt:lpstr>
      <vt:lpstr>Data_PersoonAanUitNatVerloop285</vt:lpstr>
      <vt:lpstr>Data_PersoonAanUitNatVerloop286</vt:lpstr>
      <vt:lpstr>Data_PersoonAanUitNatVerloop287</vt:lpstr>
      <vt:lpstr>Data_PersoonAanUitNatVerloop288</vt:lpstr>
      <vt:lpstr>Data_PersoonAanUitNatVerloop289</vt:lpstr>
      <vt:lpstr>Data_PersoonAanUitNatVerloop290</vt:lpstr>
      <vt:lpstr>Data_PersoonAanUitNatVerloop291</vt:lpstr>
      <vt:lpstr>Data_PersoonAanUitNatVerloop292</vt:lpstr>
      <vt:lpstr>Data_PersoonAanUitNatVerloop293</vt:lpstr>
      <vt:lpstr>Data_PersoonAanUitNatVerloop294</vt:lpstr>
      <vt:lpstr>Data_PersoonAanUitNatVerloop295</vt:lpstr>
      <vt:lpstr>Data_PersoonAanUitNatVerloop296</vt:lpstr>
      <vt:lpstr>Data_PersoonAanUitNatVerloop297</vt:lpstr>
      <vt:lpstr>Data_PersoonAanUitNatVerloop298</vt:lpstr>
      <vt:lpstr>Data_PersoonAanUitNatVerloop299</vt:lpstr>
      <vt:lpstr>Data_PersoonAanUitNatVerloop300</vt:lpstr>
      <vt:lpstr>Data_PersoonAanUitNatVerloop301</vt:lpstr>
      <vt:lpstr>Data_PersoonAanUitNatVerloop302</vt:lpstr>
      <vt:lpstr>Data_PersoonAanUitNatVerloop303</vt:lpstr>
      <vt:lpstr>Data_PersoonAanUitNatVerloop304</vt:lpstr>
      <vt:lpstr>Data_PersoonAanUitNatVerloop305</vt:lpstr>
      <vt:lpstr>Data_PersoonAanUitNatVerloop306</vt:lpstr>
      <vt:lpstr>Data_PersoonAanUitNatVerloop307</vt:lpstr>
      <vt:lpstr>Data_PersoonAanUitNatVerloop308</vt:lpstr>
      <vt:lpstr>Data_PersoonAanUitNatVerloop309</vt:lpstr>
      <vt:lpstr>Data_PersoonAanUitNatVerloop310</vt:lpstr>
      <vt:lpstr>Data_PersoonAanUitNatVerloop311</vt:lpstr>
      <vt:lpstr>Data_PersoonAanUitNatVerloop312</vt:lpstr>
      <vt:lpstr>Data_PersoonAanUitNatVerloop313</vt:lpstr>
      <vt:lpstr>Data_PersoonAanUitNatVerloop314</vt:lpstr>
      <vt:lpstr>Data_PersoonAanUitNatVerloop315</vt:lpstr>
      <vt:lpstr>Data_PersoonAanUitNatVerloop316</vt:lpstr>
      <vt:lpstr>Data_PersoonAanUitNatVerloop317</vt:lpstr>
      <vt:lpstr>Data_PersoonAanUitNatVerloop318</vt:lpstr>
      <vt:lpstr>Data_PersoonAanUitNatVerloop319</vt:lpstr>
      <vt:lpstr>Data_PersoonAanUitNatVerloop320</vt:lpstr>
      <vt:lpstr>Data_PersoonAanUitNatVerloop321</vt:lpstr>
      <vt:lpstr>Data_PersoonAanUitNatVerloop322</vt:lpstr>
      <vt:lpstr>Data_PersoonAanUitNatVerloop323</vt:lpstr>
      <vt:lpstr>Data_PersoonAanUitNatVerloop324</vt:lpstr>
      <vt:lpstr>Data_PersoonAanUitNatVerloop325</vt:lpstr>
      <vt:lpstr>Data_PersoonAanUitNatVerloop326</vt:lpstr>
      <vt:lpstr>Data_PersoonAanUitNatVerloop327</vt:lpstr>
      <vt:lpstr>Data_PersoonAanUitNatVerloop328</vt:lpstr>
      <vt:lpstr>Data_PersoonAanUitNatVerloop329</vt:lpstr>
      <vt:lpstr>Data_PersoonAanUitNatVerloop330</vt:lpstr>
      <vt:lpstr>Data_PersoonAanUitNatVerloop331</vt:lpstr>
      <vt:lpstr>Data_PersoonAanUitNatVerloop332</vt:lpstr>
      <vt:lpstr>Data_PersoonAanUitNatVerloop333</vt:lpstr>
      <vt:lpstr>Data_PersoonAanUitNatVerloop334</vt:lpstr>
      <vt:lpstr>Data_PersoonAanUitNatVerloop335</vt:lpstr>
      <vt:lpstr>Data_PersoonAanUitNatVerloop336</vt:lpstr>
      <vt:lpstr>Data_PersoonAanUitNatVerloop337</vt:lpstr>
      <vt:lpstr>Data_PersoonAanUitNatVerloop338</vt:lpstr>
      <vt:lpstr>Data_PersoonAanUitNatVerloop339</vt:lpstr>
      <vt:lpstr>Data_PersoonAanUitNatVerloop340</vt:lpstr>
      <vt:lpstr>Data_PersoonAanUitNatVerloop341</vt:lpstr>
      <vt:lpstr>Data_PersoonAanUitNatVerloop342</vt:lpstr>
      <vt:lpstr>Data_PersoonAanUitNatVerloop343</vt:lpstr>
      <vt:lpstr>Data_PersoonAanUitNatVerloop344</vt:lpstr>
      <vt:lpstr>Data_PersoonAanUitNatVerloop345</vt:lpstr>
      <vt:lpstr>Data_PersoonAanUitNatVerloop346</vt:lpstr>
      <vt:lpstr>Data_PersoonAanUitNatVerloop347</vt:lpstr>
      <vt:lpstr>Data_PersoonAanUitNatVerloop348</vt:lpstr>
      <vt:lpstr>Data_PersoonAanUitNatVerloop349</vt:lpstr>
      <vt:lpstr>Data_PersoonAanUitNatVerloop350</vt:lpstr>
      <vt:lpstr>Data_PersoonAanUitNatVerloop351</vt:lpstr>
      <vt:lpstr>Data_PersoonAanUitNatVerloop352</vt:lpstr>
      <vt:lpstr>Data_PersoonAanUitNatVerloop353</vt:lpstr>
      <vt:lpstr>Data_PersoonAanUitNatVerloop354</vt:lpstr>
      <vt:lpstr>Data_PersoonAanUitNatVerloop355</vt:lpstr>
      <vt:lpstr>Data_PersoonAanUitNatVerloop356</vt:lpstr>
      <vt:lpstr>Data_PersoonAanUitNatVerloop357</vt:lpstr>
      <vt:lpstr>Data_PersoonAanUitNatVerloop358</vt:lpstr>
      <vt:lpstr>Data_PersoonAanUitNatVerloop359</vt:lpstr>
      <vt:lpstr>Data_PersoonAanUitNatVerloop360</vt:lpstr>
      <vt:lpstr>Data_PersoonAanUitNatVerloop361</vt:lpstr>
      <vt:lpstr>Data_PersoonAanUitNatVerloop362</vt:lpstr>
      <vt:lpstr>Data_PersoonAanUitNatVerloop363</vt:lpstr>
      <vt:lpstr>Data_PersoonAanUitNatVerloop364</vt:lpstr>
      <vt:lpstr>Data_PersoonAanUitNatVerloop365</vt:lpstr>
      <vt:lpstr>Data_PersoonAanUitNatVerloop366</vt:lpstr>
      <vt:lpstr>Data_PersoonAanUitNatVerloop367</vt:lpstr>
      <vt:lpstr>Data_PersoonAanUitNatVerloop368</vt:lpstr>
      <vt:lpstr>Data_PersoonAanUitNatVerloop369</vt:lpstr>
      <vt:lpstr>Data_PersoonAanUitNatVerloop370</vt:lpstr>
      <vt:lpstr>Data_PersoonAanUitNatVerloop371</vt:lpstr>
      <vt:lpstr>Data_PersoonAanUitNatVerloop372</vt:lpstr>
      <vt:lpstr>Data_PersoonAanUitNatVerloop373</vt:lpstr>
      <vt:lpstr>Data_PersoonAanUitNatVerloop374</vt:lpstr>
      <vt:lpstr>Data_PersoonAanUitNatVerloop375</vt:lpstr>
      <vt:lpstr>Data_PersoonAanUitNatVerloop376</vt:lpstr>
      <vt:lpstr>Data_PersoonAanUitNatVerloop377</vt:lpstr>
      <vt:lpstr>Data_PersoonAanUitNatVerloop378</vt:lpstr>
      <vt:lpstr>Data_PersoonAanUitNatVerloop379</vt:lpstr>
      <vt:lpstr>Data_PersoonAanUitNatVerloop380</vt:lpstr>
      <vt:lpstr>Data_PersoonAanUitNatVerloop381</vt:lpstr>
      <vt:lpstr>Data_PersoonAanUitNatVerloop382</vt:lpstr>
      <vt:lpstr>Data_PersoonAanUitNatVerloop383</vt:lpstr>
      <vt:lpstr>Data_PersoonAanUitNatVerloop384</vt:lpstr>
      <vt:lpstr>Data_PersoonAanUitNatVerloop385</vt:lpstr>
      <vt:lpstr>Data_PersoonAanUitNatVerloop386</vt:lpstr>
      <vt:lpstr>Data_PersoonAanUitNatVerloop387</vt:lpstr>
      <vt:lpstr>Data_PersoonAanUitNatVerloop388</vt:lpstr>
      <vt:lpstr>Data_PersoonAanUitNatVerloop389</vt:lpstr>
      <vt:lpstr>Data_PersoonAanUitNatVerloop390</vt:lpstr>
      <vt:lpstr>Data_PersoonAanUitNatVerloop391</vt:lpstr>
      <vt:lpstr>Data_PersoonAanUitNatVerloop392</vt:lpstr>
      <vt:lpstr>Data_PersoonAanUitNatVerloop393</vt:lpstr>
      <vt:lpstr>Data_PersoonAanUitNatVerloop394</vt:lpstr>
      <vt:lpstr>Data_PersoonAanUitNatVerloop395</vt:lpstr>
      <vt:lpstr>Data_PersoonAanUitNatVerloop396</vt:lpstr>
      <vt:lpstr>Data_PersoonAanUitNatVerloop397</vt:lpstr>
      <vt:lpstr>Data_PersoonAanUitNatVerloop398</vt:lpstr>
      <vt:lpstr>Data_PersoonAanUitNatVerloop399</vt:lpstr>
      <vt:lpstr>Data_PersoonAanUitNatVerloop400</vt:lpstr>
      <vt:lpstr>Data_PersoonAanUitNatVerloop401</vt:lpstr>
      <vt:lpstr>Data_PersoonAanUitNatVerloop402</vt:lpstr>
      <vt:lpstr>Data_PersoonAanUitNatVerloop403</vt:lpstr>
      <vt:lpstr>Data_PersoonAanUitNatVerloop404</vt:lpstr>
      <vt:lpstr>Data_PersoonAanUitNatVerloop405</vt:lpstr>
      <vt:lpstr>Data_PersoonAanUitNatVerloop406</vt:lpstr>
      <vt:lpstr>Data_PersoonAanUitNatVerloop407</vt:lpstr>
      <vt:lpstr>Data_PersoonAanUitNatVerloop408</vt:lpstr>
      <vt:lpstr>Data_PersoonAanUitNatVerloop409</vt:lpstr>
      <vt:lpstr>Data_PersoonAanUitNatVerloop410</vt:lpstr>
      <vt:lpstr>Data_PersoonAanUitNatVerloop411</vt:lpstr>
      <vt:lpstr>Data_PersoonAanUitNatVerloop412</vt:lpstr>
      <vt:lpstr>Data_PersoonAanUitNatVerloop413</vt:lpstr>
      <vt:lpstr>Data_PersoonAanUitNatVerloop414</vt:lpstr>
      <vt:lpstr>Data_PersoonAanUitNatVerloop415</vt:lpstr>
      <vt:lpstr>Data_PersoonAanUitNatVerloop416</vt:lpstr>
      <vt:lpstr>Data_PersoonAanUitNatVerloop417</vt:lpstr>
      <vt:lpstr>Data_PersoonAanUitNatVerloop418</vt:lpstr>
      <vt:lpstr>Data_PersoonAanUitNatVerloop419</vt:lpstr>
      <vt:lpstr>Data_PersoonAanUitNatVerloop420</vt:lpstr>
      <vt:lpstr>Data_PersoonAanUitNatVerloop421</vt:lpstr>
      <vt:lpstr>Data_PersoonAanUitNatVerloop422</vt:lpstr>
      <vt:lpstr>Data_PersoonAanUitNatVerloop423</vt:lpstr>
      <vt:lpstr>Data_PersoonAanUitNatVerloop424</vt:lpstr>
      <vt:lpstr>Data_PersoonAanUitNatVerloop425</vt:lpstr>
      <vt:lpstr>Data_PersoonAanUitNatVerloop426</vt:lpstr>
      <vt:lpstr>Data_PersoonAanUitNatVerloop427</vt:lpstr>
      <vt:lpstr>Data_PersoonAanUitNatVerloop428</vt:lpstr>
      <vt:lpstr>Data_PersoonAanUitNatVerloop429</vt:lpstr>
      <vt:lpstr>Data_PersoonAanUitNatVerloop430</vt:lpstr>
      <vt:lpstr>Data_PersoonAanUitNatVerloop431</vt:lpstr>
      <vt:lpstr>Data_PersoonAanUitNatVerloop432</vt:lpstr>
      <vt:lpstr>Data_PersoonAanUitNatVerloop433</vt:lpstr>
      <vt:lpstr>Data_PersoonAanUitNatVerloop434</vt:lpstr>
      <vt:lpstr>Data_PersoonAanUitNatVerloop435</vt:lpstr>
      <vt:lpstr>Data_PersoonAanUitNatVerloop436</vt:lpstr>
      <vt:lpstr>Data_PersoonAanUitNatVerloop437</vt:lpstr>
      <vt:lpstr>Data_PersoonAanUitNatVerloop438</vt:lpstr>
      <vt:lpstr>Data_PersoonAanUitNatVerloop439</vt:lpstr>
      <vt:lpstr>Data_PersoonAanUitNatVerloop440</vt:lpstr>
      <vt:lpstr>Data_PersoonAanUitNatVerloop441</vt:lpstr>
      <vt:lpstr>Data_PersoonAanUitNatVerloop442</vt:lpstr>
      <vt:lpstr>Data_PersoonAanUitNatVerloop443</vt:lpstr>
      <vt:lpstr>Data_PersoonAanUitNatVerloop444</vt:lpstr>
      <vt:lpstr>Data_PersoonAanUitNatVerloop445</vt:lpstr>
      <vt:lpstr>Data_PersoonAanUitNatVerloop446</vt:lpstr>
      <vt:lpstr>Data_PersoonAanUitNatVerloop447</vt:lpstr>
      <vt:lpstr>Data_PersoonAanUitNatVerloop448</vt:lpstr>
      <vt:lpstr>Data_PersoonAanUitNatVerloop449</vt:lpstr>
      <vt:lpstr>Data_PersoonAanUitNatVerloop450</vt:lpstr>
      <vt:lpstr>Data_PersoonAanUitNatVerloop451</vt:lpstr>
      <vt:lpstr>Data_PersoonAanUitNatVerloop452</vt:lpstr>
      <vt:lpstr>Data_PersoonAanUitNatVerloop453</vt:lpstr>
      <vt:lpstr>Data_PersoonAanUitNatVerloop454</vt:lpstr>
      <vt:lpstr>Data_PersoonAanUitNatVerloop455</vt:lpstr>
      <vt:lpstr>Data_PersoonAanUitNatVerloop456</vt:lpstr>
      <vt:lpstr>Data_PersoonAanUitNatVerloop457</vt:lpstr>
      <vt:lpstr>Data_PersoonAanUitNatVerloop458</vt:lpstr>
      <vt:lpstr>Data_PersoonAanUitNatVerloop459</vt:lpstr>
      <vt:lpstr>Data_PersoonAanUitNatVerloop460</vt:lpstr>
      <vt:lpstr>Data_PersoonAanUitNatVerloop461</vt:lpstr>
      <vt:lpstr>Data_PersoonAanUitNatVerloop462</vt:lpstr>
      <vt:lpstr>Data_PersoonAanUitNatVerloop463</vt:lpstr>
      <vt:lpstr>Data_PersoonAanUitNatVerloop464</vt:lpstr>
      <vt:lpstr>Data_PersoonAanUitNatVerloop465</vt:lpstr>
      <vt:lpstr>Data_PersoonAanUitNatVerloop466</vt:lpstr>
      <vt:lpstr>Data_PersoonAanUitNatVerloop467</vt:lpstr>
      <vt:lpstr>Data_PersoonAanUitNatVerloop468</vt:lpstr>
      <vt:lpstr>Data_PersoonAanUitNatVerloop469</vt:lpstr>
      <vt:lpstr>Data_PersoonAanUitNatVerloop470</vt:lpstr>
      <vt:lpstr>Data_PersoonAanUitNatVerloop471</vt:lpstr>
      <vt:lpstr>Data_PersoonAanUitNatVerloop472</vt:lpstr>
      <vt:lpstr>Data_PersoonAanUitNatVerloop473</vt:lpstr>
      <vt:lpstr>Data_PersoonAanUitNatVerloop474</vt:lpstr>
      <vt:lpstr>Data_PersoonAanUitNatVerloop475</vt:lpstr>
      <vt:lpstr>Data_PersoonAanUitNatVerloop476</vt:lpstr>
      <vt:lpstr>Data_PersoonAanUitNatVerloop477</vt:lpstr>
      <vt:lpstr>Data_PersoonAanUitNatVerloop478</vt:lpstr>
      <vt:lpstr>Data_PersoonAanUitNatVerloop479</vt:lpstr>
      <vt:lpstr>Data_PersoonAanUitNatVerloop480</vt:lpstr>
      <vt:lpstr>Data_PersoonAanUitNatVerloop481</vt:lpstr>
      <vt:lpstr>Data_PersoonAanUitNatVerloop482</vt:lpstr>
      <vt:lpstr>Data_PersoonAanUitNatVerloop483</vt:lpstr>
      <vt:lpstr>Data_PersoonAanUitNatVerloop484</vt:lpstr>
      <vt:lpstr>Data_PersoonAanUitNatVerloop485</vt:lpstr>
      <vt:lpstr>Data_PersoonAanUitNatVerloop486</vt:lpstr>
      <vt:lpstr>Data_PersoonAanUitNatVerloop487</vt:lpstr>
      <vt:lpstr>Data_PersoonAanUitNatVerloop488</vt:lpstr>
      <vt:lpstr>Data_PersoonAanUitNatVerloop489</vt:lpstr>
      <vt:lpstr>Data_PersoonAanUitNatVerloop490</vt:lpstr>
      <vt:lpstr>Data_PersoonAanUitNatVerloop491</vt:lpstr>
      <vt:lpstr>Data_PersoonAanUitNatVerloop492</vt:lpstr>
      <vt:lpstr>Data_PersoonAanUitNatVerloop493</vt:lpstr>
      <vt:lpstr>Data_PersoonAanUitNatVerloop494</vt:lpstr>
      <vt:lpstr>Data_PersoonAanUitNatVerloop495</vt:lpstr>
      <vt:lpstr>Data_PersoonAanUitNatVerloop496</vt:lpstr>
      <vt:lpstr>Data_PersoonAanUitNatVerloop497</vt:lpstr>
      <vt:lpstr>Data_PersoonAanUitNatVerloop498</vt:lpstr>
      <vt:lpstr>Data_PersoonAanUitNatVerloop499</vt:lpstr>
      <vt:lpstr>Data_PersoonAanUitNatVerloop500</vt:lpstr>
      <vt:lpstr>Data_PersoonAanUitTijd001</vt:lpstr>
      <vt:lpstr>Data_PersoonAanUitTijd002</vt:lpstr>
      <vt:lpstr>Data_PersoonAanUitTijd003</vt:lpstr>
      <vt:lpstr>Data_PersoonAanUitTijd004</vt:lpstr>
      <vt:lpstr>Data_PersoonAanUitTijd005</vt:lpstr>
      <vt:lpstr>Data_PersoonAanUitTijd006</vt:lpstr>
      <vt:lpstr>Data_PersoonAanUitTijd007</vt:lpstr>
      <vt:lpstr>Data_PersoonAanUitTijd008</vt:lpstr>
      <vt:lpstr>Data_PersoonAanUitTijd009</vt:lpstr>
      <vt:lpstr>Data_PersoonAanUitTijd010</vt:lpstr>
      <vt:lpstr>Data_PersoonAanUitTijd011</vt:lpstr>
      <vt:lpstr>Data_PersoonAanUitTijd012</vt:lpstr>
      <vt:lpstr>Data_PersoonAanUitTijd013</vt:lpstr>
      <vt:lpstr>Data_PersoonAanUitTijd014</vt:lpstr>
      <vt:lpstr>Data_PersoonAanUitTijd015</vt:lpstr>
      <vt:lpstr>Data_PersoonAanUitTijd016</vt:lpstr>
      <vt:lpstr>Data_PersoonAanUitTijd017</vt:lpstr>
      <vt:lpstr>Data_PersoonAanUitTijd018</vt:lpstr>
      <vt:lpstr>Data_PersoonAanUitTijd019</vt:lpstr>
      <vt:lpstr>Data_PersoonAanUitTijd020</vt:lpstr>
      <vt:lpstr>Data_PersoonAanUitTijd021</vt:lpstr>
      <vt:lpstr>Data_PersoonAanUitTijd022</vt:lpstr>
      <vt:lpstr>Data_PersoonAanUitTijd023</vt:lpstr>
      <vt:lpstr>Data_PersoonAanUitTijd024</vt:lpstr>
      <vt:lpstr>Data_PersoonAanUitTijd025</vt:lpstr>
      <vt:lpstr>Data_PersoonAanUitTijd026</vt:lpstr>
      <vt:lpstr>Data_PersoonAanUitTijd027</vt:lpstr>
      <vt:lpstr>Data_PersoonAanUitTijd028</vt:lpstr>
      <vt:lpstr>Data_PersoonAanUitTijd029</vt:lpstr>
      <vt:lpstr>Data_PersoonAanUitTijd030</vt:lpstr>
      <vt:lpstr>Data_PersoonAanUitTijd031</vt:lpstr>
      <vt:lpstr>Data_PersoonAanUitTijd032</vt:lpstr>
      <vt:lpstr>Data_PersoonAanUitTijd033</vt:lpstr>
      <vt:lpstr>Data_PersoonAanUitTijd034</vt:lpstr>
      <vt:lpstr>Data_PersoonAanUitTijd035</vt:lpstr>
      <vt:lpstr>Data_PersoonAanUitTijd036</vt:lpstr>
      <vt:lpstr>Data_PersoonAanUitTijd037</vt:lpstr>
      <vt:lpstr>Data_PersoonAanUitTijd038</vt:lpstr>
      <vt:lpstr>Data_PersoonAanUitTijd039</vt:lpstr>
      <vt:lpstr>Data_PersoonAanUitTijd040</vt:lpstr>
      <vt:lpstr>Data_PersoonAanUitTijd041</vt:lpstr>
      <vt:lpstr>Data_PersoonAanUitTijd042</vt:lpstr>
      <vt:lpstr>Data_PersoonAanUitTijd043</vt:lpstr>
      <vt:lpstr>Data_PersoonAanUitTijd044</vt:lpstr>
      <vt:lpstr>Data_PersoonAanUitTijd045</vt:lpstr>
      <vt:lpstr>Data_PersoonAanUitTijd046</vt:lpstr>
      <vt:lpstr>Data_PersoonAanUitTijd047</vt:lpstr>
      <vt:lpstr>Data_PersoonAanUitTijd048</vt:lpstr>
      <vt:lpstr>Data_PersoonAanUitTijd049</vt:lpstr>
      <vt:lpstr>Data_PersoonAanUitTijd050</vt:lpstr>
      <vt:lpstr>Data_PersoonAanUitTijd051</vt:lpstr>
      <vt:lpstr>Data_PersoonAanUitTijd052</vt:lpstr>
      <vt:lpstr>Data_PersoonAanUitTijd053</vt:lpstr>
      <vt:lpstr>Data_PersoonAanUitTijd054</vt:lpstr>
      <vt:lpstr>Data_PersoonAanUitTijd055</vt:lpstr>
      <vt:lpstr>Data_PersoonAanUitTijd056</vt:lpstr>
      <vt:lpstr>Data_PersoonAanUitTijd057</vt:lpstr>
      <vt:lpstr>Data_PersoonAanUitTijd058</vt:lpstr>
      <vt:lpstr>Data_PersoonAanUitTijd059</vt:lpstr>
      <vt:lpstr>Data_PersoonAanUitTijd060</vt:lpstr>
      <vt:lpstr>Data_PersoonAanUitTijd061</vt:lpstr>
      <vt:lpstr>Data_PersoonAanUitTijd062</vt:lpstr>
      <vt:lpstr>Data_PersoonAanUitTijd063</vt:lpstr>
      <vt:lpstr>Data_PersoonAanUitTijd064</vt:lpstr>
      <vt:lpstr>Data_PersoonAanUitTijd065</vt:lpstr>
      <vt:lpstr>Data_PersoonAanUitTijd066</vt:lpstr>
      <vt:lpstr>Data_PersoonAanUitTijd067</vt:lpstr>
      <vt:lpstr>Data_PersoonAanUitTijd068</vt:lpstr>
      <vt:lpstr>Data_PersoonAanUitTijd069</vt:lpstr>
      <vt:lpstr>Data_PersoonAanUitTijd070</vt:lpstr>
      <vt:lpstr>Data_PersoonAanUitTijd071</vt:lpstr>
      <vt:lpstr>Data_PersoonAanUitTijd072</vt:lpstr>
      <vt:lpstr>Data_PersoonAanUitTijd073</vt:lpstr>
      <vt:lpstr>Data_PersoonAanUitTijd074</vt:lpstr>
      <vt:lpstr>Data_PersoonAanUitTijd075</vt:lpstr>
      <vt:lpstr>Data_PersoonAanUitTijd076</vt:lpstr>
      <vt:lpstr>Data_PersoonAanUitTijd077</vt:lpstr>
      <vt:lpstr>Data_PersoonAanUitTijd078</vt:lpstr>
      <vt:lpstr>Data_PersoonAanUitTijd079</vt:lpstr>
      <vt:lpstr>Data_PersoonAanUitTijd080</vt:lpstr>
      <vt:lpstr>Data_PersoonAanUitTijd081</vt:lpstr>
      <vt:lpstr>Data_PersoonAanUitTijd082</vt:lpstr>
      <vt:lpstr>Data_PersoonAanUitTijd083</vt:lpstr>
      <vt:lpstr>Data_PersoonAanUitTijd084</vt:lpstr>
      <vt:lpstr>Data_PersoonAanUitTijd085</vt:lpstr>
      <vt:lpstr>Data_PersoonAanUitTijd086</vt:lpstr>
      <vt:lpstr>Data_PersoonAanUitTijd087</vt:lpstr>
      <vt:lpstr>Data_PersoonAanUitTijd088</vt:lpstr>
      <vt:lpstr>Data_PersoonAanUitTijd089</vt:lpstr>
      <vt:lpstr>Data_PersoonAanUitTijd090</vt:lpstr>
      <vt:lpstr>Data_PersoonAanUitTijd091</vt:lpstr>
      <vt:lpstr>Data_PersoonAanUitTijd092</vt:lpstr>
      <vt:lpstr>Data_PersoonAanUitTijd093</vt:lpstr>
      <vt:lpstr>Data_PersoonAanUitTijd094</vt:lpstr>
      <vt:lpstr>Data_PersoonAanUitTijd095</vt:lpstr>
      <vt:lpstr>Data_PersoonAanUitTijd096</vt:lpstr>
      <vt:lpstr>Data_PersoonAanUitTijd097</vt:lpstr>
      <vt:lpstr>Data_PersoonAanUitTijd098</vt:lpstr>
      <vt:lpstr>Data_PersoonAanUitTijd099</vt:lpstr>
      <vt:lpstr>Data_PersoonAanUitTijd100</vt:lpstr>
      <vt:lpstr>Data_PersoonAanUitTijd101</vt:lpstr>
      <vt:lpstr>Data_PersoonAanUitTijd102</vt:lpstr>
      <vt:lpstr>Data_PersoonAanUitTijd103</vt:lpstr>
      <vt:lpstr>Data_PersoonAanUitTijd104</vt:lpstr>
      <vt:lpstr>Data_PersoonAanUitTijd105</vt:lpstr>
      <vt:lpstr>Data_PersoonAanUitTijd106</vt:lpstr>
      <vt:lpstr>Data_PersoonAanUitTijd107</vt:lpstr>
      <vt:lpstr>Data_PersoonAanUitTijd108</vt:lpstr>
      <vt:lpstr>Data_PersoonAanUitTijd109</vt:lpstr>
      <vt:lpstr>Data_PersoonAanUitTijd110</vt:lpstr>
      <vt:lpstr>Data_PersoonAanUitTijd111</vt:lpstr>
      <vt:lpstr>Data_PersoonAanUitTijd112</vt:lpstr>
      <vt:lpstr>Data_PersoonAanUitTijd113</vt:lpstr>
      <vt:lpstr>Data_PersoonAanUitTijd114</vt:lpstr>
      <vt:lpstr>Data_PersoonAanUitTijd115</vt:lpstr>
      <vt:lpstr>Data_PersoonAanUitTijd116</vt:lpstr>
      <vt:lpstr>Data_PersoonAanUitTijd117</vt:lpstr>
      <vt:lpstr>Data_PersoonAanUitTijd118</vt:lpstr>
      <vt:lpstr>Data_PersoonAanUitTijd119</vt:lpstr>
      <vt:lpstr>Data_PersoonAanUitTijd120</vt:lpstr>
      <vt:lpstr>Data_PersoonAanUitTijd121</vt:lpstr>
      <vt:lpstr>Data_PersoonAanUitTijd122</vt:lpstr>
      <vt:lpstr>Data_PersoonAanUitTijd123</vt:lpstr>
      <vt:lpstr>Data_PersoonAanUitTijd124</vt:lpstr>
      <vt:lpstr>Data_PersoonAanUitTijd125</vt:lpstr>
      <vt:lpstr>Data_PersoonAanUitTijd126</vt:lpstr>
      <vt:lpstr>Data_PersoonAanUitTijd127</vt:lpstr>
      <vt:lpstr>Data_PersoonAanUitTijd128</vt:lpstr>
      <vt:lpstr>Data_PersoonAanUitTijd129</vt:lpstr>
      <vt:lpstr>Data_PersoonAanUitTijd130</vt:lpstr>
      <vt:lpstr>Data_PersoonAanUitTijd131</vt:lpstr>
      <vt:lpstr>Data_PersoonAanUitTijd132</vt:lpstr>
      <vt:lpstr>Data_PersoonAanUitTijd133</vt:lpstr>
      <vt:lpstr>Data_PersoonAanUitTijd134</vt:lpstr>
      <vt:lpstr>Data_PersoonAanUitTijd135</vt:lpstr>
      <vt:lpstr>Data_PersoonAanUitTijd136</vt:lpstr>
      <vt:lpstr>Data_PersoonAanUitTijd137</vt:lpstr>
      <vt:lpstr>Data_PersoonAanUitTijd138</vt:lpstr>
      <vt:lpstr>Data_PersoonAanUitTijd139</vt:lpstr>
      <vt:lpstr>Data_PersoonAanUitTijd140</vt:lpstr>
      <vt:lpstr>Data_PersoonAanUitTijd141</vt:lpstr>
      <vt:lpstr>Data_PersoonAanUitTijd142</vt:lpstr>
      <vt:lpstr>Data_PersoonAanUitTijd143</vt:lpstr>
      <vt:lpstr>Data_PersoonAanUitTijd144</vt:lpstr>
      <vt:lpstr>Data_PersoonAanUitTijd145</vt:lpstr>
      <vt:lpstr>Data_PersoonAanUitTijd146</vt:lpstr>
      <vt:lpstr>Data_PersoonAanUitTijd147</vt:lpstr>
      <vt:lpstr>Data_PersoonAanUitTijd148</vt:lpstr>
      <vt:lpstr>Data_PersoonAanUitTijd149</vt:lpstr>
      <vt:lpstr>Data_PersoonAanUitTijd150</vt:lpstr>
      <vt:lpstr>Data_PersoonAanUitTijd151</vt:lpstr>
      <vt:lpstr>Data_PersoonAanUitTijd152</vt:lpstr>
      <vt:lpstr>Data_PersoonAanUitTijd153</vt:lpstr>
      <vt:lpstr>Data_PersoonAanUitTijd154</vt:lpstr>
      <vt:lpstr>Data_PersoonAanUitTijd155</vt:lpstr>
      <vt:lpstr>Data_PersoonAanUitTijd156</vt:lpstr>
      <vt:lpstr>Data_PersoonAanUitTijd157</vt:lpstr>
      <vt:lpstr>Data_PersoonAanUitTijd158</vt:lpstr>
      <vt:lpstr>Data_PersoonAanUitTijd159</vt:lpstr>
      <vt:lpstr>Data_PersoonAanUitTijd160</vt:lpstr>
      <vt:lpstr>Data_PersoonAanUitTijd161</vt:lpstr>
      <vt:lpstr>Data_PersoonAanUitTijd162</vt:lpstr>
      <vt:lpstr>Data_PersoonAanUitTijd163</vt:lpstr>
      <vt:lpstr>Data_PersoonAanUitTijd164</vt:lpstr>
      <vt:lpstr>Data_PersoonAanUitTijd165</vt:lpstr>
      <vt:lpstr>Data_PersoonAanUitTijd166</vt:lpstr>
      <vt:lpstr>Data_PersoonAanUitTijd167</vt:lpstr>
      <vt:lpstr>Data_PersoonAanUitTijd168</vt:lpstr>
      <vt:lpstr>Data_PersoonAanUitTijd169</vt:lpstr>
      <vt:lpstr>Data_PersoonAanUitTijd170</vt:lpstr>
      <vt:lpstr>Data_PersoonAanUitTijd171</vt:lpstr>
      <vt:lpstr>Data_PersoonAanUitTijd172</vt:lpstr>
      <vt:lpstr>Data_PersoonAanUitTijd173</vt:lpstr>
      <vt:lpstr>Data_PersoonAanUitTijd174</vt:lpstr>
      <vt:lpstr>Data_PersoonAanUitTijd175</vt:lpstr>
      <vt:lpstr>Data_PersoonAanUitTijd176</vt:lpstr>
      <vt:lpstr>Data_PersoonAanUitTijd177</vt:lpstr>
      <vt:lpstr>Data_PersoonAanUitTijd178</vt:lpstr>
      <vt:lpstr>Data_PersoonAanUitTijd179</vt:lpstr>
      <vt:lpstr>Data_PersoonAanUitTijd180</vt:lpstr>
      <vt:lpstr>Data_PersoonAanUitTijd181</vt:lpstr>
      <vt:lpstr>Data_PersoonAanUitTijd182</vt:lpstr>
      <vt:lpstr>Data_PersoonAanUitTijd183</vt:lpstr>
      <vt:lpstr>Data_PersoonAanUitTijd184</vt:lpstr>
      <vt:lpstr>Data_PersoonAanUitTijd185</vt:lpstr>
      <vt:lpstr>Data_PersoonAanUitTijd186</vt:lpstr>
      <vt:lpstr>Data_PersoonAanUitTijd187</vt:lpstr>
      <vt:lpstr>Data_PersoonAanUitTijd188</vt:lpstr>
      <vt:lpstr>Data_PersoonAanUitTijd189</vt:lpstr>
      <vt:lpstr>Data_PersoonAanUitTijd190</vt:lpstr>
      <vt:lpstr>Data_PersoonAanUitTijd191</vt:lpstr>
      <vt:lpstr>Data_PersoonAanUitTijd192</vt:lpstr>
      <vt:lpstr>Data_PersoonAanUitTijd193</vt:lpstr>
      <vt:lpstr>Data_PersoonAanUitTijd194</vt:lpstr>
      <vt:lpstr>Data_PersoonAanUitTijd195</vt:lpstr>
      <vt:lpstr>Data_PersoonAanUitTijd196</vt:lpstr>
      <vt:lpstr>Data_PersoonAanUitTijd197</vt:lpstr>
      <vt:lpstr>Data_PersoonAanUitTijd198</vt:lpstr>
      <vt:lpstr>Data_PersoonAanUitTijd199</vt:lpstr>
      <vt:lpstr>Data_PersoonAanUitTijd200</vt:lpstr>
      <vt:lpstr>Data_PersoonAanUitTijd201</vt:lpstr>
      <vt:lpstr>Data_PersoonAanUitTijd202</vt:lpstr>
      <vt:lpstr>Data_PersoonAanUitTijd203</vt:lpstr>
      <vt:lpstr>Data_PersoonAanUitTijd204</vt:lpstr>
      <vt:lpstr>Data_PersoonAanUitTijd205</vt:lpstr>
      <vt:lpstr>Data_PersoonAanUitTijd206</vt:lpstr>
      <vt:lpstr>Data_PersoonAanUitTijd207</vt:lpstr>
      <vt:lpstr>Data_PersoonAanUitTijd208</vt:lpstr>
      <vt:lpstr>Data_PersoonAanUitTijd209</vt:lpstr>
      <vt:lpstr>Data_PersoonAanUitTijd210</vt:lpstr>
      <vt:lpstr>Data_PersoonAanUitTijd211</vt:lpstr>
      <vt:lpstr>Data_PersoonAanUitTijd212</vt:lpstr>
      <vt:lpstr>Data_PersoonAanUitTijd213</vt:lpstr>
      <vt:lpstr>Data_PersoonAanUitTijd214</vt:lpstr>
      <vt:lpstr>Data_PersoonAanUitTijd215</vt:lpstr>
      <vt:lpstr>Data_PersoonAanUitTijd216</vt:lpstr>
      <vt:lpstr>Data_PersoonAanUitTijd217</vt:lpstr>
      <vt:lpstr>Data_PersoonAanUitTijd218</vt:lpstr>
      <vt:lpstr>Data_PersoonAanUitTijd219</vt:lpstr>
      <vt:lpstr>Data_PersoonAanUitTijd220</vt:lpstr>
      <vt:lpstr>Data_PersoonAanUitTijd221</vt:lpstr>
      <vt:lpstr>Data_PersoonAanUitTijd222</vt:lpstr>
      <vt:lpstr>Data_PersoonAanUitTijd223</vt:lpstr>
      <vt:lpstr>Data_PersoonAanUitTijd224</vt:lpstr>
      <vt:lpstr>Data_PersoonAanUitTijd225</vt:lpstr>
      <vt:lpstr>Data_PersoonAanUitTijd226</vt:lpstr>
      <vt:lpstr>Data_PersoonAanUitTijd227</vt:lpstr>
      <vt:lpstr>Data_PersoonAanUitTijd228</vt:lpstr>
      <vt:lpstr>Data_PersoonAanUitTijd229</vt:lpstr>
      <vt:lpstr>Data_PersoonAanUitTijd230</vt:lpstr>
      <vt:lpstr>Data_PersoonAanUitTijd231</vt:lpstr>
      <vt:lpstr>Data_PersoonAanUitTijd232</vt:lpstr>
      <vt:lpstr>Data_PersoonAanUitTijd233</vt:lpstr>
      <vt:lpstr>Data_PersoonAanUitTijd234</vt:lpstr>
      <vt:lpstr>Data_PersoonAanUitTijd235</vt:lpstr>
      <vt:lpstr>Data_PersoonAanUitTijd236</vt:lpstr>
      <vt:lpstr>Data_PersoonAanUitTijd237</vt:lpstr>
      <vt:lpstr>Data_PersoonAanUitTijd238</vt:lpstr>
      <vt:lpstr>Data_PersoonAanUitTijd239</vt:lpstr>
      <vt:lpstr>Data_PersoonAanUitTijd240</vt:lpstr>
      <vt:lpstr>Data_PersoonAanUitTijd241</vt:lpstr>
      <vt:lpstr>Data_PersoonAanUitTijd242</vt:lpstr>
      <vt:lpstr>Data_PersoonAanUitTijd243</vt:lpstr>
      <vt:lpstr>Data_PersoonAanUitTijd244</vt:lpstr>
      <vt:lpstr>Data_PersoonAanUitTijd245</vt:lpstr>
      <vt:lpstr>Data_PersoonAanUitTijd246</vt:lpstr>
      <vt:lpstr>Data_PersoonAanUitTijd247</vt:lpstr>
      <vt:lpstr>Data_PersoonAanUitTijd248</vt:lpstr>
      <vt:lpstr>Data_PersoonAanUitTijd249</vt:lpstr>
      <vt:lpstr>Data_PersoonAanUitTijd250</vt:lpstr>
      <vt:lpstr>Data_PersoonAanUitTijd251</vt:lpstr>
      <vt:lpstr>Data_PersoonAanUitTijd252</vt:lpstr>
      <vt:lpstr>Data_PersoonAanUitTijd253</vt:lpstr>
      <vt:lpstr>Data_PersoonAanUitTijd254</vt:lpstr>
      <vt:lpstr>Data_PersoonAanUitTijd255</vt:lpstr>
      <vt:lpstr>Data_PersoonAanUitTijd256</vt:lpstr>
      <vt:lpstr>Data_PersoonAanUitTijd257</vt:lpstr>
      <vt:lpstr>Data_PersoonAanUitTijd258</vt:lpstr>
      <vt:lpstr>Data_PersoonAanUitTijd259</vt:lpstr>
      <vt:lpstr>Data_PersoonAanUitTijd260</vt:lpstr>
      <vt:lpstr>Data_PersoonAanUitTijd261</vt:lpstr>
      <vt:lpstr>Data_PersoonAanUitTijd262</vt:lpstr>
      <vt:lpstr>Data_PersoonAanUitTijd263</vt:lpstr>
      <vt:lpstr>Data_PersoonAanUitTijd264</vt:lpstr>
      <vt:lpstr>Data_PersoonAanUitTijd265</vt:lpstr>
      <vt:lpstr>Data_PersoonAanUitTijd266</vt:lpstr>
      <vt:lpstr>Data_PersoonAanUitTijd267</vt:lpstr>
      <vt:lpstr>Data_PersoonAanUitTijd268</vt:lpstr>
      <vt:lpstr>Data_PersoonAanUitTijd269</vt:lpstr>
      <vt:lpstr>Data_PersoonAanUitTijd270</vt:lpstr>
      <vt:lpstr>Data_PersoonAanUitTijd271</vt:lpstr>
      <vt:lpstr>Data_PersoonAanUitTijd272</vt:lpstr>
      <vt:lpstr>Data_PersoonAanUitTijd273</vt:lpstr>
      <vt:lpstr>Data_PersoonAanUitTijd274</vt:lpstr>
      <vt:lpstr>Data_PersoonAanUitTijd275</vt:lpstr>
      <vt:lpstr>Data_PersoonAanUitTijd276</vt:lpstr>
      <vt:lpstr>Data_PersoonAanUitTijd277</vt:lpstr>
      <vt:lpstr>Data_PersoonAanUitTijd278</vt:lpstr>
      <vt:lpstr>Data_PersoonAanUitTijd279</vt:lpstr>
      <vt:lpstr>Data_PersoonAanUitTijd280</vt:lpstr>
      <vt:lpstr>Data_PersoonAanUitTijd281</vt:lpstr>
      <vt:lpstr>Data_PersoonAanUitTijd282</vt:lpstr>
      <vt:lpstr>Data_PersoonAanUitTijd283</vt:lpstr>
      <vt:lpstr>Data_PersoonAanUitTijd284</vt:lpstr>
      <vt:lpstr>Data_PersoonAanUitTijd285</vt:lpstr>
      <vt:lpstr>Data_PersoonAanUitTijd286</vt:lpstr>
      <vt:lpstr>Data_PersoonAanUitTijd287</vt:lpstr>
      <vt:lpstr>Data_PersoonAanUitTijd288</vt:lpstr>
      <vt:lpstr>Data_PersoonAanUitTijd289</vt:lpstr>
      <vt:lpstr>Data_PersoonAanUitTijd290</vt:lpstr>
      <vt:lpstr>Data_PersoonAanUitTijd291</vt:lpstr>
      <vt:lpstr>Data_PersoonAanUitTijd292</vt:lpstr>
      <vt:lpstr>Data_PersoonAanUitTijd293</vt:lpstr>
      <vt:lpstr>Data_PersoonAanUitTijd294</vt:lpstr>
      <vt:lpstr>Data_PersoonAanUitTijd295</vt:lpstr>
      <vt:lpstr>Data_PersoonAanUitTijd296</vt:lpstr>
      <vt:lpstr>Data_PersoonAanUitTijd297</vt:lpstr>
      <vt:lpstr>Data_PersoonAanUitTijd298</vt:lpstr>
      <vt:lpstr>Data_PersoonAanUitTijd299</vt:lpstr>
      <vt:lpstr>Data_PersoonAanUitTijd300</vt:lpstr>
      <vt:lpstr>Data_PersoonAanUitTijd301</vt:lpstr>
      <vt:lpstr>Data_PersoonAanUitTijd302</vt:lpstr>
      <vt:lpstr>Data_PersoonAanUitTijd303</vt:lpstr>
      <vt:lpstr>Data_PersoonAanUitTijd304</vt:lpstr>
      <vt:lpstr>Data_PersoonAanUitTijd305</vt:lpstr>
      <vt:lpstr>Data_PersoonAanUitTijd306</vt:lpstr>
      <vt:lpstr>Data_PersoonAanUitTijd307</vt:lpstr>
      <vt:lpstr>Data_PersoonAanUitTijd308</vt:lpstr>
      <vt:lpstr>Data_PersoonAanUitTijd309</vt:lpstr>
      <vt:lpstr>Data_PersoonAanUitTijd310</vt:lpstr>
      <vt:lpstr>Data_PersoonAanUitTijd311</vt:lpstr>
      <vt:lpstr>Data_PersoonAanUitTijd312</vt:lpstr>
      <vt:lpstr>Data_PersoonAanUitTijd313</vt:lpstr>
      <vt:lpstr>Data_PersoonAanUitTijd314</vt:lpstr>
      <vt:lpstr>Data_PersoonAanUitTijd315</vt:lpstr>
      <vt:lpstr>Data_PersoonAanUitTijd316</vt:lpstr>
      <vt:lpstr>Data_PersoonAanUitTijd317</vt:lpstr>
      <vt:lpstr>Data_PersoonAanUitTijd318</vt:lpstr>
      <vt:lpstr>Data_PersoonAanUitTijd319</vt:lpstr>
      <vt:lpstr>Data_PersoonAanUitTijd320</vt:lpstr>
      <vt:lpstr>Data_PersoonAanUitTijd321</vt:lpstr>
      <vt:lpstr>Data_PersoonAanUitTijd322</vt:lpstr>
      <vt:lpstr>Data_PersoonAanUitTijd323</vt:lpstr>
      <vt:lpstr>Data_PersoonAanUitTijd324</vt:lpstr>
      <vt:lpstr>Data_PersoonAanUitTijd325</vt:lpstr>
      <vt:lpstr>Data_PersoonAanUitTijd326</vt:lpstr>
      <vt:lpstr>Data_PersoonAanUitTijd327</vt:lpstr>
      <vt:lpstr>Data_PersoonAanUitTijd328</vt:lpstr>
      <vt:lpstr>Data_PersoonAanUitTijd329</vt:lpstr>
      <vt:lpstr>Data_PersoonAanUitTijd330</vt:lpstr>
      <vt:lpstr>Data_PersoonAanUitTijd331</vt:lpstr>
      <vt:lpstr>Data_PersoonAanUitTijd332</vt:lpstr>
      <vt:lpstr>Data_PersoonAanUitTijd333</vt:lpstr>
      <vt:lpstr>Data_PersoonAanUitTijd334</vt:lpstr>
      <vt:lpstr>Data_PersoonAanUitTijd335</vt:lpstr>
      <vt:lpstr>Data_PersoonAanUitTijd336</vt:lpstr>
      <vt:lpstr>Data_PersoonAanUitTijd337</vt:lpstr>
      <vt:lpstr>Data_PersoonAanUitTijd338</vt:lpstr>
      <vt:lpstr>Data_PersoonAanUitTijd339</vt:lpstr>
      <vt:lpstr>Data_PersoonAanUitTijd340</vt:lpstr>
      <vt:lpstr>Data_PersoonAanUitTijd341</vt:lpstr>
      <vt:lpstr>Data_PersoonAanUitTijd342</vt:lpstr>
      <vt:lpstr>Data_PersoonAanUitTijd343</vt:lpstr>
      <vt:lpstr>Data_PersoonAanUitTijd344</vt:lpstr>
      <vt:lpstr>Data_PersoonAanUitTijd345</vt:lpstr>
      <vt:lpstr>Data_PersoonAanUitTijd346</vt:lpstr>
      <vt:lpstr>Data_PersoonAanUitTijd347</vt:lpstr>
      <vt:lpstr>Data_PersoonAanUitTijd348</vt:lpstr>
      <vt:lpstr>Data_PersoonAanUitTijd349</vt:lpstr>
      <vt:lpstr>Data_PersoonAanUitTijd350</vt:lpstr>
      <vt:lpstr>Data_PersoonAanUitTijd351</vt:lpstr>
      <vt:lpstr>Data_PersoonAanUitTijd352</vt:lpstr>
      <vt:lpstr>Data_PersoonAanUitTijd353</vt:lpstr>
      <vt:lpstr>Data_PersoonAanUitTijd354</vt:lpstr>
      <vt:lpstr>Data_PersoonAanUitTijd355</vt:lpstr>
      <vt:lpstr>Data_PersoonAanUitTijd356</vt:lpstr>
      <vt:lpstr>Data_PersoonAanUitTijd357</vt:lpstr>
      <vt:lpstr>Data_PersoonAanUitTijd358</vt:lpstr>
      <vt:lpstr>Data_PersoonAanUitTijd359</vt:lpstr>
      <vt:lpstr>Data_PersoonAanUitTijd360</vt:lpstr>
      <vt:lpstr>Data_PersoonAanUitTijd361</vt:lpstr>
      <vt:lpstr>Data_PersoonAanUitTijd362</vt:lpstr>
      <vt:lpstr>Data_PersoonAanUitTijd363</vt:lpstr>
      <vt:lpstr>Data_PersoonAanUitTijd364</vt:lpstr>
      <vt:lpstr>Data_PersoonAanUitTijd365</vt:lpstr>
      <vt:lpstr>Data_PersoonAanUitTijd366</vt:lpstr>
      <vt:lpstr>Data_PersoonAanUitTijd367</vt:lpstr>
      <vt:lpstr>Data_PersoonAanUitTijd368</vt:lpstr>
      <vt:lpstr>Data_PersoonAanUitTijd369</vt:lpstr>
      <vt:lpstr>Data_PersoonAanUitTijd370</vt:lpstr>
      <vt:lpstr>Data_PersoonAanUitTijd371</vt:lpstr>
      <vt:lpstr>Data_PersoonAanUitTijd372</vt:lpstr>
      <vt:lpstr>Data_PersoonAanUitTijd373</vt:lpstr>
      <vt:lpstr>Data_PersoonAanUitTijd374</vt:lpstr>
      <vt:lpstr>Data_PersoonAanUitTijd375</vt:lpstr>
      <vt:lpstr>Data_PersoonAanUitTijd376</vt:lpstr>
      <vt:lpstr>Data_PersoonAanUitTijd377</vt:lpstr>
      <vt:lpstr>Data_PersoonAanUitTijd378</vt:lpstr>
      <vt:lpstr>Data_PersoonAanUitTijd379</vt:lpstr>
      <vt:lpstr>Data_PersoonAanUitTijd380</vt:lpstr>
      <vt:lpstr>Data_PersoonAanUitTijd381</vt:lpstr>
      <vt:lpstr>Data_PersoonAanUitTijd382</vt:lpstr>
      <vt:lpstr>Data_PersoonAanUitTijd383</vt:lpstr>
      <vt:lpstr>Data_PersoonAanUitTijd384</vt:lpstr>
      <vt:lpstr>Data_PersoonAanUitTijd385</vt:lpstr>
      <vt:lpstr>Data_PersoonAanUitTijd386</vt:lpstr>
      <vt:lpstr>Data_PersoonAanUitTijd387</vt:lpstr>
      <vt:lpstr>Data_PersoonAanUitTijd388</vt:lpstr>
      <vt:lpstr>Data_PersoonAanUitTijd389</vt:lpstr>
      <vt:lpstr>Data_PersoonAanUitTijd390</vt:lpstr>
      <vt:lpstr>Data_PersoonAanUitTijd391</vt:lpstr>
      <vt:lpstr>Data_PersoonAanUitTijd392</vt:lpstr>
      <vt:lpstr>Data_PersoonAanUitTijd393</vt:lpstr>
      <vt:lpstr>Data_PersoonAanUitTijd394</vt:lpstr>
      <vt:lpstr>Data_PersoonAanUitTijd395</vt:lpstr>
      <vt:lpstr>Data_PersoonAanUitTijd396</vt:lpstr>
      <vt:lpstr>Data_PersoonAanUitTijd397</vt:lpstr>
      <vt:lpstr>Data_PersoonAanUitTijd398</vt:lpstr>
      <vt:lpstr>Data_PersoonAanUitTijd399</vt:lpstr>
      <vt:lpstr>Data_PersoonAanUitTijd400</vt:lpstr>
      <vt:lpstr>Data_PersoonAanUitTijd401</vt:lpstr>
      <vt:lpstr>Data_PersoonAanUitTijd402</vt:lpstr>
      <vt:lpstr>Data_PersoonAanUitTijd403</vt:lpstr>
      <vt:lpstr>Data_PersoonAanUitTijd404</vt:lpstr>
      <vt:lpstr>Data_PersoonAanUitTijd405</vt:lpstr>
      <vt:lpstr>Data_PersoonAanUitTijd406</vt:lpstr>
      <vt:lpstr>Data_PersoonAanUitTijd407</vt:lpstr>
      <vt:lpstr>Data_PersoonAanUitTijd408</vt:lpstr>
      <vt:lpstr>Data_PersoonAanUitTijd409</vt:lpstr>
      <vt:lpstr>Data_PersoonAanUitTijd410</vt:lpstr>
      <vt:lpstr>Data_PersoonAanUitTijd411</vt:lpstr>
      <vt:lpstr>Data_PersoonAanUitTijd412</vt:lpstr>
      <vt:lpstr>Data_PersoonAanUitTijd413</vt:lpstr>
      <vt:lpstr>Data_PersoonAanUitTijd414</vt:lpstr>
      <vt:lpstr>Data_PersoonAanUitTijd415</vt:lpstr>
      <vt:lpstr>Data_PersoonAanUitTijd416</vt:lpstr>
      <vt:lpstr>Data_PersoonAanUitTijd417</vt:lpstr>
      <vt:lpstr>Data_PersoonAanUitTijd418</vt:lpstr>
      <vt:lpstr>Data_PersoonAanUitTijd419</vt:lpstr>
      <vt:lpstr>Data_PersoonAanUitTijd420</vt:lpstr>
      <vt:lpstr>Data_PersoonAanUitTijd421</vt:lpstr>
      <vt:lpstr>Data_PersoonAanUitTijd422</vt:lpstr>
      <vt:lpstr>Data_PersoonAanUitTijd423</vt:lpstr>
      <vt:lpstr>Data_PersoonAanUitTijd424</vt:lpstr>
      <vt:lpstr>Data_PersoonAanUitTijd425</vt:lpstr>
      <vt:lpstr>Data_PersoonAanUitTijd426</vt:lpstr>
      <vt:lpstr>Data_PersoonAanUitTijd427</vt:lpstr>
      <vt:lpstr>Data_PersoonAanUitTijd428</vt:lpstr>
      <vt:lpstr>Data_PersoonAanUitTijd429</vt:lpstr>
      <vt:lpstr>Data_PersoonAanUitTijd430</vt:lpstr>
      <vt:lpstr>Data_PersoonAanUitTijd431</vt:lpstr>
      <vt:lpstr>Data_PersoonAanUitTijd432</vt:lpstr>
      <vt:lpstr>Data_PersoonAanUitTijd433</vt:lpstr>
      <vt:lpstr>Data_PersoonAanUitTijd434</vt:lpstr>
      <vt:lpstr>Data_PersoonAanUitTijd435</vt:lpstr>
      <vt:lpstr>Data_PersoonAanUitTijd436</vt:lpstr>
      <vt:lpstr>Data_PersoonAanUitTijd437</vt:lpstr>
      <vt:lpstr>Data_PersoonAanUitTijd438</vt:lpstr>
      <vt:lpstr>Data_PersoonAanUitTijd439</vt:lpstr>
      <vt:lpstr>Data_PersoonAanUitTijd440</vt:lpstr>
      <vt:lpstr>Data_PersoonAanUitTijd441</vt:lpstr>
      <vt:lpstr>Data_PersoonAanUitTijd442</vt:lpstr>
      <vt:lpstr>Data_PersoonAanUitTijd443</vt:lpstr>
      <vt:lpstr>Data_PersoonAanUitTijd444</vt:lpstr>
      <vt:lpstr>Data_PersoonAanUitTijd445</vt:lpstr>
      <vt:lpstr>Data_PersoonAanUitTijd446</vt:lpstr>
      <vt:lpstr>Data_PersoonAanUitTijd447</vt:lpstr>
      <vt:lpstr>Data_PersoonAanUitTijd448</vt:lpstr>
      <vt:lpstr>Data_PersoonAanUitTijd449</vt:lpstr>
      <vt:lpstr>Data_PersoonAanUitTijd450</vt:lpstr>
      <vt:lpstr>Data_PersoonAanUitTijd451</vt:lpstr>
      <vt:lpstr>Data_PersoonAanUitTijd452</vt:lpstr>
      <vt:lpstr>Data_PersoonAanUitTijd453</vt:lpstr>
      <vt:lpstr>Data_PersoonAanUitTijd454</vt:lpstr>
      <vt:lpstr>Data_PersoonAanUitTijd455</vt:lpstr>
      <vt:lpstr>Data_PersoonAanUitTijd456</vt:lpstr>
      <vt:lpstr>Data_PersoonAanUitTijd457</vt:lpstr>
      <vt:lpstr>Data_PersoonAanUitTijd458</vt:lpstr>
      <vt:lpstr>Data_PersoonAanUitTijd459</vt:lpstr>
      <vt:lpstr>Data_PersoonAanUitTijd460</vt:lpstr>
      <vt:lpstr>Data_PersoonAanUitTijd461</vt:lpstr>
      <vt:lpstr>Data_PersoonAanUitTijd462</vt:lpstr>
      <vt:lpstr>Data_PersoonAanUitTijd463</vt:lpstr>
      <vt:lpstr>Data_PersoonAanUitTijd464</vt:lpstr>
      <vt:lpstr>Data_PersoonAanUitTijd465</vt:lpstr>
      <vt:lpstr>Data_PersoonAanUitTijd466</vt:lpstr>
      <vt:lpstr>Data_PersoonAanUitTijd467</vt:lpstr>
      <vt:lpstr>Data_PersoonAanUitTijd468</vt:lpstr>
      <vt:lpstr>Data_PersoonAanUitTijd469</vt:lpstr>
      <vt:lpstr>Data_PersoonAanUitTijd470</vt:lpstr>
      <vt:lpstr>Data_PersoonAanUitTijd471</vt:lpstr>
      <vt:lpstr>Data_PersoonAanUitTijd472</vt:lpstr>
      <vt:lpstr>Data_PersoonAanUitTijd473</vt:lpstr>
      <vt:lpstr>Data_PersoonAanUitTijd474</vt:lpstr>
      <vt:lpstr>Data_PersoonAanUitTijd475</vt:lpstr>
      <vt:lpstr>Data_PersoonAanUitTijd476</vt:lpstr>
      <vt:lpstr>Data_PersoonAanUitTijd477</vt:lpstr>
      <vt:lpstr>Data_PersoonAanUitTijd478</vt:lpstr>
      <vt:lpstr>Data_PersoonAanUitTijd479</vt:lpstr>
      <vt:lpstr>Data_PersoonAanUitTijd480</vt:lpstr>
      <vt:lpstr>Data_PersoonAanUitTijd481</vt:lpstr>
      <vt:lpstr>Data_PersoonAanUitTijd482</vt:lpstr>
      <vt:lpstr>Data_PersoonAanUitTijd483</vt:lpstr>
      <vt:lpstr>Data_PersoonAanUitTijd484</vt:lpstr>
      <vt:lpstr>Data_PersoonAanUitTijd485</vt:lpstr>
      <vt:lpstr>Data_PersoonAanUitTijd486</vt:lpstr>
      <vt:lpstr>Data_PersoonAanUitTijd487</vt:lpstr>
      <vt:lpstr>Data_PersoonAanUitTijd488</vt:lpstr>
      <vt:lpstr>Data_PersoonAanUitTijd489</vt:lpstr>
      <vt:lpstr>Data_PersoonAanUitTijd490</vt:lpstr>
      <vt:lpstr>Data_PersoonAanUitTijd491</vt:lpstr>
      <vt:lpstr>Data_PersoonAanUitTijd492</vt:lpstr>
      <vt:lpstr>Data_PersoonAanUitTijd493</vt:lpstr>
      <vt:lpstr>Data_PersoonAanUitTijd494</vt:lpstr>
      <vt:lpstr>Data_PersoonAanUitTijd495</vt:lpstr>
      <vt:lpstr>Data_PersoonAanUitTijd496</vt:lpstr>
      <vt:lpstr>Data_PersoonAanUitTijd497</vt:lpstr>
      <vt:lpstr>Data_PersoonAanUitTijd498</vt:lpstr>
      <vt:lpstr>Data_PersoonAanUitTijd499</vt:lpstr>
      <vt:lpstr>Data_PersoonAanUitTijd500</vt:lpstr>
      <vt:lpstr>Data_PersoonAanUitVastOntslag001</vt:lpstr>
      <vt:lpstr>Data_PersoonAanUitVastOntslag002</vt:lpstr>
      <vt:lpstr>Data_PersoonAanUitVastOntslag003</vt:lpstr>
      <vt:lpstr>Data_PersoonAanUitVastOntslag004</vt:lpstr>
      <vt:lpstr>Data_PersoonAanUitVastOntslag005</vt:lpstr>
      <vt:lpstr>Data_PersoonAanUitVastOntslag006</vt:lpstr>
      <vt:lpstr>Data_PersoonAanUitVastOntslag007</vt:lpstr>
      <vt:lpstr>Data_PersoonAanUitVastOntslag008</vt:lpstr>
      <vt:lpstr>Data_PersoonAanUitVastOntslag009</vt:lpstr>
      <vt:lpstr>Data_PersoonAanUitVastOntslag010</vt:lpstr>
      <vt:lpstr>Data_PersoonAanUitVastOntslag011</vt:lpstr>
      <vt:lpstr>Data_PersoonAanUitVastOntslag012</vt:lpstr>
      <vt:lpstr>Data_PersoonAanUitVastOntslag013</vt:lpstr>
      <vt:lpstr>Data_PersoonAanUitVastOntslag014</vt:lpstr>
      <vt:lpstr>Data_PersoonAanUitVastOntslag015</vt:lpstr>
      <vt:lpstr>Data_PersoonAanUitVastOntslag016</vt:lpstr>
      <vt:lpstr>Data_PersoonAanUitVastOntslag017</vt:lpstr>
      <vt:lpstr>Data_PersoonAanUitVastOntslag018</vt:lpstr>
      <vt:lpstr>Data_PersoonAanUitVastOntslag019</vt:lpstr>
      <vt:lpstr>Data_PersoonAanUitVastOntslag020</vt:lpstr>
      <vt:lpstr>Data_PersoonAanUitVastOntslag021</vt:lpstr>
      <vt:lpstr>Data_PersoonAanUitVastOntslag022</vt:lpstr>
      <vt:lpstr>Data_PersoonAanUitVastOntslag023</vt:lpstr>
      <vt:lpstr>Data_PersoonAanUitVastOntslag024</vt:lpstr>
      <vt:lpstr>Data_PersoonAanUitVastOntslag025</vt:lpstr>
      <vt:lpstr>Data_PersoonAanUitVastOntslag026</vt:lpstr>
      <vt:lpstr>Data_PersoonAanUitVastOntslag027</vt:lpstr>
      <vt:lpstr>Data_PersoonAanUitVastOntslag028</vt:lpstr>
      <vt:lpstr>Data_PersoonAanUitVastOntslag029</vt:lpstr>
      <vt:lpstr>Data_PersoonAanUitVastOntslag030</vt:lpstr>
      <vt:lpstr>Data_PersoonAanUitVastOntslag031</vt:lpstr>
      <vt:lpstr>Data_PersoonAanUitVastOntslag032</vt:lpstr>
      <vt:lpstr>Data_PersoonAanUitVastOntslag033</vt:lpstr>
      <vt:lpstr>Data_PersoonAanUitVastOntslag034</vt:lpstr>
      <vt:lpstr>Data_PersoonAanUitVastOntslag035</vt:lpstr>
      <vt:lpstr>Data_PersoonAanUitVastOntslag036</vt:lpstr>
      <vt:lpstr>Data_PersoonAanUitVastOntslag037</vt:lpstr>
      <vt:lpstr>Data_PersoonAanUitVastOntslag038</vt:lpstr>
      <vt:lpstr>Data_PersoonAanUitVastOntslag039</vt:lpstr>
      <vt:lpstr>Data_PersoonAanUitVastOntslag040</vt:lpstr>
      <vt:lpstr>Data_PersoonAanUitVastOntslag041</vt:lpstr>
      <vt:lpstr>Data_PersoonAanUitVastOntslag042</vt:lpstr>
      <vt:lpstr>Data_PersoonAanUitVastOntslag043</vt:lpstr>
      <vt:lpstr>Data_PersoonAanUitVastOntslag044</vt:lpstr>
      <vt:lpstr>Data_PersoonAanUitVastOntslag045</vt:lpstr>
      <vt:lpstr>Data_PersoonAanUitVastOntslag046</vt:lpstr>
      <vt:lpstr>Data_PersoonAanUitVastOntslag047</vt:lpstr>
      <vt:lpstr>Data_PersoonAanUitVastOntslag048</vt:lpstr>
      <vt:lpstr>Data_PersoonAanUitVastOntslag049</vt:lpstr>
      <vt:lpstr>Data_PersoonAanUitVastOntslag050</vt:lpstr>
      <vt:lpstr>Data_PersoonAanUitVastOntslag051</vt:lpstr>
      <vt:lpstr>Data_PersoonAanUitVastOntslag052</vt:lpstr>
      <vt:lpstr>Data_PersoonAanUitVastOntslag053</vt:lpstr>
      <vt:lpstr>Data_PersoonAanUitVastOntslag054</vt:lpstr>
      <vt:lpstr>Data_PersoonAanUitVastOntslag055</vt:lpstr>
      <vt:lpstr>Data_PersoonAanUitVastOntslag056</vt:lpstr>
      <vt:lpstr>Data_PersoonAanUitVastOntslag057</vt:lpstr>
      <vt:lpstr>Data_PersoonAanUitVastOntslag058</vt:lpstr>
      <vt:lpstr>Data_PersoonAanUitVastOntslag059</vt:lpstr>
      <vt:lpstr>Data_PersoonAanUitVastOntslag060</vt:lpstr>
      <vt:lpstr>Data_PersoonAanUitVastOntslag061</vt:lpstr>
      <vt:lpstr>Data_PersoonAanUitVastOntslag062</vt:lpstr>
      <vt:lpstr>Data_PersoonAanUitVastOntslag063</vt:lpstr>
      <vt:lpstr>Data_PersoonAanUitVastOntslag064</vt:lpstr>
      <vt:lpstr>Data_PersoonAanUitVastOntslag065</vt:lpstr>
      <vt:lpstr>Data_PersoonAanUitVastOntslag066</vt:lpstr>
      <vt:lpstr>Data_PersoonAanUitVastOntslag067</vt:lpstr>
      <vt:lpstr>Data_PersoonAanUitVastOntslag068</vt:lpstr>
      <vt:lpstr>Data_PersoonAanUitVastOntslag069</vt:lpstr>
      <vt:lpstr>Data_PersoonAanUitVastOntslag070</vt:lpstr>
      <vt:lpstr>Data_PersoonAanUitVastOntslag071</vt:lpstr>
      <vt:lpstr>Data_PersoonAanUitVastOntslag072</vt:lpstr>
      <vt:lpstr>Data_PersoonAanUitVastOntslag073</vt:lpstr>
      <vt:lpstr>Data_PersoonAanUitVastOntslag074</vt:lpstr>
      <vt:lpstr>Data_PersoonAanUitVastOntslag075</vt:lpstr>
      <vt:lpstr>Data_PersoonAanUitVastOntslag076</vt:lpstr>
      <vt:lpstr>Data_PersoonAanUitVastOntslag077</vt:lpstr>
      <vt:lpstr>Data_PersoonAanUitVastOntslag078</vt:lpstr>
      <vt:lpstr>Data_PersoonAanUitVastOntslag079</vt:lpstr>
      <vt:lpstr>Data_PersoonAanUitVastOntslag080</vt:lpstr>
      <vt:lpstr>Data_PersoonAanUitVastOntslag081</vt:lpstr>
      <vt:lpstr>Data_PersoonAanUitVastOntslag082</vt:lpstr>
      <vt:lpstr>Data_PersoonAanUitVastOntslag083</vt:lpstr>
      <vt:lpstr>Data_PersoonAanUitVastOntslag084</vt:lpstr>
      <vt:lpstr>Data_PersoonAanUitVastOntslag085</vt:lpstr>
      <vt:lpstr>Data_PersoonAanUitVastOntslag086</vt:lpstr>
      <vt:lpstr>Data_PersoonAanUitVastOntslag087</vt:lpstr>
      <vt:lpstr>Data_PersoonAanUitVastOntslag088</vt:lpstr>
      <vt:lpstr>Data_PersoonAanUitVastOntslag089</vt:lpstr>
      <vt:lpstr>Data_PersoonAanUitVastOntslag090</vt:lpstr>
      <vt:lpstr>Data_PersoonAanUitVastOntslag091</vt:lpstr>
      <vt:lpstr>Data_PersoonAanUitVastOntslag092</vt:lpstr>
      <vt:lpstr>Data_PersoonAanUitVastOntslag093</vt:lpstr>
      <vt:lpstr>Data_PersoonAanUitVastOntslag094</vt:lpstr>
      <vt:lpstr>Data_PersoonAanUitVastOntslag095</vt:lpstr>
      <vt:lpstr>Data_PersoonAanUitVastOntslag096</vt:lpstr>
      <vt:lpstr>Data_PersoonAanUitVastOntslag097</vt:lpstr>
      <vt:lpstr>Data_PersoonAanUitVastOntslag098</vt:lpstr>
      <vt:lpstr>Data_PersoonAanUitVastOntslag099</vt:lpstr>
      <vt:lpstr>Data_PersoonAanUitVastOntslag100</vt:lpstr>
      <vt:lpstr>Data_PersoonAanUitVastOntslag101</vt:lpstr>
      <vt:lpstr>Data_PersoonAanUitVastOntslag102</vt:lpstr>
      <vt:lpstr>Data_PersoonAanUitVastOntslag103</vt:lpstr>
      <vt:lpstr>Data_PersoonAanUitVastOntslag104</vt:lpstr>
      <vt:lpstr>Data_PersoonAanUitVastOntslag105</vt:lpstr>
      <vt:lpstr>Data_PersoonAanUitVastOntslag106</vt:lpstr>
      <vt:lpstr>Data_PersoonAanUitVastOntslag107</vt:lpstr>
      <vt:lpstr>Data_PersoonAanUitVastOntslag108</vt:lpstr>
      <vt:lpstr>Data_PersoonAanUitVastOntslag109</vt:lpstr>
      <vt:lpstr>Data_PersoonAanUitVastOntslag110</vt:lpstr>
      <vt:lpstr>Data_PersoonAanUitVastOntslag111</vt:lpstr>
      <vt:lpstr>Data_PersoonAanUitVastOntslag112</vt:lpstr>
      <vt:lpstr>Data_PersoonAanUitVastOntslag113</vt:lpstr>
      <vt:lpstr>Data_PersoonAanUitVastOntslag114</vt:lpstr>
      <vt:lpstr>Data_PersoonAanUitVastOntslag115</vt:lpstr>
      <vt:lpstr>Data_PersoonAanUitVastOntslag116</vt:lpstr>
      <vt:lpstr>Data_PersoonAanUitVastOntslag117</vt:lpstr>
      <vt:lpstr>Data_PersoonAanUitVastOntslag118</vt:lpstr>
      <vt:lpstr>Data_PersoonAanUitVastOntslag119</vt:lpstr>
      <vt:lpstr>Data_PersoonAanUitVastOntslag120</vt:lpstr>
      <vt:lpstr>Data_PersoonAanUitVastOntslag121</vt:lpstr>
      <vt:lpstr>Data_PersoonAanUitVastOntslag122</vt:lpstr>
      <vt:lpstr>Data_PersoonAanUitVastOntslag123</vt:lpstr>
      <vt:lpstr>Data_PersoonAanUitVastOntslag124</vt:lpstr>
      <vt:lpstr>Data_PersoonAanUitVastOntslag125</vt:lpstr>
      <vt:lpstr>Data_PersoonAanUitVastOntslag126</vt:lpstr>
      <vt:lpstr>Data_PersoonAanUitVastOntslag127</vt:lpstr>
      <vt:lpstr>Data_PersoonAanUitVastOntslag128</vt:lpstr>
      <vt:lpstr>Data_PersoonAanUitVastOntslag129</vt:lpstr>
      <vt:lpstr>Data_PersoonAanUitVastOntslag130</vt:lpstr>
      <vt:lpstr>Data_PersoonAanUitVastOntslag131</vt:lpstr>
      <vt:lpstr>Data_PersoonAanUitVastOntslag132</vt:lpstr>
      <vt:lpstr>Data_PersoonAanUitVastOntslag133</vt:lpstr>
      <vt:lpstr>Data_PersoonAanUitVastOntslag134</vt:lpstr>
      <vt:lpstr>Data_PersoonAanUitVastOntslag135</vt:lpstr>
      <vt:lpstr>Data_PersoonAanUitVastOntslag136</vt:lpstr>
      <vt:lpstr>Data_PersoonAanUitVastOntslag137</vt:lpstr>
      <vt:lpstr>Data_PersoonAanUitVastOntslag138</vt:lpstr>
      <vt:lpstr>Data_PersoonAanUitVastOntslag139</vt:lpstr>
      <vt:lpstr>Data_PersoonAanUitVastOntslag140</vt:lpstr>
      <vt:lpstr>Data_PersoonAanUitVastOntslag141</vt:lpstr>
      <vt:lpstr>Data_PersoonAanUitVastOntslag142</vt:lpstr>
      <vt:lpstr>Data_PersoonAanUitVastOntslag143</vt:lpstr>
      <vt:lpstr>Data_PersoonAanUitVastOntslag144</vt:lpstr>
      <vt:lpstr>Data_PersoonAanUitVastOntslag145</vt:lpstr>
      <vt:lpstr>Data_PersoonAanUitVastOntslag146</vt:lpstr>
      <vt:lpstr>Data_PersoonAanUitVastOntslag147</vt:lpstr>
      <vt:lpstr>Data_PersoonAanUitVastOntslag148</vt:lpstr>
      <vt:lpstr>Data_PersoonAanUitVastOntslag149</vt:lpstr>
      <vt:lpstr>Data_PersoonAanUitVastOntslag150</vt:lpstr>
      <vt:lpstr>Data_PersoonAanUitVastOntslag151</vt:lpstr>
      <vt:lpstr>Data_PersoonAanUitVastOntslag152</vt:lpstr>
      <vt:lpstr>Data_PersoonAanUitVastOntslag153</vt:lpstr>
      <vt:lpstr>Data_PersoonAanUitVastOntslag154</vt:lpstr>
      <vt:lpstr>Data_PersoonAanUitVastOntslag155</vt:lpstr>
      <vt:lpstr>Data_PersoonAanUitVastOntslag156</vt:lpstr>
      <vt:lpstr>Data_PersoonAanUitVastOntslag157</vt:lpstr>
      <vt:lpstr>Data_PersoonAanUitVastOntslag158</vt:lpstr>
      <vt:lpstr>Data_PersoonAanUitVastOntslag159</vt:lpstr>
      <vt:lpstr>Data_PersoonAanUitVastOntslag160</vt:lpstr>
      <vt:lpstr>Data_PersoonAanUitVastOntslag161</vt:lpstr>
      <vt:lpstr>Data_PersoonAanUitVastOntslag162</vt:lpstr>
      <vt:lpstr>Data_PersoonAanUitVastOntslag163</vt:lpstr>
      <vt:lpstr>Data_PersoonAanUitVastOntslag164</vt:lpstr>
      <vt:lpstr>Data_PersoonAanUitVastOntslag165</vt:lpstr>
      <vt:lpstr>Data_PersoonAanUitVastOntslag166</vt:lpstr>
      <vt:lpstr>Data_PersoonAanUitVastOntslag167</vt:lpstr>
      <vt:lpstr>Data_PersoonAanUitVastOntslag168</vt:lpstr>
      <vt:lpstr>Data_PersoonAanUitVastOntslag169</vt:lpstr>
      <vt:lpstr>Data_PersoonAanUitVastOntslag170</vt:lpstr>
      <vt:lpstr>Data_PersoonAanUitVastOntslag171</vt:lpstr>
      <vt:lpstr>Data_PersoonAanUitVastOntslag172</vt:lpstr>
      <vt:lpstr>Data_PersoonAanUitVastOntslag173</vt:lpstr>
      <vt:lpstr>Data_PersoonAanUitVastOntslag174</vt:lpstr>
      <vt:lpstr>Data_PersoonAanUitVastOntslag175</vt:lpstr>
      <vt:lpstr>Data_PersoonAanUitVastOntslag176</vt:lpstr>
      <vt:lpstr>Data_PersoonAanUitVastOntslag177</vt:lpstr>
      <vt:lpstr>Data_PersoonAanUitVastOntslag178</vt:lpstr>
      <vt:lpstr>Data_PersoonAanUitVastOntslag179</vt:lpstr>
      <vt:lpstr>Data_PersoonAanUitVastOntslag180</vt:lpstr>
      <vt:lpstr>Data_PersoonAanUitVastOntslag181</vt:lpstr>
      <vt:lpstr>Data_PersoonAanUitVastOntslag182</vt:lpstr>
      <vt:lpstr>Data_PersoonAanUitVastOntslag183</vt:lpstr>
      <vt:lpstr>Data_PersoonAanUitVastOntslag184</vt:lpstr>
      <vt:lpstr>Data_PersoonAanUitVastOntslag185</vt:lpstr>
      <vt:lpstr>Data_PersoonAanUitVastOntslag186</vt:lpstr>
      <vt:lpstr>Data_PersoonAanUitVastOntslag187</vt:lpstr>
      <vt:lpstr>Data_PersoonAanUitVastOntslag188</vt:lpstr>
      <vt:lpstr>Data_PersoonAanUitVastOntslag189</vt:lpstr>
      <vt:lpstr>Data_PersoonAanUitVastOntslag190</vt:lpstr>
      <vt:lpstr>Data_PersoonAanUitVastOntslag191</vt:lpstr>
      <vt:lpstr>Data_PersoonAanUitVastOntslag192</vt:lpstr>
      <vt:lpstr>Data_PersoonAanUitVastOntslag193</vt:lpstr>
      <vt:lpstr>Data_PersoonAanUitVastOntslag194</vt:lpstr>
      <vt:lpstr>Data_PersoonAanUitVastOntslag195</vt:lpstr>
      <vt:lpstr>Data_PersoonAanUitVastOntslag196</vt:lpstr>
      <vt:lpstr>Data_PersoonAanUitVastOntslag197</vt:lpstr>
      <vt:lpstr>Data_PersoonAanUitVastOntslag198</vt:lpstr>
      <vt:lpstr>Data_PersoonAanUitVastOntslag199</vt:lpstr>
      <vt:lpstr>Data_PersoonAanUitVastOntslag200</vt:lpstr>
      <vt:lpstr>Data_PersoonAanUitVastOntslag201</vt:lpstr>
      <vt:lpstr>Data_PersoonAanUitVastOntslag202</vt:lpstr>
      <vt:lpstr>Data_PersoonAanUitVastOntslag203</vt:lpstr>
      <vt:lpstr>Data_PersoonAanUitVastOntslag204</vt:lpstr>
      <vt:lpstr>Data_PersoonAanUitVastOntslag205</vt:lpstr>
      <vt:lpstr>Data_PersoonAanUitVastOntslag206</vt:lpstr>
      <vt:lpstr>Data_PersoonAanUitVastOntslag207</vt:lpstr>
      <vt:lpstr>Data_PersoonAanUitVastOntslag208</vt:lpstr>
      <vt:lpstr>Data_PersoonAanUitVastOntslag209</vt:lpstr>
      <vt:lpstr>Data_PersoonAanUitVastOntslag210</vt:lpstr>
      <vt:lpstr>Data_PersoonAanUitVastOntslag211</vt:lpstr>
      <vt:lpstr>Data_PersoonAanUitVastOntslag212</vt:lpstr>
      <vt:lpstr>Data_PersoonAanUitVastOntslag213</vt:lpstr>
      <vt:lpstr>Data_PersoonAanUitVastOntslag214</vt:lpstr>
      <vt:lpstr>Data_PersoonAanUitVastOntslag215</vt:lpstr>
      <vt:lpstr>Data_PersoonAanUitVastOntslag216</vt:lpstr>
      <vt:lpstr>Data_PersoonAanUitVastOntslag217</vt:lpstr>
      <vt:lpstr>Data_PersoonAanUitVastOntslag218</vt:lpstr>
      <vt:lpstr>Data_PersoonAanUitVastOntslag219</vt:lpstr>
      <vt:lpstr>Data_PersoonAanUitVastOntslag220</vt:lpstr>
      <vt:lpstr>Data_PersoonAanUitVastOntslag221</vt:lpstr>
      <vt:lpstr>Data_PersoonAanUitVastOntslag222</vt:lpstr>
      <vt:lpstr>Data_PersoonAanUitVastOntslag223</vt:lpstr>
      <vt:lpstr>Data_PersoonAanUitVastOntslag224</vt:lpstr>
      <vt:lpstr>Data_PersoonAanUitVastOntslag225</vt:lpstr>
      <vt:lpstr>Data_PersoonAanUitVastOntslag226</vt:lpstr>
      <vt:lpstr>Data_PersoonAanUitVastOntslag227</vt:lpstr>
      <vt:lpstr>Data_PersoonAanUitVastOntslag228</vt:lpstr>
      <vt:lpstr>Data_PersoonAanUitVastOntslag229</vt:lpstr>
      <vt:lpstr>Data_PersoonAanUitVastOntslag230</vt:lpstr>
      <vt:lpstr>Data_PersoonAanUitVastOntslag231</vt:lpstr>
      <vt:lpstr>Data_PersoonAanUitVastOntslag232</vt:lpstr>
      <vt:lpstr>Data_PersoonAanUitVastOntslag233</vt:lpstr>
      <vt:lpstr>Data_PersoonAanUitVastOntslag234</vt:lpstr>
      <vt:lpstr>Data_PersoonAanUitVastOntslag235</vt:lpstr>
      <vt:lpstr>Data_PersoonAanUitVastOntslag236</vt:lpstr>
      <vt:lpstr>Data_PersoonAanUitVastOntslag237</vt:lpstr>
      <vt:lpstr>Data_PersoonAanUitVastOntslag238</vt:lpstr>
      <vt:lpstr>Data_PersoonAanUitVastOntslag239</vt:lpstr>
      <vt:lpstr>Data_PersoonAanUitVastOntslag240</vt:lpstr>
      <vt:lpstr>Data_PersoonAanUitVastOntslag241</vt:lpstr>
      <vt:lpstr>Data_PersoonAanUitVastOntslag242</vt:lpstr>
      <vt:lpstr>Data_PersoonAanUitVastOntslag243</vt:lpstr>
      <vt:lpstr>Data_PersoonAanUitVastOntslag244</vt:lpstr>
      <vt:lpstr>Data_PersoonAanUitVastOntslag245</vt:lpstr>
      <vt:lpstr>Data_PersoonAanUitVastOntslag246</vt:lpstr>
      <vt:lpstr>Data_PersoonAanUitVastOntslag247</vt:lpstr>
      <vt:lpstr>Data_PersoonAanUitVastOntslag248</vt:lpstr>
      <vt:lpstr>Data_PersoonAanUitVastOntslag249</vt:lpstr>
      <vt:lpstr>Data_PersoonAanUitVastOntslag250</vt:lpstr>
      <vt:lpstr>Data_PersoonAanUitVastOntslag251</vt:lpstr>
      <vt:lpstr>Data_PersoonAanUitVastOntslag252</vt:lpstr>
      <vt:lpstr>Data_PersoonAanUitVastOntslag253</vt:lpstr>
      <vt:lpstr>Data_PersoonAanUitVastOntslag254</vt:lpstr>
      <vt:lpstr>Data_PersoonAanUitVastOntslag255</vt:lpstr>
      <vt:lpstr>Data_PersoonAanUitVastOntslag256</vt:lpstr>
      <vt:lpstr>Data_PersoonAanUitVastOntslag257</vt:lpstr>
      <vt:lpstr>Data_PersoonAanUitVastOntslag258</vt:lpstr>
      <vt:lpstr>Data_PersoonAanUitVastOntslag259</vt:lpstr>
      <vt:lpstr>Data_PersoonAanUitVastOntslag260</vt:lpstr>
      <vt:lpstr>Data_PersoonAanUitVastOntslag261</vt:lpstr>
      <vt:lpstr>Data_PersoonAanUitVastOntslag262</vt:lpstr>
      <vt:lpstr>Data_PersoonAanUitVastOntslag263</vt:lpstr>
      <vt:lpstr>Data_PersoonAanUitVastOntslag264</vt:lpstr>
      <vt:lpstr>Data_PersoonAanUitVastOntslag265</vt:lpstr>
      <vt:lpstr>Data_PersoonAanUitVastOntslag266</vt:lpstr>
      <vt:lpstr>Data_PersoonAanUitVastOntslag267</vt:lpstr>
      <vt:lpstr>Data_PersoonAanUitVastOntslag268</vt:lpstr>
      <vt:lpstr>Data_PersoonAanUitVastOntslag269</vt:lpstr>
      <vt:lpstr>Data_PersoonAanUitVastOntslag270</vt:lpstr>
      <vt:lpstr>Data_PersoonAanUitVastOntslag271</vt:lpstr>
      <vt:lpstr>Data_PersoonAanUitVastOntslag272</vt:lpstr>
      <vt:lpstr>Data_PersoonAanUitVastOntslag273</vt:lpstr>
      <vt:lpstr>Data_PersoonAanUitVastOntslag274</vt:lpstr>
      <vt:lpstr>Data_PersoonAanUitVastOntslag275</vt:lpstr>
      <vt:lpstr>Data_PersoonAanUitVastOntslag276</vt:lpstr>
      <vt:lpstr>Data_PersoonAanUitVastOntslag277</vt:lpstr>
      <vt:lpstr>Data_PersoonAanUitVastOntslag278</vt:lpstr>
      <vt:lpstr>Data_PersoonAanUitVastOntslag279</vt:lpstr>
      <vt:lpstr>Data_PersoonAanUitVastOntslag280</vt:lpstr>
      <vt:lpstr>Data_PersoonAanUitVastOntslag281</vt:lpstr>
      <vt:lpstr>Data_PersoonAanUitVastOntslag282</vt:lpstr>
      <vt:lpstr>Data_PersoonAanUitVastOntslag283</vt:lpstr>
      <vt:lpstr>Data_PersoonAanUitVastOntslag284</vt:lpstr>
      <vt:lpstr>Data_PersoonAanUitVastOntslag285</vt:lpstr>
      <vt:lpstr>Data_PersoonAanUitVastOntslag286</vt:lpstr>
      <vt:lpstr>Data_PersoonAanUitVastOntslag287</vt:lpstr>
      <vt:lpstr>Data_PersoonAanUitVastOntslag288</vt:lpstr>
      <vt:lpstr>Data_PersoonAanUitVastOntslag289</vt:lpstr>
      <vt:lpstr>Data_PersoonAanUitVastOntslag290</vt:lpstr>
      <vt:lpstr>Data_PersoonAanUitVastOntslag291</vt:lpstr>
      <vt:lpstr>Data_PersoonAanUitVastOntslag292</vt:lpstr>
      <vt:lpstr>Data_PersoonAanUitVastOntslag293</vt:lpstr>
      <vt:lpstr>Data_PersoonAanUitVastOntslag294</vt:lpstr>
      <vt:lpstr>Data_PersoonAanUitVastOntslag295</vt:lpstr>
      <vt:lpstr>Data_PersoonAanUitVastOntslag296</vt:lpstr>
      <vt:lpstr>Data_PersoonAanUitVastOntslag297</vt:lpstr>
      <vt:lpstr>Data_PersoonAanUitVastOntslag298</vt:lpstr>
      <vt:lpstr>Data_PersoonAanUitVastOntslag299</vt:lpstr>
      <vt:lpstr>Data_PersoonAanUitVastOntslag300</vt:lpstr>
      <vt:lpstr>Data_PersoonAanUitVastOntslag301</vt:lpstr>
      <vt:lpstr>Data_PersoonAanUitVastOntslag302</vt:lpstr>
      <vt:lpstr>Data_PersoonAanUitVastOntslag303</vt:lpstr>
      <vt:lpstr>Data_PersoonAanUitVastOntslag304</vt:lpstr>
      <vt:lpstr>Data_PersoonAanUitVastOntslag305</vt:lpstr>
      <vt:lpstr>Data_PersoonAanUitVastOntslag306</vt:lpstr>
      <vt:lpstr>Data_PersoonAanUitVastOntslag307</vt:lpstr>
      <vt:lpstr>Data_PersoonAanUitVastOntslag308</vt:lpstr>
      <vt:lpstr>Data_PersoonAanUitVastOntslag309</vt:lpstr>
      <vt:lpstr>Data_PersoonAanUitVastOntslag310</vt:lpstr>
      <vt:lpstr>Data_PersoonAanUitVastOntslag311</vt:lpstr>
      <vt:lpstr>Data_PersoonAanUitVastOntslag312</vt:lpstr>
      <vt:lpstr>Data_PersoonAanUitVastOntslag313</vt:lpstr>
      <vt:lpstr>Data_PersoonAanUitVastOntslag314</vt:lpstr>
      <vt:lpstr>Data_PersoonAanUitVastOntslag315</vt:lpstr>
      <vt:lpstr>Data_PersoonAanUitVastOntslag316</vt:lpstr>
      <vt:lpstr>Data_PersoonAanUitVastOntslag317</vt:lpstr>
      <vt:lpstr>Data_PersoonAanUitVastOntslag318</vt:lpstr>
      <vt:lpstr>Data_PersoonAanUitVastOntslag319</vt:lpstr>
      <vt:lpstr>Data_PersoonAanUitVastOntslag320</vt:lpstr>
      <vt:lpstr>Data_PersoonAanUitVastOntslag321</vt:lpstr>
      <vt:lpstr>Data_PersoonAanUitVastOntslag322</vt:lpstr>
      <vt:lpstr>Data_PersoonAanUitVastOntslag323</vt:lpstr>
      <vt:lpstr>Data_PersoonAanUitVastOntslag324</vt:lpstr>
      <vt:lpstr>Data_PersoonAanUitVastOntslag325</vt:lpstr>
      <vt:lpstr>Data_PersoonAanUitVastOntslag326</vt:lpstr>
      <vt:lpstr>Data_PersoonAanUitVastOntslag327</vt:lpstr>
      <vt:lpstr>Data_PersoonAanUitVastOntslag328</vt:lpstr>
      <vt:lpstr>Data_PersoonAanUitVastOntslag329</vt:lpstr>
      <vt:lpstr>Data_PersoonAanUitVastOntslag330</vt:lpstr>
      <vt:lpstr>Data_PersoonAanUitVastOntslag331</vt:lpstr>
      <vt:lpstr>Data_PersoonAanUitVastOntslag332</vt:lpstr>
      <vt:lpstr>Data_PersoonAanUitVastOntslag333</vt:lpstr>
      <vt:lpstr>Data_PersoonAanUitVastOntslag334</vt:lpstr>
      <vt:lpstr>Data_PersoonAanUitVastOntslag335</vt:lpstr>
      <vt:lpstr>Data_PersoonAanUitVastOntslag336</vt:lpstr>
      <vt:lpstr>Data_PersoonAanUitVastOntslag337</vt:lpstr>
      <vt:lpstr>Data_PersoonAanUitVastOntslag338</vt:lpstr>
      <vt:lpstr>Data_PersoonAanUitVastOntslag339</vt:lpstr>
      <vt:lpstr>Data_PersoonAanUitVastOntslag340</vt:lpstr>
      <vt:lpstr>Data_PersoonAanUitVastOntslag341</vt:lpstr>
      <vt:lpstr>Data_PersoonAanUitVastOntslag342</vt:lpstr>
      <vt:lpstr>Data_PersoonAanUitVastOntslag343</vt:lpstr>
      <vt:lpstr>Data_PersoonAanUitVastOntslag344</vt:lpstr>
      <vt:lpstr>Data_PersoonAanUitVastOntslag345</vt:lpstr>
      <vt:lpstr>Data_PersoonAanUitVastOntslag346</vt:lpstr>
      <vt:lpstr>Data_PersoonAanUitVastOntslag347</vt:lpstr>
      <vt:lpstr>Data_PersoonAanUitVastOntslag348</vt:lpstr>
      <vt:lpstr>Data_PersoonAanUitVastOntslag349</vt:lpstr>
      <vt:lpstr>Data_PersoonAanUitVastOntslag350</vt:lpstr>
      <vt:lpstr>Data_PersoonAanUitVastOntslag351</vt:lpstr>
      <vt:lpstr>Data_PersoonAanUitVastOntslag352</vt:lpstr>
      <vt:lpstr>Data_PersoonAanUitVastOntslag353</vt:lpstr>
      <vt:lpstr>Data_PersoonAanUitVastOntslag354</vt:lpstr>
      <vt:lpstr>Data_PersoonAanUitVastOntslag355</vt:lpstr>
      <vt:lpstr>Data_PersoonAanUitVastOntslag356</vt:lpstr>
      <vt:lpstr>Data_PersoonAanUitVastOntslag357</vt:lpstr>
      <vt:lpstr>Data_PersoonAanUitVastOntslag358</vt:lpstr>
      <vt:lpstr>Data_PersoonAanUitVastOntslag359</vt:lpstr>
      <vt:lpstr>Data_PersoonAanUitVastOntslag360</vt:lpstr>
      <vt:lpstr>Data_PersoonAanUitVastOntslag361</vt:lpstr>
      <vt:lpstr>Data_PersoonAanUitVastOntslag362</vt:lpstr>
      <vt:lpstr>Data_PersoonAanUitVastOntslag363</vt:lpstr>
      <vt:lpstr>Data_PersoonAanUitVastOntslag364</vt:lpstr>
      <vt:lpstr>Data_PersoonAanUitVastOntslag365</vt:lpstr>
      <vt:lpstr>Data_PersoonAanUitVastOntslag366</vt:lpstr>
      <vt:lpstr>Data_PersoonAanUitVastOntslag367</vt:lpstr>
      <vt:lpstr>Data_PersoonAanUitVastOntslag368</vt:lpstr>
      <vt:lpstr>Data_PersoonAanUitVastOntslag369</vt:lpstr>
      <vt:lpstr>Data_PersoonAanUitVastOntslag370</vt:lpstr>
      <vt:lpstr>Data_PersoonAanUitVastOntslag371</vt:lpstr>
      <vt:lpstr>Data_PersoonAanUitVastOntslag372</vt:lpstr>
      <vt:lpstr>Data_PersoonAanUitVastOntslag373</vt:lpstr>
      <vt:lpstr>Data_PersoonAanUitVastOntslag374</vt:lpstr>
      <vt:lpstr>Data_PersoonAanUitVastOntslag375</vt:lpstr>
      <vt:lpstr>Data_PersoonAanUitVastOntslag376</vt:lpstr>
      <vt:lpstr>Data_PersoonAanUitVastOntslag377</vt:lpstr>
      <vt:lpstr>Data_PersoonAanUitVastOntslag378</vt:lpstr>
      <vt:lpstr>Data_PersoonAanUitVastOntslag379</vt:lpstr>
      <vt:lpstr>Data_PersoonAanUitVastOntslag380</vt:lpstr>
      <vt:lpstr>Data_PersoonAanUitVastOntslag381</vt:lpstr>
      <vt:lpstr>Data_PersoonAanUitVastOntslag382</vt:lpstr>
      <vt:lpstr>Data_PersoonAanUitVastOntslag383</vt:lpstr>
      <vt:lpstr>Data_PersoonAanUitVastOntslag384</vt:lpstr>
      <vt:lpstr>Data_PersoonAanUitVastOntslag385</vt:lpstr>
      <vt:lpstr>Data_PersoonAanUitVastOntslag386</vt:lpstr>
      <vt:lpstr>Data_PersoonAanUitVastOntslag387</vt:lpstr>
      <vt:lpstr>Data_PersoonAanUitVastOntslag388</vt:lpstr>
      <vt:lpstr>Data_PersoonAanUitVastOntslag389</vt:lpstr>
      <vt:lpstr>Data_PersoonAanUitVastOntslag390</vt:lpstr>
      <vt:lpstr>Data_PersoonAanUitVastOntslag391</vt:lpstr>
      <vt:lpstr>Data_PersoonAanUitVastOntslag392</vt:lpstr>
      <vt:lpstr>Data_PersoonAanUitVastOntslag393</vt:lpstr>
      <vt:lpstr>Data_PersoonAanUitVastOntslag394</vt:lpstr>
      <vt:lpstr>Data_PersoonAanUitVastOntslag395</vt:lpstr>
      <vt:lpstr>Data_PersoonAanUitVastOntslag396</vt:lpstr>
      <vt:lpstr>Data_PersoonAanUitVastOntslag397</vt:lpstr>
      <vt:lpstr>Data_PersoonAanUitVastOntslag398</vt:lpstr>
      <vt:lpstr>Data_PersoonAanUitVastOntslag399</vt:lpstr>
      <vt:lpstr>Data_PersoonAanUitVastOntslag400</vt:lpstr>
      <vt:lpstr>Data_PersoonAanUitVastOntslag401</vt:lpstr>
      <vt:lpstr>Data_PersoonAanUitVastOntslag402</vt:lpstr>
      <vt:lpstr>Data_PersoonAanUitVastOntslag403</vt:lpstr>
      <vt:lpstr>Data_PersoonAanUitVastOntslag404</vt:lpstr>
      <vt:lpstr>Data_PersoonAanUitVastOntslag405</vt:lpstr>
      <vt:lpstr>Data_PersoonAanUitVastOntslag406</vt:lpstr>
      <vt:lpstr>Data_PersoonAanUitVastOntslag407</vt:lpstr>
      <vt:lpstr>Data_PersoonAanUitVastOntslag408</vt:lpstr>
      <vt:lpstr>Data_PersoonAanUitVastOntslag409</vt:lpstr>
      <vt:lpstr>Data_PersoonAanUitVastOntslag410</vt:lpstr>
      <vt:lpstr>Data_PersoonAanUitVastOntslag411</vt:lpstr>
      <vt:lpstr>Data_PersoonAanUitVastOntslag412</vt:lpstr>
      <vt:lpstr>Data_PersoonAanUitVastOntslag413</vt:lpstr>
      <vt:lpstr>Data_PersoonAanUitVastOntslag414</vt:lpstr>
      <vt:lpstr>Data_PersoonAanUitVastOntslag415</vt:lpstr>
      <vt:lpstr>Data_PersoonAanUitVastOntslag416</vt:lpstr>
      <vt:lpstr>Data_PersoonAanUitVastOntslag417</vt:lpstr>
      <vt:lpstr>Data_PersoonAanUitVastOntslag418</vt:lpstr>
      <vt:lpstr>Data_PersoonAanUitVastOntslag419</vt:lpstr>
      <vt:lpstr>Data_PersoonAanUitVastOntslag420</vt:lpstr>
      <vt:lpstr>Data_PersoonAanUitVastOntslag421</vt:lpstr>
      <vt:lpstr>Data_PersoonAanUitVastOntslag422</vt:lpstr>
      <vt:lpstr>Data_PersoonAanUitVastOntslag423</vt:lpstr>
      <vt:lpstr>Data_PersoonAanUitVastOntslag424</vt:lpstr>
      <vt:lpstr>Data_PersoonAanUitVastOntslag425</vt:lpstr>
      <vt:lpstr>Data_PersoonAanUitVastOntslag426</vt:lpstr>
      <vt:lpstr>Data_PersoonAanUitVastOntslag427</vt:lpstr>
      <vt:lpstr>Data_PersoonAanUitVastOntslag428</vt:lpstr>
      <vt:lpstr>Data_PersoonAanUitVastOntslag429</vt:lpstr>
      <vt:lpstr>Data_PersoonAanUitVastOntslag430</vt:lpstr>
      <vt:lpstr>Data_PersoonAanUitVastOntslag431</vt:lpstr>
      <vt:lpstr>Data_PersoonAanUitVastOntslag432</vt:lpstr>
      <vt:lpstr>Data_PersoonAanUitVastOntslag433</vt:lpstr>
      <vt:lpstr>Data_PersoonAanUitVastOntslag434</vt:lpstr>
      <vt:lpstr>Data_PersoonAanUitVastOntslag435</vt:lpstr>
      <vt:lpstr>Data_PersoonAanUitVastOntslag436</vt:lpstr>
      <vt:lpstr>Data_PersoonAanUitVastOntslag437</vt:lpstr>
      <vt:lpstr>Data_PersoonAanUitVastOntslag438</vt:lpstr>
      <vt:lpstr>Data_PersoonAanUitVastOntslag439</vt:lpstr>
      <vt:lpstr>Data_PersoonAanUitVastOntslag440</vt:lpstr>
      <vt:lpstr>Data_PersoonAanUitVastOntslag441</vt:lpstr>
      <vt:lpstr>Data_PersoonAanUitVastOntslag442</vt:lpstr>
      <vt:lpstr>Data_PersoonAanUitVastOntslag443</vt:lpstr>
      <vt:lpstr>Data_PersoonAanUitVastOntslag444</vt:lpstr>
      <vt:lpstr>Data_PersoonAanUitVastOntslag445</vt:lpstr>
      <vt:lpstr>Data_PersoonAanUitVastOntslag446</vt:lpstr>
      <vt:lpstr>Data_PersoonAanUitVastOntslag447</vt:lpstr>
      <vt:lpstr>Data_PersoonAanUitVastOntslag448</vt:lpstr>
      <vt:lpstr>Data_PersoonAanUitVastOntslag449</vt:lpstr>
      <vt:lpstr>Data_PersoonAanUitVastOntslag450</vt:lpstr>
      <vt:lpstr>Data_PersoonAanUitVastOntslag451</vt:lpstr>
      <vt:lpstr>Data_PersoonAanUitVastOntslag452</vt:lpstr>
      <vt:lpstr>Data_PersoonAanUitVastOntslag453</vt:lpstr>
      <vt:lpstr>Data_PersoonAanUitVastOntslag454</vt:lpstr>
      <vt:lpstr>Data_PersoonAanUitVastOntslag455</vt:lpstr>
      <vt:lpstr>Data_PersoonAanUitVastOntslag456</vt:lpstr>
      <vt:lpstr>Data_PersoonAanUitVastOntslag457</vt:lpstr>
      <vt:lpstr>Data_PersoonAanUitVastOntslag458</vt:lpstr>
      <vt:lpstr>Data_PersoonAanUitVastOntslag459</vt:lpstr>
      <vt:lpstr>Data_PersoonAanUitVastOntslag460</vt:lpstr>
      <vt:lpstr>Data_PersoonAanUitVastOntslag461</vt:lpstr>
      <vt:lpstr>Data_PersoonAanUitVastOntslag462</vt:lpstr>
      <vt:lpstr>Data_PersoonAanUitVastOntslag463</vt:lpstr>
      <vt:lpstr>Data_PersoonAanUitVastOntslag464</vt:lpstr>
      <vt:lpstr>Data_PersoonAanUitVastOntslag465</vt:lpstr>
      <vt:lpstr>Data_PersoonAanUitVastOntslag466</vt:lpstr>
      <vt:lpstr>Data_PersoonAanUitVastOntslag467</vt:lpstr>
      <vt:lpstr>Data_PersoonAanUitVastOntslag468</vt:lpstr>
      <vt:lpstr>Data_PersoonAanUitVastOntslag469</vt:lpstr>
      <vt:lpstr>Data_PersoonAanUitVastOntslag470</vt:lpstr>
      <vt:lpstr>Data_PersoonAanUitVastOntslag471</vt:lpstr>
      <vt:lpstr>Data_PersoonAanUitVastOntslag472</vt:lpstr>
      <vt:lpstr>Data_PersoonAanUitVastOntslag473</vt:lpstr>
      <vt:lpstr>Data_PersoonAanUitVastOntslag474</vt:lpstr>
      <vt:lpstr>Data_PersoonAanUitVastOntslag475</vt:lpstr>
      <vt:lpstr>Data_PersoonAanUitVastOntslag476</vt:lpstr>
      <vt:lpstr>Data_PersoonAanUitVastOntslag477</vt:lpstr>
      <vt:lpstr>Data_PersoonAanUitVastOntslag478</vt:lpstr>
      <vt:lpstr>Data_PersoonAanUitVastOntslag479</vt:lpstr>
      <vt:lpstr>Data_PersoonAanUitVastOntslag480</vt:lpstr>
      <vt:lpstr>Data_PersoonAanUitVastOntslag481</vt:lpstr>
      <vt:lpstr>Data_PersoonAanUitVastOntslag482</vt:lpstr>
      <vt:lpstr>Data_PersoonAanUitVastOntslag483</vt:lpstr>
      <vt:lpstr>Data_PersoonAanUitVastOntslag484</vt:lpstr>
      <vt:lpstr>Data_PersoonAanUitVastOntslag485</vt:lpstr>
      <vt:lpstr>Data_PersoonAanUitVastOntslag486</vt:lpstr>
      <vt:lpstr>Data_PersoonAanUitVastOntslag487</vt:lpstr>
      <vt:lpstr>Data_PersoonAanUitVastOntslag488</vt:lpstr>
      <vt:lpstr>Data_PersoonAanUitVastOntslag489</vt:lpstr>
      <vt:lpstr>Data_PersoonAanUitVastOntslag490</vt:lpstr>
      <vt:lpstr>Data_PersoonAanUitVastOntslag491</vt:lpstr>
      <vt:lpstr>Data_PersoonAanUitVastOntslag492</vt:lpstr>
      <vt:lpstr>Data_PersoonAanUitVastOntslag493</vt:lpstr>
      <vt:lpstr>Data_PersoonAanUitVastOntslag494</vt:lpstr>
      <vt:lpstr>Data_PersoonAanUitVastOntslag495</vt:lpstr>
      <vt:lpstr>Data_PersoonAanUitVastOntslag496</vt:lpstr>
      <vt:lpstr>Data_PersoonAanUitVastOntslag497</vt:lpstr>
      <vt:lpstr>Data_PersoonAanUitVastOntslag498</vt:lpstr>
      <vt:lpstr>Data_PersoonAanUitVastOntslag499</vt:lpstr>
      <vt:lpstr>Data_PersoonAanUitVastOntslag500</vt:lpstr>
      <vt:lpstr>Data_PersoonAanUitVastVrij001</vt:lpstr>
      <vt:lpstr>Data_PersoonAanUitVastVrij002</vt:lpstr>
      <vt:lpstr>Data_PersoonAanUitVastVrij003</vt:lpstr>
      <vt:lpstr>Data_PersoonAanUitVastVrij004</vt:lpstr>
      <vt:lpstr>Data_PersoonAanUitVastVrij005</vt:lpstr>
      <vt:lpstr>Data_PersoonAanUitVastVrij006</vt:lpstr>
      <vt:lpstr>Data_PersoonAanUitVastVrij007</vt:lpstr>
      <vt:lpstr>Data_PersoonAanUitVastVrij008</vt:lpstr>
      <vt:lpstr>Data_PersoonAanUitVastVrij009</vt:lpstr>
      <vt:lpstr>Data_PersoonAanUitVastVrij010</vt:lpstr>
      <vt:lpstr>Data_PersoonAanUitVastVrij011</vt:lpstr>
      <vt:lpstr>Data_PersoonAanUitVastVrij012</vt:lpstr>
      <vt:lpstr>Data_PersoonAanUitVastVrij013</vt:lpstr>
      <vt:lpstr>Data_PersoonAanUitVastVrij014</vt:lpstr>
      <vt:lpstr>Data_PersoonAanUitVastVrij015</vt:lpstr>
      <vt:lpstr>Data_PersoonAanUitVastVrij016</vt:lpstr>
      <vt:lpstr>Data_PersoonAanUitVastVrij017</vt:lpstr>
      <vt:lpstr>Data_PersoonAanUitVastVrij018</vt:lpstr>
      <vt:lpstr>Data_PersoonAanUitVastVrij019</vt:lpstr>
      <vt:lpstr>Data_PersoonAanUitVastVrij020</vt:lpstr>
      <vt:lpstr>Data_PersoonAanUitVastVrij021</vt:lpstr>
      <vt:lpstr>Data_PersoonAanUitVastVrij022</vt:lpstr>
      <vt:lpstr>Data_PersoonAanUitVastVrij023</vt:lpstr>
      <vt:lpstr>Data_PersoonAanUitVastVrij024</vt:lpstr>
      <vt:lpstr>Data_PersoonAanUitVastVrij025</vt:lpstr>
      <vt:lpstr>Data_PersoonAanUitVastVrij026</vt:lpstr>
      <vt:lpstr>Data_PersoonAanUitVastVrij027</vt:lpstr>
      <vt:lpstr>Data_PersoonAanUitVastVrij028</vt:lpstr>
      <vt:lpstr>Data_PersoonAanUitVastVrij029</vt:lpstr>
      <vt:lpstr>Data_PersoonAanUitVastVrij030</vt:lpstr>
      <vt:lpstr>Data_PersoonAanUitVastVrij031</vt:lpstr>
      <vt:lpstr>Data_PersoonAanUitVastVrij032</vt:lpstr>
      <vt:lpstr>Data_PersoonAanUitVastVrij033</vt:lpstr>
      <vt:lpstr>Data_PersoonAanUitVastVrij034</vt:lpstr>
      <vt:lpstr>Data_PersoonAanUitVastVrij035</vt:lpstr>
      <vt:lpstr>Data_PersoonAanUitVastVrij036</vt:lpstr>
      <vt:lpstr>Data_PersoonAanUitVastVrij037</vt:lpstr>
      <vt:lpstr>Data_PersoonAanUitVastVrij038</vt:lpstr>
      <vt:lpstr>Data_PersoonAanUitVastVrij039</vt:lpstr>
      <vt:lpstr>Data_PersoonAanUitVastVrij040</vt:lpstr>
      <vt:lpstr>Data_PersoonAanUitVastVrij041</vt:lpstr>
      <vt:lpstr>Data_PersoonAanUitVastVrij042</vt:lpstr>
      <vt:lpstr>Data_PersoonAanUitVastVrij043</vt:lpstr>
      <vt:lpstr>Data_PersoonAanUitVastVrij044</vt:lpstr>
      <vt:lpstr>Data_PersoonAanUitVastVrij045</vt:lpstr>
      <vt:lpstr>Data_PersoonAanUitVastVrij046</vt:lpstr>
      <vt:lpstr>Data_PersoonAanUitVastVrij047</vt:lpstr>
      <vt:lpstr>Data_PersoonAanUitVastVrij048</vt:lpstr>
      <vt:lpstr>Data_PersoonAanUitVastVrij049</vt:lpstr>
      <vt:lpstr>Data_PersoonAanUitVastVrij050</vt:lpstr>
      <vt:lpstr>Data_PersoonAanUitVastVrij051</vt:lpstr>
      <vt:lpstr>Data_PersoonAanUitVastVrij052</vt:lpstr>
      <vt:lpstr>Data_PersoonAanUitVastVrij053</vt:lpstr>
      <vt:lpstr>Data_PersoonAanUitVastVrij054</vt:lpstr>
      <vt:lpstr>Data_PersoonAanUitVastVrij055</vt:lpstr>
      <vt:lpstr>Data_PersoonAanUitVastVrij056</vt:lpstr>
      <vt:lpstr>Data_PersoonAanUitVastVrij057</vt:lpstr>
      <vt:lpstr>Data_PersoonAanUitVastVrij058</vt:lpstr>
      <vt:lpstr>Data_PersoonAanUitVastVrij059</vt:lpstr>
      <vt:lpstr>Data_PersoonAanUitVastVrij060</vt:lpstr>
      <vt:lpstr>Data_PersoonAanUitVastVrij061</vt:lpstr>
      <vt:lpstr>Data_PersoonAanUitVastVrij062</vt:lpstr>
      <vt:lpstr>Data_PersoonAanUitVastVrij063</vt:lpstr>
      <vt:lpstr>Data_PersoonAanUitVastVrij064</vt:lpstr>
      <vt:lpstr>Data_PersoonAanUitVastVrij065</vt:lpstr>
      <vt:lpstr>Data_PersoonAanUitVastVrij066</vt:lpstr>
      <vt:lpstr>Data_PersoonAanUitVastVrij067</vt:lpstr>
      <vt:lpstr>Data_PersoonAanUitVastVrij068</vt:lpstr>
      <vt:lpstr>Data_PersoonAanUitVastVrij069</vt:lpstr>
      <vt:lpstr>Data_PersoonAanUitVastVrij070</vt:lpstr>
      <vt:lpstr>Data_PersoonAanUitVastVrij071</vt:lpstr>
      <vt:lpstr>Data_PersoonAanUitVastVrij072</vt:lpstr>
      <vt:lpstr>Data_PersoonAanUitVastVrij073</vt:lpstr>
      <vt:lpstr>Data_PersoonAanUitVastVrij074</vt:lpstr>
      <vt:lpstr>Data_PersoonAanUitVastVrij075</vt:lpstr>
      <vt:lpstr>Data_PersoonAanUitVastVrij076</vt:lpstr>
      <vt:lpstr>Data_PersoonAanUitVastVrij077</vt:lpstr>
      <vt:lpstr>Data_PersoonAanUitVastVrij078</vt:lpstr>
      <vt:lpstr>Data_PersoonAanUitVastVrij079</vt:lpstr>
      <vt:lpstr>Data_PersoonAanUitVastVrij080</vt:lpstr>
      <vt:lpstr>Data_PersoonAanUitVastVrij081</vt:lpstr>
      <vt:lpstr>Data_PersoonAanUitVastVrij082</vt:lpstr>
      <vt:lpstr>Data_PersoonAanUitVastVrij083</vt:lpstr>
      <vt:lpstr>Data_PersoonAanUitVastVrij084</vt:lpstr>
      <vt:lpstr>Data_PersoonAanUitVastVrij085</vt:lpstr>
      <vt:lpstr>Data_PersoonAanUitVastVrij086</vt:lpstr>
      <vt:lpstr>Data_PersoonAanUitVastVrij087</vt:lpstr>
      <vt:lpstr>Data_PersoonAanUitVastVrij088</vt:lpstr>
      <vt:lpstr>Data_PersoonAanUitVastVrij089</vt:lpstr>
      <vt:lpstr>Data_PersoonAanUitVastVrij090</vt:lpstr>
      <vt:lpstr>Data_PersoonAanUitVastVrij091</vt:lpstr>
      <vt:lpstr>Data_PersoonAanUitVastVrij092</vt:lpstr>
      <vt:lpstr>Data_PersoonAanUitVastVrij093</vt:lpstr>
      <vt:lpstr>Data_PersoonAanUitVastVrij094</vt:lpstr>
      <vt:lpstr>Data_PersoonAanUitVastVrij095</vt:lpstr>
      <vt:lpstr>Data_PersoonAanUitVastVrij096</vt:lpstr>
      <vt:lpstr>Data_PersoonAanUitVastVrij097</vt:lpstr>
      <vt:lpstr>Data_PersoonAanUitVastVrij098</vt:lpstr>
      <vt:lpstr>Data_PersoonAanUitVastVrij099</vt:lpstr>
      <vt:lpstr>Data_PersoonAanUitVastVrij100</vt:lpstr>
      <vt:lpstr>Data_PersoonAanUitVastVrij101</vt:lpstr>
      <vt:lpstr>Data_PersoonAanUitVastVrij102</vt:lpstr>
      <vt:lpstr>Data_PersoonAanUitVastVrij103</vt:lpstr>
      <vt:lpstr>Data_PersoonAanUitVastVrij104</vt:lpstr>
      <vt:lpstr>Data_PersoonAanUitVastVrij105</vt:lpstr>
      <vt:lpstr>Data_PersoonAanUitVastVrij106</vt:lpstr>
      <vt:lpstr>Data_PersoonAanUitVastVrij107</vt:lpstr>
      <vt:lpstr>Data_PersoonAanUitVastVrij108</vt:lpstr>
      <vt:lpstr>Data_PersoonAanUitVastVrij109</vt:lpstr>
      <vt:lpstr>Data_PersoonAanUitVastVrij110</vt:lpstr>
      <vt:lpstr>Data_PersoonAanUitVastVrij111</vt:lpstr>
      <vt:lpstr>Data_PersoonAanUitVastVrij112</vt:lpstr>
      <vt:lpstr>Data_PersoonAanUitVastVrij113</vt:lpstr>
      <vt:lpstr>Data_PersoonAanUitVastVrij114</vt:lpstr>
      <vt:lpstr>Data_PersoonAanUitVastVrij115</vt:lpstr>
      <vt:lpstr>Data_PersoonAanUitVastVrij116</vt:lpstr>
      <vt:lpstr>Data_PersoonAanUitVastVrij117</vt:lpstr>
      <vt:lpstr>Data_PersoonAanUitVastVrij118</vt:lpstr>
      <vt:lpstr>Data_PersoonAanUitVastVrij119</vt:lpstr>
      <vt:lpstr>Data_PersoonAanUitVastVrij120</vt:lpstr>
      <vt:lpstr>Data_PersoonAanUitVastVrij121</vt:lpstr>
      <vt:lpstr>Data_PersoonAanUitVastVrij122</vt:lpstr>
      <vt:lpstr>Data_PersoonAanUitVastVrij123</vt:lpstr>
      <vt:lpstr>Data_PersoonAanUitVastVrij124</vt:lpstr>
      <vt:lpstr>Data_PersoonAanUitVastVrij125</vt:lpstr>
      <vt:lpstr>Data_PersoonAanUitVastVrij126</vt:lpstr>
      <vt:lpstr>Data_PersoonAanUitVastVrij127</vt:lpstr>
      <vt:lpstr>Data_PersoonAanUitVastVrij128</vt:lpstr>
      <vt:lpstr>Data_PersoonAanUitVastVrij129</vt:lpstr>
      <vt:lpstr>Data_PersoonAanUitVastVrij130</vt:lpstr>
      <vt:lpstr>Data_PersoonAanUitVastVrij131</vt:lpstr>
      <vt:lpstr>Data_PersoonAanUitVastVrij132</vt:lpstr>
      <vt:lpstr>Data_PersoonAanUitVastVrij133</vt:lpstr>
      <vt:lpstr>Data_PersoonAanUitVastVrij134</vt:lpstr>
      <vt:lpstr>Data_PersoonAanUitVastVrij135</vt:lpstr>
      <vt:lpstr>Data_PersoonAanUitVastVrij136</vt:lpstr>
      <vt:lpstr>Data_PersoonAanUitVastVrij137</vt:lpstr>
      <vt:lpstr>Data_PersoonAanUitVastVrij138</vt:lpstr>
      <vt:lpstr>Data_PersoonAanUitVastVrij139</vt:lpstr>
      <vt:lpstr>Data_PersoonAanUitVastVrij140</vt:lpstr>
      <vt:lpstr>Data_PersoonAanUitVastVrij141</vt:lpstr>
      <vt:lpstr>Data_PersoonAanUitVastVrij142</vt:lpstr>
      <vt:lpstr>Data_PersoonAanUitVastVrij143</vt:lpstr>
      <vt:lpstr>Data_PersoonAanUitVastVrij144</vt:lpstr>
      <vt:lpstr>Data_PersoonAanUitVastVrij145</vt:lpstr>
      <vt:lpstr>Data_PersoonAanUitVastVrij146</vt:lpstr>
      <vt:lpstr>Data_PersoonAanUitVastVrij147</vt:lpstr>
      <vt:lpstr>Data_PersoonAanUitVastVrij148</vt:lpstr>
      <vt:lpstr>Data_PersoonAanUitVastVrij149</vt:lpstr>
      <vt:lpstr>Data_PersoonAanUitVastVrij150</vt:lpstr>
      <vt:lpstr>Data_PersoonAanUitVastVrij151</vt:lpstr>
      <vt:lpstr>Data_PersoonAanUitVastVrij152</vt:lpstr>
      <vt:lpstr>Data_PersoonAanUitVastVrij153</vt:lpstr>
      <vt:lpstr>Data_PersoonAanUitVastVrij154</vt:lpstr>
      <vt:lpstr>Data_PersoonAanUitVastVrij155</vt:lpstr>
      <vt:lpstr>Data_PersoonAanUitVastVrij156</vt:lpstr>
      <vt:lpstr>Data_PersoonAanUitVastVrij157</vt:lpstr>
      <vt:lpstr>Data_PersoonAanUitVastVrij158</vt:lpstr>
      <vt:lpstr>Data_PersoonAanUitVastVrij159</vt:lpstr>
      <vt:lpstr>Data_PersoonAanUitVastVrij160</vt:lpstr>
      <vt:lpstr>Data_PersoonAanUitVastVrij161</vt:lpstr>
      <vt:lpstr>Data_PersoonAanUitVastVrij162</vt:lpstr>
      <vt:lpstr>Data_PersoonAanUitVastVrij163</vt:lpstr>
      <vt:lpstr>Data_PersoonAanUitVastVrij164</vt:lpstr>
      <vt:lpstr>Data_PersoonAanUitVastVrij165</vt:lpstr>
      <vt:lpstr>Data_PersoonAanUitVastVrij166</vt:lpstr>
      <vt:lpstr>Data_PersoonAanUitVastVrij167</vt:lpstr>
      <vt:lpstr>Data_PersoonAanUitVastVrij168</vt:lpstr>
      <vt:lpstr>Data_PersoonAanUitVastVrij169</vt:lpstr>
      <vt:lpstr>Data_PersoonAanUitVastVrij170</vt:lpstr>
      <vt:lpstr>Data_PersoonAanUitVastVrij171</vt:lpstr>
      <vt:lpstr>Data_PersoonAanUitVastVrij172</vt:lpstr>
      <vt:lpstr>Data_PersoonAanUitVastVrij173</vt:lpstr>
      <vt:lpstr>Data_PersoonAanUitVastVrij174</vt:lpstr>
      <vt:lpstr>Data_PersoonAanUitVastVrij175</vt:lpstr>
      <vt:lpstr>Data_PersoonAanUitVastVrij176</vt:lpstr>
      <vt:lpstr>Data_PersoonAanUitVastVrij177</vt:lpstr>
      <vt:lpstr>Data_PersoonAanUitVastVrij178</vt:lpstr>
      <vt:lpstr>Data_PersoonAanUitVastVrij179</vt:lpstr>
      <vt:lpstr>Data_PersoonAanUitVastVrij180</vt:lpstr>
      <vt:lpstr>Data_PersoonAanUitVastVrij181</vt:lpstr>
      <vt:lpstr>Data_PersoonAanUitVastVrij182</vt:lpstr>
      <vt:lpstr>Data_PersoonAanUitVastVrij183</vt:lpstr>
      <vt:lpstr>Data_PersoonAanUitVastVrij184</vt:lpstr>
      <vt:lpstr>Data_PersoonAanUitVastVrij185</vt:lpstr>
      <vt:lpstr>Data_PersoonAanUitVastVrij186</vt:lpstr>
      <vt:lpstr>Data_PersoonAanUitVastVrij187</vt:lpstr>
      <vt:lpstr>Data_PersoonAanUitVastVrij188</vt:lpstr>
      <vt:lpstr>Data_PersoonAanUitVastVrij189</vt:lpstr>
      <vt:lpstr>Data_PersoonAanUitVastVrij190</vt:lpstr>
      <vt:lpstr>Data_PersoonAanUitVastVrij191</vt:lpstr>
      <vt:lpstr>Data_PersoonAanUitVastVrij192</vt:lpstr>
      <vt:lpstr>Data_PersoonAanUitVastVrij193</vt:lpstr>
      <vt:lpstr>Data_PersoonAanUitVastVrij194</vt:lpstr>
      <vt:lpstr>Data_PersoonAanUitVastVrij195</vt:lpstr>
      <vt:lpstr>Data_PersoonAanUitVastVrij196</vt:lpstr>
      <vt:lpstr>Data_PersoonAanUitVastVrij197</vt:lpstr>
      <vt:lpstr>Data_PersoonAanUitVastVrij198</vt:lpstr>
      <vt:lpstr>Data_PersoonAanUitVastVrij199</vt:lpstr>
      <vt:lpstr>Data_PersoonAanUitVastVrij200</vt:lpstr>
      <vt:lpstr>Data_PersoonAanUitVastVrij201</vt:lpstr>
      <vt:lpstr>Data_PersoonAanUitVastVrij202</vt:lpstr>
      <vt:lpstr>Data_PersoonAanUitVastVrij203</vt:lpstr>
      <vt:lpstr>Data_PersoonAanUitVastVrij204</vt:lpstr>
      <vt:lpstr>Data_PersoonAanUitVastVrij205</vt:lpstr>
      <vt:lpstr>Data_PersoonAanUitVastVrij206</vt:lpstr>
      <vt:lpstr>Data_PersoonAanUitVastVrij207</vt:lpstr>
      <vt:lpstr>Data_PersoonAanUitVastVrij208</vt:lpstr>
      <vt:lpstr>Data_PersoonAanUitVastVrij209</vt:lpstr>
      <vt:lpstr>Data_PersoonAanUitVastVrij210</vt:lpstr>
      <vt:lpstr>Data_PersoonAanUitVastVrij211</vt:lpstr>
      <vt:lpstr>Data_PersoonAanUitVastVrij212</vt:lpstr>
      <vt:lpstr>Data_PersoonAanUitVastVrij213</vt:lpstr>
      <vt:lpstr>Data_PersoonAanUitVastVrij214</vt:lpstr>
      <vt:lpstr>Data_PersoonAanUitVastVrij215</vt:lpstr>
      <vt:lpstr>Data_PersoonAanUitVastVrij216</vt:lpstr>
      <vt:lpstr>Data_PersoonAanUitVastVrij217</vt:lpstr>
      <vt:lpstr>Data_PersoonAanUitVastVrij218</vt:lpstr>
      <vt:lpstr>Data_PersoonAanUitVastVrij219</vt:lpstr>
      <vt:lpstr>Data_PersoonAanUitVastVrij220</vt:lpstr>
      <vt:lpstr>Data_PersoonAanUitVastVrij221</vt:lpstr>
      <vt:lpstr>Data_PersoonAanUitVastVrij222</vt:lpstr>
      <vt:lpstr>Data_PersoonAanUitVastVrij223</vt:lpstr>
      <vt:lpstr>Data_PersoonAanUitVastVrij224</vt:lpstr>
      <vt:lpstr>Data_PersoonAanUitVastVrij225</vt:lpstr>
      <vt:lpstr>Data_PersoonAanUitVastVrij226</vt:lpstr>
      <vt:lpstr>Data_PersoonAanUitVastVrij227</vt:lpstr>
      <vt:lpstr>Data_PersoonAanUitVastVrij228</vt:lpstr>
      <vt:lpstr>Data_PersoonAanUitVastVrij229</vt:lpstr>
      <vt:lpstr>Data_PersoonAanUitVastVrij230</vt:lpstr>
      <vt:lpstr>Data_PersoonAanUitVastVrij231</vt:lpstr>
      <vt:lpstr>Data_PersoonAanUitVastVrij232</vt:lpstr>
      <vt:lpstr>Data_PersoonAanUitVastVrij233</vt:lpstr>
      <vt:lpstr>Data_PersoonAanUitVastVrij234</vt:lpstr>
      <vt:lpstr>Data_PersoonAanUitVastVrij235</vt:lpstr>
      <vt:lpstr>Data_PersoonAanUitVastVrij236</vt:lpstr>
      <vt:lpstr>Data_PersoonAanUitVastVrij237</vt:lpstr>
      <vt:lpstr>Data_PersoonAanUitVastVrij238</vt:lpstr>
      <vt:lpstr>Data_PersoonAanUitVastVrij239</vt:lpstr>
      <vt:lpstr>Data_PersoonAanUitVastVrij240</vt:lpstr>
      <vt:lpstr>Data_PersoonAanUitVastVrij241</vt:lpstr>
      <vt:lpstr>Data_PersoonAanUitVastVrij242</vt:lpstr>
      <vt:lpstr>Data_PersoonAanUitVastVrij243</vt:lpstr>
      <vt:lpstr>Data_PersoonAanUitVastVrij244</vt:lpstr>
      <vt:lpstr>Data_PersoonAanUitVastVrij245</vt:lpstr>
      <vt:lpstr>Data_PersoonAanUitVastVrij246</vt:lpstr>
      <vt:lpstr>Data_PersoonAanUitVastVrij247</vt:lpstr>
      <vt:lpstr>Data_PersoonAanUitVastVrij248</vt:lpstr>
      <vt:lpstr>Data_PersoonAanUitVastVrij249</vt:lpstr>
      <vt:lpstr>Data_PersoonAanUitVastVrij250</vt:lpstr>
      <vt:lpstr>Data_PersoonAanUitVastVrij251</vt:lpstr>
      <vt:lpstr>Data_PersoonAanUitVastVrij252</vt:lpstr>
      <vt:lpstr>Data_PersoonAanUitVastVrij253</vt:lpstr>
      <vt:lpstr>Data_PersoonAanUitVastVrij254</vt:lpstr>
      <vt:lpstr>Data_PersoonAanUitVastVrij255</vt:lpstr>
      <vt:lpstr>Data_PersoonAanUitVastVrij256</vt:lpstr>
      <vt:lpstr>Data_PersoonAanUitVastVrij257</vt:lpstr>
      <vt:lpstr>Data_PersoonAanUitVastVrij258</vt:lpstr>
      <vt:lpstr>Data_PersoonAanUitVastVrij259</vt:lpstr>
      <vt:lpstr>Data_PersoonAanUitVastVrij260</vt:lpstr>
      <vt:lpstr>Data_PersoonAanUitVastVrij261</vt:lpstr>
      <vt:lpstr>Data_PersoonAanUitVastVrij262</vt:lpstr>
      <vt:lpstr>Data_PersoonAanUitVastVrij263</vt:lpstr>
      <vt:lpstr>Data_PersoonAanUitVastVrij264</vt:lpstr>
      <vt:lpstr>Data_PersoonAanUitVastVrij265</vt:lpstr>
      <vt:lpstr>Data_PersoonAanUitVastVrij266</vt:lpstr>
      <vt:lpstr>Data_PersoonAanUitVastVrij267</vt:lpstr>
      <vt:lpstr>Data_PersoonAanUitVastVrij268</vt:lpstr>
      <vt:lpstr>Data_PersoonAanUitVastVrij269</vt:lpstr>
      <vt:lpstr>Data_PersoonAanUitVastVrij270</vt:lpstr>
      <vt:lpstr>Data_PersoonAanUitVastVrij271</vt:lpstr>
      <vt:lpstr>Data_PersoonAanUitVastVrij272</vt:lpstr>
      <vt:lpstr>Data_PersoonAanUitVastVrij273</vt:lpstr>
      <vt:lpstr>Data_PersoonAanUitVastVrij274</vt:lpstr>
      <vt:lpstr>Data_PersoonAanUitVastVrij275</vt:lpstr>
      <vt:lpstr>Data_PersoonAanUitVastVrij276</vt:lpstr>
      <vt:lpstr>Data_PersoonAanUitVastVrij277</vt:lpstr>
      <vt:lpstr>Data_PersoonAanUitVastVrij278</vt:lpstr>
      <vt:lpstr>Data_PersoonAanUitVastVrij279</vt:lpstr>
      <vt:lpstr>Data_PersoonAanUitVastVrij280</vt:lpstr>
      <vt:lpstr>Data_PersoonAanUitVastVrij281</vt:lpstr>
      <vt:lpstr>Data_PersoonAanUitVastVrij282</vt:lpstr>
      <vt:lpstr>Data_PersoonAanUitVastVrij283</vt:lpstr>
      <vt:lpstr>Data_PersoonAanUitVastVrij284</vt:lpstr>
      <vt:lpstr>Data_PersoonAanUitVastVrij285</vt:lpstr>
      <vt:lpstr>Data_PersoonAanUitVastVrij286</vt:lpstr>
      <vt:lpstr>Data_PersoonAanUitVastVrij287</vt:lpstr>
      <vt:lpstr>Data_PersoonAanUitVastVrij288</vt:lpstr>
      <vt:lpstr>Data_PersoonAanUitVastVrij289</vt:lpstr>
      <vt:lpstr>Data_PersoonAanUitVastVrij290</vt:lpstr>
      <vt:lpstr>Data_PersoonAanUitVastVrij291</vt:lpstr>
      <vt:lpstr>Data_PersoonAanUitVastVrij292</vt:lpstr>
      <vt:lpstr>Data_PersoonAanUitVastVrij293</vt:lpstr>
      <vt:lpstr>Data_PersoonAanUitVastVrij294</vt:lpstr>
      <vt:lpstr>Data_PersoonAanUitVastVrij295</vt:lpstr>
      <vt:lpstr>Data_PersoonAanUitVastVrij296</vt:lpstr>
      <vt:lpstr>Data_PersoonAanUitVastVrij297</vt:lpstr>
      <vt:lpstr>Data_PersoonAanUitVastVrij298</vt:lpstr>
      <vt:lpstr>Data_PersoonAanUitVastVrij299</vt:lpstr>
      <vt:lpstr>Data_PersoonAanUitVastVrij300</vt:lpstr>
      <vt:lpstr>Data_PersoonAanUitVastVrij301</vt:lpstr>
      <vt:lpstr>Data_PersoonAanUitVastVrij302</vt:lpstr>
      <vt:lpstr>Data_PersoonAanUitVastVrij303</vt:lpstr>
      <vt:lpstr>Data_PersoonAanUitVastVrij304</vt:lpstr>
      <vt:lpstr>Data_PersoonAanUitVastVrij305</vt:lpstr>
      <vt:lpstr>Data_PersoonAanUitVastVrij306</vt:lpstr>
      <vt:lpstr>Data_PersoonAanUitVastVrij307</vt:lpstr>
      <vt:lpstr>Data_PersoonAanUitVastVrij308</vt:lpstr>
      <vt:lpstr>Data_PersoonAanUitVastVrij309</vt:lpstr>
      <vt:lpstr>Data_PersoonAanUitVastVrij310</vt:lpstr>
      <vt:lpstr>Data_PersoonAanUitVastVrij311</vt:lpstr>
      <vt:lpstr>Data_PersoonAanUitVastVrij312</vt:lpstr>
      <vt:lpstr>Data_PersoonAanUitVastVrij313</vt:lpstr>
      <vt:lpstr>Data_PersoonAanUitVastVrij314</vt:lpstr>
      <vt:lpstr>Data_PersoonAanUitVastVrij315</vt:lpstr>
      <vt:lpstr>Data_PersoonAanUitVastVrij316</vt:lpstr>
      <vt:lpstr>Data_PersoonAanUitVastVrij317</vt:lpstr>
      <vt:lpstr>Data_PersoonAanUitVastVrij318</vt:lpstr>
      <vt:lpstr>Data_PersoonAanUitVastVrij319</vt:lpstr>
      <vt:lpstr>Data_PersoonAanUitVastVrij320</vt:lpstr>
      <vt:lpstr>Data_PersoonAanUitVastVrij321</vt:lpstr>
      <vt:lpstr>Data_PersoonAanUitVastVrij322</vt:lpstr>
      <vt:lpstr>Data_PersoonAanUitVastVrij323</vt:lpstr>
      <vt:lpstr>Data_PersoonAanUitVastVrij324</vt:lpstr>
      <vt:lpstr>Data_PersoonAanUitVastVrij325</vt:lpstr>
      <vt:lpstr>Data_PersoonAanUitVastVrij326</vt:lpstr>
      <vt:lpstr>Data_PersoonAanUitVastVrij327</vt:lpstr>
      <vt:lpstr>Data_PersoonAanUitVastVrij328</vt:lpstr>
      <vt:lpstr>Data_PersoonAanUitVastVrij329</vt:lpstr>
      <vt:lpstr>Data_PersoonAanUitVastVrij330</vt:lpstr>
      <vt:lpstr>Data_PersoonAanUitVastVrij331</vt:lpstr>
      <vt:lpstr>Data_PersoonAanUitVastVrij332</vt:lpstr>
      <vt:lpstr>Data_PersoonAanUitVastVrij333</vt:lpstr>
      <vt:lpstr>Data_PersoonAanUitVastVrij334</vt:lpstr>
      <vt:lpstr>Data_PersoonAanUitVastVrij335</vt:lpstr>
      <vt:lpstr>Data_PersoonAanUitVastVrij336</vt:lpstr>
      <vt:lpstr>Data_PersoonAanUitVastVrij337</vt:lpstr>
      <vt:lpstr>Data_PersoonAanUitVastVrij338</vt:lpstr>
      <vt:lpstr>Data_PersoonAanUitVastVrij339</vt:lpstr>
      <vt:lpstr>Data_PersoonAanUitVastVrij340</vt:lpstr>
      <vt:lpstr>Data_PersoonAanUitVastVrij341</vt:lpstr>
      <vt:lpstr>Data_PersoonAanUitVastVrij342</vt:lpstr>
      <vt:lpstr>Data_PersoonAanUitVastVrij343</vt:lpstr>
      <vt:lpstr>Data_PersoonAanUitVastVrij344</vt:lpstr>
      <vt:lpstr>Data_PersoonAanUitVastVrij345</vt:lpstr>
      <vt:lpstr>Data_PersoonAanUitVastVrij346</vt:lpstr>
      <vt:lpstr>Data_PersoonAanUitVastVrij347</vt:lpstr>
      <vt:lpstr>Data_PersoonAanUitVastVrij348</vt:lpstr>
      <vt:lpstr>Data_PersoonAanUitVastVrij349</vt:lpstr>
      <vt:lpstr>Data_PersoonAanUitVastVrij350</vt:lpstr>
      <vt:lpstr>Data_PersoonAanUitVastVrij351</vt:lpstr>
      <vt:lpstr>Data_PersoonAanUitVastVrij352</vt:lpstr>
      <vt:lpstr>Data_PersoonAanUitVastVrij353</vt:lpstr>
      <vt:lpstr>Data_PersoonAanUitVastVrij354</vt:lpstr>
      <vt:lpstr>Data_PersoonAanUitVastVrij355</vt:lpstr>
      <vt:lpstr>Data_PersoonAanUitVastVrij356</vt:lpstr>
      <vt:lpstr>Data_PersoonAanUitVastVrij357</vt:lpstr>
      <vt:lpstr>Data_PersoonAanUitVastVrij358</vt:lpstr>
      <vt:lpstr>Data_PersoonAanUitVastVrij359</vt:lpstr>
      <vt:lpstr>Data_PersoonAanUitVastVrij360</vt:lpstr>
      <vt:lpstr>Data_PersoonAanUitVastVrij361</vt:lpstr>
      <vt:lpstr>Data_PersoonAanUitVastVrij362</vt:lpstr>
      <vt:lpstr>Data_PersoonAanUitVastVrij363</vt:lpstr>
      <vt:lpstr>Data_PersoonAanUitVastVrij364</vt:lpstr>
      <vt:lpstr>Data_PersoonAanUitVastVrij365</vt:lpstr>
      <vt:lpstr>Data_PersoonAanUitVastVrij366</vt:lpstr>
      <vt:lpstr>Data_PersoonAanUitVastVrij367</vt:lpstr>
      <vt:lpstr>Data_PersoonAanUitVastVrij368</vt:lpstr>
      <vt:lpstr>Data_PersoonAanUitVastVrij369</vt:lpstr>
      <vt:lpstr>Data_PersoonAanUitVastVrij370</vt:lpstr>
      <vt:lpstr>Data_PersoonAanUitVastVrij371</vt:lpstr>
      <vt:lpstr>Data_PersoonAanUitVastVrij372</vt:lpstr>
      <vt:lpstr>Data_PersoonAanUitVastVrij373</vt:lpstr>
      <vt:lpstr>Data_PersoonAanUitVastVrij374</vt:lpstr>
      <vt:lpstr>Data_PersoonAanUitVastVrij375</vt:lpstr>
      <vt:lpstr>Data_PersoonAanUitVastVrij376</vt:lpstr>
      <vt:lpstr>Data_PersoonAanUitVastVrij377</vt:lpstr>
      <vt:lpstr>Data_PersoonAanUitVastVrij378</vt:lpstr>
      <vt:lpstr>Data_PersoonAanUitVastVrij379</vt:lpstr>
      <vt:lpstr>Data_PersoonAanUitVastVrij380</vt:lpstr>
      <vt:lpstr>Data_PersoonAanUitVastVrij381</vt:lpstr>
      <vt:lpstr>Data_PersoonAanUitVastVrij382</vt:lpstr>
      <vt:lpstr>Data_PersoonAanUitVastVrij383</vt:lpstr>
      <vt:lpstr>Data_PersoonAanUitVastVrij384</vt:lpstr>
      <vt:lpstr>Data_PersoonAanUitVastVrij385</vt:lpstr>
      <vt:lpstr>Data_PersoonAanUitVastVrij386</vt:lpstr>
      <vt:lpstr>Data_PersoonAanUitVastVrij387</vt:lpstr>
      <vt:lpstr>Data_PersoonAanUitVastVrij388</vt:lpstr>
      <vt:lpstr>Data_PersoonAanUitVastVrij389</vt:lpstr>
      <vt:lpstr>Data_PersoonAanUitVastVrij390</vt:lpstr>
      <vt:lpstr>Data_PersoonAanUitVastVrij391</vt:lpstr>
      <vt:lpstr>Data_PersoonAanUitVastVrij392</vt:lpstr>
      <vt:lpstr>Data_PersoonAanUitVastVrij393</vt:lpstr>
      <vt:lpstr>Data_PersoonAanUitVastVrij394</vt:lpstr>
      <vt:lpstr>Data_PersoonAanUitVastVrij395</vt:lpstr>
      <vt:lpstr>Data_PersoonAanUitVastVrij396</vt:lpstr>
      <vt:lpstr>Data_PersoonAanUitVastVrij397</vt:lpstr>
      <vt:lpstr>Data_PersoonAanUitVastVrij398</vt:lpstr>
      <vt:lpstr>Data_PersoonAanUitVastVrij399</vt:lpstr>
      <vt:lpstr>Data_PersoonAanUitVastVrij400</vt:lpstr>
      <vt:lpstr>Data_PersoonAanUitVastVrij401</vt:lpstr>
      <vt:lpstr>Data_PersoonAanUitVastVrij402</vt:lpstr>
      <vt:lpstr>Data_PersoonAanUitVastVrij403</vt:lpstr>
      <vt:lpstr>Data_PersoonAanUitVastVrij404</vt:lpstr>
      <vt:lpstr>Data_PersoonAanUitVastVrij405</vt:lpstr>
      <vt:lpstr>Data_PersoonAanUitVastVrij406</vt:lpstr>
      <vt:lpstr>Data_PersoonAanUitVastVrij407</vt:lpstr>
      <vt:lpstr>Data_PersoonAanUitVastVrij408</vt:lpstr>
      <vt:lpstr>Data_PersoonAanUitVastVrij409</vt:lpstr>
      <vt:lpstr>Data_PersoonAanUitVastVrij410</vt:lpstr>
      <vt:lpstr>Data_PersoonAanUitVastVrij411</vt:lpstr>
      <vt:lpstr>Data_PersoonAanUitVastVrij412</vt:lpstr>
      <vt:lpstr>Data_PersoonAanUitVastVrij413</vt:lpstr>
      <vt:lpstr>Data_PersoonAanUitVastVrij414</vt:lpstr>
      <vt:lpstr>Data_PersoonAanUitVastVrij415</vt:lpstr>
      <vt:lpstr>Data_PersoonAanUitVastVrij416</vt:lpstr>
      <vt:lpstr>Data_PersoonAanUitVastVrij417</vt:lpstr>
      <vt:lpstr>Data_PersoonAanUitVastVrij418</vt:lpstr>
      <vt:lpstr>Data_PersoonAanUitVastVrij419</vt:lpstr>
      <vt:lpstr>Data_PersoonAanUitVastVrij420</vt:lpstr>
      <vt:lpstr>Data_PersoonAanUitVastVrij421</vt:lpstr>
      <vt:lpstr>Data_PersoonAanUitVastVrij422</vt:lpstr>
      <vt:lpstr>Data_PersoonAanUitVastVrij423</vt:lpstr>
      <vt:lpstr>Data_PersoonAanUitVastVrij424</vt:lpstr>
      <vt:lpstr>Data_PersoonAanUitVastVrij425</vt:lpstr>
      <vt:lpstr>Data_PersoonAanUitVastVrij426</vt:lpstr>
      <vt:lpstr>Data_PersoonAanUitVastVrij427</vt:lpstr>
      <vt:lpstr>Data_PersoonAanUitVastVrij428</vt:lpstr>
      <vt:lpstr>Data_PersoonAanUitVastVrij429</vt:lpstr>
      <vt:lpstr>Data_PersoonAanUitVastVrij430</vt:lpstr>
      <vt:lpstr>Data_PersoonAanUitVastVrij431</vt:lpstr>
      <vt:lpstr>Data_PersoonAanUitVastVrij432</vt:lpstr>
      <vt:lpstr>Data_PersoonAanUitVastVrij433</vt:lpstr>
      <vt:lpstr>Data_PersoonAanUitVastVrij434</vt:lpstr>
      <vt:lpstr>Data_PersoonAanUitVastVrij435</vt:lpstr>
      <vt:lpstr>Data_PersoonAanUitVastVrij436</vt:lpstr>
      <vt:lpstr>Data_PersoonAanUitVastVrij437</vt:lpstr>
      <vt:lpstr>Data_PersoonAanUitVastVrij438</vt:lpstr>
      <vt:lpstr>Data_PersoonAanUitVastVrij439</vt:lpstr>
      <vt:lpstr>Data_PersoonAanUitVastVrij440</vt:lpstr>
      <vt:lpstr>Data_PersoonAanUitVastVrij441</vt:lpstr>
      <vt:lpstr>Data_PersoonAanUitVastVrij442</vt:lpstr>
      <vt:lpstr>Data_PersoonAanUitVastVrij443</vt:lpstr>
      <vt:lpstr>Data_PersoonAanUitVastVrij444</vt:lpstr>
      <vt:lpstr>Data_PersoonAanUitVastVrij445</vt:lpstr>
      <vt:lpstr>Data_PersoonAanUitVastVrij446</vt:lpstr>
      <vt:lpstr>Data_PersoonAanUitVastVrij447</vt:lpstr>
      <vt:lpstr>Data_PersoonAanUitVastVrij448</vt:lpstr>
      <vt:lpstr>Data_PersoonAanUitVastVrij449</vt:lpstr>
      <vt:lpstr>Data_PersoonAanUitVastVrij450</vt:lpstr>
      <vt:lpstr>Data_PersoonAanUitVastVrij451</vt:lpstr>
      <vt:lpstr>Data_PersoonAanUitVastVrij452</vt:lpstr>
      <vt:lpstr>Data_PersoonAanUitVastVrij453</vt:lpstr>
      <vt:lpstr>Data_PersoonAanUitVastVrij454</vt:lpstr>
      <vt:lpstr>Data_PersoonAanUitVastVrij455</vt:lpstr>
      <vt:lpstr>Data_PersoonAanUitVastVrij456</vt:lpstr>
      <vt:lpstr>Data_PersoonAanUitVastVrij457</vt:lpstr>
      <vt:lpstr>Data_PersoonAanUitVastVrij458</vt:lpstr>
      <vt:lpstr>Data_PersoonAanUitVastVrij459</vt:lpstr>
      <vt:lpstr>Data_PersoonAanUitVastVrij460</vt:lpstr>
      <vt:lpstr>Data_PersoonAanUitVastVrij461</vt:lpstr>
      <vt:lpstr>Data_PersoonAanUitVastVrij462</vt:lpstr>
      <vt:lpstr>Data_PersoonAanUitVastVrij463</vt:lpstr>
      <vt:lpstr>Data_PersoonAanUitVastVrij464</vt:lpstr>
      <vt:lpstr>Data_PersoonAanUitVastVrij465</vt:lpstr>
      <vt:lpstr>Data_PersoonAanUitVastVrij466</vt:lpstr>
      <vt:lpstr>Data_PersoonAanUitVastVrij467</vt:lpstr>
      <vt:lpstr>Data_PersoonAanUitVastVrij468</vt:lpstr>
      <vt:lpstr>Data_PersoonAanUitVastVrij469</vt:lpstr>
      <vt:lpstr>Data_PersoonAanUitVastVrij470</vt:lpstr>
      <vt:lpstr>Data_PersoonAanUitVastVrij471</vt:lpstr>
      <vt:lpstr>Data_PersoonAanUitVastVrij472</vt:lpstr>
      <vt:lpstr>Data_PersoonAanUitVastVrij473</vt:lpstr>
      <vt:lpstr>Data_PersoonAanUitVastVrij474</vt:lpstr>
      <vt:lpstr>Data_PersoonAanUitVastVrij475</vt:lpstr>
      <vt:lpstr>Data_PersoonAanUitVastVrij476</vt:lpstr>
      <vt:lpstr>Data_PersoonAanUitVastVrij477</vt:lpstr>
      <vt:lpstr>Data_PersoonAanUitVastVrij478</vt:lpstr>
      <vt:lpstr>Data_PersoonAanUitVastVrij479</vt:lpstr>
      <vt:lpstr>Data_PersoonAanUitVastVrij480</vt:lpstr>
      <vt:lpstr>Data_PersoonAanUitVastVrij481</vt:lpstr>
      <vt:lpstr>Data_PersoonAanUitVastVrij482</vt:lpstr>
      <vt:lpstr>Data_PersoonAanUitVastVrij483</vt:lpstr>
      <vt:lpstr>Data_PersoonAanUitVastVrij484</vt:lpstr>
      <vt:lpstr>Data_PersoonAanUitVastVrij485</vt:lpstr>
      <vt:lpstr>Data_PersoonAanUitVastVrij486</vt:lpstr>
      <vt:lpstr>Data_PersoonAanUitVastVrij487</vt:lpstr>
      <vt:lpstr>Data_PersoonAanUitVastVrij488</vt:lpstr>
      <vt:lpstr>Data_PersoonAanUitVastVrij489</vt:lpstr>
      <vt:lpstr>Data_PersoonAanUitVastVrij490</vt:lpstr>
      <vt:lpstr>Data_PersoonAanUitVastVrij491</vt:lpstr>
      <vt:lpstr>Data_PersoonAanUitVastVrij492</vt:lpstr>
      <vt:lpstr>Data_PersoonAanUitVastVrij493</vt:lpstr>
      <vt:lpstr>Data_PersoonAanUitVastVrij494</vt:lpstr>
      <vt:lpstr>Data_PersoonAanUitVastVrij495</vt:lpstr>
      <vt:lpstr>Data_PersoonAanUitVastVrij496</vt:lpstr>
      <vt:lpstr>Data_PersoonAanUitVastVrij497</vt:lpstr>
      <vt:lpstr>Data_PersoonAanUitVastVrij498</vt:lpstr>
      <vt:lpstr>Data_PersoonAanUitVastVrij499</vt:lpstr>
      <vt:lpstr>Data_PersoonAanUitVastVrij500</vt:lpstr>
      <vt:lpstr>Data_RijksBekost23</vt:lpstr>
      <vt:lpstr>Data_RijksBekost24</vt:lpstr>
      <vt:lpstr>Data_SchaalNatVerloop001</vt:lpstr>
      <vt:lpstr>Data_SchaalNatVerloop002</vt:lpstr>
      <vt:lpstr>Data_SchaalNatVerloop003</vt:lpstr>
      <vt:lpstr>Data_SchaalNatVerloop004</vt:lpstr>
      <vt:lpstr>Data_SchaalNatVerloop005</vt:lpstr>
      <vt:lpstr>Data_SchaalNatVerloop006</vt:lpstr>
      <vt:lpstr>Data_SchaalNatVerloop007</vt:lpstr>
      <vt:lpstr>Data_SchaalNatVerloop008</vt:lpstr>
      <vt:lpstr>Data_SchaalNatVerloop009</vt:lpstr>
      <vt:lpstr>Data_SchaalNatVerloop010</vt:lpstr>
      <vt:lpstr>Data_SchaalNatVerloop011</vt:lpstr>
      <vt:lpstr>Data_SchaalNatVerloop012</vt:lpstr>
      <vt:lpstr>Data_SchaalNatVerloop013</vt:lpstr>
      <vt:lpstr>Data_SchaalNatVerloop014</vt:lpstr>
      <vt:lpstr>Data_SchaalNatVerloop015</vt:lpstr>
      <vt:lpstr>Data_SchaalNatVerloop016</vt:lpstr>
      <vt:lpstr>Data_SchaalNatVerloop017</vt:lpstr>
      <vt:lpstr>Data_SchaalNatVerloop018</vt:lpstr>
      <vt:lpstr>Data_SchaalNatVerloop019</vt:lpstr>
      <vt:lpstr>Data_SchaalNatVerloop020</vt:lpstr>
      <vt:lpstr>Data_SchaalNatVerloop021</vt:lpstr>
      <vt:lpstr>Data_SchaalNatVerloop022</vt:lpstr>
      <vt:lpstr>Data_SchaalNatVerloop023</vt:lpstr>
      <vt:lpstr>Data_SchaalNatVerloop024</vt:lpstr>
      <vt:lpstr>Data_SchaalNatVerloop025</vt:lpstr>
      <vt:lpstr>Data_SchaalNatVerloop026</vt:lpstr>
      <vt:lpstr>Data_SchaalNatVerloop027</vt:lpstr>
      <vt:lpstr>Data_SchaalNatVerloop028</vt:lpstr>
      <vt:lpstr>Data_SchaalNatVerloop029</vt:lpstr>
      <vt:lpstr>Data_SchaalNatVerloop030</vt:lpstr>
      <vt:lpstr>Data_SchaalNatVerloop031</vt:lpstr>
      <vt:lpstr>Data_SchaalNatVerloop032</vt:lpstr>
      <vt:lpstr>Data_SchaalNatVerloop033</vt:lpstr>
      <vt:lpstr>Data_SchaalNatVerloop034</vt:lpstr>
      <vt:lpstr>Data_SchaalNatVerloop035</vt:lpstr>
      <vt:lpstr>Data_SchaalNatVerloop036</vt:lpstr>
      <vt:lpstr>Data_SchaalNatVerloop037</vt:lpstr>
      <vt:lpstr>Data_SchaalNatVerloop038</vt:lpstr>
      <vt:lpstr>Data_SchaalNatVerloop039</vt:lpstr>
      <vt:lpstr>Data_SchaalNatVerloop040</vt:lpstr>
      <vt:lpstr>Data_SchaalNatVerloop041</vt:lpstr>
      <vt:lpstr>Data_SchaalNatVerloop042</vt:lpstr>
      <vt:lpstr>Data_SchaalNatVerloop043</vt:lpstr>
      <vt:lpstr>Data_SchaalNatVerloop044</vt:lpstr>
      <vt:lpstr>Data_SchaalNatVerloop045</vt:lpstr>
      <vt:lpstr>Data_SchaalNatVerloop046</vt:lpstr>
      <vt:lpstr>Data_SchaalNatVerloop047</vt:lpstr>
      <vt:lpstr>Data_SchaalNatVerloop048</vt:lpstr>
      <vt:lpstr>Data_SchaalNatVerloop049</vt:lpstr>
      <vt:lpstr>Data_SchaalNatVerloop050</vt:lpstr>
      <vt:lpstr>Data_SchaalNatVerloop051</vt:lpstr>
      <vt:lpstr>Data_SchaalNatVerloop052</vt:lpstr>
      <vt:lpstr>Data_SchaalNatVerloop053</vt:lpstr>
      <vt:lpstr>Data_SchaalNatVerloop054</vt:lpstr>
      <vt:lpstr>Data_SchaalNatVerloop055</vt:lpstr>
      <vt:lpstr>Data_SchaalNatVerloop056</vt:lpstr>
      <vt:lpstr>Data_SchaalNatVerloop057</vt:lpstr>
      <vt:lpstr>Data_SchaalNatVerloop058</vt:lpstr>
      <vt:lpstr>Data_SchaalNatVerloop059</vt:lpstr>
      <vt:lpstr>Data_SchaalNatVerloop060</vt:lpstr>
      <vt:lpstr>Data_SchaalNatVerloop061</vt:lpstr>
      <vt:lpstr>Data_SchaalNatVerloop062</vt:lpstr>
      <vt:lpstr>Data_SchaalNatVerloop063</vt:lpstr>
      <vt:lpstr>Data_SchaalNatVerloop064</vt:lpstr>
      <vt:lpstr>Data_SchaalNatVerloop065</vt:lpstr>
      <vt:lpstr>Data_SchaalNatVerloop066</vt:lpstr>
      <vt:lpstr>Data_SchaalNatVerloop067</vt:lpstr>
      <vt:lpstr>Data_SchaalNatVerloop068</vt:lpstr>
      <vt:lpstr>Data_SchaalNatVerloop069</vt:lpstr>
      <vt:lpstr>Data_SchaalNatVerloop070</vt:lpstr>
      <vt:lpstr>Data_SchaalNatVerloop071</vt:lpstr>
      <vt:lpstr>Data_SchaalNatVerloop072</vt:lpstr>
      <vt:lpstr>Data_SchaalNatVerloop073</vt:lpstr>
      <vt:lpstr>Data_SchaalNatVerloop074</vt:lpstr>
      <vt:lpstr>Data_SchaalNatVerloop075</vt:lpstr>
      <vt:lpstr>Data_SchaalNatVerloop076</vt:lpstr>
      <vt:lpstr>Data_SchaalNatVerloop077</vt:lpstr>
      <vt:lpstr>Data_SchaalNatVerloop078</vt:lpstr>
      <vt:lpstr>Data_SchaalNatVerloop079</vt:lpstr>
      <vt:lpstr>Data_SchaalNatVerloop080</vt:lpstr>
      <vt:lpstr>Data_SchaalNatVerloop081</vt:lpstr>
      <vt:lpstr>Data_SchaalNatVerloop082</vt:lpstr>
      <vt:lpstr>Data_SchaalNatVerloop083</vt:lpstr>
      <vt:lpstr>Data_SchaalNatVerloop084</vt:lpstr>
      <vt:lpstr>Data_SchaalNatVerloop085</vt:lpstr>
      <vt:lpstr>Data_SchaalNatVerloop086</vt:lpstr>
      <vt:lpstr>Data_SchaalNatVerloop087</vt:lpstr>
      <vt:lpstr>Data_SchaalNatVerloop088</vt:lpstr>
      <vt:lpstr>Data_SchaalNatVerloop089</vt:lpstr>
      <vt:lpstr>Data_SchaalNatVerloop090</vt:lpstr>
      <vt:lpstr>Data_SchaalNatVerloop091</vt:lpstr>
      <vt:lpstr>Data_SchaalNatVerloop092</vt:lpstr>
      <vt:lpstr>Data_SchaalNatVerloop093</vt:lpstr>
      <vt:lpstr>Data_SchaalNatVerloop094</vt:lpstr>
      <vt:lpstr>Data_SchaalNatVerloop095</vt:lpstr>
      <vt:lpstr>Data_SchaalNatVerloop096</vt:lpstr>
      <vt:lpstr>Data_SchaalNatVerloop097</vt:lpstr>
      <vt:lpstr>Data_SchaalNatVerloop098</vt:lpstr>
      <vt:lpstr>Data_SchaalNatVerloop099</vt:lpstr>
      <vt:lpstr>Data_SchaalNatVerloop100</vt:lpstr>
      <vt:lpstr>Data_SchaalNatVerloop101</vt:lpstr>
      <vt:lpstr>Data_SchaalNatVerloop102</vt:lpstr>
      <vt:lpstr>Data_SchaalNatVerloop103</vt:lpstr>
      <vt:lpstr>Data_SchaalNatVerloop104</vt:lpstr>
      <vt:lpstr>Data_SchaalNatVerloop105</vt:lpstr>
      <vt:lpstr>Data_SchaalNatVerloop106</vt:lpstr>
      <vt:lpstr>Data_SchaalNatVerloop107</vt:lpstr>
      <vt:lpstr>Data_SchaalNatVerloop108</vt:lpstr>
      <vt:lpstr>Data_SchaalNatVerloop109</vt:lpstr>
      <vt:lpstr>Data_SchaalNatVerloop110</vt:lpstr>
      <vt:lpstr>Data_SchaalNatVerloop111</vt:lpstr>
      <vt:lpstr>Data_SchaalNatVerloop112</vt:lpstr>
      <vt:lpstr>Data_SchaalNatVerloop113</vt:lpstr>
      <vt:lpstr>Data_SchaalNatVerloop114</vt:lpstr>
      <vt:lpstr>Data_SchaalNatVerloop115</vt:lpstr>
      <vt:lpstr>Data_SchaalNatVerloop116</vt:lpstr>
      <vt:lpstr>Data_SchaalNatVerloop117</vt:lpstr>
      <vt:lpstr>Data_SchaalNatVerloop118</vt:lpstr>
      <vt:lpstr>Data_SchaalNatVerloop119</vt:lpstr>
      <vt:lpstr>Data_SchaalNatVerloop120</vt:lpstr>
      <vt:lpstr>Data_SchaalNatVerloop121</vt:lpstr>
      <vt:lpstr>Data_SchaalNatVerloop122</vt:lpstr>
      <vt:lpstr>Data_SchaalNatVerloop123</vt:lpstr>
      <vt:lpstr>Data_SchaalNatVerloop124</vt:lpstr>
      <vt:lpstr>Data_SchaalNatVerloop125</vt:lpstr>
      <vt:lpstr>Data_SchaalNatVerloop126</vt:lpstr>
      <vt:lpstr>Data_SchaalNatVerloop127</vt:lpstr>
      <vt:lpstr>Data_SchaalNatVerloop128</vt:lpstr>
      <vt:lpstr>Data_SchaalNatVerloop129</vt:lpstr>
      <vt:lpstr>Data_SchaalNatVerloop130</vt:lpstr>
      <vt:lpstr>Data_SchaalNatVerloop131</vt:lpstr>
      <vt:lpstr>Data_SchaalNatVerloop132</vt:lpstr>
      <vt:lpstr>Data_SchaalNatVerloop133</vt:lpstr>
      <vt:lpstr>Data_SchaalNatVerloop134</vt:lpstr>
      <vt:lpstr>Data_SchaalNatVerloop135</vt:lpstr>
      <vt:lpstr>Data_SchaalNatVerloop136</vt:lpstr>
      <vt:lpstr>Data_SchaalNatVerloop137</vt:lpstr>
      <vt:lpstr>Data_SchaalNatVerloop138</vt:lpstr>
      <vt:lpstr>Data_SchaalNatVerloop139</vt:lpstr>
      <vt:lpstr>Data_SchaalNatVerloop140</vt:lpstr>
      <vt:lpstr>Data_SchaalNatVerloop141</vt:lpstr>
      <vt:lpstr>Data_SchaalNatVerloop142</vt:lpstr>
      <vt:lpstr>Data_SchaalNatVerloop143</vt:lpstr>
      <vt:lpstr>Data_SchaalNatVerloop144</vt:lpstr>
      <vt:lpstr>Data_SchaalNatVerloop145</vt:lpstr>
      <vt:lpstr>Data_SchaalNatVerloop146</vt:lpstr>
      <vt:lpstr>Data_SchaalNatVerloop147</vt:lpstr>
      <vt:lpstr>Data_SchaalNatVerloop148</vt:lpstr>
      <vt:lpstr>Data_SchaalNatVerloop149</vt:lpstr>
      <vt:lpstr>Data_SchaalNatVerloop150</vt:lpstr>
      <vt:lpstr>Data_SchaalNatVerloop151</vt:lpstr>
      <vt:lpstr>Data_SchaalNatVerloop152</vt:lpstr>
      <vt:lpstr>Data_SchaalNatVerloop153</vt:lpstr>
      <vt:lpstr>Data_SchaalNatVerloop154</vt:lpstr>
      <vt:lpstr>Data_SchaalNatVerloop155</vt:lpstr>
      <vt:lpstr>Data_SchaalNatVerloop156</vt:lpstr>
      <vt:lpstr>Data_SchaalNatVerloop157</vt:lpstr>
      <vt:lpstr>Data_SchaalNatVerloop158</vt:lpstr>
      <vt:lpstr>Data_SchaalNatVerloop159</vt:lpstr>
      <vt:lpstr>Data_SchaalNatVerloop160</vt:lpstr>
      <vt:lpstr>Data_SchaalNatVerloop161</vt:lpstr>
      <vt:lpstr>Data_SchaalNatVerloop162</vt:lpstr>
      <vt:lpstr>Data_SchaalNatVerloop163</vt:lpstr>
      <vt:lpstr>Data_SchaalNatVerloop164</vt:lpstr>
      <vt:lpstr>Data_SchaalNatVerloop165</vt:lpstr>
      <vt:lpstr>Data_SchaalNatVerloop166</vt:lpstr>
      <vt:lpstr>Data_SchaalNatVerloop167</vt:lpstr>
      <vt:lpstr>Data_SchaalNatVerloop168</vt:lpstr>
      <vt:lpstr>Data_SchaalNatVerloop169</vt:lpstr>
      <vt:lpstr>Data_SchaalNatVerloop170</vt:lpstr>
      <vt:lpstr>Data_SchaalNatVerloop171</vt:lpstr>
      <vt:lpstr>Data_SchaalNatVerloop172</vt:lpstr>
      <vt:lpstr>Data_SchaalNatVerloop173</vt:lpstr>
      <vt:lpstr>Data_SchaalNatVerloop174</vt:lpstr>
      <vt:lpstr>Data_SchaalNatVerloop175</vt:lpstr>
      <vt:lpstr>Data_SchaalNatVerloop176</vt:lpstr>
      <vt:lpstr>Data_SchaalNatVerloop177</vt:lpstr>
      <vt:lpstr>Data_SchaalNatVerloop178</vt:lpstr>
      <vt:lpstr>Data_SchaalNatVerloop179</vt:lpstr>
      <vt:lpstr>Data_SchaalNatVerloop180</vt:lpstr>
      <vt:lpstr>Data_SchaalNatVerloop181</vt:lpstr>
      <vt:lpstr>Data_SchaalNatVerloop182</vt:lpstr>
      <vt:lpstr>Data_SchaalNatVerloop183</vt:lpstr>
      <vt:lpstr>Data_SchaalNatVerloop184</vt:lpstr>
      <vt:lpstr>Data_SchaalNatVerloop185</vt:lpstr>
      <vt:lpstr>Data_SchaalNatVerloop186</vt:lpstr>
      <vt:lpstr>Data_SchaalNatVerloop187</vt:lpstr>
      <vt:lpstr>Data_SchaalNatVerloop188</vt:lpstr>
      <vt:lpstr>Data_SchaalNatVerloop189</vt:lpstr>
      <vt:lpstr>Data_SchaalNatVerloop190</vt:lpstr>
      <vt:lpstr>Data_SchaalNatVerloop191</vt:lpstr>
      <vt:lpstr>Data_SchaalNatVerloop192</vt:lpstr>
      <vt:lpstr>Data_SchaalNatVerloop193</vt:lpstr>
      <vt:lpstr>Data_SchaalNatVerloop194</vt:lpstr>
      <vt:lpstr>Data_SchaalNatVerloop195</vt:lpstr>
      <vt:lpstr>Data_SchaalNatVerloop196</vt:lpstr>
      <vt:lpstr>Data_SchaalNatVerloop197</vt:lpstr>
      <vt:lpstr>Data_SchaalNatVerloop198</vt:lpstr>
      <vt:lpstr>Data_SchaalNatVerloop199</vt:lpstr>
      <vt:lpstr>Data_SchaalNatVerloop200</vt:lpstr>
      <vt:lpstr>Data_SchaalNatVerloop201</vt:lpstr>
      <vt:lpstr>Data_SchaalNatVerloop202</vt:lpstr>
      <vt:lpstr>Data_SchaalNatVerloop203</vt:lpstr>
      <vt:lpstr>Data_SchaalNatVerloop204</vt:lpstr>
      <vt:lpstr>Data_SchaalNatVerloop205</vt:lpstr>
      <vt:lpstr>Data_SchaalNatVerloop206</vt:lpstr>
      <vt:lpstr>Data_SchaalNatVerloop207</vt:lpstr>
      <vt:lpstr>Data_SchaalNatVerloop208</vt:lpstr>
      <vt:lpstr>Data_SchaalNatVerloop209</vt:lpstr>
      <vt:lpstr>Data_SchaalNatVerloop210</vt:lpstr>
      <vt:lpstr>Data_SchaalNatVerloop211</vt:lpstr>
      <vt:lpstr>Data_SchaalNatVerloop212</vt:lpstr>
      <vt:lpstr>Data_SchaalNatVerloop213</vt:lpstr>
      <vt:lpstr>Data_SchaalNatVerloop214</vt:lpstr>
      <vt:lpstr>Data_SchaalNatVerloop215</vt:lpstr>
      <vt:lpstr>Data_SchaalNatVerloop216</vt:lpstr>
      <vt:lpstr>Data_SchaalNatVerloop217</vt:lpstr>
      <vt:lpstr>Data_SchaalNatVerloop218</vt:lpstr>
      <vt:lpstr>Data_SchaalNatVerloop219</vt:lpstr>
      <vt:lpstr>Data_SchaalNatVerloop220</vt:lpstr>
      <vt:lpstr>Data_SchaalNatVerloop221</vt:lpstr>
      <vt:lpstr>Data_SchaalNatVerloop222</vt:lpstr>
      <vt:lpstr>Data_SchaalNatVerloop223</vt:lpstr>
      <vt:lpstr>Data_SchaalNatVerloop224</vt:lpstr>
      <vt:lpstr>Data_SchaalNatVerloop225</vt:lpstr>
      <vt:lpstr>Data_SchaalNatVerloop226</vt:lpstr>
      <vt:lpstr>Data_SchaalNatVerloop227</vt:lpstr>
      <vt:lpstr>Data_SchaalNatVerloop228</vt:lpstr>
      <vt:lpstr>Data_SchaalNatVerloop229</vt:lpstr>
      <vt:lpstr>Data_SchaalNatVerloop230</vt:lpstr>
      <vt:lpstr>Data_SchaalNatVerloop231</vt:lpstr>
      <vt:lpstr>Data_SchaalNatVerloop232</vt:lpstr>
      <vt:lpstr>Data_SchaalNatVerloop233</vt:lpstr>
      <vt:lpstr>Data_SchaalNatVerloop234</vt:lpstr>
      <vt:lpstr>Data_SchaalNatVerloop235</vt:lpstr>
      <vt:lpstr>Data_SchaalNatVerloop236</vt:lpstr>
      <vt:lpstr>Data_SchaalNatVerloop237</vt:lpstr>
      <vt:lpstr>Data_SchaalNatVerloop238</vt:lpstr>
      <vt:lpstr>Data_SchaalNatVerloop239</vt:lpstr>
      <vt:lpstr>Data_SchaalNatVerloop240</vt:lpstr>
      <vt:lpstr>Data_SchaalNatVerloop241</vt:lpstr>
      <vt:lpstr>Data_SchaalNatVerloop242</vt:lpstr>
      <vt:lpstr>Data_SchaalNatVerloop243</vt:lpstr>
      <vt:lpstr>Data_SchaalNatVerloop244</vt:lpstr>
      <vt:lpstr>Data_SchaalNatVerloop245</vt:lpstr>
      <vt:lpstr>Data_SchaalNatVerloop246</vt:lpstr>
      <vt:lpstr>Data_SchaalNatVerloop247</vt:lpstr>
      <vt:lpstr>Data_SchaalNatVerloop248</vt:lpstr>
      <vt:lpstr>Data_SchaalNatVerloop249</vt:lpstr>
      <vt:lpstr>Data_SchaalNatVerloop250</vt:lpstr>
      <vt:lpstr>Data_SchaalNatVerloop251</vt:lpstr>
      <vt:lpstr>Data_SchaalNatVerloop252</vt:lpstr>
      <vt:lpstr>Data_SchaalNatVerloop253</vt:lpstr>
      <vt:lpstr>Data_SchaalNatVerloop254</vt:lpstr>
      <vt:lpstr>Data_SchaalNatVerloop255</vt:lpstr>
      <vt:lpstr>Data_SchaalNatVerloop256</vt:lpstr>
      <vt:lpstr>Data_SchaalNatVerloop257</vt:lpstr>
      <vt:lpstr>Data_SchaalNatVerloop258</vt:lpstr>
      <vt:lpstr>Data_SchaalNatVerloop259</vt:lpstr>
      <vt:lpstr>Data_SchaalNatVerloop260</vt:lpstr>
      <vt:lpstr>Data_SchaalNatVerloop261</vt:lpstr>
      <vt:lpstr>Data_SchaalNatVerloop262</vt:lpstr>
      <vt:lpstr>Data_SchaalNatVerloop263</vt:lpstr>
      <vt:lpstr>Data_SchaalNatVerloop264</vt:lpstr>
      <vt:lpstr>Data_SchaalNatVerloop265</vt:lpstr>
      <vt:lpstr>Data_SchaalNatVerloop266</vt:lpstr>
      <vt:lpstr>Data_SchaalNatVerloop267</vt:lpstr>
      <vt:lpstr>Data_SchaalNatVerloop268</vt:lpstr>
      <vt:lpstr>Data_SchaalNatVerloop269</vt:lpstr>
      <vt:lpstr>Data_SchaalNatVerloop270</vt:lpstr>
      <vt:lpstr>Data_SchaalNatVerloop271</vt:lpstr>
      <vt:lpstr>Data_SchaalNatVerloop272</vt:lpstr>
      <vt:lpstr>Data_SchaalNatVerloop273</vt:lpstr>
      <vt:lpstr>Data_SchaalNatVerloop274</vt:lpstr>
      <vt:lpstr>Data_SchaalNatVerloop275</vt:lpstr>
      <vt:lpstr>Data_SchaalNatVerloop276</vt:lpstr>
      <vt:lpstr>Data_SchaalNatVerloop277</vt:lpstr>
      <vt:lpstr>Data_SchaalNatVerloop278</vt:lpstr>
      <vt:lpstr>Data_SchaalNatVerloop279</vt:lpstr>
      <vt:lpstr>Data_SchaalNatVerloop280</vt:lpstr>
      <vt:lpstr>Data_SchaalNatVerloop281</vt:lpstr>
      <vt:lpstr>Data_SchaalNatVerloop282</vt:lpstr>
      <vt:lpstr>Data_SchaalNatVerloop283</vt:lpstr>
      <vt:lpstr>Data_SchaalNatVerloop284</vt:lpstr>
      <vt:lpstr>Data_SchaalNatVerloop285</vt:lpstr>
      <vt:lpstr>Data_SchaalNatVerloop286</vt:lpstr>
      <vt:lpstr>Data_SchaalNatVerloop287</vt:lpstr>
      <vt:lpstr>Data_SchaalNatVerloop288</vt:lpstr>
      <vt:lpstr>Data_SchaalNatVerloop289</vt:lpstr>
      <vt:lpstr>Data_SchaalNatVerloop290</vt:lpstr>
      <vt:lpstr>Data_SchaalNatVerloop291</vt:lpstr>
      <vt:lpstr>Data_SchaalNatVerloop292</vt:lpstr>
      <vt:lpstr>Data_SchaalNatVerloop293</vt:lpstr>
      <vt:lpstr>Data_SchaalNatVerloop294</vt:lpstr>
      <vt:lpstr>Data_SchaalNatVerloop295</vt:lpstr>
      <vt:lpstr>Data_SchaalNatVerloop296</vt:lpstr>
      <vt:lpstr>Data_SchaalNatVerloop297</vt:lpstr>
      <vt:lpstr>Data_SchaalNatVerloop298</vt:lpstr>
      <vt:lpstr>Data_SchaalNatVerloop299</vt:lpstr>
      <vt:lpstr>Data_SchaalNatVerloop300</vt:lpstr>
      <vt:lpstr>Data_SchaalNatVerloop301</vt:lpstr>
      <vt:lpstr>Data_SchaalNatVerloop302</vt:lpstr>
      <vt:lpstr>Data_SchaalNatVerloop303</vt:lpstr>
      <vt:lpstr>Data_SchaalNatVerloop304</vt:lpstr>
      <vt:lpstr>Data_SchaalNatVerloop305</vt:lpstr>
      <vt:lpstr>Data_SchaalNatVerloop306</vt:lpstr>
      <vt:lpstr>Data_SchaalNatVerloop307</vt:lpstr>
      <vt:lpstr>Data_SchaalNatVerloop308</vt:lpstr>
      <vt:lpstr>Data_SchaalNatVerloop309</vt:lpstr>
      <vt:lpstr>Data_SchaalNatVerloop310</vt:lpstr>
      <vt:lpstr>Data_SchaalNatVerloop311</vt:lpstr>
      <vt:lpstr>Data_SchaalNatVerloop312</vt:lpstr>
      <vt:lpstr>Data_SchaalNatVerloop313</vt:lpstr>
      <vt:lpstr>Data_SchaalNatVerloop314</vt:lpstr>
      <vt:lpstr>Data_SchaalNatVerloop315</vt:lpstr>
      <vt:lpstr>Data_SchaalNatVerloop316</vt:lpstr>
      <vt:lpstr>Data_SchaalNatVerloop317</vt:lpstr>
      <vt:lpstr>Data_SchaalNatVerloop318</vt:lpstr>
      <vt:lpstr>Data_SchaalNatVerloop319</vt:lpstr>
      <vt:lpstr>Data_SchaalNatVerloop320</vt:lpstr>
      <vt:lpstr>Data_SchaalNatVerloop321</vt:lpstr>
      <vt:lpstr>Data_SchaalNatVerloop322</vt:lpstr>
      <vt:lpstr>Data_SchaalNatVerloop323</vt:lpstr>
      <vt:lpstr>Data_SchaalNatVerloop324</vt:lpstr>
      <vt:lpstr>Data_SchaalNatVerloop325</vt:lpstr>
      <vt:lpstr>Data_SchaalNatVerloop326</vt:lpstr>
      <vt:lpstr>Data_SchaalNatVerloop327</vt:lpstr>
      <vt:lpstr>Data_SchaalNatVerloop328</vt:lpstr>
      <vt:lpstr>Data_SchaalNatVerloop329</vt:lpstr>
      <vt:lpstr>Data_SchaalNatVerloop330</vt:lpstr>
      <vt:lpstr>Data_SchaalNatVerloop331</vt:lpstr>
      <vt:lpstr>Data_SchaalNatVerloop332</vt:lpstr>
      <vt:lpstr>Data_SchaalNatVerloop333</vt:lpstr>
      <vt:lpstr>Data_SchaalNatVerloop334</vt:lpstr>
      <vt:lpstr>Data_SchaalNatVerloop335</vt:lpstr>
      <vt:lpstr>Data_SchaalNatVerloop336</vt:lpstr>
      <vt:lpstr>Data_SchaalNatVerloop337</vt:lpstr>
      <vt:lpstr>Data_SchaalNatVerloop338</vt:lpstr>
      <vt:lpstr>Data_SchaalNatVerloop339</vt:lpstr>
      <vt:lpstr>Data_SchaalNatVerloop340</vt:lpstr>
      <vt:lpstr>Data_SchaalNatVerloop341</vt:lpstr>
      <vt:lpstr>Data_SchaalNatVerloop342</vt:lpstr>
      <vt:lpstr>Data_SchaalNatVerloop343</vt:lpstr>
      <vt:lpstr>Data_SchaalNatVerloop344</vt:lpstr>
      <vt:lpstr>Data_SchaalNatVerloop345</vt:lpstr>
      <vt:lpstr>Data_SchaalNatVerloop346</vt:lpstr>
      <vt:lpstr>Data_SchaalNatVerloop347</vt:lpstr>
      <vt:lpstr>Data_SchaalNatVerloop348</vt:lpstr>
      <vt:lpstr>Data_SchaalNatVerloop349</vt:lpstr>
      <vt:lpstr>Data_SchaalNatVerloop350</vt:lpstr>
      <vt:lpstr>Data_SchaalNatVerloop351</vt:lpstr>
      <vt:lpstr>Data_SchaalNatVerloop352</vt:lpstr>
      <vt:lpstr>Data_SchaalNatVerloop353</vt:lpstr>
      <vt:lpstr>Data_SchaalNatVerloop354</vt:lpstr>
      <vt:lpstr>Data_SchaalNatVerloop355</vt:lpstr>
      <vt:lpstr>Data_SchaalNatVerloop356</vt:lpstr>
      <vt:lpstr>Data_SchaalNatVerloop357</vt:lpstr>
      <vt:lpstr>Data_SchaalNatVerloop358</vt:lpstr>
      <vt:lpstr>Data_SchaalNatVerloop359</vt:lpstr>
      <vt:lpstr>Data_SchaalNatVerloop360</vt:lpstr>
      <vt:lpstr>Data_SchaalNatVerloop361</vt:lpstr>
      <vt:lpstr>Data_SchaalNatVerloop362</vt:lpstr>
      <vt:lpstr>Data_SchaalNatVerloop363</vt:lpstr>
      <vt:lpstr>Data_SchaalNatVerloop364</vt:lpstr>
      <vt:lpstr>Data_SchaalNatVerloop365</vt:lpstr>
      <vt:lpstr>Data_SchaalNatVerloop366</vt:lpstr>
      <vt:lpstr>Data_SchaalNatVerloop367</vt:lpstr>
      <vt:lpstr>Data_SchaalNatVerloop368</vt:lpstr>
      <vt:lpstr>Data_SchaalNatVerloop369</vt:lpstr>
      <vt:lpstr>Data_SchaalNatVerloop370</vt:lpstr>
      <vt:lpstr>Data_SchaalNatVerloop371</vt:lpstr>
      <vt:lpstr>Data_SchaalNatVerloop372</vt:lpstr>
      <vt:lpstr>Data_SchaalNatVerloop373</vt:lpstr>
      <vt:lpstr>Data_SchaalNatVerloop374</vt:lpstr>
      <vt:lpstr>Data_SchaalNatVerloop375</vt:lpstr>
      <vt:lpstr>Data_SchaalNatVerloop376</vt:lpstr>
      <vt:lpstr>Data_SchaalNatVerloop377</vt:lpstr>
      <vt:lpstr>Data_SchaalNatVerloop378</vt:lpstr>
      <vt:lpstr>Data_SchaalNatVerloop379</vt:lpstr>
      <vt:lpstr>Data_SchaalNatVerloop380</vt:lpstr>
      <vt:lpstr>Data_SchaalNatVerloop381</vt:lpstr>
      <vt:lpstr>Data_SchaalNatVerloop382</vt:lpstr>
      <vt:lpstr>Data_SchaalNatVerloop383</vt:lpstr>
      <vt:lpstr>Data_SchaalNatVerloop384</vt:lpstr>
      <vt:lpstr>Data_SchaalNatVerloop385</vt:lpstr>
      <vt:lpstr>Data_SchaalNatVerloop386</vt:lpstr>
      <vt:lpstr>Data_SchaalNatVerloop387</vt:lpstr>
      <vt:lpstr>Data_SchaalNatVerloop388</vt:lpstr>
      <vt:lpstr>Data_SchaalNatVerloop389</vt:lpstr>
      <vt:lpstr>Data_SchaalNatVerloop390</vt:lpstr>
      <vt:lpstr>Data_SchaalNatVerloop391</vt:lpstr>
      <vt:lpstr>Data_SchaalNatVerloop392</vt:lpstr>
      <vt:lpstr>Data_SchaalNatVerloop393</vt:lpstr>
      <vt:lpstr>Data_SchaalNatVerloop394</vt:lpstr>
      <vt:lpstr>Data_SchaalNatVerloop395</vt:lpstr>
      <vt:lpstr>Data_SchaalNatVerloop396</vt:lpstr>
      <vt:lpstr>Data_SchaalNatVerloop397</vt:lpstr>
      <vt:lpstr>Data_SchaalNatVerloop398</vt:lpstr>
      <vt:lpstr>Data_SchaalNatVerloop399</vt:lpstr>
      <vt:lpstr>Data_SchaalNatVerloop400</vt:lpstr>
      <vt:lpstr>Data_SchaalNatVerloop401</vt:lpstr>
      <vt:lpstr>Data_SchaalNatVerloop402</vt:lpstr>
      <vt:lpstr>Data_SchaalNatVerloop403</vt:lpstr>
      <vt:lpstr>Data_SchaalNatVerloop404</vt:lpstr>
      <vt:lpstr>Data_SchaalNatVerloop405</vt:lpstr>
      <vt:lpstr>Data_SchaalNatVerloop406</vt:lpstr>
      <vt:lpstr>Data_SchaalNatVerloop407</vt:lpstr>
      <vt:lpstr>Data_SchaalNatVerloop408</vt:lpstr>
      <vt:lpstr>Data_SchaalNatVerloop409</vt:lpstr>
      <vt:lpstr>Data_SchaalNatVerloop410</vt:lpstr>
      <vt:lpstr>Data_SchaalNatVerloop411</vt:lpstr>
      <vt:lpstr>Data_SchaalNatVerloop412</vt:lpstr>
      <vt:lpstr>Data_SchaalNatVerloop413</vt:lpstr>
      <vt:lpstr>Data_SchaalNatVerloop414</vt:lpstr>
      <vt:lpstr>Data_SchaalNatVerloop415</vt:lpstr>
      <vt:lpstr>Data_SchaalNatVerloop416</vt:lpstr>
      <vt:lpstr>Data_SchaalNatVerloop417</vt:lpstr>
      <vt:lpstr>Data_SchaalNatVerloop418</vt:lpstr>
      <vt:lpstr>Data_SchaalNatVerloop419</vt:lpstr>
      <vt:lpstr>Data_SchaalNatVerloop420</vt:lpstr>
      <vt:lpstr>Data_SchaalNatVerloop421</vt:lpstr>
      <vt:lpstr>Data_SchaalNatVerloop422</vt:lpstr>
      <vt:lpstr>Data_SchaalNatVerloop423</vt:lpstr>
      <vt:lpstr>Data_SchaalNatVerloop424</vt:lpstr>
      <vt:lpstr>Data_SchaalNatVerloop425</vt:lpstr>
      <vt:lpstr>Data_SchaalNatVerloop426</vt:lpstr>
      <vt:lpstr>Data_SchaalNatVerloop427</vt:lpstr>
      <vt:lpstr>Data_SchaalNatVerloop428</vt:lpstr>
      <vt:lpstr>Data_SchaalNatVerloop429</vt:lpstr>
      <vt:lpstr>Data_SchaalNatVerloop430</vt:lpstr>
      <vt:lpstr>Data_SchaalNatVerloop431</vt:lpstr>
      <vt:lpstr>Data_SchaalNatVerloop432</vt:lpstr>
      <vt:lpstr>Data_SchaalNatVerloop433</vt:lpstr>
      <vt:lpstr>Data_SchaalNatVerloop434</vt:lpstr>
      <vt:lpstr>Data_SchaalNatVerloop435</vt:lpstr>
      <vt:lpstr>Data_SchaalNatVerloop436</vt:lpstr>
      <vt:lpstr>Data_SchaalNatVerloop437</vt:lpstr>
      <vt:lpstr>Data_SchaalNatVerloop438</vt:lpstr>
      <vt:lpstr>Data_SchaalNatVerloop439</vt:lpstr>
      <vt:lpstr>Data_SchaalNatVerloop440</vt:lpstr>
      <vt:lpstr>Data_SchaalNatVerloop441</vt:lpstr>
      <vt:lpstr>Data_SchaalNatVerloop442</vt:lpstr>
      <vt:lpstr>Data_SchaalNatVerloop443</vt:lpstr>
      <vt:lpstr>Data_SchaalNatVerloop444</vt:lpstr>
      <vt:lpstr>Data_SchaalNatVerloop445</vt:lpstr>
      <vt:lpstr>Data_SchaalNatVerloop446</vt:lpstr>
      <vt:lpstr>Data_SchaalNatVerloop447</vt:lpstr>
      <vt:lpstr>Data_SchaalNatVerloop448</vt:lpstr>
      <vt:lpstr>Data_SchaalNatVerloop449</vt:lpstr>
      <vt:lpstr>Data_SchaalNatVerloop450</vt:lpstr>
      <vt:lpstr>Data_SchaalNatVerloop451</vt:lpstr>
      <vt:lpstr>Data_SchaalNatVerloop452</vt:lpstr>
      <vt:lpstr>Data_SchaalNatVerloop453</vt:lpstr>
      <vt:lpstr>Data_SchaalNatVerloop454</vt:lpstr>
      <vt:lpstr>Data_SchaalNatVerloop455</vt:lpstr>
      <vt:lpstr>Data_SchaalNatVerloop456</vt:lpstr>
      <vt:lpstr>Data_SchaalNatVerloop457</vt:lpstr>
      <vt:lpstr>Data_SchaalNatVerloop458</vt:lpstr>
      <vt:lpstr>Data_SchaalNatVerloop459</vt:lpstr>
      <vt:lpstr>Data_SchaalNatVerloop460</vt:lpstr>
      <vt:lpstr>Data_SchaalNatVerloop461</vt:lpstr>
      <vt:lpstr>Data_SchaalNatVerloop462</vt:lpstr>
      <vt:lpstr>Data_SchaalNatVerloop463</vt:lpstr>
      <vt:lpstr>Data_SchaalNatVerloop464</vt:lpstr>
      <vt:lpstr>Data_SchaalNatVerloop465</vt:lpstr>
      <vt:lpstr>Data_SchaalNatVerloop466</vt:lpstr>
      <vt:lpstr>Data_SchaalNatVerloop467</vt:lpstr>
      <vt:lpstr>Data_SchaalNatVerloop468</vt:lpstr>
      <vt:lpstr>Data_SchaalNatVerloop469</vt:lpstr>
      <vt:lpstr>Data_SchaalNatVerloop470</vt:lpstr>
      <vt:lpstr>Data_SchaalNatVerloop471</vt:lpstr>
      <vt:lpstr>Data_SchaalNatVerloop472</vt:lpstr>
      <vt:lpstr>Data_SchaalNatVerloop473</vt:lpstr>
      <vt:lpstr>Data_SchaalNatVerloop474</vt:lpstr>
      <vt:lpstr>Data_SchaalNatVerloop475</vt:lpstr>
      <vt:lpstr>Data_SchaalNatVerloop476</vt:lpstr>
      <vt:lpstr>Data_SchaalNatVerloop477</vt:lpstr>
      <vt:lpstr>Data_SchaalNatVerloop478</vt:lpstr>
      <vt:lpstr>Data_SchaalNatVerloop479</vt:lpstr>
      <vt:lpstr>Data_SchaalNatVerloop480</vt:lpstr>
      <vt:lpstr>Data_SchaalNatVerloop481</vt:lpstr>
      <vt:lpstr>Data_SchaalNatVerloop482</vt:lpstr>
      <vt:lpstr>Data_SchaalNatVerloop483</vt:lpstr>
      <vt:lpstr>Data_SchaalNatVerloop484</vt:lpstr>
      <vt:lpstr>Data_SchaalNatVerloop485</vt:lpstr>
      <vt:lpstr>Data_SchaalNatVerloop486</vt:lpstr>
      <vt:lpstr>Data_SchaalNatVerloop487</vt:lpstr>
      <vt:lpstr>Data_SchaalNatVerloop488</vt:lpstr>
      <vt:lpstr>Data_SchaalNatVerloop489</vt:lpstr>
      <vt:lpstr>Data_SchaalNatVerloop490</vt:lpstr>
      <vt:lpstr>Data_SchaalNatVerloop491</vt:lpstr>
      <vt:lpstr>Data_SchaalNatVerloop492</vt:lpstr>
      <vt:lpstr>Data_SchaalNatVerloop493</vt:lpstr>
      <vt:lpstr>Data_SchaalNatVerloop494</vt:lpstr>
      <vt:lpstr>Data_SchaalNatVerloop495</vt:lpstr>
      <vt:lpstr>Data_SchaalNatVerloop496</vt:lpstr>
      <vt:lpstr>Data_SchaalNatVerloop497</vt:lpstr>
      <vt:lpstr>Data_SchaalNatVerloop498</vt:lpstr>
      <vt:lpstr>Data_SchaalNatVerloop499</vt:lpstr>
      <vt:lpstr>Data_SchaalNatVerloop500</vt:lpstr>
      <vt:lpstr>Data_SchaalTijd001</vt:lpstr>
      <vt:lpstr>Data_SchaalTijd002</vt:lpstr>
      <vt:lpstr>Data_SchaalTijd003</vt:lpstr>
      <vt:lpstr>Data_SchaalTijd004</vt:lpstr>
      <vt:lpstr>Data_SchaalTijd005</vt:lpstr>
      <vt:lpstr>Data_SchaalTijd006</vt:lpstr>
      <vt:lpstr>Data_SchaalTijd007</vt:lpstr>
      <vt:lpstr>Data_SchaalTijd008</vt:lpstr>
      <vt:lpstr>Data_SchaalTijd009</vt:lpstr>
      <vt:lpstr>Data_SchaalTijd010</vt:lpstr>
      <vt:lpstr>Data_SchaalTijd011</vt:lpstr>
      <vt:lpstr>Data_SchaalTijd012</vt:lpstr>
      <vt:lpstr>Data_SchaalTijd013</vt:lpstr>
      <vt:lpstr>Data_SchaalTijd014</vt:lpstr>
      <vt:lpstr>Data_SchaalTijd015</vt:lpstr>
      <vt:lpstr>Data_SchaalTijd016</vt:lpstr>
      <vt:lpstr>Data_SchaalTijd017</vt:lpstr>
      <vt:lpstr>Data_SchaalTijd018</vt:lpstr>
      <vt:lpstr>Data_SchaalTijd019</vt:lpstr>
      <vt:lpstr>Data_SchaalTijd020</vt:lpstr>
      <vt:lpstr>Data_SchaalTijd021</vt:lpstr>
      <vt:lpstr>Data_SchaalTijd022</vt:lpstr>
      <vt:lpstr>Data_SchaalTijd023</vt:lpstr>
      <vt:lpstr>Data_SchaalTijd024</vt:lpstr>
      <vt:lpstr>Data_SchaalTijd025</vt:lpstr>
      <vt:lpstr>Data_SchaalTijd026</vt:lpstr>
      <vt:lpstr>Data_SchaalTijd027</vt:lpstr>
      <vt:lpstr>Data_SchaalTijd028</vt:lpstr>
      <vt:lpstr>Data_SchaalTijd029</vt:lpstr>
      <vt:lpstr>Data_SchaalTijd030</vt:lpstr>
      <vt:lpstr>Data_SchaalTijd031</vt:lpstr>
      <vt:lpstr>Data_SchaalTijd032</vt:lpstr>
      <vt:lpstr>Data_SchaalTijd033</vt:lpstr>
      <vt:lpstr>Data_SchaalTijd034</vt:lpstr>
      <vt:lpstr>Data_SchaalTijd035</vt:lpstr>
      <vt:lpstr>Data_SchaalTijd036</vt:lpstr>
      <vt:lpstr>Data_SchaalTijd037</vt:lpstr>
      <vt:lpstr>Data_SchaalTijd038</vt:lpstr>
      <vt:lpstr>Data_SchaalTijd039</vt:lpstr>
      <vt:lpstr>Data_SchaalTijd040</vt:lpstr>
      <vt:lpstr>Data_SchaalTijd041</vt:lpstr>
      <vt:lpstr>Data_SchaalTijd042</vt:lpstr>
      <vt:lpstr>Data_SchaalTijd043</vt:lpstr>
      <vt:lpstr>Data_SchaalTijd044</vt:lpstr>
      <vt:lpstr>Data_SchaalTijd045</vt:lpstr>
      <vt:lpstr>Data_SchaalTijd046</vt:lpstr>
      <vt:lpstr>Data_SchaalTijd047</vt:lpstr>
      <vt:lpstr>Data_SchaalTijd048</vt:lpstr>
      <vt:lpstr>Data_SchaalTijd049</vt:lpstr>
      <vt:lpstr>Data_SchaalTijd050</vt:lpstr>
      <vt:lpstr>Data_SchaalTijd051</vt:lpstr>
      <vt:lpstr>Data_SchaalTijd052</vt:lpstr>
      <vt:lpstr>Data_SchaalTijd053</vt:lpstr>
      <vt:lpstr>Data_SchaalTijd054</vt:lpstr>
      <vt:lpstr>Data_SchaalTijd055</vt:lpstr>
      <vt:lpstr>Data_SchaalTijd056</vt:lpstr>
      <vt:lpstr>Data_SchaalTijd057</vt:lpstr>
      <vt:lpstr>Data_SchaalTijd058</vt:lpstr>
      <vt:lpstr>Data_SchaalTijd059</vt:lpstr>
      <vt:lpstr>Data_SchaalTijd060</vt:lpstr>
      <vt:lpstr>Data_SchaalTijd061</vt:lpstr>
      <vt:lpstr>Data_SchaalTijd062</vt:lpstr>
      <vt:lpstr>Data_SchaalTijd063</vt:lpstr>
      <vt:lpstr>Data_SchaalTijd064</vt:lpstr>
      <vt:lpstr>Data_SchaalTijd065</vt:lpstr>
      <vt:lpstr>Data_SchaalTijd066</vt:lpstr>
      <vt:lpstr>Data_SchaalTijd067</vt:lpstr>
      <vt:lpstr>Data_SchaalTijd068</vt:lpstr>
      <vt:lpstr>Data_SchaalTijd069</vt:lpstr>
      <vt:lpstr>Data_SchaalTijd070</vt:lpstr>
      <vt:lpstr>Data_SchaalTijd071</vt:lpstr>
      <vt:lpstr>Data_SchaalTijd072</vt:lpstr>
      <vt:lpstr>Data_SchaalTijd073</vt:lpstr>
      <vt:lpstr>Data_SchaalTijd074</vt:lpstr>
      <vt:lpstr>Data_SchaalTijd075</vt:lpstr>
      <vt:lpstr>Data_SchaalTijd076</vt:lpstr>
      <vt:lpstr>Data_SchaalTijd077</vt:lpstr>
      <vt:lpstr>Data_SchaalTijd078</vt:lpstr>
      <vt:lpstr>Data_SchaalTijd079</vt:lpstr>
      <vt:lpstr>Data_SchaalTijd080</vt:lpstr>
      <vt:lpstr>Data_SchaalTijd081</vt:lpstr>
      <vt:lpstr>Data_SchaalTijd082</vt:lpstr>
      <vt:lpstr>Data_SchaalTijd083</vt:lpstr>
      <vt:lpstr>Data_SchaalTijd084</vt:lpstr>
      <vt:lpstr>Data_SchaalTijd085</vt:lpstr>
      <vt:lpstr>Data_SchaalTijd086</vt:lpstr>
      <vt:lpstr>Data_SchaalTijd087</vt:lpstr>
      <vt:lpstr>Data_SchaalTijd088</vt:lpstr>
      <vt:lpstr>Data_SchaalTijd089</vt:lpstr>
      <vt:lpstr>Data_SchaalTijd090</vt:lpstr>
      <vt:lpstr>Data_SchaalTijd091</vt:lpstr>
      <vt:lpstr>Data_SchaalTijd092</vt:lpstr>
      <vt:lpstr>Data_SchaalTijd093</vt:lpstr>
      <vt:lpstr>Data_SchaalTijd094</vt:lpstr>
      <vt:lpstr>Data_SchaalTijd095</vt:lpstr>
      <vt:lpstr>Data_SchaalTijd096</vt:lpstr>
      <vt:lpstr>Data_SchaalTijd097</vt:lpstr>
      <vt:lpstr>Data_SchaalTijd098</vt:lpstr>
      <vt:lpstr>Data_SchaalTijd099</vt:lpstr>
      <vt:lpstr>Data_SchaalTijd100</vt:lpstr>
      <vt:lpstr>Data_SchaalTijd101</vt:lpstr>
      <vt:lpstr>Data_SchaalTijd102</vt:lpstr>
      <vt:lpstr>Data_SchaalTijd103</vt:lpstr>
      <vt:lpstr>Data_SchaalTijd104</vt:lpstr>
      <vt:lpstr>Data_SchaalTijd105</vt:lpstr>
      <vt:lpstr>Data_SchaalTijd106</vt:lpstr>
      <vt:lpstr>Data_SchaalTijd107</vt:lpstr>
      <vt:lpstr>Data_SchaalTijd108</vt:lpstr>
      <vt:lpstr>Data_SchaalTijd109</vt:lpstr>
      <vt:lpstr>Data_SchaalTijd110</vt:lpstr>
      <vt:lpstr>Data_SchaalTijd111</vt:lpstr>
      <vt:lpstr>Data_SchaalTijd112</vt:lpstr>
      <vt:lpstr>Data_SchaalTijd113</vt:lpstr>
      <vt:lpstr>Data_SchaalTijd114</vt:lpstr>
      <vt:lpstr>Data_SchaalTijd115</vt:lpstr>
      <vt:lpstr>Data_SchaalTijd116</vt:lpstr>
      <vt:lpstr>Data_SchaalTijd117</vt:lpstr>
      <vt:lpstr>Data_SchaalTijd118</vt:lpstr>
      <vt:lpstr>Data_SchaalTijd119</vt:lpstr>
      <vt:lpstr>Data_SchaalTijd120</vt:lpstr>
      <vt:lpstr>Data_SchaalTijd121</vt:lpstr>
      <vt:lpstr>Data_SchaalTijd122</vt:lpstr>
      <vt:lpstr>Data_SchaalTijd123</vt:lpstr>
      <vt:lpstr>Data_SchaalTijd124</vt:lpstr>
      <vt:lpstr>Data_SchaalTijd125</vt:lpstr>
      <vt:lpstr>Data_SchaalTijd126</vt:lpstr>
      <vt:lpstr>Data_SchaalTijd127</vt:lpstr>
      <vt:lpstr>Data_SchaalTijd128</vt:lpstr>
      <vt:lpstr>Data_SchaalTijd129</vt:lpstr>
      <vt:lpstr>Data_SchaalTijd130</vt:lpstr>
      <vt:lpstr>Data_SchaalTijd131</vt:lpstr>
      <vt:lpstr>Data_SchaalTijd132</vt:lpstr>
      <vt:lpstr>Data_SchaalTijd133</vt:lpstr>
      <vt:lpstr>Data_SchaalTijd134</vt:lpstr>
      <vt:lpstr>Data_SchaalTijd135</vt:lpstr>
      <vt:lpstr>Data_SchaalTijd136</vt:lpstr>
      <vt:lpstr>Data_SchaalTijd137</vt:lpstr>
      <vt:lpstr>Data_SchaalTijd138</vt:lpstr>
      <vt:lpstr>Data_SchaalTijd139</vt:lpstr>
      <vt:lpstr>Data_SchaalTijd140</vt:lpstr>
      <vt:lpstr>Data_SchaalTijd141</vt:lpstr>
      <vt:lpstr>Data_SchaalTijd142</vt:lpstr>
      <vt:lpstr>Data_SchaalTijd143</vt:lpstr>
      <vt:lpstr>Data_SchaalTijd144</vt:lpstr>
      <vt:lpstr>Data_SchaalTijd145</vt:lpstr>
      <vt:lpstr>Data_SchaalTijd146</vt:lpstr>
      <vt:lpstr>Data_SchaalTijd147</vt:lpstr>
      <vt:lpstr>Data_SchaalTijd148</vt:lpstr>
      <vt:lpstr>Data_SchaalTijd149</vt:lpstr>
      <vt:lpstr>Data_SchaalTijd150</vt:lpstr>
      <vt:lpstr>Data_SchaalTijd151</vt:lpstr>
      <vt:lpstr>Data_SchaalTijd152</vt:lpstr>
      <vt:lpstr>Data_SchaalTijd153</vt:lpstr>
      <vt:lpstr>Data_SchaalTijd154</vt:lpstr>
      <vt:lpstr>Data_SchaalTijd155</vt:lpstr>
      <vt:lpstr>Data_SchaalTijd156</vt:lpstr>
      <vt:lpstr>Data_SchaalTijd157</vt:lpstr>
      <vt:lpstr>Data_SchaalTijd158</vt:lpstr>
      <vt:lpstr>Data_SchaalTijd159</vt:lpstr>
      <vt:lpstr>Data_SchaalTijd160</vt:lpstr>
      <vt:lpstr>Data_SchaalTijd161</vt:lpstr>
      <vt:lpstr>Data_SchaalTijd162</vt:lpstr>
      <vt:lpstr>Data_SchaalTijd163</vt:lpstr>
      <vt:lpstr>Data_SchaalTijd164</vt:lpstr>
      <vt:lpstr>Data_SchaalTijd165</vt:lpstr>
      <vt:lpstr>Data_SchaalTijd166</vt:lpstr>
      <vt:lpstr>Data_SchaalTijd167</vt:lpstr>
      <vt:lpstr>Data_SchaalTijd168</vt:lpstr>
      <vt:lpstr>Data_SchaalTijd169</vt:lpstr>
      <vt:lpstr>Data_SchaalTijd170</vt:lpstr>
      <vt:lpstr>Data_SchaalTijd171</vt:lpstr>
      <vt:lpstr>Data_SchaalTijd172</vt:lpstr>
      <vt:lpstr>Data_SchaalTijd173</vt:lpstr>
      <vt:lpstr>Data_SchaalTijd174</vt:lpstr>
      <vt:lpstr>Data_SchaalTijd175</vt:lpstr>
      <vt:lpstr>Data_SchaalTijd176</vt:lpstr>
      <vt:lpstr>Data_SchaalTijd177</vt:lpstr>
      <vt:lpstr>Data_SchaalTijd178</vt:lpstr>
      <vt:lpstr>Data_SchaalTijd179</vt:lpstr>
      <vt:lpstr>Data_SchaalTijd180</vt:lpstr>
      <vt:lpstr>Data_SchaalTijd181</vt:lpstr>
      <vt:lpstr>Data_SchaalTijd182</vt:lpstr>
      <vt:lpstr>Data_SchaalTijd183</vt:lpstr>
      <vt:lpstr>Data_SchaalTijd184</vt:lpstr>
      <vt:lpstr>Data_SchaalTijd185</vt:lpstr>
      <vt:lpstr>Data_SchaalTijd186</vt:lpstr>
      <vt:lpstr>Data_SchaalTijd187</vt:lpstr>
      <vt:lpstr>Data_SchaalTijd188</vt:lpstr>
      <vt:lpstr>Data_SchaalTijd189</vt:lpstr>
      <vt:lpstr>Data_SchaalTijd190</vt:lpstr>
      <vt:lpstr>Data_SchaalTijd191</vt:lpstr>
      <vt:lpstr>Data_SchaalTijd192</vt:lpstr>
      <vt:lpstr>Data_SchaalTijd193</vt:lpstr>
      <vt:lpstr>Data_SchaalTijd194</vt:lpstr>
      <vt:lpstr>Data_SchaalTijd195</vt:lpstr>
      <vt:lpstr>Data_SchaalTijd196</vt:lpstr>
      <vt:lpstr>Data_SchaalTijd197</vt:lpstr>
      <vt:lpstr>Data_SchaalTijd198</vt:lpstr>
      <vt:lpstr>Data_SchaalTijd199</vt:lpstr>
      <vt:lpstr>Data_SchaalTijd200</vt:lpstr>
      <vt:lpstr>Data_SchaalTijd201</vt:lpstr>
      <vt:lpstr>Data_SchaalTijd202</vt:lpstr>
      <vt:lpstr>Data_SchaalTijd203</vt:lpstr>
      <vt:lpstr>Data_SchaalTijd204</vt:lpstr>
      <vt:lpstr>Data_SchaalTijd205</vt:lpstr>
      <vt:lpstr>Data_SchaalTijd206</vt:lpstr>
      <vt:lpstr>Data_SchaalTijd207</vt:lpstr>
      <vt:lpstr>Data_SchaalTijd208</vt:lpstr>
      <vt:lpstr>Data_SchaalTijd209</vt:lpstr>
      <vt:lpstr>Data_SchaalTijd210</vt:lpstr>
      <vt:lpstr>Data_SchaalTijd211</vt:lpstr>
      <vt:lpstr>Data_SchaalTijd212</vt:lpstr>
      <vt:lpstr>Data_SchaalTijd213</vt:lpstr>
      <vt:lpstr>Data_SchaalTijd214</vt:lpstr>
      <vt:lpstr>Data_SchaalTijd215</vt:lpstr>
      <vt:lpstr>Data_SchaalTijd216</vt:lpstr>
      <vt:lpstr>Data_SchaalTijd217</vt:lpstr>
      <vt:lpstr>Data_SchaalTijd218</vt:lpstr>
      <vt:lpstr>Data_SchaalTijd219</vt:lpstr>
      <vt:lpstr>Data_SchaalTijd220</vt:lpstr>
      <vt:lpstr>Data_SchaalTijd221</vt:lpstr>
      <vt:lpstr>Data_SchaalTijd222</vt:lpstr>
      <vt:lpstr>Data_SchaalTijd223</vt:lpstr>
      <vt:lpstr>Data_SchaalTijd224</vt:lpstr>
      <vt:lpstr>Data_SchaalTijd225</vt:lpstr>
      <vt:lpstr>Data_SchaalTijd226</vt:lpstr>
      <vt:lpstr>Data_SchaalTijd227</vt:lpstr>
      <vt:lpstr>Data_SchaalTijd228</vt:lpstr>
      <vt:lpstr>Data_SchaalTijd229</vt:lpstr>
      <vt:lpstr>Data_SchaalTijd230</vt:lpstr>
      <vt:lpstr>Data_SchaalTijd231</vt:lpstr>
      <vt:lpstr>Data_SchaalTijd232</vt:lpstr>
      <vt:lpstr>Data_SchaalTijd233</vt:lpstr>
      <vt:lpstr>Data_SchaalTijd234</vt:lpstr>
      <vt:lpstr>Data_SchaalTijd235</vt:lpstr>
      <vt:lpstr>Data_SchaalTijd236</vt:lpstr>
      <vt:lpstr>Data_SchaalTijd237</vt:lpstr>
      <vt:lpstr>Data_SchaalTijd238</vt:lpstr>
      <vt:lpstr>Data_SchaalTijd239</vt:lpstr>
      <vt:lpstr>Data_SchaalTijd240</vt:lpstr>
      <vt:lpstr>Data_SchaalTijd241</vt:lpstr>
      <vt:lpstr>Data_SchaalTijd242</vt:lpstr>
      <vt:lpstr>Data_SchaalTijd243</vt:lpstr>
      <vt:lpstr>Data_SchaalTijd244</vt:lpstr>
      <vt:lpstr>Data_SchaalTijd245</vt:lpstr>
      <vt:lpstr>Data_SchaalTijd246</vt:lpstr>
      <vt:lpstr>Data_SchaalTijd247</vt:lpstr>
      <vt:lpstr>Data_SchaalTijd248</vt:lpstr>
      <vt:lpstr>Data_SchaalTijd249</vt:lpstr>
      <vt:lpstr>Data_SchaalTijd250</vt:lpstr>
      <vt:lpstr>Data_SchaalTijd251</vt:lpstr>
      <vt:lpstr>Data_SchaalTijd252</vt:lpstr>
      <vt:lpstr>Data_SchaalTijd253</vt:lpstr>
      <vt:lpstr>Data_SchaalTijd254</vt:lpstr>
      <vt:lpstr>Data_SchaalTijd255</vt:lpstr>
      <vt:lpstr>Data_SchaalTijd256</vt:lpstr>
      <vt:lpstr>Data_SchaalTijd257</vt:lpstr>
      <vt:lpstr>Data_SchaalTijd258</vt:lpstr>
      <vt:lpstr>Data_SchaalTijd259</vt:lpstr>
      <vt:lpstr>Data_SchaalTijd260</vt:lpstr>
      <vt:lpstr>Data_SchaalTijd261</vt:lpstr>
      <vt:lpstr>Data_SchaalTijd262</vt:lpstr>
      <vt:lpstr>Data_SchaalTijd263</vt:lpstr>
      <vt:lpstr>Data_SchaalTijd264</vt:lpstr>
      <vt:lpstr>Data_SchaalTijd265</vt:lpstr>
      <vt:lpstr>Data_SchaalTijd266</vt:lpstr>
      <vt:lpstr>Data_SchaalTijd267</vt:lpstr>
      <vt:lpstr>Data_SchaalTijd268</vt:lpstr>
      <vt:lpstr>Data_SchaalTijd269</vt:lpstr>
      <vt:lpstr>Data_SchaalTijd270</vt:lpstr>
      <vt:lpstr>Data_SchaalTijd271</vt:lpstr>
      <vt:lpstr>Data_SchaalTijd272</vt:lpstr>
      <vt:lpstr>Data_SchaalTijd273</vt:lpstr>
      <vt:lpstr>Data_SchaalTijd274</vt:lpstr>
      <vt:lpstr>Data_SchaalTijd275</vt:lpstr>
      <vt:lpstr>Data_SchaalTijd276</vt:lpstr>
      <vt:lpstr>Data_SchaalTijd277</vt:lpstr>
      <vt:lpstr>Data_SchaalTijd278</vt:lpstr>
      <vt:lpstr>Data_SchaalTijd279</vt:lpstr>
      <vt:lpstr>Data_SchaalTijd280</vt:lpstr>
      <vt:lpstr>Data_SchaalTijd281</vt:lpstr>
      <vt:lpstr>Data_SchaalTijd282</vt:lpstr>
      <vt:lpstr>Data_SchaalTijd283</vt:lpstr>
      <vt:lpstr>Data_SchaalTijd284</vt:lpstr>
      <vt:lpstr>Data_SchaalTijd285</vt:lpstr>
      <vt:lpstr>Data_SchaalTijd286</vt:lpstr>
      <vt:lpstr>Data_SchaalTijd287</vt:lpstr>
      <vt:lpstr>Data_SchaalTijd288</vt:lpstr>
      <vt:lpstr>Data_SchaalTijd289</vt:lpstr>
      <vt:lpstr>Data_SchaalTijd290</vt:lpstr>
      <vt:lpstr>Data_SchaalTijd291</vt:lpstr>
      <vt:lpstr>Data_SchaalTijd292</vt:lpstr>
      <vt:lpstr>Data_SchaalTijd293</vt:lpstr>
      <vt:lpstr>Data_SchaalTijd294</vt:lpstr>
      <vt:lpstr>Data_SchaalTijd295</vt:lpstr>
      <vt:lpstr>Data_SchaalTijd296</vt:lpstr>
      <vt:lpstr>Data_SchaalTijd297</vt:lpstr>
      <vt:lpstr>Data_SchaalTijd298</vt:lpstr>
      <vt:lpstr>Data_SchaalTijd299</vt:lpstr>
      <vt:lpstr>Data_SchaalTijd300</vt:lpstr>
      <vt:lpstr>Data_SchaalTijd301</vt:lpstr>
      <vt:lpstr>Data_SchaalTijd302</vt:lpstr>
      <vt:lpstr>Data_SchaalTijd303</vt:lpstr>
      <vt:lpstr>Data_SchaalTijd304</vt:lpstr>
      <vt:lpstr>Data_SchaalTijd305</vt:lpstr>
      <vt:lpstr>Data_SchaalTijd306</vt:lpstr>
      <vt:lpstr>Data_SchaalTijd307</vt:lpstr>
      <vt:lpstr>Data_SchaalTijd308</vt:lpstr>
      <vt:lpstr>Data_SchaalTijd309</vt:lpstr>
      <vt:lpstr>Data_SchaalTijd310</vt:lpstr>
      <vt:lpstr>Data_SchaalTijd311</vt:lpstr>
      <vt:lpstr>Data_SchaalTijd312</vt:lpstr>
      <vt:lpstr>Data_SchaalTijd313</vt:lpstr>
      <vt:lpstr>Data_SchaalTijd314</vt:lpstr>
      <vt:lpstr>Data_SchaalTijd315</vt:lpstr>
      <vt:lpstr>Data_SchaalTijd316</vt:lpstr>
      <vt:lpstr>Data_SchaalTijd317</vt:lpstr>
      <vt:lpstr>Data_SchaalTijd318</vt:lpstr>
      <vt:lpstr>Data_SchaalTijd319</vt:lpstr>
      <vt:lpstr>Data_SchaalTijd320</vt:lpstr>
      <vt:lpstr>Data_SchaalTijd321</vt:lpstr>
      <vt:lpstr>Data_SchaalTijd322</vt:lpstr>
      <vt:lpstr>Data_SchaalTijd323</vt:lpstr>
      <vt:lpstr>Data_SchaalTijd324</vt:lpstr>
      <vt:lpstr>Data_SchaalTijd325</vt:lpstr>
      <vt:lpstr>Data_SchaalTijd326</vt:lpstr>
      <vt:lpstr>Data_SchaalTijd327</vt:lpstr>
      <vt:lpstr>Data_SchaalTijd328</vt:lpstr>
      <vt:lpstr>Data_SchaalTijd329</vt:lpstr>
      <vt:lpstr>Data_SchaalTijd330</vt:lpstr>
      <vt:lpstr>Data_SchaalTijd331</vt:lpstr>
      <vt:lpstr>Data_SchaalTijd332</vt:lpstr>
      <vt:lpstr>Data_SchaalTijd333</vt:lpstr>
      <vt:lpstr>Data_SchaalTijd334</vt:lpstr>
      <vt:lpstr>Data_SchaalTijd335</vt:lpstr>
      <vt:lpstr>Data_SchaalTijd336</vt:lpstr>
      <vt:lpstr>Data_SchaalTijd337</vt:lpstr>
      <vt:lpstr>Data_SchaalTijd338</vt:lpstr>
      <vt:lpstr>Data_SchaalTijd339</vt:lpstr>
      <vt:lpstr>Data_SchaalTijd340</vt:lpstr>
      <vt:lpstr>Data_SchaalTijd341</vt:lpstr>
      <vt:lpstr>Data_SchaalTijd342</vt:lpstr>
      <vt:lpstr>Data_SchaalTijd343</vt:lpstr>
      <vt:lpstr>Data_SchaalTijd344</vt:lpstr>
      <vt:lpstr>Data_SchaalTijd345</vt:lpstr>
      <vt:lpstr>Data_SchaalTijd346</vt:lpstr>
      <vt:lpstr>Data_SchaalTijd347</vt:lpstr>
      <vt:lpstr>Data_SchaalTijd348</vt:lpstr>
      <vt:lpstr>Data_SchaalTijd349</vt:lpstr>
      <vt:lpstr>Data_SchaalTijd350</vt:lpstr>
      <vt:lpstr>Data_SchaalTijd351</vt:lpstr>
      <vt:lpstr>Data_SchaalTijd352</vt:lpstr>
      <vt:lpstr>Data_SchaalTijd353</vt:lpstr>
      <vt:lpstr>Data_SchaalTijd354</vt:lpstr>
      <vt:lpstr>Data_SchaalTijd355</vt:lpstr>
      <vt:lpstr>Data_SchaalTijd356</vt:lpstr>
      <vt:lpstr>Data_SchaalTijd357</vt:lpstr>
      <vt:lpstr>Data_SchaalTijd358</vt:lpstr>
      <vt:lpstr>Data_SchaalTijd359</vt:lpstr>
      <vt:lpstr>Data_SchaalTijd360</vt:lpstr>
      <vt:lpstr>Data_SchaalTijd361</vt:lpstr>
      <vt:lpstr>Data_SchaalTijd362</vt:lpstr>
      <vt:lpstr>Data_SchaalTijd363</vt:lpstr>
      <vt:lpstr>Data_SchaalTijd364</vt:lpstr>
      <vt:lpstr>Data_SchaalTijd365</vt:lpstr>
      <vt:lpstr>Data_SchaalTijd366</vt:lpstr>
      <vt:lpstr>Data_SchaalTijd367</vt:lpstr>
      <vt:lpstr>Data_SchaalTijd368</vt:lpstr>
      <vt:lpstr>Data_SchaalTijd369</vt:lpstr>
      <vt:lpstr>Data_SchaalTijd370</vt:lpstr>
      <vt:lpstr>Data_SchaalTijd371</vt:lpstr>
      <vt:lpstr>Data_SchaalTijd372</vt:lpstr>
      <vt:lpstr>Data_SchaalTijd373</vt:lpstr>
      <vt:lpstr>Data_SchaalTijd374</vt:lpstr>
      <vt:lpstr>Data_SchaalTijd375</vt:lpstr>
      <vt:lpstr>Data_SchaalTijd376</vt:lpstr>
      <vt:lpstr>Data_SchaalTijd377</vt:lpstr>
      <vt:lpstr>Data_SchaalTijd378</vt:lpstr>
      <vt:lpstr>Data_SchaalTijd379</vt:lpstr>
      <vt:lpstr>Data_SchaalTijd380</vt:lpstr>
      <vt:lpstr>Data_SchaalTijd381</vt:lpstr>
      <vt:lpstr>Data_SchaalTijd382</vt:lpstr>
      <vt:lpstr>Data_SchaalTijd383</vt:lpstr>
      <vt:lpstr>Data_SchaalTijd384</vt:lpstr>
      <vt:lpstr>Data_SchaalTijd385</vt:lpstr>
      <vt:lpstr>Data_SchaalTijd386</vt:lpstr>
      <vt:lpstr>Data_SchaalTijd387</vt:lpstr>
      <vt:lpstr>Data_SchaalTijd388</vt:lpstr>
      <vt:lpstr>Data_SchaalTijd389</vt:lpstr>
      <vt:lpstr>Data_SchaalTijd390</vt:lpstr>
      <vt:lpstr>Data_SchaalTijd391</vt:lpstr>
      <vt:lpstr>Data_SchaalTijd392</vt:lpstr>
      <vt:lpstr>Data_SchaalTijd393</vt:lpstr>
      <vt:lpstr>Data_SchaalTijd394</vt:lpstr>
      <vt:lpstr>Data_SchaalTijd395</vt:lpstr>
      <vt:lpstr>Data_SchaalTijd396</vt:lpstr>
      <vt:lpstr>Data_SchaalTijd397</vt:lpstr>
      <vt:lpstr>Data_SchaalTijd398</vt:lpstr>
      <vt:lpstr>Data_SchaalTijd399</vt:lpstr>
      <vt:lpstr>Data_SchaalTijd400</vt:lpstr>
      <vt:lpstr>Data_SchaalTijd401</vt:lpstr>
      <vt:lpstr>Data_SchaalTijd402</vt:lpstr>
      <vt:lpstr>Data_SchaalTijd403</vt:lpstr>
      <vt:lpstr>Data_SchaalTijd404</vt:lpstr>
      <vt:lpstr>Data_SchaalTijd405</vt:lpstr>
      <vt:lpstr>Data_SchaalTijd406</vt:lpstr>
      <vt:lpstr>Data_SchaalTijd407</vt:lpstr>
      <vt:lpstr>Data_SchaalTijd408</vt:lpstr>
      <vt:lpstr>Data_SchaalTijd409</vt:lpstr>
      <vt:lpstr>Data_SchaalTijd410</vt:lpstr>
      <vt:lpstr>Data_SchaalTijd411</vt:lpstr>
      <vt:lpstr>Data_SchaalTijd412</vt:lpstr>
      <vt:lpstr>Data_SchaalTijd413</vt:lpstr>
      <vt:lpstr>Data_SchaalTijd414</vt:lpstr>
      <vt:lpstr>Data_SchaalTijd415</vt:lpstr>
      <vt:lpstr>Data_SchaalTijd416</vt:lpstr>
      <vt:lpstr>Data_SchaalTijd417</vt:lpstr>
      <vt:lpstr>Data_SchaalTijd418</vt:lpstr>
      <vt:lpstr>Data_SchaalTijd419</vt:lpstr>
      <vt:lpstr>Data_SchaalTijd420</vt:lpstr>
      <vt:lpstr>Data_SchaalTijd421</vt:lpstr>
      <vt:lpstr>Data_SchaalTijd422</vt:lpstr>
      <vt:lpstr>Data_SchaalTijd423</vt:lpstr>
      <vt:lpstr>Data_SchaalTijd424</vt:lpstr>
      <vt:lpstr>Data_SchaalTijd425</vt:lpstr>
      <vt:lpstr>Data_SchaalTijd426</vt:lpstr>
      <vt:lpstr>Data_SchaalTijd427</vt:lpstr>
      <vt:lpstr>Data_SchaalTijd428</vt:lpstr>
      <vt:lpstr>Data_SchaalTijd429</vt:lpstr>
      <vt:lpstr>Data_SchaalTijd430</vt:lpstr>
      <vt:lpstr>Data_SchaalTijd431</vt:lpstr>
      <vt:lpstr>Data_SchaalTijd432</vt:lpstr>
      <vt:lpstr>Data_SchaalTijd433</vt:lpstr>
      <vt:lpstr>Data_SchaalTijd434</vt:lpstr>
      <vt:lpstr>Data_SchaalTijd435</vt:lpstr>
      <vt:lpstr>Data_SchaalTijd436</vt:lpstr>
      <vt:lpstr>Data_SchaalTijd437</vt:lpstr>
      <vt:lpstr>Data_SchaalTijd438</vt:lpstr>
      <vt:lpstr>Data_SchaalTijd439</vt:lpstr>
      <vt:lpstr>Data_SchaalTijd440</vt:lpstr>
      <vt:lpstr>Data_SchaalTijd441</vt:lpstr>
      <vt:lpstr>Data_SchaalTijd442</vt:lpstr>
      <vt:lpstr>Data_SchaalTijd443</vt:lpstr>
      <vt:lpstr>Data_SchaalTijd444</vt:lpstr>
      <vt:lpstr>Data_SchaalTijd445</vt:lpstr>
      <vt:lpstr>Data_SchaalTijd446</vt:lpstr>
      <vt:lpstr>Data_SchaalTijd447</vt:lpstr>
      <vt:lpstr>Data_SchaalTijd448</vt:lpstr>
      <vt:lpstr>Data_SchaalTijd449</vt:lpstr>
      <vt:lpstr>Data_SchaalTijd450</vt:lpstr>
      <vt:lpstr>Data_SchaalTijd451</vt:lpstr>
      <vt:lpstr>Data_SchaalTijd452</vt:lpstr>
      <vt:lpstr>Data_SchaalTijd453</vt:lpstr>
      <vt:lpstr>Data_SchaalTijd454</vt:lpstr>
      <vt:lpstr>Data_SchaalTijd455</vt:lpstr>
      <vt:lpstr>Data_SchaalTijd456</vt:lpstr>
      <vt:lpstr>Data_SchaalTijd457</vt:lpstr>
      <vt:lpstr>Data_SchaalTijd458</vt:lpstr>
      <vt:lpstr>Data_SchaalTijd459</vt:lpstr>
      <vt:lpstr>Data_SchaalTijd460</vt:lpstr>
      <vt:lpstr>Data_SchaalTijd461</vt:lpstr>
      <vt:lpstr>Data_SchaalTijd462</vt:lpstr>
      <vt:lpstr>Data_SchaalTijd463</vt:lpstr>
      <vt:lpstr>Data_SchaalTijd464</vt:lpstr>
      <vt:lpstr>Data_SchaalTijd465</vt:lpstr>
      <vt:lpstr>Data_SchaalTijd466</vt:lpstr>
      <vt:lpstr>Data_SchaalTijd467</vt:lpstr>
      <vt:lpstr>Data_SchaalTijd468</vt:lpstr>
      <vt:lpstr>Data_SchaalTijd469</vt:lpstr>
      <vt:lpstr>Data_SchaalTijd470</vt:lpstr>
      <vt:lpstr>Data_SchaalTijd471</vt:lpstr>
      <vt:lpstr>Data_SchaalTijd472</vt:lpstr>
      <vt:lpstr>Data_SchaalTijd473</vt:lpstr>
      <vt:lpstr>Data_SchaalTijd474</vt:lpstr>
      <vt:lpstr>Data_SchaalTijd475</vt:lpstr>
      <vt:lpstr>Data_SchaalTijd476</vt:lpstr>
      <vt:lpstr>Data_SchaalTijd477</vt:lpstr>
      <vt:lpstr>Data_SchaalTijd478</vt:lpstr>
      <vt:lpstr>Data_SchaalTijd479</vt:lpstr>
      <vt:lpstr>Data_SchaalTijd480</vt:lpstr>
      <vt:lpstr>Data_SchaalTijd481</vt:lpstr>
      <vt:lpstr>Data_SchaalTijd482</vt:lpstr>
      <vt:lpstr>Data_SchaalTijd483</vt:lpstr>
      <vt:lpstr>Data_SchaalTijd484</vt:lpstr>
      <vt:lpstr>Data_SchaalTijd485</vt:lpstr>
      <vt:lpstr>Data_SchaalTijd486</vt:lpstr>
      <vt:lpstr>Data_SchaalTijd487</vt:lpstr>
      <vt:lpstr>Data_SchaalTijd488</vt:lpstr>
      <vt:lpstr>Data_SchaalTijd489</vt:lpstr>
      <vt:lpstr>Data_SchaalTijd490</vt:lpstr>
      <vt:lpstr>Data_SchaalTijd491</vt:lpstr>
      <vt:lpstr>Data_SchaalTijd492</vt:lpstr>
      <vt:lpstr>Data_SchaalTijd493</vt:lpstr>
      <vt:lpstr>Data_SchaalTijd494</vt:lpstr>
      <vt:lpstr>Data_SchaalTijd495</vt:lpstr>
      <vt:lpstr>Data_SchaalTijd496</vt:lpstr>
      <vt:lpstr>Data_SchaalTijd497</vt:lpstr>
      <vt:lpstr>Data_SchaalTijd498</vt:lpstr>
      <vt:lpstr>Data_SchaalTijd499</vt:lpstr>
      <vt:lpstr>Data_SchaalTijd500</vt:lpstr>
      <vt:lpstr>Data_SchaalVastOntslag001</vt:lpstr>
      <vt:lpstr>Data_SchaalVastOntslag002</vt:lpstr>
      <vt:lpstr>Data_SchaalVastOntslag003</vt:lpstr>
      <vt:lpstr>Data_SchaalVastOntslag004</vt:lpstr>
      <vt:lpstr>Data_SchaalVastOntslag005</vt:lpstr>
      <vt:lpstr>Data_SchaalVastOntslag006</vt:lpstr>
      <vt:lpstr>Data_SchaalVastOntslag007</vt:lpstr>
      <vt:lpstr>Data_SchaalVastOntslag008</vt:lpstr>
      <vt:lpstr>Data_SchaalVastOntslag009</vt:lpstr>
      <vt:lpstr>Data_SchaalVastOntslag010</vt:lpstr>
      <vt:lpstr>Data_SchaalVastOntslag011</vt:lpstr>
      <vt:lpstr>Data_SchaalVastOntslag012</vt:lpstr>
      <vt:lpstr>Data_SchaalVastOntslag013</vt:lpstr>
      <vt:lpstr>Data_SchaalVastOntslag014</vt:lpstr>
      <vt:lpstr>Data_SchaalVastOntslag015</vt:lpstr>
      <vt:lpstr>Data_SchaalVastOntslag016</vt:lpstr>
      <vt:lpstr>Data_SchaalVastOntslag017</vt:lpstr>
      <vt:lpstr>Data_SchaalVastOntslag018</vt:lpstr>
      <vt:lpstr>Data_SchaalVastOntslag019</vt:lpstr>
      <vt:lpstr>Data_SchaalVastOntslag020</vt:lpstr>
      <vt:lpstr>Data_SchaalVastOntslag021</vt:lpstr>
      <vt:lpstr>Data_SchaalVastOntslag022</vt:lpstr>
      <vt:lpstr>Data_SchaalVastOntslag023</vt:lpstr>
      <vt:lpstr>Data_SchaalVastOntslag024</vt:lpstr>
      <vt:lpstr>Data_SchaalVastOntslag025</vt:lpstr>
      <vt:lpstr>Data_SchaalVastOntslag026</vt:lpstr>
      <vt:lpstr>Data_SchaalVastOntslag027</vt:lpstr>
      <vt:lpstr>Data_SchaalVastOntslag028</vt:lpstr>
      <vt:lpstr>Data_SchaalVastOntslag029</vt:lpstr>
      <vt:lpstr>Data_SchaalVastOntslag030</vt:lpstr>
      <vt:lpstr>Data_SchaalVastOntslag031</vt:lpstr>
      <vt:lpstr>Data_SchaalVastOntslag032</vt:lpstr>
      <vt:lpstr>Data_SchaalVastOntslag033</vt:lpstr>
      <vt:lpstr>Data_SchaalVastOntslag034</vt:lpstr>
      <vt:lpstr>Data_SchaalVastOntslag035</vt:lpstr>
      <vt:lpstr>Data_SchaalVastOntslag036</vt:lpstr>
      <vt:lpstr>Data_SchaalVastOntslag037</vt:lpstr>
      <vt:lpstr>Data_SchaalVastOntslag038</vt:lpstr>
      <vt:lpstr>Data_SchaalVastOntslag039</vt:lpstr>
      <vt:lpstr>Data_SchaalVastOntslag040</vt:lpstr>
      <vt:lpstr>Data_SchaalVastOntslag041</vt:lpstr>
      <vt:lpstr>Data_SchaalVastOntslag042</vt:lpstr>
      <vt:lpstr>Data_SchaalVastOntslag043</vt:lpstr>
      <vt:lpstr>Data_SchaalVastOntslag044</vt:lpstr>
      <vt:lpstr>Data_SchaalVastOntslag045</vt:lpstr>
      <vt:lpstr>Data_SchaalVastOntslag046</vt:lpstr>
      <vt:lpstr>Data_SchaalVastOntslag047</vt:lpstr>
      <vt:lpstr>Data_SchaalVastOntslag048</vt:lpstr>
      <vt:lpstr>Data_SchaalVastOntslag049</vt:lpstr>
      <vt:lpstr>Data_SchaalVastOntslag050</vt:lpstr>
      <vt:lpstr>Data_SchaalVastOntslag051</vt:lpstr>
      <vt:lpstr>Data_SchaalVastOntslag052</vt:lpstr>
      <vt:lpstr>Data_SchaalVastOntslag053</vt:lpstr>
      <vt:lpstr>Data_SchaalVastOntslag054</vt:lpstr>
      <vt:lpstr>Data_SchaalVastOntslag055</vt:lpstr>
      <vt:lpstr>Data_SchaalVastOntslag056</vt:lpstr>
      <vt:lpstr>Data_SchaalVastOntslag057</vt:lpstr>
      <vt:lpstr>Data_SchaalVastOntslag058</vt:lpstr>
      <vt:lpstr>Data_SchaalVastOntslag059</vt:lpstr>
      <vt:lpstr>Data_SchaalVastOntslag060</vt:lpstr>
      <vt:lpstr>Data_SchaalVastOntslag061</vt:lpstr>
      <vt:lpstr>Data_SchaalVastOntslag062</vt:lpstr>
      <vt:lpstr>Data_SchaalVastOntslag063</vt:lpstr>
      <vt:lpstr>Data_SchaalVastOntslag064</vt:lpstr>
      <vt:lpstr>Data_SchaalVastOntslag065</vt:lpstr>
      <vt:lpstr>Data_SchaalVastOntslag066</vt:lpstr>
      <vt:lpstr>Data_SchaalVastOntslag067</vt:lpstr>
      <vt:lpstr>Data_SchaalVastOntslag068</vt:lpstr>
      <vt:lpstr>Data_SchaalVastOntslag069</vt:lpstr>
      <vt:lpstr>Data_SchaalVastOntslag070</vt:lpstr>
      <vt:lpstr>Data_SchaalVastOntslag071</vt:lpstr>
      <vt:lpstr>Data_SchaalVastOntslag072</vt:lpstr>
      <vt:lpstr>Data_SchaalVastOntslag073</vt:lpstr>
      <vt:lpstr>Data_SchaalVastOntslag074</vt:lpstr>
      <vt:lpstr>Data_SchaalVastOntslag075</vt:lpstr>
      <vt:lpstr>Data_SchaalVastOntslag076</vt:lpstr>
      <vt:lpstr>Data_SchaalVastOntslag077</vt:lpstr>
      <vt:lpstr>Data_SchaalVastOntslag078</vt:lpstr>
      <vt:lpstr>Data_SchaalVastOntslag079</vt:lpstr>
      <vt:lpstr>Data_SchaalVastOntslag080</vt:lpstr>
      <vt:lpstr>Data_SchaalVastOntslag081</vt:lpstr>
      <vt:lpstr>Data_SchaalVastOntslag082</vt:lpstr>
      <vt:lpstr>Data_SchaalVastOntslag083</vt:lpstr>
      <vt:lpstr>Data_SchaalVastOntslag084</vt:lpstr>
      <vt:lpstr>Data_SchaalVastOntslag085</vt:lpstr>
      <vt:lpstr>Data_SchaalVastOntslag086</vt:lpstr>
      <vt:lpstr>Data_SchaalVastOntslag087</vt:lpstr>
      <vt:lpstr>Data_SchaalVastOntslag088</vt:lpstr>
      <vt:lpstr>Data_SchaalVastOntslag089</vt:lpstr>
      <vt:lpstr>Data_SchaalVastOntslag090</vt:lpstr>
      <vt:lpstr>Data_SchaalVastOntslag091</vt:lpstr>
      <vt:lpstr>Data_SchaalVastOntslag092</vt:lpstr>
      <vt:lpstr>Data_SchaalVastOntslag093</vt:lpstr>
      <vt:lpstr>Data_SchaalVastOntslag094</vt:lpstr>
      <vt:lpstr>Data_SchaalVastOntslag095</vt:lpstr>
      <vt:lpstr>Data_SchaalVastOntslag096</vt:lpstr>
      <vt:lpstr>Data_SchaalVastOntslag097</vt:lpstr>
      <vt:lpstr>Data_SchaalVastOntslag098</vt:lpstr>
      <vt:lpstr>Data_SchaalVastOntslag099</vt:lpstr>
      <vt:lpstr>Data_SchaalVastOntslag100</vt:lpstr>
      <vt:lpstr>Data_SchaalVastOntslag101</vt:lpstr>
      <vt:lpstr>Data_SchaalVastOntslag102</vt:lpstr>
      <vt:lpstr>Data_SchaalVastOntslag103</vt:lpstr>
      <vt:lpstr>Data_SchaalVastOntslag104</vt:lpstr>
      <vt:lpstr>Data_SchaalVastOntslag105</vt:lpstr>
      <vt:lpstr>Data_SchaalVastOntslag106</vt:lpstr>
      <vt:lpstr>Data_SchaalVastOntslag107</vt:lpstr>
      <vt:lpstr>Data_SchaalVastOntslag108</vt:lpstr>
      <vt:lpstr>Data_SchaalVastOntslag109</vt:lpstr>
      <vt:lpstr>Data_SchaalVastOntslag110</vt:lpstr>
      <vt:lpstr>Data_SchaalVastOntslag111</vt:lpstr>
      <vt:lpstr>Data_SchaalVastOntslag112</vt:lpstr>
      <vt:lpstr>Data_SchaalVastOntslag113</vt:lpstr>
      <vt:lpstr>Data_SchaalVastOntslag114</vt:lpstr>
      <vt:lpstr>Data_SchaalVastOntslag115</vt:lpstr>
      <vt:lpstr>Data_SchaalVastOntslag116</vt:lpstr>
      <vt:lpstr>Data_SchaalVastOntslag117</vt:lpstr>
      <vt:lpstr>Data_SchaalVastOntslag118</vt:lpstr>
      <vt:lpstr>Data_SchaalVastOntslag119</vt:lpstr>
      <vt:lpstr>Data_SchaalVastOntslag120</vt:lpstr>
      <vt:lpstr>Data_SchaalVastOntslag121</vt:lpstr>
      <vt:lpstr>Data_SchaalVastOntslag122</vt:lpstr>
      <vt:lpstr>Data_SchaalVastOntslag123</vt:lpstr>
      <vt:lpstr>Data_SchaalVastOntslag124</vt:lpstr>
      <vt:lpstr>Data_SchaalVastOntslag125</vt:lpstr>
      <vt:lpstr>Data_SchaalVastOntslag126</vt:lpstr>
      <vt:lpstr>Data_SchaalVastOntslag127</vt:lpstr>
      <vt:lpstr>Data_SchaalVastOntslag128</vt:lpstr>
      <vt:lpstr>Data_SchaalVastOntslag129</vt:lpstr>
      <vt:lpstr>Data_SchaalVastOntslag130</vt:lpstr>
      <vt:lpstr>Data_SchaalVastOntslag131</vt:lpstr>
      <vt:lpstr>Data_SchaalVastOntslag132</vt:lpstr>
      <vt:lpstr>Data_SchaalVastOntslag133</vt:lpstr>
      <vt:lpstr>Data_SchaalVastOntslag134</vt:lpstr>
      <vt:lpstr>Data_SchaalVastOntslag135</vt:lpstr>
      <vt:lpstr>Data_SchaalVastOntslag136</vt:lpstr>
      <vt:lpstr>Data_SchaalVastOntslag137</vt:lpstr>
      <vt:lpstr>Data_SchaalVastOntslag138</vt:lpstr>
      <vt:lpstr>Data_SchaalVastOntslag139</vt:lpstr>
      <vt:lpstr>Data_SchaalVastOntslag140</vt:lpstr>
      <vt:lpstr>Data_SchaalVastOntslag141</vt:lpstr>
      <vt:lpstr>Data_SchaalVastOntslag142</vt:lpstr>
      <vt:lpstr>Data_SchaalVastOntslag143</vt:lpstr>
      <vt:lpstr>Data_SchaalVastOntslag144</vt:lpstr>
      <vt:lpstr>Data_SchaalVastOntslag145</vt:lpstr>
      <vt:lpstr>Data_SchaalVastOntslag146</vt:lpstr>
      <vt:lpstr>Data_SchaalVastOntslag147</vt:lpstr>
      <vt:lpstr>Data_SchaalVastOntslag148</vt:lpstr>
      <vt:lpstr>Data_SchaalVastOntslag149</vt:lpstr>
      <vt:lpstr>Data_SchaalVastOntslag150</vt:lpstr>
      <vt:lpstr>Data_SchaalVastOntslag151</vt:lpstr>
      <vt:lpstr>Data_SchaalVastOntslag152</vt:lpstr>
      <vt:lpstr>Data_SchaalVastOntslag153</vt:lpstr>
      <vt:lpstr>Data_SchaalVastOntslag154</vt:lpstr>
      <vt:lpstr>Data_SchaalVastOntslag155</vt:lpstr>
      <vt:lpstr>Data_SchaalVastOntslag156</vt:lpstr>
      <vt:lpstr>Data_SchaalVastOntslag157</vt:lpstr>
      <vt:lpstr>Data_SchaalVastOntslag158</vt:lpstr>
      <vt:lpstr>Data_SchaalVastOntslag159</vt:lpstr>
      <vt:lpstr>Data_SchaalVastOntslag160</vt:lpstr>
      <vt:lpstr>Data_SchaalVastOntslag161</vt:lpstr>
      <vt:lpstr>Data_SchaalVastOntslag162</vt:lpstr>
      <vt:lpstr>Data_SchaalVastOntslag163</vt:lpstr>
      <vt:lpstr>Data_SchaalVastOntslag164</vt:lpstr>
      <vt:lpstr>Data_SchaalVastOntslag165</vt:lpstr>
      <vt:lpstr>Data_SchaalVastOntslag166</vt:lpstr>
      <vt:lpstr>Data_SchaalVastOntslag167</vt:lpstr>
      <vt:lpstr>Data_SchaalVastOntslag168</vt:lpstr>
      <vt:lpstr>Data_SchaalVastOntslag169</vt:lpstr>
      <vt:lpstr>Data_SchaalVastOntslag170</vt:lpstr>
      <vt:lpstr>Data_SchaalVastOntslag171</vt:lpstr>
      <vt:lpstr>Data_SchaalVastOntslag172</vt:lpstr>
      <vt:lpstr>Data_SchaalVastOntslag173</vt:lpstr>
      <vt:lpstr>Data_SchaalVastOntslag174</vt:lpstr>
      <vt:lpstr>Data_SchaalVastOntslag175</vt:lpstr>
      <vt:lpstr>Data_SchaalVastOntslag176</vt:lpstr>
      <vt:lpstr>Data_SchaalVastOntslag177</vt:lpstr>
      <vt:lpstr>Data_SchaalVastOntslag178</vt:lpstr>
      <vt:lpstr>Data_SchaalVastOntslag179</vt:lpstr>
      <vt:lpstr>Data_SchaalVastOntslag180</vt:lpstr>
      <vt:lpstr>Data_SchaalVastOntslag181</vt:lpstr>
      <vt:lpstr>Data_SchaalVastOntslag182</vt:lpstr>
      <vt:lpstr>Data_SchaalVastOntslag183</vt:lpstr>
      <vt:lpstr>Data_SchaalVastOntslag184</vt:lpstr>
      <vt:lpstr>Data_SchaalVastOntslag185</vt:lpstr>
      <vt:lpstr>Data_SchaalVastOntslag186</vt:lpstr>
      <vt:lpstr>Data_SchaalVastOntslag187</vt:lpstr>
      <vt:lpstr>Data_SchaalVastOntslag188</vt:lpstr>
      <vt:lpstr>Data_SchaalVastOntslag189</vt:lpstr>
      <vt:lpstr>Data_SchaalVastOntslag190</vt:lpstr>
      <vt:lpstr>Data_SchaalVastOntslag191</vt:lpstr>
      <vt:lpstr>Data_SchaalVastOntslag192</vt:lpstr>
      <vt:lpstr>Data_SchaalVastOntslag193</vt:lpstr>
      <vt:lpstr>Data_SchaalVastOntslag194</vt:lpstr>
      <vt:lpstr>Data_SchaalVastOntslag195</vt:lpstr>
      <vt:lpstr>Data_SchaalVastOntslag196</vt:lpstr>
      <vt:lpstr>Data_SchaalVastOntslag197</vt:lpstr>
      <vt:lpstr>Data_SchaalVastOntslag198</vt:lpstr>
      <vt:lpstr>Data_SchaalVastOntslag199</vt:lpstr>
      <vt:lpstr>Data_SchaalVastOntslag200</vt:lpstr>
      <vt:lpstr>Data_SchaalVastOntslag201</vt:lpstr>
      <vt:lpstr>Data_SchaalVastOntslag202</vt:lpstr>
      <vt:lpstr>Data_SchaalVastOntslag203</vt:lpstr>
      <vt:lpstr>Data_SchaalVastOntslag204</vt:lpstr>
      <vt:lpstr>Data_SchaalVastOntslag205</vt:lpstr>
      <vt:lpstr>Data_SchaalVastOntslag206</vt:lpstr>
      <vt:lpstr>Data_SchaalVastOntslag207</vt:lpstr>
      <vt:lpstr>Data_SchaalVastOntslag208</vt:lpstr>
      <vt:lpstr>Data_SchaalVastOntslag209</vt:lpstr>
      <vt:lpstr>Data_SchaalVastOntslag210</vt:lpstr>
      <vt:lpstr>Data_SchaalVastOntslag211</vt:lpstr>
      <vt:lpstr>Data_SchaalVastOntslag212</vt:lpstr>
      <vt:lpstr>Data_SchaalVastOntslag213</vt:lpstr>
      <vt:lpstr>Data_SchaalVastOntslag214</vt:lpstr>
      <vt:lpstr>Data_SchaalVastOntslag215</vt:lpstr>
      <vt:lpstr>Data_SchaalVastOntslag216</vt:lpstr>
      <vt:lpstr>Data_SchaalVastOntslag217</vt:lpstr>
      <vt:lpstr>Data_SchaalVastOntslag218</vt:lpstr>
      <vt:lpstr>Data_SchaalVastOntslag219</vt:lpstr>
      <vt:lpstr>Data_SchaalVastOntslag220</vt:lpstr>
      <vt:lpstr>Data_SchaalVastOntslag221</vt:lpstr>
      <vt:lpstr>Data_SchaalVastOntslag222</vt:lpstr>
      <vt:lpstr>Data_SchaalVastOntslag223</vt:lpstr>
      <vt:lpstr>Data_SchaalVastOntslag224</vt:lpstr>
      <vt:lpstr>Data_SchaalVastOntslag225</vt:lpstr>
      <vt:lpstr>Data_SchaalVastOntslag226</vt:lpstr>
      <vt:lpstr>Data_SchaalVastOntslag227</vt:lpstr>
      <vt:lpstr>Data_SchaalVastOntslag228</vt:lpstr>
      <vt:lpstr>Data_SchaalVastOntslag229</vt:lpstr>
      <vt:lpstr>Data_SchaalVastOntslag230</vt:lpstr>
      <vt:lpstr>Data_SchaalVastOntslag231</vt:lpstr>
      <vt:lpstr>Data_SchaalVastOntslag232</vt:lpstr>
      <vt:lpstr>Data_SchaalVastOntslag233</vt:lpstr>
      <vt:lpstr>Data_SchaalVastOntslag234</vt:lpstr>
      <vt:lpstr>Data_SchaalVastOntslag235</vt:lpstr>
      <vt:lpstr>Data_SchaalVastOntslag236</vt:lpstr>
      <vt:lpstr>Data_SchaalVastOntslag237</vt:lpstr>
      <vt:lpstr>Data_SchaalVastOntslag238</vt:lpstr>
      <vt:lpstr>Data_SchaalVastOntslag239</vt:lpstr>
      <vt:lpstr>Data_SchaalVastOntslag240</vt:lpstr>
      <vt:lpstr>Data_SchaalVastOntslag241</vt:lpstr>
      <vt:lpstr>Data_SchaalVastOntslag242</vt:lpstr>
      <vt:lpstr>Data_SchaalVastOntslag243</vt:lpstr>
      <vt:lpstr>Data_SchaalVastOntslag244</vt:lpstr>
      <vt:lpstr>Data_SchaalVastOntslag245</vt:lpstr>
      <vt:lpstr>Data_SchaalVastOntslag246</vt:lpstr>
      <vt:lpstr>Data_SchaalVastOntslag247</vt:lpstr>
      <vt:lpstr>Data_SchaalVastOntslag248</vt:lpstr>
      <vt:lpstr>Data_SchaalVastOntslag249</vt:lpstr>
      <vt:lpstr>Data_SchaalVastOntslag250</vt:lpstr>
      <vt:lpstr>Data_SchaalVastOntslag251</vt:lpstr>
      <vt:lpstr>Data_SchaalVastOntslag252</vt:lpstr>
      <vt:lpstr>Data_SchaalVastOntslag253</vt:lpstr>
      <vt:lpstr>Data_SchaalVastOntslag254</vt:lpstr>
      <vt:lpstr>Data_SchaalVastOntslag255</vt:lpstr>
      <vt:lpstr>Data_SchaalVastOntslag256</vt:lpstr>
      <vt:lpstr>Data_SchaalVastOntslag257</vt:lpstr>
      <vt:lpstr>Data_SchaalVastOntslag258</vt:lpstr>
      <vt:lpstr>Data_SchaalVastOntslag259</vt:lpstr>
      <vt:lpstr>Data_SchaalVastOntslag260</vt:lpstr>
      <vt:lpstr>Data_SchaalVastOntslag261</vt:lpstr>
      <vt:lpstr>Data_SchaalVastOntslag262</vt:lpstr>
      <vt:lpstr>Data_SchaalVastOntslag263</vt:lpstr>
      <vt:lpstr>Data_SchaalVastOntslag264</vt:lpstr>
      <vt:lpstr>Data_SchaalVastOntslag265</vt:lpstr>
      <vt:lpstr>Data_SchaalVastOntslag266</vt:lpstr>
      <vt:lpstr>Data_SchaalVastOntslag267</vt:lpstr>
      <vt:lpstr>Data_SchaalVastOntslag268</vt:lpstr>
      <vt:lpstr>Data_SchaalVastOntslag269</vt:lpstr>
      <vt:lpstr>Data_SchaalVastOntslag270</vt:lpstr>
      <vt:lpstr>Data_SchaalVastOntslag271</vt:lpstr>
      <vt:lpstr>Data_SchaalVastOntslag272</vt:lpstr>
      <vt:lpstr>Data_SchaalVastOntslag273</vt:lpstr>
      <vt:lpstr>Data_SchaalVastOntslag274</vt:lpstr>
      <vt:lpstr>Data_SchaalVastOntslag275</vt:lpstr>
      <vt:lpstr>Data_SchaalVastOntslag276</vt:lpstr>
      <vt:lpstr>Data_SchaalVastOntslag277</vt:lpstr>
      <vt:lpstr>Data_SchaalVastOntslag278</vt:lpstr>
      <vt:lpstr>Data_SchaalVastOntslag279</vt:lpstr>
      <vt:lpstr>Data_SchaalVastOntslag280</vt:lpstr>
      <vt:lpstr>Data_SchaalVastOntslag281</vt:lpstr>
      <vt:lpstr>Data_SchaalVastOntslag282</vt:lpstr>
      <vt:lpstr>Data_SchaalVastOntslag283</vt:lpstr>
      <vt:lpstr>Data_SchaalVastOntslag284</vt:lpstr>
      <vt:lpstr>Data_SchaalVastOntslag285</vt:lpstr>
      <vt:lpstr>Data_SchaalVastOntslag286</vt:lpstr>
      <vt:lpstr>Data_SchaalVastOntslag287</vt:lpstr>
      <vt:lpstr>Data_SchaalVastOntslag288</vt:lpstr>
      <vt:lpstr>Data_SchaalVastOntslag289</vt:lpstr>
      <vt:lpstr>Data_SchaalVastOntslag290</vt:lpstr>
      <vt:lpstr>Data_SchaalVastOntslag291</vt:lpstr>
      <vt:lpstr>Data_SchaalVastOntslag292</vt:lpstr>
      <vt:lpstr>Data_SchaalVastOntslag293</vt:lpstr>
      <vt:lpstr>Data_SchaalVastOntslag294</vt:lpstr>
      <vt:lpstr>Data_SchaalVastOntslag295</vt:lpstr>
      <vt:lpstr>Data_SchaalVastOntslag296</vt:lpstr>
      <vt:lpstr>Data_SchaalVastOntslag297</vt:lpstr>
      <vt:lpstr>Data_SchaalVastOntslag298</vt:lpstr>
      <vt:lpstr>Data_SchaalVastOntslag299</vt:lpstr>
      <vt:lpstr>Data_SchaalVastOntslag300</vt:lpstr>
      <vt:lpstr>Data_SchaalVastOntslag301</vt:lpstr>
      <vt:lpstr>Data_SchaalVastOntslag302</vt:lpstr>
      <vt:lpstr>Data_SchaalVastOntslag303</vt:lpstr>
      <vt:lpstr>Data_SchaalVastOntslag304</vt:lpstr>
      <vt:lpstr>Data_SchaalVastOntslag305</vt:lpstr>
      <vt:lpstr>Data_SchaalVastOntslag306</vt:lpstr>
      <vt:lpstr>Data_SchaalVastOntslag307</vt:lpstr>
      <vt:lpstr>Data_SchaalVastOntslag308</vt:lpstr>
      <vt:lpstr>Data_SchaalVastOntslag309</vt:lpstr>
      <vt:lpstr>Data_SchaalVastOntslag310</vt:lpstr>
      <vt:lpstr>Data_SchaalVastOntslag311</vt:lpstr>
      <vt:lpstr>Data_SchaalVastOntslag312</vt:lpstr>
      <vt:lpstr>Data_SchaalVastOntslag313</vt:lpstr>
      <vt:lpstr>Data_SchaalVastOntslag314</vt:lpstr>
      <vt:lpstr>Data_SchaalVastOntslag315</vt:lpstr>
      <vt:lpstr>Data_SchaalVastOntslag316</vt:lpstr>
      <vt:lpstr>Data_SchaalVastOntslag317</vt:lpstr>
      <vt:lpstr>Data_SchaalVastOntslag318</vt:lpstr>
      <vt:lpstr>Data_SchaalVastOntslag319</vt:lpstr>
      <vt:lpstr>Data_SchaalVastOntslag320</vt:lpstr>
      <vt:lpstr>Data_SchaalVastOntslag321</vt:lpstr>
      <vt:lpstr>Data_SchaalVastOntslag322</vt:lpstr>
      <vt:lpstr>Data_SchaalVastOntslag323</vt:lpstr>
      <vt:lpstr>Data_SchaalVastOntslag324</vt:lpstr>
      <vt:lpstr>Data_SchaalVastOntslag325</vt:lpstr>
      <vt:lpstr>Data_SchaalVastOntslag326</vt:lpstr>
      <vt:lpstr>Data_SchaalVastOntslag327</vt:lpstr>
      <vt:lpstr>Data_SchaalVastOntslag328</vt:lpstr>
      <vt:lpstr>Data_SchaalVastOntslag329</vt:lpstr>
      <vt:lpstr>Data_SchaalVastOntslag330</vt:lpstr>
      <vt:lpstr>Data_SchaalVastOntslag331</vt:lpstr>
      <vt:lpstr>Data_SchaalVastOntslag332</vt:lpstr>
      <vt:lpstr>Data_SchaalVastOntslag333</vt:lpstr>
      <vt:lpstr>Data_SchaalVastOntslag334</vt:lpstr>
      <vt:lpstr>Data_SchaalVastOntslag335</vt:lpstr>
      <vt:lpstr>Data_SchaalVastOntslag336</vt:lpstr>
      <vt:lpstr>Data_SchaalVastOntslag337</vt:lpstr>
      <vt:lpstr>Data_SchaalVastOntslag338</vt:lpstr>
      <vt:lpstr>Data_SchaalVastOntslag339</vt:lpstr>
      <vt:lpstr>Data_SchaalVastOntslag340</vt:lpstr>
      <vt:lpstr>Data_SchaalVastOntslag341</vt:lpstr>
      <vt:lpstr>Data_SchaalVastOntslag342</vt:lpstr>
      <vt:lpstr>Data_SchaalVastOntslag343</vt:lpstr>
      <vt:lpstr>Data_SchaalVastOntslag344</vt:lpstr>
      <vt:lpstr>Data_SchaalVastOntslag345</vt:lpstr>
      <vt:lpstr>Data_SchaalVastOntslag346</vt:lpstr>
      <vt:lpstr>Data_SchaalVastOntslag347</vt:lpstr>
      <vt:lpstr>Data_SchaalVastOntslag348</vt:lpstr>
      <vt:lpstr>Data_SchaalVastOntslag349</vt:lpstr>
      <vt:lpstr>Data_SchaalVastOntslag350</vt:lpstr>
      <vt:lpstr>Data_SchaalVastOntslag351</vt:lpstr>
      <vt:lpstr>Data_SchaalVastOntslag352</vt:lpstr>
      <vt:lpstr>Data_SchaalVastOntslag353</vt:lpstr>
      <vt:lpstr>Data_SchaalVastOntslag354</vt:lpstr>
      <vt:lpstr>Data_SchaalVastOntslag355</vt:lpstr>
      <vt:lpstr>Data_SchaalVastOntslag356</vt:lpstr>
      <vt:lpstr>Data_SchaalVastOntslag357</vt:lpstr>
      <vt:lpstr>Data_SchaalVastOntslag358</vt:lpstr>
      <vt:lpstr>Data_SchaalVastOntslag359</vt:lpstr>
      <vt:lpstr>Data_SchaalVastOntslag360</vt:lpstr>
      <vt:lpstr>Data_SchaalVastOntslag361</vt:lpstr>
      <vt:lpstr>Data_SchaalVastOntslag362</vt:lpstr>
      <vt:lpstr>Data_SchaalVastOntslag363</vt:lpstr>
      <vt:lpstr>Data_SchaalVastOntslag364</vt:lpstr>
      <vt:lpstr>Data_SchaalVastOntslag365</vt:lpstr>
      <vt:lpstr>Data_SchaalVastOntslag366</vt:lpstr>
      <vt:lpstr>Data_SchaalVastOntslag367</vt:lpstr>
      <vt:lpstr>Data_SchaalVastOntslag368</vt:lpstr>
      <vt:lpstr>Data_SchaalVastOntslag369</vt:lpstr>
      <vt:lpstr>Data_SchaalVastOntslag370</vt:lpstr>
      <vt:lpstr>Data_SchaalVastOntslag371</vt:lpstr>
      <vt:lpstr>Data_SchaalVastOntslag372</vt:lpstr>
      <vt:lpstr>Data_SchaalVastOntslag373</vt:lpstr>
      <vt:lpstr>Data_SchaalVastOntslag374</vt:lpstr>
      <vt:lpstr>Data_SchaalVastOntslag375</vt:lpstr>
      <vt:lpstr>Data_SchaalVastOntslag376</vt:lpstr>
      <vt:lpstr>Data_SchaalVastOntslag377</vt:lpstr>
      <vt:lpstr>Data_SchaalVastOntslag378</vt:lpstr>
      <vt:lpstr>Data_SchaalVastOntslag379</vt:lpstr>
      <vt:lpstr>Data_SchaalVastOntslag380</vt:lpstr>
      <vt:lpstr>Data_SchaalVastOntslag381</vt:lpstr>
      <vt:lpstr>Data_SchaalVastOntslag382</vt:lpstr>
      <vt:lpstr>Data_SchaalVastOntslag383</vt:lpstr>
      <vt:lpstr>Data_SchaalVastOntslag384</vt:lpstr>
      <vt:lpstr>Data_SchaalVastOntslag385</vt:lpstr>
      <vt:lpstr>Data_SchaalVastOntslag386</vt:lpstr>
      <vt:lpstr>Data_SchaalVastOntslag387</vt:lpstr>
      <vt:lpstr>Data_SchaalVastOntslag388</vt:lpstr>
      <vt:lpstr>Data_SchaalVastOntslag389</vt:lpstr>
      <vt:lpstr>Data_SchaalVastOntslag390</vt:lpstr>
      <vt:lpstr>Data_SchaalVastOntslag391</vt:lpstr>
      <vt:lpstr>Data_SchaalVastOntslag392</vt:lpstr>
      <vt:lpstr>Data_SchaalVastOntslag393</vt:lpstr>
      <vt:lpstr>Data_SchaalVastOntslag394</vt:lpstr>
      <vt:lpstr>Data_SchaalVastOntslag395</vt:lpstr>
      <vt:lpstr>Data_SchaalVastOntslag396</vt:lpstr>
      <vt:lpstr>Data_SchaalVastOntslag397</vt:lpstr>
      <vt:lpstr>Data_SchaalVastOntslag398</vt:lpstr>
      <vt:lpstr>Data_SchaalVastOntslag399</vt:lpstr>
      <vt:lpstr>Data_SchaalVastOntslag400</vt:lpstr>
      <vt:lpstr>Data_SchaalVastOntslag401</vt:lpstr>
      <vt:lpstr>Data_SchaalVastOntslag402</vt:lpstr>
      <vt:lpstr>Data_SchaalVastOntslag403</vt:lpstr>
      <vt:lpstr>Data_SchaalVastOntslag404</vt:lpstr>
      <vt:lpstr>Data_SchaalVastOntslag405</vt:lpstr>
      <vt:lpstr>Data_SchaalVastOntslag406</vt:lpstr>
      <vt:lpstr>Data_SchaalVastOntslag407</vt:lpstr>
      <vt:lpstr>Data_SchaalVastOntslag408</vt:lpstr>
      <vt:lpstr>Data_SchaalVastOntslag409</vt:lpstr>
      <vt:lpstr>Data_SchaalVastOntslag410</vt:lpstr>
      <vt:lpstr>Data_SchaalVastOntslag411</vt:lpstr>
      <vt:lpstr>Data_SchaalVastOntslag412</vt:lpstr>
      <vt:lpstr>Data_SchaalVastOntslag413</vt:lpstr>
      <vt:lpstr>Data_SchaalVastOntslag414</vt:lpstr>
      <vt:lpstr>Data_SchaalVastOntslag415</vt:lpstr>
      <vt:lpstr>Data_SchaalVastOntslag416</vt:lpstr>
      <vt:lpstr>Data_SchaalVastOntslag417</vt:lpstr>
      <vt:lpstr>Data_SchaalVastOntslag418</vt:lpstr>
      <vt:lpstr>Data_SchaalVastOntslag419</vt:lpstr>
      <vt:lpstr>Data_SchaalVastOntslag420</vt:lpstr>
      <vt:lpstr>Data_SchaalVastOntslag421</vt:lpstr>
      <vt:lpstr>Data_SchaalVastOntslag422</vt:lpstr>
      <vt:lpstr>Data_SchaalVastOntslag423</vt:lpstr>
      <vt:lpstr>Data_SchaalVastOntslag424</vt:lpstr>
      <vt:lpstr>Data_SchaalVastOntslag425</vt:lpstr>
      <vt:lpstr>Data_SchaalVastOntslag426</vt:lpstr>
      <vt:lpstr>Data_SchaalVastOntslag427</vt:lpstr>
      <vt:lpstr>Data_SchaalVastOntslag428</vt:lpstr>
      <vt:lpstr>Data_SchaalVastOntslag429</vt:lpstr>
      <vt:lpstr>Data_SchaalVastOntslag430</vt:lpstr>
      <vt:lpstr>Data_SchaalVastOntslag431</vt:lpstr>
      <vt:lpstr>Data_SchaalVastOntslag432</vt:lpstr>
      <vt:lpstr>Data_SchaalVastOntslag433</vt:lpstr>
      <vt:lpstr>Data_SchaalVastOntslag434</vt:lpstr>
      <vt:lpstr>Data_SchaalVastOntslag435</vt:lpstr>
      <vt:lpstr>Data_SchaalVastOntslag436</vt:lpstr>
      <vt:lpstr>Data_SchaalVastOntslag437</vt:lpstr>
      <vt:lpstr>Data_SchaalVastOntslag438</vt:lpstr>
      <vt:lpstr>Data_SchaalVastOntslag439</vt:lpstr>
      <vt:lpstr>Data_SchaalVastOntslag440</vt:lpstr>
      <vt:lpstr>Data_SchaalVastOntslag441</vt:lpstr>
      <vt:lpstr>Data_SchaalVastOntslag442</vt:lpstr>
      <vt:lpstr>Data_SchaalVastOntslag443</vt:lpstr>
      <vt:lpstr>Data_SchaalVastOntslag444</vt:lpstr>
      <vt:lpstr>Data_SchaalVastOntslag445</vt:lpstr>
      <vt:lpstr>Data_SchaalVastOntslag446</vt:lpstr>
      <vt:lpstr>Data_SchaalVastOntslag447</vt:lpstr>
      <vt:lpstr>Data_SchaalVastOntslag448</vt:lpstr>
      <vt:lpstr>Data_SchaalVastOntslag449</vt:lpstr>
      <vt:lpstr>Data_SchaalVastOntslag450</vt:lpstr>
      <vt:lpstr>Data_SchaalVastOntslag451</vt:lpstr>
      <vt:lpstr>Data_SchaalVastOntslag452</vt:lpstr>
      <vt:lpstr>Data_SchaalVastOntslag453</vt:lpstr>
      <vt:lpstr>Data_SchaalVastOntslag454</vt:lpstr>
      <vt:lpstr>Data_SchaalVastOntslag455</vt:lpstr>
      <vt:lpstr>Data_SchaalVastOntslag456</vt:lpstr>
      <vt:lpstr>Data_SchaalVastOntslag457</vt:lpstr>
      <vt:lpstr>Data_SchaalVastOntslag458</vt:lpstr>
      <vt:lpstr>Data_SchaalVastOntslag459</vt:lpstr>
      <vt:lpstr>Data_SchaalVastOntslag460</vt:lpstr>
      <vt:lpstr>Data_SchaalVastOntslag461</vt:lpstr>
      <vt:lpstr>Data_SchaalVastOntslag462</vt:lpstr>
      <vt:lpstr>Data_SchaalVastOntslag463</vt:lpstr>
      <vt:lpstr>Data_SchaalVastOntslag464</vt:lpstr>
      <vt:lpstr>Data_SchaalVastOntslag465</vt:lpstr>
      <vt:lpstr>Data_SchaalVastOntslag466</vt:lpstr>
      <vt:lpstr>Data_SchaalVastOntslag467</vt:lpstr>
      <vt:lpstr>Data_SchaalVastOntslag468</vt:lpstr>
      <vt:lpstr>Data_SchaalVastOntslag469</vt:lpstr>
      <vt:lpstr>Data_SchaalVastOntslag470</vt:lpstr>
      <vt:lpstr>Data_SchaalVastOntslag471</vt:lpstr>
      <vt:lpstr>Data_SchaalVastOntslag472</vt:lpstr>
      <vt:lpstr>Data_SchaalVastOntslag473</vt:lpstr>
      <vt:lpstr>Data_SchaalVastOntslag474</vt:lpstr>
      <vt:lpstr>Data_SchaalVastOntslag475</vt:lpstr>
      <vt:lpstr>Data_SchaalVastOntslag476</vt:lpstr>
      <vt:lpstr>Data_SchaalVastOntslag477</vt:lpstr>
      <vt:lpstr>Data_SchaalVastOntslag478</vt:lpstr>
      <vt:lpstr>Data_SchaalVastOntslag479</vt:lpstr>
      <vt:lpstr>Data_SchaalVastOntslag480</vt:lpstr>
      <vt:lpstr>Data_SchaalVastOntslag481</vt:lpstr>
      <vt:lpstr>Data_SchaalVastOntslag482</vt:lpstr>
      <vt:lpstr>Data_SchaalVastOntslag483</vt:lpstr>
      <vt:lpstr>Data_SchaalVastOntslag484</vt:lpstr>
      <vt:lpstr>Data_SchaalVastOntslag485</vt:lpstr>
      <vt:lpstr>Data_SchaalVastOntslag486</vt:lpstr>
      <vt:lpstr>Data_SchaalVastOntslag487</vt:lpstr>
      <vt:lpstr>Data_SchaalVastOntslag488</vt:lpstr>
      <vt:lpstr>Data_SchaalVastOntslag489</vt:lpstr>
      <vt:lpstr>Data_SchaalVastOntslag490</vt:lpstr>
      <vt:lpstr>Data_SchaalVastOntslag491</vt:lpstr>
      <vt:lpstr>Data_SchaalVastOntslag492</vt:lpstr>
      <vt:lpstr>Data_SchaalVastOntslag493</vt:lpstr>
      <vt:lpstr>Data_SchaalVastOntslag494</vt:lpstr>
      <vt:lpstr>Data_SchaalVastOntslag495</vt:lpstr>
      <vt:lpstr>Data_SchaalVastOntslag496</vt:lpstr>
      <vt:lpstr>Data_SchaalVastOntslag497</vt:lpstr>
      <vt:lpstr>Data_SchaalVastOntslag498</vt:lpstr>
      <vt:lpstr>Data_SchaalVastOntslag499</vt:lpstr>
      <vt:lpstr>Data_SchaalVastOntslag500</vt:lpstr>
      <vt:lpstr>Data_SchaalVastVrij001</vt:lpstr>
      <vt:lpstr>Data_SchaalVastVrij002</vt:lpstr>
      <vt:lpstr>Data_SchaalVastVrij003</vt:lpstr>
      <vt:lpstr>Data_SchaalVastVrij004</vt:lpstr>
      <vt:lpstr>Data_SchaalVastVrij005</vt:lpstr>
      <vt:lpstr>Data_SchaalVastVrij006</vt:lpstr>
      <vt:lpstr>Data_SchaalVastVrij007</vt:lpstr>
      <vt:lpstr>Data_SchaalVastVrij008</vt:lpstr>
      <vt:lpstr>Data_SchaalVastVrij009</vt:lpstr>
      <vt:lpstr>Data_SchaalVastVrij010</vt:lpstr>
      <vt:lpstr>Data_SchaalVastVrij011</vt:lpstr>
      <vt:lpstr>Data_SchaalVastVrij012</vt:lpstr>
      <vt:lpstr>Data_SchaalVastVrij013</vt:lpstr>
      <vt:lpstr>Data_SchaalVastVrij014</vt:lpstr>
      <vt:lpstr>Data_SchaalVastVrij015</vt:lpstr>
      <vt:lpstr>Data_SchaalVastVrij016</vt:lpstr>
      <vt:lpstr>Data_SchaalVastVrij017</vt:lpstr>
      <vt:lpstr>Data_SchaalVastVrij018</vt:lpstr>
      <vt:lpstr>Data_SchaalVastVrij019</vt:lpstr>
      <vt:lpstr>Data_SchaalVastVrij020</vt:lpstr>
      <vt:lpstr>Data_SchaalVastVrij021</vt:lpstr>
      <vt:lpstr>Data_SchaalVastVrij022</vt:lpstr>
      <vt:lpstr>Data_SchaalVastVrij023</vt:lpstr>
      <vt:lpstr>Data_SchaalVastVrij024</vt:lpstr>
      <vt:lpstr>Data_SchaalVastVrij025</vt:lpstr>
      <vt:lpstr>Data_SchaalVastVrij026</vt:lpstr>
      <vt:lpstr>Data_SchaalVastVrij027</vt:lpstr>
      <vt:lpstr>Data_SchaalVastVrij028</vt:lpstr>
      <vt:lpstr>Data_SchaalVastVrij029</vt:lpstr>
      <vt:lpstr>Data_SchaalVastVrij030</vt:lpstr>
      <vt:lpstr>Data_SchaalVastVrij031</vt:lpstr>
      <vt:lpstr>Data_SchaalVastVrij032</vt:lpstr>
      <vt:lpstr>Data_SchaalVastVrij033</vt:lpstr>
      <vt:lpstr>Data_SchaalVastVrij034</vt:lpstr>
      <vt:lpstr>Data_SchaalVastVrij035</vt:lpstr>
      <vt:lpstr>Data_SchaalVastVrij036</vt:lpstr>
      <vt:lpstr>Data_SchaalVastVrij037</vt:lpstr>
      <vt:lpstr>Data_SchaalVastVrij038</vt:lpstr>
      <vt:lpstr>Data_SchaalVastVrij039</vt:lpstr>
      <vt:lpstr>Data_SchaalVastVrij040</vt:lpstr>
      <vt:lpstr>Data_SchaalVastVrij041</vt:lpstr>
      <vt:lpstr>Data_SchaalVastVrij042</vt:lpstr>
      <vt:lpstr>Data_SchaalVastVrij043</vt:lpstr>
      <vt:lpstr>Data_SchaalVastVrij044</vt:lpstr>
      <vt:lpstr>Data_SchaalVastVrij045</vt:lpstr>
      <vt:lpstr>Data_SchaalVastVrij046</vt:lpstr>
      <vt:lpstr>Data_SchaalVastVrij047</vt:lpstr>
      <vt:lpstr>Data_SchaalVastVrij048</vt:lpstr>
      <vt:lpstr>Data_SchaalVastVrij049</vt:lpstr>
      <vt:lpstr>Data_SchaalVastVrij050</vt:lpstr>
      <vt:lpstr>Data_SchaalVastVrij051</vt:lpstr>
      <vt:lpstr>Data_SchaalVastVrij052</vt:lpstr>
      <vt:lpstr>Data_SchaalVastVrij053</vt:lpstr>
      <vt:lpstr>Data_SchaalVastVrij054</vt:lpstr>
      <vt:lpstr>Data_SchaalVastVrij055</vt:lpstr>
      <vt:lpstr>Data_SchaalVastVrij056</vt:lpstr>
      <vt:lpstr>Data_SchaalVastVrij057</vt:lpstr>
      <vt:lpstr>Data_SchaalVastVrij058</vt:lpstr>
      <vt:lpstr>Data_SchaalVastVrij059</vt:lpstr>
      <vt:lpstr>Data_SchaalVastVrij060</vt:lpstr>
      <vt:lpstr>Data_SchaalVastVrij061</vt:lpstr>
      <vt:lpstr>Data_SchaalVastVrij062</vt:lpstr>
      <vt:lpstr>Data_SchaalVastVrij063</vt:lpstr>
      <vt:lpstr>Data_SchaalVastVrij064</vt:lpstr>
      <vt:lpstr>Data_SchaalVastVrij065</vt:lpstr>
      <vt:lpstr>Data_SchaalVastVrij066</vt:lpstr>
      <vt:lpstr>Data_SchaalVastVrij067</vt:lpstr>
      <vt:lpstr>Data_SchaalVastVrij068</vt:lpstr>
      <vt:lpstr>Data_SchaalVastVrij069</vt:lpstr>
      <vt:lpstr>Data_SchaalVastVrij070</vt:lpstr>
      <vt:lpstr>Data_SchaalVastVrij071</vt:lpstr>
      <vt:lpstr>Data_SchaalVastVrij072</vt:lpstr>
      <vt:lpstr>Data_SchaalVastVrij073</vt:lpstr>
      <vt:lpstr>Data_SchaalVastVrij074</vt:lpstr>
      <vt:lpstr>Data_SchaalVastVrij075</vt:lpstr>
      <vt:lpstr>Data_SchaalVastVrij076</vt:lpstr>
      <vt:lpstr>Data_SchaalVastVrij077</vt:lpstr>
      <vt:lpstr>Data_SchaalVastVrij078</vt:lpstr>
      <vt:lpstr>Data_SchaalVastVrij079</vt:lpstr>
      <vt:lpstr>Data_SchaalVastVrij080</vt:lpstr>
      <vt:lpstr>Data_SchaalVastVrij081</vt:lpstr>
      <vt:lpstr>Data_SchaalVastVrij082</vt:lpstr>
      <vt:lpstr>Data_SchaalVastVrij083</vt:lpstr>
      <vt:lpstr>Data_SchaalVastVrij084</vt:lpstr>
      <vt:lpstr>Data_SchaalVastVrij085</vt:lpstr>
      <vt:lpstr>Data_SchaalVastVrij086</vt:lpstr>
      <vt:lpstr>Data_SchaalVastVrij087</vt:lpstr>
      <vt:lpstr>Data_SchaalVastVrij088</vt:lpstr>
      <vt:lpstr>Data_SchaalVastVrij089</vt:lpstr>
      <vt:lpstr>Data_SchaalVastVrij090</vt:lpstr>
      <vt:lpstr>Data_SchaalVastVrij091</vt:lpstr>
      <vt:lpstr>Data_SchaalVastVrij092</vt:lpstr>
      <vt:lpstr>Data_SchaalVastVrij093</vt:lpstr>
      <vt:lpstr>Data_SchaalVastVrij094</vt:lpstr>
      <vt:lpstr>Data_SchaalVastVrij095</vt:lpstr>
      <vt:lpstr>Data_SchaalVastVrij096</vt:lpstr>
      <vt:lpstr>Data_SchaalVastVrij097</vt:lpstr>
      <vt:lpstr>Data_SchaalVastVrij098</vt:lpstr>
      <vt:lpstr>Data_SchaalVastVrij099</vt:lpstr>
      <vt:lpstr>Data_SchaalVastVrij100</vt:lpstr>
      <vt:lpstr>Data_SchaalVastVrij101</vt:lpstr>
      <vt:lpstr>Data_SchaalVastVrij102</vt:lpstr>
      <vt:lpstr>Data_SchaalVastVrij103</vt:lpstr>
      <vt:lpstr>Data_SchaalVastVrij104</vt:lpstr>
      <vt:lpstr>Data_SchaalVastVrij105</vt:lpstr>
      <vt:lpstr>Data_SchaalVastVrij106</vt:lpstr>
      <vt:lpstr>Data_SchaalVastVrij107</vt:lpstr>
      <vt:lpstr>Data_SchaalVastVrij108</vt:lpstr>
      <vt:lpstr>Data_SchaalVastVrij109</vt:lpstr>
      <vt:lpstr>Data_SchaalVastVrij110</vt:lpstr>
      <vt:lpstr>Data_SchaalVastVrij111</vt:lpstr>
      <vt:lpstr>Data_SchaalVastVrij112</vt:lpstr>
      <vt:lpstr>Data_SchaalVastVrij113</vt:lpstr>
      <vt:lpstr>Data_SchaalVastVrij114</vt:lpstr>
      <vt:lpstr>Data_SchaalVastVrij115</vt:lpstr>
      <vt:lpstr>Data_SchaalVastVrij116</vt:lpstr>
      <vt:lpstr>Data_SchaalVastVrij117</vt:lpstr>
      <vt:lpstr>Data_SchaalVastVrij118</vt:lpstr>
      <vt:lpstr>Data_SchaalVastVrij119</vt:lpstr>
      <vt:lpstr>Data_SchaalVastVrij120</vt:lpstr>
      <vt:lpstr>Data_SchaalVastVrij121</vt:lpstr>
      <vt:lpstr>Data_SchaalVastVrij122</vt:lpstr>
      <vt:lpstr>Data_SchaalVastVrij123</vt:lpstr>
      <vt:lpstr>Data_SchaalVastVrij124</vt:lpstr>
      <vt:lpstr>Data_SchaalVastVrij125</vt:lpstr>
      <vt:lpstr>Data_SchaalVastVrij126</vt:lpstr>
      <vt:lpstr>Data_SchaalVastVrij127</vt:lpstr>
      <vt:lpstr>Data_SchaalVastVrij128</vt:lpstr>
      <vt:lpstr>Data_SchaalVastVrij129</vt:lpstr>
      <vt:lpstr>Data_SchaalVastVrij130</vt:lpstr>
      <vt:lpstr>Data_SchaalVastVrij131</vt:lpstr>
      <vt:lpstr>Data_SchaalVastVrij132</vt:lpstr>
      <vt:lpstr>Data_SchaalVastVrij133</vt:lpstr>
      <vt:lpstr>Data_SchaalVastVrij134</vt:lpstr>
      <vt:lpstr>Data_SchaalVastVrij135</vt:lpstr>
      <vt:lpstr>Data_SchaalVastVrij136</vt:lpstr>
      <vt:lpstr>Data_SchaalVastVrij137</vt:lpstr>
      <vt:lpstr>Data_SchaalVastVrij138</vt:lpstr>
      <vt:lpstr>Data_SchaalVastVrij139</vt:lpstr>
      <vt:lpstr>Data_SchaalVastVrij140</vt:lpstr>
      <vt:lpstr>Data_SchaalVastVrij141</vt:lpstr>
      <vt:lpstr>Data_SchaalVastVrij142</vt:lpstr>
      <vt:lpstr>Data_SchaalVastVrij143</vt:lpstr>
      <vt:lpstr>Data_SchaalVastVrij144</vt:lpstr>
      <vt:lpstr>Data_SchaalVastVrij145</vt:lpstr>
      <vt:lpstr>Data_SchaalVastVrij146</vt:lpstr>
      <vt:lpstr>Data_SchaalVastVrij147</vt:lpstr>
      <vt:lpstr>Data_SchaalVastVrij148</vt:lpstr>
      <vt:lpstr>Data_SchaalVastVrij149</vt:lpstr>
      <vt:lpstr>Data_SchaalVastVrij150</vt:lpstr>
      <vt:lpstr>Data_SchaalVastVrij151</vt:lpstr>
      <vt:lpstr>Data_SchaalVastVrij152</vt:lpstr>
      <vt:lpstr>Data_SchaalVastVrij153</vt:lpstr>
      <vt:lpstr>Data_SchaalVastVrij154</vt:lpstr>
      <vt:lpstr>Data_SchaalVastVrij155</vt:lpstr>
      <vt:lpstr>Data_SchaalVastVrij156</vt:lpstr>
      <vt:lpstr>Data_SchaalVastVrij157</vt:lpstr>
      <vt:lpstr>Data_SchaalVastVrij158</vt:lpstr>
      <vt:lpstr>Data_SchaalVastVrij159</vt:lpstr>
      <vt:lpstr>Data_SchaalVastVrij160</vt:lpstr>
      <vt:lpstr>Data_SchaalVastVrij161</vt:lpstr>
      <vt:lpstr>Data_SchaalVastVrij162</vt:lpstr>
      <vt:lpstr>Data_SchaalVastVrij163</vt:lpstr>
      <vt:lpstr>Data_SchaalVastVrij164</vt:lpstr>
      <vt:lpstr>Data_SchaalVastVrij165</vt:lpstr>
      <vt:lpstr>Data_SchaalVastVrij166</vt:lpstr>
      <vt:lpstr>Data_SchaalVastVrij167</vt:lpstr>
      <vt:lpstr>Data_SchaalVastVrij168</vt:lpstr>
      <vt:lpstr>Data_SchaalVastVrij169</vt:lpstr>
      <vt:lpstr>Data_SchaalVastVrij170</vt:lpstr>
      <vt:lpstr>Data_SchaalVastVrij171</vt:lpstr>
      <vt:lpstr>Data_SchaalVastVrij172</vt:lpstr>
      <vt:lpstr>Data_SchaalVastVrij173</vt:lpstr>
      <vt:lpstr>Data_SchaalVastVrij174</vt:lpstr>
      <vt:lpstr>Data_SchaalVastVrij175</vt:lpstr>
      <vt:lpstr>Data_SchaalVastVrij176</vt:lpstr>
      <vt:lpstr>Data_SchaalVastVrij177</vt:lpstr>
      <vt:lpstr>Data_SchaalVastVrij178</vt:lpstr>
      <vt:lpstr>Data_SchaalVastVrij179</vt:lpstr>
      <vt:lpstr>Data_SchaalVastVrij180</vt:lpstr>
      <vt:lpstr>Data_SchaalVastVrij181</vt:lpstr>
      <vt:lpstr>Data_SchaalVastVrij182</vt:lpstr>
      <vt:lpstr>Data_SchaalVastVrij183</vt:lpstr>
      <vt:lpstr>Data_SchaalVastVrij184</vt:lpstr>
      <vt:lpstr>Data_SchaalVastVrij185</vt:lpstr>
      <vt:lpstr>Data_SchaalVastVrij186</vt:lpstr>
      <vt:lpstr>Data_SchaalVastVrij187</vt:lpstr>
      <vt:lpstr>Data_SchaalVastVrij188</vt:lpstr>
      <vt:lpstr>Data_SchaalVastVrij189</vt:lpstr>
      <vt:lpstr>Data_SchaalVastVrij190</vt:lpstr>
      <vt:lpstr>Data_SchaalVastVrij191</vt:lpstr>
      <vt:lpstr>Data_SchaalVastVrij192</vt:lpstr>
      <vt:lpstr>Data_SchaalVastVrij193</vt:lpstr>
      <vt:lpstr>Data_SchaalVastVrij194</vt:lpstr>
      <vt:lpstr>Data_SchaalVastVrij195</vt:lpstr>
      <vt:lpstr>Data_SchaalVastVrij196</vt:lpstr>
      <vt:lpstr>Data_SchaalVastVrij197</vt:lpstr>
      <vt:lpstr>Data_SchaalVastVrij198</vt:lpstr>
      <vt:lpstr>Data_SchaalVastVrij199</vt:lpstr>
      <vt:lpstr>Data_SchaalVastVrij200</vt:lpstr>
      <vt:lpstr>Data_SchaalVastVrij201</vt:lpstr>
      <vt:lpstr>Data_SchaalVastVrij202</vt:lpstr>
      <vt:lpstr>Data_SchaalVastVrij203</vt:lpstr>
      <vt:lpstr>Data_SchaalVastVrij204</vt:lpstr>
      <vt:lpstr>Data_SchaalVastVrij205</vt:lpstr>
      <vt:lpstr>Data_SchaalVastVrij206</vt:lpstr>
      <vt:lpstr>Data_SchaalVastVrij207</vt:lpstr>
      <vt:lpstr>Data_SchaalVastVrij208</vt:lpstr>
      <vt:lpstr>Data_SchaalVastVrij209</vt:lpstr>
      <vt:lpstr>Data_SchaalVastVrij210</vt:lpstr>
      <vt:lpstr>Data_SchaalVastVrij211</vt:lpstr>
      <vt:lpstr>Data_SchaalVastVrij212</vt:lpstr>
      <vt:lpstr>Data_SchaalVastVrij213</vt:lpstr>
      <vt:lpstr>Data_SchaalVastVrij214</vt:lpstr>
      <vt:lpstr>Data_SchaalVastVrij215</vt:lpstr>
      <vt:lpstr>Data_SchaalVastVrij216</vt:lpstr>
      <vt:lpstr>Data_SchaalVastVrij217</vt:lpstr>
      <vt:lpstr>Data_SchaalVastVrij218</vt:lpstr>
      <vt:lpstr>Data_SchaalVastVrij219</vt:lpstr>
      <vt:lpstr>Data_SchaalVastVrij220</vt:lpstr>
      <vt:lpstr>Data_SchaalVastVrij221</vt:lpstr>
      <vt:lpstr>Data_SchaalVastVrij222</vt:lpstr>
      <vt:lpstr>Data_SchaalVastVrij223</vt:lpstr>
      <vt:lpstr>Data_SchaalVastVrij224</vt:lpstr>
      <vt:lpstr>Data_SchaalVastVrij225</vt:lpstr>
      <vt:lpstr>Data_SchaalVastVrij226</vt:lpstr>
      <vt:lpstr>Data_SchaalVastVrij227</vt:lpstr>
      <vt:lpstr>Data_SchaalVastVrij228</vt:lpstr>
      <vt:lpstr>Data_SchaalVastVrij229</vt:lpstr>
      <vt:lpstr>Data_SchaalVastVrij230</vt:lpstr>
      <vt:lpstr>Data_SchaalVastVrij231</vt:lpstr>
      <vt:lpstr>Data_SchaalVastVrij232</vt:lpstr>
      <vt:lpstr>Data_SchaalVastVrij233</vt:lpstr>
      <vt:lpstr>Data_SchaalVastVrij234</vt:lpstr>
      <vt:lpstr>Data_SchaalVastVrij235</vt:lpstr>
      <vt:lpstr>Data_SchaalVastVrij236</vt:lpstr>
      <vt:lpstr>Data_SchaalVastVrij237</vt:lpstr>
      <vt:lpstr>Data_SchaalVastVrij238</vt:lpstr>
      <vt:lpstr>Data_SchaalVastVrij239</vt:lpstr>
      <vt:lpstr>Data_SchaalVastVrij240</vt:lpstr>
      <vt:lpstr>Data_SchaalVastVrij241</vt:lpstr>
      <vt:lpstr>Data_SchaalVastVrij242</vt:lpstr>
      <vt:lpstr>Data_SchaalVastVrij243</vt:lpstr>
      <vt:lpstr>Data_SchaalVastVrij244</vt:lpstr>
      <vt:lpstr>Data_SchaalVastVrij245</vt:lpstr>
      <vt:lpstr>Data_SchaalVastVrij246</vt:lpstr>
      <vt:lpstr>Data_SchaalVastVrij247</vt:lpstr>
      <vt:lpstr>Data_SchaalVastVrij248</vt:lpstr>
      <vt:lpstr>Data_SchaalVastVrij249</vt:lpstr>
      <vt:lpstr>Data_SchaalVastVrij250</vt:lpstr>
      <vt:lpstr>Data_SchaalVastVrij251</vt:lpstr>
      <vt:lpstr>Data_SchaalVastVrij252</vt:lpstr>
      <vt:lpstr>Data_SchaalVastVrij253</vt:lpstr>
      <vt:lpstr>Data_SchaalVastVrij254</vt:lpstr>
      <vt:lpstr>Data_SchaalVastVrij255</vt:lpstr>
      <vt:lpstr>Data_SchaalVastVrij256</vt:lpstr>
      <vt:lpstr>Data_SchaalVastVrij257</vt:lpstr>
      <vt:lpstr>Data_SchaalVastVrij258</vt:lpstr>
      <vt:lpstr>Data_SchaalVastVrij259</vt:lpstr>
      <vt:lpstr>Data_SchaalVastVrij260</vt:lpstr>
      <vt:lpstr>Data_SchaalVastVrij261</vt:lpstr>
      <vt:lpstr>Data_SchaalVastVrij262</vt:lpstr>
      <vt:lpstr>Data_SchaalVastVrij263</vt:lpstr>
      <vt:lpstr>Data_SchaalVastVrij264</vt:lpstr>
      <vt:lpstr>Data_SchaalVastVrij265</vt:lpstr>
      <vt:lpstr>Data_SchaalVastVrij266</vt:lpstr>
      <vt:lpstr>Data_SchaalVastVrij267</vt:lpstr>
      <vt:lpstr>Data_SchaalVastVrij268</vt:lpstr>
      <vt:lpstr>Data_SchaalVastVrij269</vt:lpstr>
      <vt:lpstr>Data_SchaalVastVrij270</vt:lpstr>
      <vt:lpstr>Data_SchaalVastVrij271</vt:lpstr>
      <vt:lpstr>Data_SchaalVastVrij272</vt:lpstr>
      <vt:lpstr>Data_SchaalVastVrij273</vt:lpstr>
      <vt:lpstr>Data_SchaalVastVrij274</vt:lpstr>
      <vt:lpstr>Data_SchaalVastVrij275</vt:lpstr>
      <vt:lpstr>Data_SchaalVastVrij276</vt:lpstr>
      <vt:lpstr>Data_SchaalVastVrij277</vt:lpstr>
      <vt:lpstr>Data_SchaalVastVrij278</vt:lpstr>
      <vt:lpstr>Data_SchaalVastVrij279</vt:lpstr>
      <vt:lpstr>Data_SchaalVastVrij280</vt:lpstr>
      <vt:lpstr>Data_SchaalVastVrij281</vt:lpstr>
      <vt:lpstr>Data_SchaalVastVrij282</vt:lpstr>
      <vt:lpstr>Data_SchaalVastVrij283</vt:lpstr>
      <vt:lpstr>Data_SchaalVastVrij284</vt:lpstr>
      <vt:lpstr>Data_SchaalVastVrij285</vt:lpstr>
      <vt:lpstr>Data_SchaalVastVrij286</vt:lpstr>
      <vt:lpstr>Data_SchaalVastVrij287</vt:lpstr>
      <vt:lpstr>Data_SchaalVastVrij288</vt:lpstr>
      <vt:lpstr>Data_SchaalVastVrij289</vt:lpstr>
      <vt:lpstr>Data_SchaalVastVrij290</vt:lpstr>
      <vt:lpstr>Data_SchaalVastVrij291</vt:lpstr>
      <vt:lpstr>Data_SchaalVastVrij292</vt:lpstr>
      <vt:lpstr>Data_SchaalVastVrij293</vt:lpstr>
      <vt:lpstr>Data_SchaalVastVrij294</vt:lpstr>
      <vt:lpstr>Data_SchaalVastVrij295</vt:lpstr>
      <vt:lpstr>Data_SchaalVastVrij296</vt:lpstr>
      <vt:lpstr>Data_SchaalVastVrij297</vt:lpstr>
      <vt:lpstr>Data_SchaalVastVrij298</vt:lpstr>
      <vt:lpstr>Data_SchaalVastVrij299</vt:lpstr>
      <vt:lpstr>Data_SchaalVastVrij300</vt:lpstr>
      <vt:lpstr>Data_SchaalVastVrij301</vt:lpstr>
      <vt:lpstr>Data_SchaalVastVrij302</vt:lpstr>
      <vt:lpstr>Data_SchaalVastVrij303</vt:lpstr>
      <vt:lpstr>Data_SchaalVastVrij304</vt:lpstr>
      <vt:lpstr>Data_SchaalVastVrij305</vt:lpstr>
      <vt:lpstr>Data_SchaalVastVrij306</vt:lpstr>
      <vt:lpstr>Data_SchaalVastVrij307</vt:lpstr>
      <vt:lpstr>Data_SchaalVastVrij308</vt:lpstr>
      <vt:lpstr>Data_SchaalVastVrij309</vt:lpstr>
      <vt:lpstr>Data_SchaalVastVrij310</vt:lpstr>
      <vt:lpstr>Data_SchaalVastVrij311</vt:lpstr>
      <vt:lpstr>Data_SchaalVastVrij312</vt:lpstr>
      <vt:lpstr>Data_SchaalVastVrij313</vt:lpstr>
      <vt:lpstr>Data_SchaalVastVrij314</vt:lpstr>
      <vt:lpstr>Data_SchaalVastVrij315</vt:lpstr>
      <vt:lpstr>Data_SchaalVastVrij316</vt:lpstr>
      <vt:lpstr>Data_SchaalVastVrij317</vt:lpstr>
      <vt:lpstr>Data_SchaalVastVrij318</vt:lpstr>
      <vt:lpstr>Data_SchaalVastVrij319</vt:lpstr>
      <vt:lpstr>Data_SchaalVastVrij320</vt:lpstr>
      <vt:lpstr>Data_SchaalVastVrij321</vt:lpstr>
      <vt:lpstr>Data_SchaalVastVrij322</vt:lpstr>
      <vt:lpstr>Data_SchaalVastVrij323</vt:lpstr>
      <vt:lpstr>Data_SchaalVastVrij324</vt:lpstr>
      <vt:lpstr>Data_SchaalVastVrij325</vt:lpstr>
      <vt:lpstr>Data_SchaalVastVrij326</vt:lpstr>
      <vt:lpstr>Data_SchaalVastVrij327</vt:lpstr>
      <vt:lpstr>Data_SchaalVastVrij328</vt:lpstr>
      <vt:lpstr>Data_SchaalVastVrij329</vt:lpstr>
      <vt:lpstr>Data_SchaalVastVrij330</vt:lpstr>
      <vt:lpstr>Data_SchaalVastVrij331</vt:lpstr>
      <vt:lpstr>Data_SchaalVastVrij332</vt:lpstr>
      <vt:lpstr>Data_SchaalVastVrij333</vt:lpstr>
      <vt:lpstr>Data_SchaalVastVrij334</vt:lpstr>
      <vt:lpstr>Data_SchaalVastVrij335</vt:lpstr>
      <vt:lpstr>Data_SchaalVastVrij336</vt:lpstr>
      <vt:lpstr>Data_SchaalVastVrij337</vt:lpstr>
      <vt:lpstr>Data_SchaalVastVrij338</vt:lpstr>
      <vt:lpstr>Data_SchaalVastVrij339</vt:lpstr>
      <vt:lpstr>Data_SchaalVastVrij340</vt:lpstr>
      <vt:lpstr>Data_SchaalVastVrij341</vt:lpstr>
      <vt:lpstr>Data_SchaalVastVrij342</vt:lpstr>
      <vt:lpstr>Data_SchaalVastVrij343</vt:lpstr>
      <vt:lpstr>Data_SchaalVastVrij344</vt:lpstr>
      <vt:lpstr>Data_SchaalVastVrij345</vt:lpstr>
      <vt:lpstr>Data_SchaalVastVrij346</vt:lpstr>
      <vt:lpstr>Data_SchaalVastVrij347</vt:lpstr>
      <vt:lpstr>Data_SchaalVastVrij348</vt:lpstr>
      <vt:lpstr>Data_SchaalVastVrij349</vt:lpstr>
      <vt:lpstr>Data_SchaalVastVrij350</vt:lpstr>
      <vt:lpstr>Data_SchaalVastVrij351</vt:lpstr>
      <vt:lpstr>Data_SchaalVastVrij352</vt:lpstr>
      <vt:lpstr>Data_SchaalVastVrij353</vt:lpstr>
      <vt:lpstr>Data_SchaalVastVrij354</vt:lpstr>
      <vt:lpstr>Data_SchaalVastVrij355</vt:lpstr>
      <vt:lpstr>Data_SchaalVastVrij356</vt:lpstr>
      <vt:lpstr>Data_SchaalVastVrij357</vt:lpstr>
      <vt:lpstr>Data_SchaalVastVrij358</vt:lpstr>
      <vt:lpstr>Data_SchaalVastVrij359</vt:lpstr>
      <vt:lpstr>Data_SchaalVastVrij360</vt:lpstr>
      <vt:lpstr>Data_SchaalVastVrij361</vt:lpstr>
      <vt:lpstr>Data_SchaalVastVrij362</vt:lpstr>
      <vt:lpstr>Data_SchaalVastVrij363</vt:lpstr>
      <vt:lpstr>Data_SchaalVastVrij364</vt:lpstr>
      <vt:lpstr>Data_SchaalVastVrij365</vt:lpstr>
      <vt:lpstr>Data_SchaalVastVrij366</vt:lpstr>
      <vt:lpstr>Data_SchaalVastVrij367</vt:lpstr>
      <vt:lpstr>Data_SchaalVastVrij368</vt:lpstr>
      <vt:lpstr>Data_SchaalVastVrij369</vt:lpstr>
      <vt:lpstr>Data_SchaalVastVrij370</vt:lpstr>
      <vt:lpstr>Data_SchaalVastVrij371</vt:lpstr>
      <vt:lpstr>Data_SchaalVastVrij372</vt:lpstr>
      <vt:lpstr>Data_SchaalVastVrij373</vt:lpstr>
      <vt:lpstr>Data_SchaalVastVrij374</vt:lpstr>
      <vt:lpstr>Data_SchaalVastVrij375</vt:lpstr>
      <vt:lpstr>Data_SchaalVastVrij376</vt:lpstr>
      <vt:lpstr>Data_SchaalVastVrij377</vt:lpstr>
      <vt:lpstr>Data_SchaalVastVrij378</vt:lpstr>
      <vt:lpstr>Data_SchaalVastVrij379</vt:lpstr>
      <vt:lpstr>Data_SchaalVastVrij380</vt:lpstr>
      <vt:lpstr>Data_SchaalVastVrij381</vt:lpstr>
      <vt:lpstr>Data_SchaalVastVrij382</vt:lpstr>
      <vt:lpstr>Data_SchaalVastVrij383</vt:lpstr>
      <vt:lpstr>Data_SchaalVastVrij384</vt:lpstr>
      <vt:lpstr>Data_SchaalVastVrij385</vt:lpstr>
      <vt:lpstr>Data_SchaalVastVrij386</vt:lpstr>
      <vt:lpstr>Data_SchaalVastVrij387</vt:lpstr>
      <vt:lpstr>Data_SchaalVastVrij388</vt:lpstr>
      <vt:lpstr>Data_SchaalVastVrij389</vt:lpstr>
      <vt:lpstr>Data_SchaalVastVrij390</vt:lpstr>
      <vt:lpstr>Data_SchaalVastVrij391</vt:lpstr>
      <vt:lpstr>Data_SchaalVastVrij392</vt:lpstr>
      <vt:lpstr>Data_SchaalVastVrij393</vt:lpstr>
      <vt:lpstr>Data_SchaalVastVrij394</vt:lpstr>
      <vt:lpstr>Data_SchaalVastVrij395</vt:lpstr>
      <vt:lpstr>Data_SchaalVastVrij396</vt:lpstr>
      <vt:lpstr>Data_SchaalVastVrij397</vt:lpstr>
      <vt:lpstr>Data_SchaalVastVrij398</vt:lpstr>
      <vt:lpstr>Data_SchaalVastVrij399</vt:lpstr>
      <vt:lpstr>Data_SchaalVastVrij400</vt:lpstr>
      <vt:lpstr>Data_SchaalVastVrij401</vt:lpstr>
      <vt:lpstr>Data_SchaalVastVrij402</vt:lpstr>
      <vt:lpstr>Data_SchaalVastVrij403</vt:lpstr>
      <vt:lpstr>Data_SchaalVastVrij404</vt:lpstr>
      <vt:lpstr>Data_SchaalVastVrij405</vt:lpstr>
      <vt:lpstr>Data_SchaalVastVrij406</vt:lpstr>
      <vt:lpstr>Data_SchaalVastVrij407</vt:lpstr>
      <vt:lpstr>Data_SchaalVastVrij408</vt:lpstr>
      <vt:lpstr>Data_SchaalVastVrij409</vt:lpstr>
      <vt:lpstr>Data_SchaalVastVrij410</vt:lpstr>
      <vt:lpstr>Data_SchaalVastVrij411</vt:lpstr>
      <vt:lpstr>Data_SchaalVastVrij412</vt:lpstr>
      <vt:lpstr>Data_SchaalVastVrij413</vt:lpstr>
      <vt:lpstr>Data_SchaalVastVrij414</vt:lpstr>
      <vt:lpstr>Data_SchaalVastVrij415</vt:lpstr>
      <vt:lpstr>Data_SchaalVastVrij416</vt:lpstr>
      <vt:lpstr>Data_SchaalVastVrij417</vt:lpstr>
      <vt:lpstr>Data_SchaalVastVrij418</vt:lpstr>
      <vt:lpstr>Data_SchaalVastVrij419</vt:lpstr>
      <vt:lpstr>Data_SchaalVastVrij420</vt:lpstr>
      <vt:lpstr>Data_SchaalVastVrij421</vt:lpstr>
      <vt:lpstr>Data_SchaalVastVrij422</vt:lpstr>
      <vt:lpstr>Data_SchaalVastVrij423</vt:lpstr>
      <vt:lpstr>Data_SchaalVastVrij424</vt:lpstr>
      <vt:lpstr>Data_SchaalVastVrij425</vt:lpstr>
      <vt:lpstr>Data_SchaalVastVrij426</vt:lpstr>
      <vt:lpstr>Data_SchaalVastVrij427</vt:lpstr>
      <vt:lpstr>Data_SchaalVastVrij428</vt:lpstr>
      <vt:lpstr>Data_SchaalVastVrij429</vt:lpstr>
      <vt:lpstr>Data_SchaalVastVrij430</vt:lpstr>
      <vt:lpstr>Data_SchaalVastVrij431</vt:lpstr>
      <vt:lpstr>Data_SchaalVastVrij432</vt:lpstr>
      <vt:lpstr>Data_SchaalVastVrij433</vt:lpstr>
      <vt:lpstr>Data_SchaalVastVrij434</vt:lpstr>
      <vt:lpstr>Data_SchaalVastVrij435</vt:lpstr>
      <vt:lpstr>Data_SchaalVastVrij436</vt:lpstr>
      <vt:lpstr>Data_SchaalVastVrij437</vt:lpstr>
      <vt:lpstr>Data_SchaalVastVrij438</vt:lpstr>
      <vt:lpstr>Data_SchaalVastVrij439</vt:lpstr>
      <vt:lpstr>Data_SchaalVastVrij440</vt:lpstr>
      <vt:lpstr>Data_SchaalVastVrij441</vt:lpstr>
      <vt:lpstr>Data_SchaalVastVrij442</vt:lpstr>
      <vt:lpstr>Data_SchaalVastVrij443</vt:lpstr>
      <vt:lpstr>Data_SchaalVastVrij444</vt:lpstr>
      <vt:lpstr>Data_SchaalVastVrij445</vt:lpstr>
      <vt:lpstr>Data_SchaalVastVrij446</vt:lpstr>
      <vt:lpstr>Data_SchaalVastVrij447</vt:lpstr>
      <vt:lpstr>Data_SchaalVastVrij448</vt:lpstr>
      <vt:lpstr>Data_SchaalVastVrij449</vt:lpstr>
      <vt:lpstr>Data_SchaalVastVrij450</vt:lpstr>
      <vt:lpstr>Data_SchaalVastVrij451</vt:lpstr>
      <vt:lpstr>Data_SchaalVastVrij452</vt:lpstr>
      <vt:lpstr>Data_SchaalVastVrij453</vt:lpstr>
      <vt:lpstr>Data_SchaalVastVrij454</vt:lpstr>
      <vt:lpstr>Data_SchaalVastVrij455</vt:lpstr>
      <vt:lpstr>Data_SchaalVastVrij456</vt:lpstr>
      <vt:lpstr>Data_SchaalVastVrij457</vt:lpstr>
      <vt:lpstr>Data_SchaalVastVrij458</vt:lpstr>
      <vt:lpstr>Data_SchaalVastVrij459</vt:lpstr>
      <vt:lpstr>Data_SchaalVastVrij460</vt:lpstr>
      <vt:lpstr>Data_SchaalVastVrij461</vt:lpstr>
      <vt:lpstr>Data_SchaalVastVrij462</vt:lpstr>
      <vt:lpstr>Data_SchaalVastVrij463</vt:lpstr>
      <vt:lpstr>Data_SchaalVastVrij464</vt:lpstr>
      <vt:lpstr>Data_SchaalVastVrij465</vt:lpstr>
      <vt:lpstr>Data_SchaalVastVrij466</vt:lpstr>
      <vt:lpstr>Data_SchaalVastVrij467</vt:lpstr>
      <vt:lpstr>Data_SchaalVastVrij468</vt:lpstr>
      <vt:lpstr>Data_SchaalVastVrij469</vt:lpstr>
      <vt:lpstr>Data_SchaalVastVrij470</vt:lpstr>
      <vt:lpstr>Data_SchaalVastVrij471</vt:lpstr>
      <vt:lpstr>Data_SchaalVastVrij472</vt:lpstr>
      <vt:lpstr>Data_SchaalVastVrij473</vt:lpstr>
      <vt:lpstr>Data_SchaalVastVrij474</vt:lpstr>
      <vt:lpstr>Data_SchaalVastVrij475</vt:lpstr>
      <vt:lpstr>Data_SchaalVastVrij476</vt:lpstr>
      <vt:lpstr>Data_SchaalVastVrij477</vt:lpstr>
      <vt:lpstr>Data_SchaalVastVrij478</vt:lpstr>
      <vt:lpstr>Data_SchaalVastVrij479</vt:lpstr>
      <vt:lpstr>Data_SchaalVastVrij480</vt:lpstr>
      <vt:lpstr>Data_SchaalVastVrij481</vt:lpstr>
      <vt:lpstr>Data_SchaalVastVrij482</vt:lpstr>
      <vt:lpstr>Data_SchaalVastVrij483</vt:lpstr>
      <vt:lpstr>Data_SchaalVastVrij484</vt:lpstr>
      <vt:lpstr>Data_SchaalVastVrij485</vt:lpstr>
      <vt:lpstr>Data_SchaalVastVrij486</vt:lpstr>
      <vt:lpstr>Data_SchaalVastVrij487</vt:lpstr>
      <vt:lpstr>Data_SchaalVastVrij488</vt:lpstr>
      <vt:lpstr>Data_SchaalVastVrij489</vt:lpstr>
      <vt:lpstr>Data_SchaalVastVrij490</vt:lpstr>
      <vt:lpstr>Data_SchaalVastVrij491</vt:lpstr>
      <vt:lpstr>Data_SchaalVastVrij492</vt:lpstr>
      <vt:lpstr>Data_SchaalVastVrij493</vt:lpstr>
      <vt:lpstr>Data_SchaalVastVrij494</vt:lpstr>
      <vt:lpstr>Data_SchaalVastVrij495</vt:lpstr>
      <vt:lpstr>Data_SchaalVastVrij496</vt:lpstr>
      <vt:lpstr>Data_SchaalVastVrij497</vt:lpstr>
      <vt:lpstr>Data_SchaalVastVrij498</vt:lpstr>
      <vt:lpstr>Data_SchaalVastVrij499</vt:lpstr>
      <vt:lpstr>Data_SchaalVastVrij500</vt:lpstr>
      <vt:lpstr>Data_ToelageDirecteurNatVerloop001</vt:lpstr>
      <vt:lpstr>Data_ToelageDirecteurNatVerloop002</vt:lpstr>
      <vt:lpstr>Data_ToelageDirecteurNatVerloop003</vt:lpstr>
      <vt:lpstr>Data_ToelageDirecteurNatVerloop004</vt:lpstr>
      <vt:lpstr>Data_ToelageDirecteurNatVerloop005</vt:lpstr>
      <vt:lpstr>Data_ToelageDirecteurNatVerloop006</vt:lpstr>
      <vt:lpstr>Data_ToelageDirecteurNatVerloop007</vt:lpstr>
      <vt:lpstr>Data_ToelageDirecteurNatVerloop008</vt:lpstr>
      <vt:lpstr>Data_ToelageDirecteurNatVerloop009</vt:lpstr>
      <vt:lpstr>Data_ToelageDirecteurNatVerloop010</vt:lpstr>
      <vt:lpstr>Data_ToelageDirecteurNatVerloop011</vt:lpstr>
      <vt:lpstr>Data_ToelageDirecteurNatVerloop012</vt:lpstr>
      <vt:lpstr>Data_ToelageDirecteurNatVerloop013</vt:lpstr>
      <vt:lpstr>Data_ToelageDirecteurNatVerloop014</vt:lpstr>
      <vt:lpstr>Data_ToelageDirecteurNatVerloop015</vt:lpstr>
      <vt:lpstr>Data_ToelageDirecteurNatVerloop016</vt:lpstr>
      <vt:lpstr>Data_ToelageDirecteurNatVerloop017</vt:lpstr>
      <vt:lpstr>Data_ToelageDirecteurNatVerloop018</vt:lpstr>
      <vt:lpstr>Data_ToelageDirecteurNatVerloop019</vt:lpstr>
      <vt:lpstr>Data_ToelageDirecteurNatVerloop020</vt:lpstr>
      <vt:lpstr>Data_ToelageDirecteurNatVerloop021</vt:lpstr>
      <vt:lpstr>Data_ToelageDirecteurNatVerloop022</vt:lpstr>
      <vt:lpstr>Data_ToelageDirecteurNatVerloop023</vt:lpstr>
      <vt:lpstr>Data_ToelageDirecteurNatVerloop024</vt:lpstr>
      <vt:lpstr>Data_ToelageDirecteurNatVerloop025</vt:lpstr>
      <vt:lpstr>Data_ToelageDirecteurNatVerloop026</vt:lpstr>
      <vt:lpstr>Data_ToelageDirecteurNatVerloop027</vt:lpstr>
      <vt:lpstr>Data_ToelageDirecteurNatVerloop028</vt:lpstr>
      <vt:lpstr>Data_ToelageDirecteurNatVerloop029</vt:lpstr>
      <vt:lpstr>Data_ToelageDirecteurNatVerloop030</vt:lpstr>
      <vt:lpstr>Data_ToelageDirecteurNatVerloop031</vt:lpstr>
      <vt:lpstr>Data_ToelageDirecteurNatVerloop032</vt:lpstr>
      <vt:lpstr>Data_ToelageDirecteurNatVerloop033</vt:lpstr>
      <vt:lpstr>Data_ToelageDirecteurNatVerloop034</vt:lpstr>
      <vt:lpstr>Data_ToelageDirecteurNatVerloop035</vt:lpstr>
      <vt:lpstr>Data_ToelageDirecteurNatVerloop036</vt:lpstr>
      <vt:lpstr>Data_ToelageDirecteurNatVerloop037</vt:lpstr>
      <vt:lpstr>Data_ToelageDirecteurNatVerloop038</vt:lpstr>
      <vt:lpstr>Data_ToelageDirecteurNatVerloop039</vt:lpstr>
      <vt:lpstr>Data_ToelageDirecteurNatVerloop040</vt:lpstr>
      <vt:lpstr>Data_ToelageDirecteurNatVerloop041</vt:lpstr>
      <vt:lpstr>Data_ToelageDirecteurNatVerloop042</vt:lpstr>
      <vt:lpstr>Data_ToelageDirecteurNatVerloop043</vt:lpstr>
      <vt:lpstr>Data_ToelageDirecteurNatVerloop044</vt:lpstr>
      <vt:lpstr>Data_ToelageDirecteurNatVerloop045</vt:lpstr>
      <vt:lpstr>Data_ToelageDirecteurNatVerloop046</vt:lpstr>
      <vt:lpstr>Data_ToelageDirecteurNatVerloop047</vt:lpstr>
      <vt:lpstr>Data_ToelageDirecteurNatVerloop048</vt:lpstr>
      <vt:lpstr>Data_ToelageDirecteurNatVerloop049</vt:lpstr>
      <vt:lpstr>Data_ToelageDirecteurNatVerloop050</vt:lpstr>
      <vt:lpstr>Data_ToelageDirecteurNatVerloop051</vt:lpstr>
      <vt:lpstr>Data_ToelageDirecteurNatVerloop052</vt:lpstr>
      <vt:lpstr>Data_ToelageDirecteurNatVerloop053</vt:lpstr>
      <vt:lpstr>Data_ToelageDirecteurNatVerloop054</vt:lpstr>
      <vt:lpstr>Data_ToelageDirecteurNatVerloop055</vt:lpstr>
      <vt:lpstr>Data_ToelageDirecteurNatVerloop056</vt:lpstr>
      <vt:lpstr>Data_ToelageDirecteurNatVerloop057</vt:lpstr>
      <vt:lpstr>Data_ToelageDirecteurNatVerloop058</vt:lpstr>
      <vt:lpstr>Data_ToelageDirecteurNatVerloop059</vt:lpstr>
      <vt:lpstr>Data_ToelageDirecteurNatVerloop060</vt:lpstr>
      <vt:lpstr>Data_ToelageDirecteurNatVerloop061</vt:lpstr>
      <vt:lpstr>Data_ToelageDirecteurNatVerloop062</vt:lpstr>
      <vt:lpstr>Data_ToelageDirecteurNatVerloop063</vt:lpstr>
      <vt:lpstr>Data_ToelageDirecteurNatVerloop064</vt:lpstr>
      <vt:lpstr>Data_ToelageDirecteurNatVerloop065</vt:lpstr>
      <vt:lpstr>Data_ToelageDirecteurNatVerloop066</vt:lpstr>
      <vt:lpstr>Data_ToelageDirecteurNatVerloop067</vt:lpstr>
      <vt:lpstr>Data_ToelageDirecteurNatVerloop068</vt:lpstr>
      <vt:lpstr>Data_ToelageDirecteurNatVerloop069</vt:lpstr>
      <vt:lpstr>Data_ToelageDirecteurNatVerloop070</vt:lpstr>
      <vt:lpstr>Data_ToelageDirecteurNatVerloop071</vt:lpstr>
      <vt:lpstr>Data_ToelageDirecteurNatVerloop072</vt:lpstr>
      <vt:lpstr>Data_ToelageDirecteurNatVerloop073</vt:lpstr>
      <vt:lpstr>Data_ToelageDirecteurNatVerloop074</vt:lpstr>
      <vt:lpstr>Data_ToelageDirecteurNatVerloop075</vt:lpstr>
      <vt:lpstr>Data_ToelageDirecteurNatVerloop076</vt:lpstr>
      <vt:lpstr>Data_ToelageDirecteurNatVerloop077</vt:lpstr>
      <vt:lpstr>Data_ToelageDirecteurNatVerloop078</vt:lpstr>
      <vt:lpstr>Data_ToelageDirecteurNatVerloop079</vt:lpstr>
      <vt:lpstr>Data_ToelageDirecteurNatVerloop080</vt:lpstr>
      <vt:lpstr>Data_ToelageDirecteurNatVerloop081</vt:lpstr>
      <vt:lpstr>Data_ToelageDirecteurNatVerloop082</vt:lpstr>
      <vt:lpstr>Data_ToelageDirecteurNatVerloop083</vt:lpstr>
      <vt:lpstr>Data_ToelageDirecteurNatVerloop084</vt:lpstr>
      <vt:lpstr>Data_ToelageDirecteurNatVerloop085</vt:lpstr>
      <vt:lpstr>Data_ToelageDirecteurNatVerloop086</vt:lpstr>
      <vt:lpstr>Data_ToelageDirecteurNatVerloop087</vt:lpstr>
      <vt:lpstr>Data_ToelageDirecteurNatVerloop088</vt:lpstr>
      <vt:lpstr>Data_ToelageDirecteurNatVerloop089</vt:lpstr>
      <vt:lpstr>Data_ToelageDirecteurNatVerloop090</vt:lpstr>
      <vt:lpstr>Data_ToelageDirecteurNatVerloop091</vt:lpstr>
      <vt:lpstr>Data_ToelageDirecteurNatVerloop092</vt:lpstr>
      <vt:lpstr>Data_ToelageDirecteurNatVerloop093</vt:lpstr>
      <vt:lpstr>Data_ToelageDirecteurNatVerloop094</vt:lpstr>
      <vt:lpstr>Data_ToelageDirecteurNatVerloop095</vt:lpstr>
      <vt:lpstr>Data_ToelageDirecteurNatVerloop096</vt:lpstr>
      <vt:lpstr>Data_ToelageDirecteurNatVerloop097</vt:lpstr>
      <vt:lpstr>Data_ToelageDirecteurNatVerloop098</vt:lpstr>
      <vt:lpstr>Data_ToelageDirecteurNatVerloop099</vt:lpstr>
      <vt:lpstr>Data_ToelageDirecteurNatVerloop100</vt:lpstr>
      <vt:lpstr>Data_ToelageDirecteurNatVerloop101</vt:lpstr>
      <vt:lpstr>Data_ToelageDirecteurNatVerloop102</vt:lpstr>
      <vt:lpstr>Data_ToelageDirecteurNatVerloop103</vt:lpstr>
      <vt:lpstr>Data_ToelageDirecteurNatVerloop104</vt:lpstr>
      <vt:lpstr>Data_ToelageDirecteurNatVerloop105</vt:lpstr>
      <vt:lpstr>Data_ToelageDirecteurNatVerloop106</vt:lpstr>
      <vt:lpstr>Data_ToelageDirecteurNatVerloop107</vt:lpstr>
      <vt:lpstr>Data_ToelageDirecteurNatVerloop108</vt:lpstr>
      <vt:lpstr>Data_ToelageDirecteurNatVerloop109</vt:lpstr>
      <vt:lpstr>Data_ToelageDirecteurNatVerloop110</vt:lpstr>
      <vt:lpstr>Data_ToelageDirecteurNatVerloop111</vt:lpstr>
      <vt:lpstr>Data_ToelageDirecteurNatVerloop112</vt:lpstr>
      <vt:lpstr>Data_ToelageDirecteurNatVerloop113</vt:lpstr>
      <vt:lpstr>Data_ToelageDirecteurNatVerloop114</vt:lpstr>
      <vt:lpstr>Data_ToelageDirecteurNatVerloop115</vt:lpstr>
      <vt:lpstr>Data_ToelageDirecteurNatVerloop116</vt:lpstr>
      <vt:lpstr>Data_ToelageDirecteurNatVerloop117</vt:lpstr>
      <vt:lpstr>Data_ToelageDirecteurNatVerloop118</vt:lpstr>
      <vt:lpstr>Data_ToelageDirecteurNatVerloop119</vt:lpstr>
      <vt:lpstr>Data_ToelageDirecteurNatVerloop120</vt:lpstr>
      <vt:lpstr>Data_ToelageDirecteurNatVerloop121</vt:lpstr>
      <vt:lpstr>Data_ToelageDirecteurNatVerloop122</vt:lpstr>
      <vt:lpstr>Data_ToelageDirecteurNatVerloop123</vt:lpstr>
      <vt:lpstr>Data_ToelageDirecteurNatVerloop124</vt:lpstr>
      <vt:lpstr>Data_ToelageDirecteurNatVerloop125</vt:lpstr>
      <vt:lpstr>Data_ToelageDirecteurNatVerloop126</vt:lpstr>
      <vt:lpstr>Data_ToelageDirecteurNatVerloop127</vt:lpstr>
      <vt:lpstr>Data_ToelageDirecteurNatVerloop128</vt:lpstr>
      <vt:lpstr>Data_ToelageDirecteurNatVerloop129</vt:lpstr>
      <vt:lpstr>Data_ToelageDirecteurNatVerloop130</vt:lpstr>
      <vt:lpstr>Data_ToelageDirecteurNatVerloop131</vt:lpstr>
      <vt:lpstr>Data_ToelageDirecteurNatVerloop132</vt:lpstr>
      <vt:lpstr>Data_ToelageDirecteurNatVerloop133</vt:lpstr>
      <vt:lpstr>Data_ToelageDirecteurNatVerloop134</vt:lpstr>
      <vt:lpstr>Data_ToelageDirecteurNatVerloop135</vt:lpstr>
      <vt:lpstr>Data_ToelageDirecteurNatVerloop136</vt:lpstr>
      <vt:lpstr>Data_ToelageDirecteurNatVerloop137</vt:lpstr>
      <vt:lpstr>Data_ToelageDirecteurNatVerloop138</vt:lpstr>
      <vt:lpstr>Data_ToelageDirecteurNatVerloop139</vt:lpstr>
      <vt:lpstr>Data_ToelageDirecteurNatVerloop140</vt:lpstr>
      <vt:lpstr>Data_ToelageDirecteurNatVerloop141</vt:lpstr>
      <vt:lpstr>Data_ToelageDirecteurNatVerloop142</vt:lpstr>
      <vt:lpstr>Data_ToelageDirecteurNatVerloop143</vt:lpstr>
      <vt:lpstr>Data_ToelageDirecteurNatVerloop144</vt:lpstr>
      <vt:lpstr>Data_ToelageDirecteurNatVerloop145</vt:lpstr>
      <vt:lpstr>Data_ToelageDirecteurNatVerloop146</vt:lpstr>
      <vt:lpstr>Data_ToelageDirecteurNatVerloop147</vt:lpstr>
      <vt:lpstr>Data_ToelageDirecteurNatVerloop148</vt:lpstr>
      <vt:lpstr>Data_ToelageDirecteurNatVerloop149</vt:lpstr>
      <vt:lpstr>Data_ToelageDirecteurNatVerloop150</vt:lpstr>
      <vt:lpstr>Data_ToelageDirecteurNatVerloop151</vt:lpstr>
      <vt:lpstr>Data_ToelageDirecteurNatVerloop152</vt:lpstr>
      <vt:lpstr>Data_ToelageDirecteurNatVerloop153</vt:lpstr>
      <vt:lpstr>Data_ToelageDirecteurNatVerloop154</vt:lpstr>
      <vt:lpstr>Data_ToelageDirecteurNatVerloop155</vt:lpstr>
      <vt:lpstr>Data_ToelageDirecteurNatVerloop156</vt:lpstr>
      <vt:lpstr>Data_ToelageDirecteurNatVerloop157</vt:lpstr>
      <vt:lpstr>Data_ToelageDirecteurNatVerloop158</vt:lpstr>
      <vt:lpstr>Data_ToelageDirecteurNatVerloop159</vt:lpstr>
      <vt:lpstr>Data_ToelageDirecteurNatVerloop160</vt:lpstr>
      <vt:lpstr>Data_ToelageDirecteurNatVerloop161</vt:lpstr>
      <vt:lpstr>Data_ToelageDirecteurNatVerloop162</vt:lpstr>
      <vt:lpstr>Data_ToelageDirecteurNatVerloop163</vt:lpstr>
      <vt:lpstr>Data_ToelageDirecteurNatVerloop164</vt:lpstr>
      <vt:lpstr>Data_ToelageDirecteurNatVerloop165</vt:lpstr>
      <vt:lpstr>Data_ToelageDirecteurNatVerloop166</vt:lpstr>
      <vt:lpstr>Data_ToelageDirecteurNatVerloop167</vt:lpstr>
      <vt:lpstr>Data_ToelageDirecteurNatVerloop168</vt:lpstr>
      <vt:lpstr>Data_ToelageDirecteurNatVerloop169</vt:lpstr>
      <vt:lpstr>Data_ToelageDirecteurNatVerloop170</vt:lpstr>
      <vt:lpstr>Data_ToelageDirecteurNatVerloop171</vt:lpstr>
      <vt:lpstr>Data_ToelageDirecteurNatVerloop172</vt:lpstr>
      <vt:lpstr>Data_ToelageDirecteurNatVerloop173</vt:lpstr>
      <vt:lpstr>Data_ToelageDirecteurNatVerloop174</vt:lpstr>
      <vt:lpstr>Data_ToelageDirecteurNatVerloop175</vt:lpstr>
      <vt:lpstr>Data_ToelageDirecteurNatVerloop176</vt:lpstr>
      <vt:lpstr>Data_ToelageDirecteurNatVerloop177</vt:lpstr>
      <vt:lpstr>Data_ToelageDirecteurNatVerloop178</vt:lpstr>
      <vt:lpstr>Data_ToelageDirecteurNatVerloop179</vt:lpstr>
      <vt:lpstr>Data_ToelageDirecteurNatVerloop180</vt:lpstr>
      <vt:lpstr>Data_ToelageDirecteurNatVerloop181</vt:lpstr>
      <vt:lpstr>Data_ToelageDirecteurNatVerloop182</vt:lpstr>
      <vt:lpstr>Data_ToelageDirecteurNatVerloop183</vt:lpstr>
      <vt:lpstr>Data_ToelageDirecteurNatVerloop184</vt:lpstr>
      <vt:lpstr>Data_ToelageDirecteurNatVerloop185</vt:lpstr>
      <vt:lpstr>Data_ToelageDirecteurNatVerloop186</vt:lpstr>
      <vt:lpstr>Data_ToelageDirecteurNatVerloop187</vt:lpstr>
      <vt:lpstr>Data_ToelageDirecteurNatVerloop188</vt:lpstr>
      <vt:lpstr>Data_ToelageDirecteurNatVerloop189</vt:lpstr>
      <vt:lpstr>Data_ToelageDirecteurNatVerloop190</vt:lpstr>
      <vt:lpstr>Data_ToelageDirecteurNatVerloop191</vt:lpstr>
      <vt:lpstr>Data_ToelageDirecteurNatVerloop192</vt:lpstr>
      <vt:lpstr>Data_ToelageDirecteurNatVerloop193</vt:lpstr>
      <vt:lpstr>Data_ToelageDirecteurNatVerloop194</vt:lpstr>
      <vt:lpstr>Data_ToelageDirecteurNatVerloop195</vt:lpstr>
      <vt:lpstr>Data_ToelageDirecteurNatVerloop196</vt:lpstr>
      <vt:lpstr>Data_ToelageDirecteurNatVerloop197</vt:lpstr>
      <vt:lpstr>Data_ToelageDirecteurNatVerloop198</vt:lpstr>
      <vt:lpstr>Data_ToelageDirecteurNatVerloop199</vt:lpstr>
      <vt:lpstr>Data_ToelageDirecteurNatVerloop200</vt:lpstr>
      <vt:lpstr>Data_ToelageDirecteurNatVerloop201</vt:lpstr>
      <vt:lpstr>Data_ToelageDirecteurNatVerloop202</vt:lpstr>
      <vt:lpstr>Data_ToelageDirecteurNatVerloop203</vt:lpstr>
      <vt:lpstr>Data_ToelageDirecteurNatVerloop204</vt:lpstr>
      <vt:lpstr>Data_ToelageDirecteurNatVerloop205</vt:lpstr>
      <vt:lpstr>Data_ToelageDirecteurNatVerloop206</vt:lpstr>
      <vt:lpstr>Data_ToelageDirecteurNatVerloop207</vt:lpstr>
      <vt:lpstr>Data_ToelageDirecteurNatVerloop208</vt:lpstr>
      <vt:lpstr>Data_ToelageDirecteurNatVerloop209</vt:lpstr>
      <vt:lpstr>Data_ToelageDirecteurNatVerloop210</vt:lpstr>
      <vt:lpstr>Data_ToelageDirecteurNatVerloop211</vt:lpstr>
      <vt:lpstr>Data_ToelageDirecteurNatVerloop212</vt:lpstr>
      <vt:lpstr>Data_ToelageDirecteurNatVerloop213</vt:lpstr>
      <vt:lpstr>Data_ToelageDirecteurNatVerloop214</vt:lpstr>
      <vt:lpstr>Data_ToelageDirecteurNatVerloop215</vt:lpstr>
      <vt:lpstr>Data_ToelageDirecteurNatVerloop216</vt:lpstr>
      <vt:lpstr>Data_ToelageDirecteurNatVerloop217</vt:lpstr>
      <vt:lpstr>Data_ToelageDirecteurNatVerloop218</vt:lpstr>
      <vt:lpstr>Data_ToelageDirecteurNatVerloop219</vt:lpstr>
      <vt:lpstr>Data_ToelageDirecteurNatVerloop220</vt:lpstr>
      <vt:lpstr>Data_ToelageDirecteurNatVerloop221</vt:lpstr>
      <vt:lpstr>Data_ToelageDirecteurNatVerloop222</vt:lpstr>
      <vt:lpstr>Data_ToelageDirecteurNatVerloop223</vt:lpstr>
      <vt:lpstr>Data_ToelageDirecteurNatVerloop224</vt:lpstr>
      <vt:lpstr>Data_ToelageDirecteurNatVerloop225</vt:lpstr>
      <vt:lpstr>Data_ToelageDirecteurNatVerloop226</vt:lpstr>
      <vt:lpstr>Data_ToelageDirecteurNatVerloop227</vt:lpstr>
      <vt:lpstr>Data_ToelageDirecteurNatVerloop228</vt:lpstr>
      <vt:lpstr>Data_ToelageDirecteurNatVerloop229</vt:lpstr>
      <vt:lpstr>Data_ToelageDirecteurNatVerloop230</vt:lpstr>
      <vt:lpstr>Data_ToelageDirecteurNatVerloop231</vt:lpstr>
      <vt:lpstr>Data_ToelageDirecteurNatVerloop232</vt:lpstr>
      <vt:lpstr>Data_ToelageDirecteurNatVerloop233</vt:lpstr>
      <vt:lpstr>Data_ToelageDirecteurNatVerloop234</vt:lpstr>
      <vt:lpstr>Data_ToelageDirecteurNatVerloop235</vt:lpstr>
      <vt:lpstr>Data_ToelageDirecteurNatVerloop236</vt:lpstr>
      <vt:lpstr>Data_ToelageDirecteurNatVerloop237</vt:lpstr>
      <vt:lpstr>Data_ToelageDirecteurNatVerloop238</vt:lpstr>
      <vt:lpstr>Data_ToelageDirecteurNatVerloop239</vt:lpstr>
      <vt:lpstr>Data_ToelageDirecteurNatVerloop240</vt:lpstr>
      <vt:lpstr>Data_ToelageDirecteurNatVerloop241</vt:lpstr>
      <vt:lpstr>Data_ToelageDirecteurNatVerloop242</vt:lpstr>
      <vt:lpstr>Data_ToelageDirecteurNatVerloop243</vt:lpstr>
      <vt:lpstr>Data_ToelageDirecteurNatVerloop244</vt:lpstr>
      <vt:lpstr>Data_ToelageDirecteurNatVerloop245</vt:lpstr>
      <vt:lpstr>Data_ToelageDirecteurNatVerloop246</vt:lpstr>
      <vt:lpstr>Data_ToelageDirecteurNatVerloop247</vt:lpstr>
      <vt:lpstr>Data_ToelageDirecteurNatVerloop248</vt:lpstr>
      <vt:lpstr>Data_ToelageDirecteurNatVerloop249</vt:lpstr>
      <vt:lpstr>Data_ToelageDirecteurNatVerloop250</vt:lpstr>
      <vt:lpstr>Data_ToelageDirecteurNatVerloop251</vt:lpstr>
      <vt:lpstr>Data_ToelageDirecteurNatVerloop252</vt:lpstr>
      <vt:lpstr>Data_ToelageDirecteurNatVerloop253</vt:lpstr>
      <vt:lpstr>Data_ToelageDirecteurNatVerloop254</vt:lpstr>
      <vt:lpstr>Data_ToelageDirecteurNatVerloop255</vt:lpstr>
      <vt:lpstr>Data_ToelageDirecteurNatVerloop256</vt:lpstr>
      <vt:lpstr>Data_ToelageDirecteurNatVerloop257</vt:lpstr>
      <vt:lpstr>Data_ToelageDirecteurNatVerloop258</vt:lpstr>
      <vt:lpstr>Data_ToelageDirecteurNatVerloop259</vt:lpstr>
      <vt:lpstr>Data_ToelageDirecteurNatVerloop260</vt:lpstr>
      <vt:lpstr>Data_ToelageDirecteurNatVerloop261</vt:lpstr>
      <vt:lpstr>Data_ToelageDirecteurNatVerloop262</vt:lpstr>
      <vt:lpstr>Data_ToelageDirecteurNatVerloop263</vt:lpstr>
      <vt:lpstr>Data_ToelageDirecteurNatVerloop264</vt:lpstr>
      <vt:lpstr>Data_ToelageDirecteurNatVerloop265</vt:lpstr>
      <vt:lpstr>Data_ToelageDirecteurNatVerloop266</vt:lpstr>
      <vt:lpstr>Data_ToelageDirecteurNatVerloop267</vt:lpstr>
      <vt:lpstr>Data_ToelageDirecteurNatVerloop268</vt:lpstr>
      <vt:lpstr>Data_ToelageDirecteurNatVerloop269</vt:lpstr>
      <vt:lpstr>Data_ToelageDirecteurNatVerloop270</vt:lpstr>
      <vt:lpstr>Data_ToelageDirecteurNatVerloop271</vt:lpstr>
      <vt:lpstr>Data_ToelageDirecteurNatVerloop272</vt:lpstr>
      <vt:lpstr>Data_ToelageDirecteurNatVerloop273</vt:lpstr>
      <vt:lpstr>Data_ToelageDirecteurNatVerloop274</vt:lpstr>
      <vt:lpstr>Data_ToelageDirecteurNatVerloop275</vt:lpstr>
      <vt:lpstr>Data_ToelageDirecteurNatVerloop276</vt:lpstr>
      <vt:lpstr>Data_ToelageDirecteurNatVerloop277</vt:lpstr>
      <vt:lpstr>Data_ToelageDirecteurNatVerloop278</vt:lpstr>
      <vt:lpstr>Data_ToelageDirecteurNatVerloop279</vt:lpstr>
      <vt:lpstr>Data_ToelageDirecteurNatVerloop280</vt:lpstr>
      <vt:lpstr>Data_ToelageDirecteurNatVerloop281</vt:lpstr>
      <vt:lpstr>Data_ToelageDirecteurNatVerloop282</vt:lpstr>
      <vt:lpstr>Data_ToelageDirecteurNatVerloop283</vt:lpstr>
      <vt:lpstr>Data_ToelageDirecteurNatVerloop284</vt:lpstr>
      <vt:lpstr>Data_ToelageDirecteurNatVerloop285</vt:lpstr>
      <vt:lpstr>Data_ToelageDirecteurNatVerloop286</vt:lpstr>
      <vt:lpstr>Data_ToelageDirecteurNatVerloop287</vt:lpstr>
      <vt:lpstr>Data_ToelageDirecteurNatVerloop288</vt:lpstr>
      <vt:lpstr>Data_ToelageDirecteurNatVerloop289</vt:lpstr>
      <vt:lpstr>Data_ToelageDirecteurNatVerloop290</vt:lpstr>
      <vt:lpstr>Data_ToelageDirecteurNatVerloop291</vt:lpstr>
      <vt:lpstr>Data_ToelageDirecteurNatVerloop292</vt:lpstr>
      <vt:lpstr>Data_ToelageDirecteurNatVerloop293</vt:lpstr>
      <vt:lpstr>Data_ToelageDirecteurNatVerloop294</vt:lpstr>
      <vt:lpstr>Data_ToelageDirecteurNatVerloop295</vt:lpstr>
      <vt:lpstr>Data_ToelageDirecteurNatVerloop296</vt:lpstr>
      <vt:lpstr>Data_ToelageDirecteurNatVerloop297</vt:lpstr>
      <vt:lpstr>Data_ToelageDirecteurNatVerloop298</vt:lpstr>
      <vt:lpstr>Data_ToelageDirecteurNatVerloop299</vt:lpstr>
      <vt:lpstr>Data_ToelageDirecteurNatVerloop300</vt:lpstr>
      <vt:lpstr>Data_ToelageDirecteurNatVerloop301</vt:lpstr>
      <vt:lpstr>Data_ToelageDirecteurNatVerloop302</vt:lpstr>
      <vt:lpstr>Data_ToelageDirecteurNatVerloop303</vt:lpstr>
      <vt:lpstr>Data_ToelageDirecteurNatVerloop304</vt:lpstr>
      <vt:lpstr>Data_ToelageDirecteurNatVerloop305</vt:lpstr>
      <vt:lpstr>Data_ToelageDirecteurNatVerloop306</vt:lpstr>
      <vt:lpstr>Data_ToelageDirecteurNatVerloop307</vt:lpstr>
      <vt:lpstr>Data_ToelageDirecteurNatVerloop308</vt:lpstr>
      <vt:lpstr>Data_ToelageDirecteurNatVerloop309</vt:lpstr>
      <vt:lpstr>Data_ToelageDirecteurNatVerloop310</vt:lpstr>
      <vt:lpstr>Data_ToelageDirecteurNatVerloop311</vt:lpstr>
      <vt:lpstr>Data_ToelageDirecteurNatVerloop312</vt:lpstr>
      <vt:lpstr>Data_ToelageDirecteurNatVerloop313</vt:lpstr>
      <vt:lpstr>Data_ToelageDirecteurNatVerloop314</vt:lpstr>
      <vt:lpstr>Data_ToelageDirecteurNatVerloop315</vt:lpstr>
      <vt:lpstr>Data_ToelageDirecteurNatVerloop316</vt:lpstr>
      <vt:lpstr>Data_ToelageDirecteurNatVerloop317</vt:lpstr>
      <vt:lpstr>Data_ToelageDirecteurNatVerloop318</vt:lpstr>
      <vt:lpstr>Data_ToelageDirecteurNatVerloop319</vt:lpstr>
      <vt:lpstr>Data_ToelageDirecteurNatVerloop320</vt:lpstr>
      <vt:lpstr>Data_ToelageDirecteurNatVerloop321</vt:lpstr>
      <vt:lpstr>Data_ToelageDirecteurNatVerloop322</vt:lpstr>
      <vt:lpstr>Data_ToelageDirecteurNatVerloop323</vt:lpstr>
      <vt:lpstr>Data_ToelageDirecteurNatVerloop324</vt:lpstr>
      <vt:lpstr>Data_ToelageDirecteurNatVerloop325</vt:lpstr>
      <vt:lpstr>Data_ToelageDirecteurNatVerloop326</vt:lpstr>
      <vt:lpstr>Data_ToelageDirecteurNatVerloop327</vt:lpstr>
      <vt:lpstr>Data_ToelageDirecteurNatVerloop328</vt:lpstr>
      <vt:lpstr>Data_ToelageDirecteurNatVerloop329</vt:lpstr>
      <vt:lpstr>Data_ToelageDirecteurNatVerloop330</vt:lpstr>
      <vt:lpstr>Data_ToelageDirecteurNatVerloop331</vt:lpstr>
      <vt:lpstr>Data_ToelageDirecteurNatVerloop332</vt:lpstr>
      <vt:lpstr>Data_ToelageDirecteurNatVerloop333</vt:lpstr>
      <vt:lpstr>Data_ToelageDirecteurNatVerloop334</vt:lpstr>
      <vt:lpstr>Data_ToelageDirecteurNatVerloop335</vt:lpstr>
      <vt:lpstr>Data_ToelageDirecteurNatVerloop336</vt:lpstr>
      <vt:lpstr>Data_ToelageDirecteurNatVerloop337</vt:lpstr>
      <vt:lpstr>Data_ToelageDirecteurNatVerloop338</vt:lpstr>
      <vt:lpstr>Data_ToelageDirecteurNatVerloop339</vt:lpstr>
      <vt:lpstr>Data_ToelageDirecteurNatVerloop340</vt:lpstr>
      <vt:lpstr>Data_ToelageDirecteurNatVerloop341</vt:lpstr>
      <vt:lpstr>Data_ToelageDirecteurNatVerloop342</vt:lpstr>
      <vt:lpstr>Data_ToelageDirecteurNatVerloop343</vt:lpstr>
      <vt:lpstr>Data_ToelageDirecteurNatVerloop344</vt:lpstr>
      <vt:lpstr>Data_ToelageDirecteurNatVerloop345</vt:lpstr>
      <vt:lpstr>Data_ToelageDirecteurNatVerloop346</vt:lpstr>
      <vt:lpstr>Data_ToelageDirecteurNatVerloop347</vt:lpstr>
      <vt:lpstr>Data_ToelageDirecteurNatVerloop348</vt:lpstr>
      <vt:lpstr>Data_ToelageDirecteurNatVerloop349</vt:lpstr>
      <vt:lpstr>Data_ToelageDirecteurNatVerloop350</vt:lpstr>
      <vt:lpstr>Data_ToelageDirecteurNatVerloop351</vt:lpstr>
      <vt:lpstr>Data_ToelageDirecteurNatVerloop352</vt:lpstr>
      <vt:lpstr>Data_ToelageDirecteurNatVerloop353</vt:lpstr>
      <vt:lpstr>Data_ToelageDirecteurNatVerloop354</vt:lpstr>
      <vt:lpstr>Data_ToelageDirecteurNatVerloop355</vt:lpstr>
      <vt:lpstr>Data_ToelageDirecteurNatVerloop356</vt:lpstr>
      <vt:lpstr>Data_ToelageDirecteurNatVerloop357</vt:lpstr>
      <vt:lpstr>Data_ToelageDirecteurNatVerloop358</vt:lpstr>
      <vt:lpstr>Data_ToelageDirecteurNatVerloop359</vt:lpstr>
      <vt:lpstr>Data_ToelageDirecteurNatVerloop360</vt:lpstr>
      <vt:lpstr>Data_ToelageDirecteurNatVerloop361</vt:lpstr>
      <vt:lpstr>Data_ToelageDirecteurNatVerloop362</vt:lpstr>
      <vt:lpstr>Data_ToelageDirecteurNatVerloop363</vt:lpstr>
      <vt:lpstr>Data_ToelageDirecteurNatVerloop364</vt:lpstr>
      <vt:lpstr>Data_ToelageDirecteurNatVerloop365</vt:lpstr>
      <vt:lpstr>Data_ToelageDirecteurNatVerloop366</vt:lpstr>
      <vt:lpstr>Data_ToelageDirecteurNatVerloop367</vt:lpstr>
      <vt:lpstr>Data_ToelageDirecteurNatVerloop368</vt:lpstr>
      <vt:lpstr>Data_ToelageDirecteurNatVerloop369</vt:lpstr>
      <vt:lpstr>Data_ToelageDirecteurNatVerloop370</vt:lpstr>
      <vt:lpstr>Data_ToelageDirecteurNatVerloop371</vt:lpstr>
      <vt:lpstr>Data_ToelageDirecteurNatVerloop372</vt:lpstr>
      <vt:lpstr>Data_ToelageDirecteurNatVerloop373</vt:lpstr>
      <vt:lpstr>Data_ToelageDirecteurNatVerloop374</vt:lpstr>
      <vt:lpstr>Data_ToelageDirecteurNatVerloop375</vt:lpstr>
      <vt:lpstr>Data_ToelageDirecteurNatVerloop376</vt:lpstr>
      <vt:lpstr>Data_ToelageDirecteurNatVerloop377</vt:lpstr>
      <vt:lpstr>Data_ToelageDirecteurNatVerloop378</vt:lpstr>
      <vt:lpstr>Data_ToelageDirecteurNatVerloop379</vt:lpstr>
      <vt:lpstr>Data_ToelageDirecteurNatVerloop380</vt:lpstr>
      <vt:lpstr>Data_ToelageDirecteurNatVerloop381</vt:lpstr>
      <vt:lpstr>Data_ToelageDirecteurNatVerloop382</vt:lpstr>
      <vt:lpstr>Data_ToelageDirecteurNatVerloop383</vt:lpstr>
      <vt:lpstr>Data_ToelageDirecteurNatVerloop384</vt:lpstr>
      <vt:lpstr>Data_ToelageDirecteurNatVerloop385</vt:lpstr>
      <vt:lpstr>Data_ToelageDirecteurNatVerloop386</vt:lpstr>
      <vt:lpstr>Data_ToelageDirecteurNatVerloop387</vt:lpstr>
      <vt:lpstr>Data_ToelageDirecteurNatVerloop388</vt:lpstr>
      <vt:lpstr>Data_ToelageDirecteurNatVerloop389</vt:lpstr>
      <vt:lpstr>Data_ToelageDirecteurNatVerloop390</vt:lpstr>
      <vt:lpstr>Data_ToelageDirecteurNatVerloop391</vt:lpstr>
      <vt:lpstr>Data_ToelageDirecteurNatVerloop392</vt:lpstr>
      <vt:lpstr>Data_ToelageDirecteurNatVerloop393</vt:lpstr>
      <vt:lpstr>Data_ToelageDirecteurNatVerloop394</vt:lpstr>
      <vt:lpstr>Data_ToelageDirecteurNatVerloop395</vt:lpstr>
      <vt:lpstr>Data_ToelageDirecteurNatVerloop396</vt:lpstr>
      <vt:lpstr>Data_ToelageDirecteurNatVerloop397</vt:lpstr>
      <vt:lpstr>Data_ToelageDirecteurNatVerloop398</vt:lpstr>
      <vt:lpstr>Data_ToelageDirecteurNatVerloop399</vt:lpstr>
      <vt:lpstr>Data_ToelageDirecteurNatVerloop400</vt:lpstr>
      <vt:lpstr>Data_ToelageDirecteurNatVerloop401</vt:lpstr>
      <vt:lpstr>Data_ToelageDirecteurNatVerloop402</vt:lpstr>
      <vt:lpstr>Data_ToelageDirecteurNatVerloop403</vt:lpstr>
      <vt:lpstr>Data_ToelageDirecteurNatVerloop404</vt:lpstr>
      <vt:lpstr>Data_ToelageDirecteurNatVerloop405</vt:lpstr>
      <vt:lpstr>Data_ToelageDirecteurNatVerloop406</vt:lpstr>
      <vt:lpstr>Data_ToelageDirecteurNatVerloop407</vt:lpstr>
      <vt:lpstr>Data_ToelageDirecteurNatVerloop408</vt:lpstr>
      <vt:lpstr>Data_ToelageDirecteurNatVerloop409</vt:lpstr>
      <vt:lpstr>Data_ToelageDirecteurNatVerloop410</vt:lpstr>
      <vt:lpstr>Data_ToelageDirecteurNatVerloop411</vt:lpstr>
      <vt:lpstr>Data_ToelageDirecteurNatVerloop412</vt:lpstr>
      <vt:lpstr>Data_ToelageDirecteurNatVerloop413</vt:lpstr>
      <vt:lpstr>Data_ToelageDirecteurNatVerloop414</vt:lpstr>
      <vt:lpstr>Data_ToelageDirecteurNatVerloop415</vt:lpstr>
      <vt:lpstr>Data_ToelageDirecteurNatVerloop416</vt:lpstr>
      <vt:lpstr>Data_ToelageDirecteurNatVerloop417</vt:lpstr>
      <vt:lpstr>Data_ToelageDirecteurNatVerloop418</vt:lpstr>
      <vt:lpstr>Data_ToelageDirecteurNatVerloop419</vt:lpstr>
      <vt:lpstr>Data_ToelageDirecteurNatVerloop420</vt:lpstr>
      <vt:lpstr>Data_ToelageDirecteurNatVerloop421</vt:lpstr>
      <vt:lpstr>Data_ToelageDirecteurNatVerloop422</vt:lpstr>
      <vt:lpstr>Data_ToelageDirecteurNatVerloop423</vt:lpstr>
      <vt:lpstr>Data_ToelageDirecteurNatVerloop424</vt:lpstr>
      <vt:lpstr>Data_ToelageDirecteurNatVerloop425</vt:lpstr>
      <vt:lpstr>Data_ToelageDirecteurNatVerloop426</vt:lpstr>
      <vt:lpstr>Data_ToelageDirecteurNatVerloop427</vt:lpstr>
      <vt:lpstr>Data_ToelageDirecteurNatVerloop428</vt:lpstr>
      <vt:lpstr>Data_ToelageDirecteurNatVerloop429</vt:lpstr>
      <vt:lpstr>Data_ToelageDirecteurNatVerloop430</vt:lpstr>
      <vt:lpstr>Data_ToelageDirecteurNatVerloop431</vt:lpstr>
      <vt:lpstr>Data_ToelageDirecteurNatVerloop432</vt:lpstr>
      <vt:lpstr>Data_ToelageDirecteurNatVerloop433</vt:lpstr>
      <vt:lpstr>Data_ToelageDirecteurNatVerloop434</vt:lpstr>
      <vt:lpstr>Data_ToelageDirecteurNatVerloop435</vt:lpstr>
      <vt:lpstr>Data_ToelageDirecteurNatVerloop436</vt:lpstr>
      <vt:lpstr>Data_ToelageDirecteurNatVerloop437</vt:lpstr>
      <vt:lpstr>Data_ToelageDirecteurNatVerloop438</vt:lpstr>
      <vt:lpstr>Data_ToelageDirecteurNatVerloop439</vt:lpstr>
      <vt:lpstr>Data_ToelageDirecteurNatVerloop440</vt:lpstr>
      <vt:lpstr>Data_ToelageDirecteurNatVerloop441</vt:lpstr>
      <vt:lpstr>Data_ToelageDirecteurNatVerloop442</vt:lpstr>
      <vt:lpstr>Data_ToelageDirecteurNatVerloop443</vt:lpstr>
      <vt:lpstr>Data_ToelageDirecteurNatVerloop444</vt:lpstr>
      <vt:lpstr>Data_ToelageDirecteurNatVerloop445</vt:lpstr>
      <vt:lpstr>Data_ToelageDirecteurNatVerloop446</vt:lpstr>
      <vt:lpstr>Data_ToelageDirecteurNatVerloop447</vt:lpstr>
      <vt:lpstr>Data_ToelageDirecteurNatVerloop448</vt:lpstr>
      <vt:lpstr>Data_ToelageDirecteurNatVerloop449</vt:lpstr>
      <vt:lpstr>Data_ToelageDirecteurNatVerloop450</vt:lpstr>
      <vt:lpstr>Data_ToelageDirecteurNatVerloop451</vt:lpstr>
      <vt:lpstr>Data_ToelageDirecteurNatVerloop452</vt:lpstr>
      <vt:lpstr>Data_ToelageDirecteurNatVerloop453</vt:lpstr>
      <vt:lpstr>Data_ToelageDirecteurNatVerloop454</vt:lpstr>
      <vt:lpstr>Data_ToelageDirecteurNatVerloop455</vt:lpstr>
      <vt:lpstr>Data_ToelageDirecteurNatVerloop456</vt:lpstr>
      <vt:lpstr>Data_ToelageDirecteurNatVerloop457</vt:lpstr>
      <vt:lpstr>Data_ToelageDirecteurNatVerloop458</vt:lpstr>
      <vt:lpstr>Data_ToelageDirecteurNatVerloop459</vt:lpstr>
      <vt:lpstr>Data_ToelageDirecteurNatVerloop460</vt:lpstr>
      <vt:lpstr>Data_ToelageDirecteurNatVerloop461</vt:lpstr>
      <vt:lpstr>Data_ToelageDirecteurNatVerloop462</vt:lpstr>
      <vt:lpstr>Data_ToelageDirecteurNatVerloop463</vt:lpstr>
      <vt:lpstr>Data_ToelageDirecteurNatVerloop464</vt:lpstr>
      <vt:lpstr>Data_ToelageDirecteurNatVerloop465</vt:lpstr>
      <vt:lpstr>Data_ToelageDirecteurNatVerloop466</vt:lpstr>
      <vt:lpstr>Data_ToelageDirecteurNatVerloop467</vt:lpstr>
      <vt:lpstr>Data_ToelageDirecteurNatVerloop468</vt:lpstr>
      <vt:lpstr>Data_ToelageDirecteurNatVerloop469</vt:lpstr>
      <vt:lpstr>Data_ToelageDirecteurNatVerloop470</vt:lpstr>
      <vt:lpstr>Data_ToelageDirecteurNatVerloop471</vt:lpstr>
      <vt:lpstr>Data_ToelageDirecteurNatVerloop472</vt:lpstr>
      <vt:lpstr>Data_ToelageDirecteurNatVerloop473</vt:lpstr>
      <vt:lpstr>Data_ToelageDirecteurNatVerloop474</vt:lpstr>
      <vt:lpstr>Data_ToelageDirecteurNatVerloop475</vt:lpstr>
      <vt:lpstr>Data_ToelageDirecteurNatVerloop476</vt:lpstr>
      <vt:lpstr>Data_ToelageDirecteurNatVerloop477</vt:lpstr>
      <vt:lpstr>Data_ToelageDirecteurNatVerloop478</vt:lpstr>
      <vt:lpstr>Data_ToelageDirecteurNatVerloop479</vt:lpstr>
      <vt:lpstr>Data_ToelageDirecteurNatVerloop480</vt:lpstr>
      <vt:lpstr>Data_ToelageDirecteurNatVerloop481</vt:lpstr>
      <vt:lpstr>Data_ToelageDirecteurNatVerloop482</vt:lpstr>
      <vt:lpstr>Data_ToelageDirecteurNatVerloop483</vt:lpstr>
      <vt:lpstr>Data_ToelageDirecteurNatVerloop484</vt:lpstr>
      <vt:lpstr>Data_ToelageDirecteurNatVerloop485</vt:lpstr>
      <vt:lpstr>Data_ToelageDirecteurNatVerloop486</vt:lpstr>
      <vt:lpstr>Data_ToelageDirecteurNatVerloop487</vt:lpstr>
      <vt:lpstr>Data_ToelageDirecteurNatVerloop488</vt:lpstr>
      <vt:lpstr>Data_ToelageDirecteurNatVerloop489</vt:lpstr>
      <vt:lpstr>Data_ToelageDirecteurNatVerloop490</vt:lpstr>
      <vt:lpstr>Data_ToelageDirecteurNatVerloop491</vt:lpstr>
      <vt:lpstr>Data_ToelageDirecteurNatVerloop492</vt:lpstr>
      <vt:lpstr>Data_ToelageDirecteurNatVerloop493</vt:lpstr>
      <vt:lpstr>Data_ToelageDirecteurNatVerloop494</vt:lpstr>
      <vt:lpstr>Data_ToelageDirecteurNatVerloop495</vt:lpstr>
      <vt:lpstr>Data_ToelageDirecteurNatVerloop496</vt:lpstr>
      <vt:lpstr>Data_ToelageDirecteurNatVerloop497</vt:lpstr>
      <vt:lpstr>Data_ToelageDirecteurNatVerloop498</vt:lpstr>
      <vt:lpstr>Data_ToelageDirecteurNatVerloop499</vt:lpstr>
      <vt:lpstr>Data_ToelageDirecteurNatVerloop500</vt:lpstr>
      <vt:lpstr>Data_ToelageDirecteurTijd001</vt:lpstr>
      <vt:lpstr>Data_ToelageDirecteurTijd002</vt:lpstr>
      <vt:lpstr>Data_ToelageDirecteurTijd003</vt:lpstr>
      <vt:lpstr>Data_ToelageDirecteurTijd004</vt:lpstr>
      <vt:lpstr>Data_ToelageDirecteurTijd005</vt:lpstr>
      <vt:lpstr>Data_ToelageDirecteurTijd006</vt:lpstr>
      <vt:lpstr>Data_ToelageDirecteurTijd007</vt:lpstr>
      <vt:lpstr>Data_ToelageDirecteurTijd008</vt:lpstr>
      <vt:lpstr>Data_ToelageDirecteurTijd009</vt:lpstr>
      <vt:lpstr>Data_ToelageDirecteurTijd010</vt:lpstr>
      <vt:lpstr>Data_ToelageDirecteurTijd011</vt:lpstr>
      <vt:lpstr>Data_ToelageDirecteurTijd012</vt:lpstr>
      <vt:lpstr>Data_ToelageDirecteurTijd013</vt:lpstr>
      <vt:lpstr>Data_ToelageDirecteurTijd014</vt:lpstr>
      <vt:lpstr>Data_ToelageDirecteurTijd015</vt:lpstr>
      <vt:lpstr>Data_ToelageDirecteurTijd016</vt:lpstr>
      <vt:lpstr>Data_ToelageDirecteurTijd017</vt:lpstr>
      <vt:lpstr>Data_ToelageDirecteurTijd018</vt:lpstr>
      <vt:lpstr>Data_ToelageDirecteurTijd019</vt:lpstr>
      <vt:lpstr>Data_ToelageDirecteurTijd020</vt:lpstr>
      <vt:lpstr>Data_ToelageDirecteurTijd021</vt:lpstr>
      <vt:lpstr>Data_ToelageDirecteurTijd022</vt:lpstr>
      <vt:lpstr>Data_ToelageDirecteurTijd023</vt:lpstr>
      <vt:lpstr>Data_ToelageDirecteurTijd024</vt:lpstr>
      <vt:lpstr>Data_ToelageDirecteurTijd025</vt:lpstr>
      <vt:lpstr>Data_ToelageDirecteurTijd026</vt:lpstr>
      <vt:lpstr>Data_ToelageDirecteurTijd027</vt:lpstr>
      <vt:lpstr>Data_ToelageDirecteurTijd028</vt:lpstr>
      <vt:lpstr>Data_ToelageDirecteurTijd029</vt:lpstr>
      <vt:lpstr>Data_ToelageDirecteurTijd030</vt:lpstr>
      <vt:lpstr>Data_ToelageDirecteurTijd031</vt:lpstr>
      <vt:lpstr>Data_ToelageDirecteurTijd032</vt:lpstr>
      <vt:lpstr>Data_ToelageDirecteurTijd033</vt:lpstr>
      <vt:lpstr>Data_ToelageDirecteurTijd034</vt:lpstr>
      <vt:lpstr>Data_ToelageDirecteurTijd035</vt:lpstr>
      <vt:lpstr>Data_ToelageDirecteurTijd036</vt:lpstr>
      <vt:lpstr>Data_ToelageDirecteurTijd037</vt:lpstr>
      <vt:lpstr>Data_ToelageDirecteurTijd038</vt:lpstr>
      <vt:lpstr>Data_ToelageDirecteurTijd039</vt:lpstr>
      <vt:lpstr>Data_ToelageDirecteurTijd040</vt:lpstr>
      <vt:lpstr>Data_ToelageDirecteurTijd041</vt:lpstr>
      <vt:lpstr>Data_ToelageDirecteurTijd042</vt:lpstr>
      <vt:lpstr>Data_ToelageDirecteurTijd043</vt:lpstr>
      <vt:lpstr>Data_ToelageDirecteurTijd044</vt:lpstr>
      <vt:lpstr>Data_ToelageDirecteurTijd045</vt:lpstr>
      <vt:lpstr>Data_ToelageDirecteurTijd046</vt:lpstr>
      <vt:lpstr>Data_ToelageDirecteurTijd047</vt:lpstr>
      <vt:lpstr>Data_ToelageDirecteurTijd048</vt:lpstr>
      <vt:lpstr>Data_ToelageDirecteurTijd049</vt:lpstr>
      <vt:lpstr>Data_ToelageDirecteurTijd050</vt:lpstr>
      <vt:lpstr>Data_ToelageDirecteurTijd051</vt:lpstr>
      <vt:lpstr>Data_ToelageDirecteurTijd052</vt:lpstr>
      <vt:lpstr>Data_ToelageDirecteurTijd053</vt:lpstr>
      <vt:lpstr>Data_ToelageDirecteurTijd054</vt:lpstr>
      <vt:lpstr>Data_ToelageDirecteurTijd055</vt:lpstr>
      <vt:lpstr>Data_ToelageDirecteurTijd056</vt:lpstr>
      <vt:lpstr>Data_ToelageDirecteurTijd057</vt:lpstr>
      <vt:lpstr>Data_ToelageDirecteurTijd058</vt:lpstr>
      <vt:lpstr>Data_ToelageDirecteurTijd059</vt:lpstr>
      <vt:lpstr>Data_ToelageDirecteurTijd060</vt:lpstr>
      <vt:lpstr>Data_ToelageDirecteurTijd061</vt:lpstr>
      <vt:lpstr>Data_ToelageDirecteurTijd062</vt:lpstr>
      <vt:lpstr>Data_ToelageDirecteurTijd063</vt:lpstr>
      <vt:lpstr>Data_ToelageDirecteurTijd064</vt:lpstr>
      <vt:lpstr>Data_ToelageDirecteurTijd065</vt:lpstr>
      <vt:lpstr>Data_ToelageDirecteurTijd066</vt:lpstr>
      <vt:lpstr>Data_ToelageDirecteurTijd067</vt:lpstr>
      <vt:lpstr>Data_ToelageDirecteurTijd068</vt:lpstr>
      <vt:lpstr>Data_ToelageDirecteurTijd069</vt:lpstr>
      <vt:lpstr>Data_ToelageDirecteurTijd070</vt:lpstr>
      <vt:lpstr>Data_ToelageDirecteurTijd071</vt:lpstr>
      <vt:lpstr>Data_ToelageDirecteurTijd072</vt:lpstr>
      <vt:lpstr>Data_ToelageDirecteurTijd073</vt:lpstr>
      <vt:lpstr>Data_ToelageDirecteurTijd074</vt:lpstr>
      <vt:lpstr>Data_ToelageDirecteurTijd075</vt:lpstr>
      <vt:lpstr>Data_ToelageDirecteurTijd076</vt:lpstr>
      <vt:lpstr>Data_ToelageDirecteurTijd077</vt:lpstr>
      <vt:lpstr>Data_ToelageDirecteurTijd078</vt:lpstr>
      <vt:lpstr>Data_ToelageDirecteurTijd079</vt:lpstr>
      <vt:lpstr>Data_ToelageDirecteurTijd080</vt:lpstr>
      <vt:lpstr>Data_ToelageDirecteurTijd081</vt:lpstr>
      <vt:lpstr>Data_ToelageDirecteurTijd082</vt:lpstr>
      <vt:lpstr>Data_ToelageDirecteurTijd083</vt:lpstr>
      <vt:lpstr>Data_ToelageDirecteurTijd084</vt:lpstr>
      <vt:lpstr>Data_ToelageDirecteurTijd085</vt:lpstr>
      <vt:lpstr>Data_ToelageDirecteurTijd086</vt:lpstr>
      <vt:lpstr>Data_ToelageDirecteurTijd087</vt:lpstr>
      <vt:lpstr>Data_ToelageDirecteurTijd088</vt:lpstr>
      <vt:lpstr>Data_ToelageDirecteurTijd089</vt:lpstr>
      <vt:lpstr>Data_ToelageDirecteurTijd090</vt:lpstr>
      <vt:lpstr>Data_ToelageDirecteurTijd091</vt:lpstr>
      <vt:lpstr>Data_ToelageDirecteurTijd092</vt:lpstr>
      <vt:lpstr>Data_ToelageDirecteurTijd093</vt:lpstr>
      <vt:lpstr>Data_ToelageDirecteurTijd094</vt:lpstr>
      <vt:lpstr>Data_ToelageDirecteurTijd095</vt:lpstr>
      <vt:lpstr>Data_ToelageDirecteurTijd096</vt:lpstr>
      <vt:lpstr>Data_ToelageDirecteurTijd097</vt:lpstr>
      <vt:lpstr>Data_ToelageDirecteurTijd098</vt:lpstr>
      <vt:lpstr>Data_ToelageDirecteurTijd099</vt:lpstr>
      <vt:lpstr>Data_ToelageDirecteurTijd100</vt:lpstr>
      <vt:lpstr>Data_ToelageDirecteurTijd101</vt:lpstr>
      <vt:lpstr>Data_ToelageDirecteurTijd102</vt:lpstr>
      <vt:lpstr>Data_ToelageDirecteurTijd103</vt:lpstr>
      <vt:lpstr>Data_ToelageDirecteurTijd104</vt:lpstr>
      <vt:lpstr>Data_ToelageDirecteurTijd105</vt:lpstr>
      <vt:lpstr>Data_ToelageDirecteurTijd106</vt:lpstr>
      <vt:lpstr>Data_ToelageDirecteurTijd107</vt:lpstr>
      <vt:lpstr>Data_ToelageDirecteurTijd108</vt:lpstr>
      <vt:lpstr>Data_ToelageDirecteurTijd109</vt:lpstr>
      <vt:lpstr>Data_ToelageDirecteurTijd110</vt:lpstr>
      <vt:lpstr>Data_ToelageDirecteurTijd111</vt:lpstr>
      <vt:lpstr>Data_ToelageDirecteurTijd112</vt:lpstr>
      <vt:lpstr>Data_ToelageDirecteurTijd113</vt:lpstr>
      <vt:lpstr>Data_ToelageDirecteurTijd114</vt:lpstr>
      <vt:lpstr>Data_ToelageDirecteurTijd115</vt:lpstr>
      <vt:lpstr>Data_ToelageDirecteurTijd116</vt:lpstr>
      <vt:lpstr>Data_ToelageDirecteurTijd117</vt:lpstr>
      <vt:lpstr>Data_ToelageDirecteurTijd118</vt:lpstr>
      <vt:lpstr>Data_ToelageDirecteurTijd119</vt:lpstr>
      <vt:lpstr>Data_ToelageDirecteurTijd120</vt:lpstr>
      <vt:lpstr>Data_ToelageDirecteurTijd121</vt:lpstr>
      <vt:lpstr>Data_ToelageDirecteurTijd122</vt:lpstr>
      <vt:lpstr>Data_ToelageDirecteurTijd123</vt:lpstr>
      <vt:lpstr>Data_ToelageDirecteurTijd124</vt:lpstr>
      <vt:lpstr>Data_ToelageDirecteurTijd125</vt:lpstr>
      <vt:lpstr>Data_ToelageDirecteurTijd126</vt:lpstr>
      <vt:lpstr>Data_ToelageDirecteurTijd127</vt:lpstr>
      <vt:lpstr>Data_ToelageDirecteurTijd128</vt:lpstr>
      <vt:lpstr>Data_ToelageDirecteurTijd129</vt:lpstr>
      <vt:lpstr>Data_ToelageDirecteurTijd130</vt:lpstr>
      <vt:lpstr>Data_ToelageDirecteurTijd131</vt:lpstr>
      <vt:lpstr>Data_ToelageDirecteurTijd132</vt:lpstr>
      <vt:lpstr>Data_ToelageDirecteurTijd133</vt:lpstr>
      <vt:lpstr>Data_ToelageDirecteurTijd134</vt:lpstr>
      <vt:lpstr>Data_ToelageDirecteurTijd135</vt:lpstr>
      <vt:lpstr>Data_ToelageDirecteurTijd136</vt:lpstr>
      <vt:lpstr>Data_ToelageDirecteurTijd137</vt:lpstr>
      <vt:lpstr>Data_ToelageDirecteurTijd138</vt:lpstr>
      <vt:lpstr>Data_ToelageDirecteurTijd139</vt:lpstr>
      <vt:lpstr>Data_ToelageDirecteurTijd140</vt:lpstr>
      <vt:lpstr>Data_ToelageDirecteurTijd141</vt:lpstr>
      <vt:lpstr>Data_ToelageDirecteurTijd142</vt:lpstr>
      <vt:lpstr>Data_ToelageDirecteurTijd143</vt:lpstr>
      <vt:lpstr>Data_ToelageDirecteurTijd144</vt:lpstr>
      <vt:lpstr>Data_ToelageDirecteurTijd145</vt:lpstr>
      <vt:lpstr>Data_ToelageDirecteurTijd146</vt:lpstr>
      <vt:lpstr>Data_ToelageDirecteurTijd147</vt:lpstr>
      <vt:lpstr>Data_ToelageDirecteurTijd148</vt:lpstr>
      <vt:lpstr>Data_ToelageDirecteurTijd149</vt:lpstr>
      <vt:lpstr>Data_ToelageDirecteurTijd150</vt:lpstr>
      <vt:lpstr>Data_ToelageDirecteurTijd151</vt:lpstr>
      <vt:lpstr>Data_ToelageDirecteurTijd152</vt:lpstr>
      <vt:lpstr>Data_ToelageDirecteurTijd153</vt:lpstr>
      <vt:lpstr>Data_ToelageDirecteurTijd154</vt:lpstr>
      <vt:lpstr>Data_ToelageDirecteurTijd155</vt:lpstr>
      <vt:lpstr>Data_ToelageDirecteurTijd156</vt:lpstr>
      <vt:lpstr>Data_ToelageDirecteurTijd157</vt:lpstr>
      <vt:lpstr>Data_ToelageDirecteurTijd158</vt:lpstr>
      <vt:lpstr>Data_ToelageDirecteurTijd159</vt:lpstr>
      <vt:lpstr>Data_ToelageDirecteurTijd160</vt:lpstr>
      <vt:lpstr>Data_ToelageDirecteurTijd161</vt:lpstr>
      <vt:lpstr>Data_ToelageDirecteurTijd162</vt:lpstr>
      <vt:lpstr>Data_ToelageDirecteurTijd163</vt:lpstr>
      <vt:lpstr>Data_ToelageDirecteurTijd164</vt:lpstr>
      <vt:lpstr>Data_ToelageDirecteurTijd165</vt:lpstr>
      <vt:lpstr>Data_ToelageDirecteurTijd166</vt:lpstr>
      <vt:lpstr>Data_ToelageDirecteurTijd167</vt:lpstr>
      <vt:lpstr>Data_ToelageDirecteurTijd168</vt:lpstr>
      <vt:lpstr>Data_ToelageDirecteurTijd169</vt:lpstr>
      <vt:lpstr>Data_ToelageDirecteurTijd170</vt:lpstr>
      <vt:lpstr>Data_ToelageDirecteurTijd171</vt:lpstr>
      <vt:lpstr>Data_ToelageDirecteurTijd172</vt:lpstr>
      <vt:lpstr>Data_ToelageDirecteurTijd173</vt:lpstr>
      <vt:lpstr>Data_ToelageDirecteurTijd174</vt:lpstr>
      <vt:lpstr>Data_ToelageDirecteurTijd175</vt:lpstr>
      <vt:lpstr>Data_ToelageDirecteurTijd176</vt:lpstr>
      <vt:lpstr>Data_ToelageDirecteurTijd177</vt:lpstr>
      <vt:lpstr>Data_ToelageDirecteurTijd178</vt:lpstr>
      <vt:lpstr>Data_ToelageDirecteurTijd179</vt:lpstr>
      <vt:lpstr>Data_ToelageDirecteurTijd180</vt:lpstr>
      <vt:lpstr>Data_ToelageDirecteurTijd181</vt:lpstr>
      <vt:lpstr>Data_ToelageDirecteurTijd182</vt:lpstr>
      <vt:lpstr>Data_ToelageDirecteurTijd183</vt:lpstr>
      <vt:lpstr>Data_ToelageDirecteurTijd184</vt:lpstr>
      <vt:lpstr>Data_ToelageDirecteurTijd185</vt:lpstr>
      <vt:lpstr>Data_ToelageDirecteurTijd186</vt:lpstr>
      <vt:lpstr>Data_ToelageDirecteurTijd187</vt:lpstr>
      <vt:lpstr>Data_ToelageDirecteurTijd188</vt:lpstr>
      <vt:lpstr>Data_ToelageDirecteurTijd189</vt:lpstr>
      <vt:lpstr>Data_ToelageDirecteurTijd190</vt:lpstr>
      <vt:lpstr>Data_ToelageDirecteurTijd191</vt:lpstr>
      <vt:lpstr>Data_ToelageDirecteurTijd192</vt:lpstr>
      <vt:lpstr>Data_ToelageDirecteurTijd193</vt:lpstr>
      <vt:lpstr>Data_ToelageDirecteurTijd194</vt:lpstr>
      <vt:lpstr>Data_ToelageDirecteurTijd195</vt:lpstr>
      <vt:lpstr>Data_ToelageDirecteurTijd196</vt:lpstr>
      <vt:lpstr>Data_ToelageDirecteurTijd197</vt:lpstr>
      <vt:lpstr>Data_ToelageDirecteurTijd198</vt:lpstr>
      <vt:lpstr>Data_ToelageDirecteurTijd199</vt:lpstr>
      <vt:lpstr>Data_ToelageDirecteurTijd200</vt:lpstr>
      <vt:lpstr>Data_ToelageDirecteurTijd201</vt:lpstr>
      <vt:lpstr>Data_ToelageDirecteurTijd202</vt:lpstr>
      <vt:lpstr>Data_ToelageDirecteurTijd203</vt:lpstr>
      <vt:lpstr>Data_ToelageDirecteurTijd204</vt:lpstr>
      <vt:lpstr>Data_ToelageDirecteurTijd205</vt:lpstr>
      <vt:lpstr>Data_ToelageDirecteurTijd206</vt:lpstr>
      <vt:lpstr>Data_ToelageDirecteurTijd207</vt:lpstr>
      <vt:lpstr>Data_ToelageDirecteurTijd208</vt:lpstr>
      <vt:lpstr>Data_ToelageDirecteurTijd209</vt:lpstr>
      <vt:lpstr>Data_ToelageDirecteurTijd210</vt:lpstr>
      <vt:lpstr>Data_ToelageDirecteurTijd211</vt:lpstr>
      <vt:lpstr>Data_ToelageDirecteurTijd212</vt:lpstr>
      <vt:lpstr>Data_ToelageDirecteurTijd213</vt:lpstr>
      <vt:lpstr>Data_ToelageDirecteurTijd214</vt:lpstr>
      <vt:lpstr>Data_ToelageDirecteurTijd215</vt:lpstr>
      <vt:lpstr>Data_ToelageDirecteurTijd216</vt:lpstr>
      <vt:lpstr>Data_ToelageDirecteurTijd217</vt:lpstr>
      <vt:lpstr>Data_ToelageDirecteurTijd218</vt:lpstr>
      <vt:lpstr>Data_ToelageDirecteurTijd219</vt:lpstr>
      <vt:lpstr>Data_ToelageDirecteurTijd220</vt:lpstr>
      <vt:lpstr>Data_ToelageDirecteurTijd221</vt:lpstr>
      <vt:lpstr>Data_ToelageDirecteurTijd222</vt:lpstr>
      <vt:lpstr>Data_ToelageDirecteurTijd223</vt:lpstr>
      <vt:lpstr>Data_ToelageDirecteurTijd224</vt:lpstr>
      <vt:lpstr>Data_ToelageDirecteurTijd225</vt:lpstr>
      <vt:lpstr>Data_ToelageDirecteurTijd226</vt:lpstr>
      <vt:lpstr>Data_ToelageDirecteurTijd227</vt:lpstr>
      <vt:lpstr>Data_ToelageDirecteurTijd228</vt:lpstr>
      <vt:lpstr>Data_ToelageDirecteurTijd229</vt:lpstr>
      <vt:lpstr>Data_ToelageDirecteurTijd230</vt:lpstr>
      <vt:lpstr>Data_ToelageDirecteurTijd231</vt:lpstr>
      <vt:lpstr>Data_ToelageDirecteurTijd232</vt:lpstr>
      <vt:lpstr>Data_ToelageDirecteurTijd233</vt:lpstr>
      <vt:lpstr>Data_ToelageDirecteurTijd234</vt:lpstr>
      <vt:lpstr>Data_ToelageDirecteurTijd235</vt:lpstr>
      <vt:lpstr>Data_ToelageDirecteurTijd236</vt:lpstr>
      <vt:lpstr>Data_ToelageDirecteurTijd237</vt:lpstr>
      <vt:lpstr>Data_ToelageDirecteurTijd238</vt:lpstr>
      <vt:lpstr>Data_ToelageDirecteurTijd239</vt:lpstr>
      <vt:lpstr>Data_ToelageDirecteurTijd240</vt:lpstr>
      <vt:lpstr>Data_ToelageDirecteurTijd241</vt:lpstr>
      <vt:lpstr>Data_ToelageDirecteurTijd242</vt:lpstr>
      <vt:lpstr>Data_ToelageDirecteurTijd243</vt:lpstr>
      <vt:lpstr>Data_ToelageDirecteurTijd244</vt:lpstr>
      <vt:lpstr>Data_ToelageDirecteurTijd245</vt:lpstr>
      <vt:lpstr>Data_ToelageDirecteurTijd246</vt:lpstr>
      <vt:lpstr>Data_ToelageDirecteurTijd247</vt:lpstr>
      <vt:lpstr>Data_ToelageDirecteurTijd248</vt:lpstr>
      <vt:lpstr>Data_ToelageDirecteurTijd249</vt:lpstr>
      <vt:lpstr>Data_ToelageDirecteurTijd250</vt:lpstr>
      <vt:lpstr>Data_ToelageDirecteurTijd251</vt:lpstr>
      <vt:lpstr>Data_ToelageDirecteurTijd252</vt:lpstr>
      <vt:lpstr>Data_ToelageDirecteurTijd253</vt:lpstr>
      <vt:lpstr>Data_ToelageDirecteurTijd254</vt:lpstr>
      <vt:lpstr>Data_ToelageDirecteurTijd255</vt:lpstr>
      <vt:lpstr>Data_ToelageDirecteurTijd256</vt:lpstr>
      <vt:lpstr>Data_ToelageDirecteurTijd257</vt:lpstr>
      <vt:lpstr>Data_ToelageDirecteurTijd258</vt:lpstr>
      <vt:lpstr>Data_ToelageDirecteurTijd259</vt:lpstr>
      <vt:lpstr>Data_ToelageDirecteurTijd260</vt:lpstr>
      <vt:lpstr>Data_ToelageDirecteurTijd261</vt:lpstr>
      <vt:lpstr>Data_ToelageDirecteurTijd262</vt:lpstr>
      <vt:lpstr>Data_ToelageDirecteurTijd263</vt:lpstr>
      <vt:lpstr>Data_ToelageDirecteurTijd264</vt:lpstr>
      <vt:lpstr>Data_ToelageDirecteurTijd265</vt:lpstr>
      <vt:lpstr>Data_ToelageDirecteurTijd266</vt:lpstr>
      <vt:lpstr>Data_ToelageDirecteurTijd267</vt:lpstr>
      <vt:lpstr>Data_ToelageDirecteurTijd268</vt:lpstr>
      <vt:lpstr>Data_ToelageDirecteurTijd269</vt:lpstr>
      <vt:lpstr>Data_ToelageDirecteurTijd270</vt:lpstr>
      <vt:lpstr>Data_ToelageDirecteurTijd271</vt:lpstr>
      <vt:lpstr>Data_ToelageDirecteurTijd272</vt:lpstr>
      <vt:lpstr>Data_ToelageDirecteurTijd273</vt:lpstr>
      <vt:lpstr>Data_ToelageDirecteurTijd274</vt:lpstr>
      <vt:lpstr>Data_ToelageDirecteurTijd275</vt:lpstr>
      <vt:lpstr>Data_ToelageDirecteurTijd276</vt:lpstr>
      <vt:lpstr>Data_ToelageDirecteurTijd277</vt:lpstr>
      <vt:lpstr>Data_ToelageDirecteurTijd278</vt:lpstr>
      <vt:lpstr>Data_ToelageDirecteurTijd279</vt:lpstr>
      <vt:lpstr>Data_ToelageDirecteurTijd280</vt:lpstr>
      <vt:lpstr>Data_ToelageDirecteurTijd281</vt:lpstr>
      <vt:lpstr>Data_ToelageDirecteurTijd282</vt:lpstr>
      <vt:lpstr>Data_ToelageDirecteurTijd283</vt:lpstr>
      <vt:lpstr>Data_ToelageDirecteurTijd284</vt:lpstr>
      <vt:lpstr>Data_ToelageDirecteurTijd285</vt:lpstr>
      <vt:lpstr>Data_ToelageDirecteurTijd286</vt:lpstr>
      <vt:lpstr>Data_ToelageDirecteurTijd287</vt:lpstr>
      <vt:lpstr>Data_ToelageDirecteurTijd288</vt:lpstr>
      <vt:lpstr>Data_ToelageDirecteurTijd289</vt:lpstr>
      <vt:lpstr>Data_ToelageDirecteurTijd290</vt:lpstr>
      <vt:lpstr>Data_ToelageDirecteurTijd291</vt:lpstr>
      <vt:lpstr>Data_ToelageDirecteurTijd292</vt:lpstr>
      <vt:lpstr>Data_ToelageDirecteurTijd293</vt:lpstr>
      <vt:lpstr>Data_ToelageDirecteurTijd294</vt:lpstr>
      <vt:lpstr>Data_ToelageDirecteurTijd295</vt:lpstr>
      <vt:lpstr>Data_ToelageDirecteurTijd296</vt:lpstr>
      <vt:lpstr>Data_ToelageDirecteurTijd297</vt:lpstr>
      <vt:lpstr>Data_ToelageDirecteurTijd298</vt:lpstr>
      <vt:lpstr>Data_ToelageDirecteurTijd299</vt:lpstr>
      <vt:lpstr>Data_ToelageDirecteurTijd300</vt:lpstr>
      <vt:lpstr>Data_ToelageDirecteurTijd301</vt:lpstr>
      <vt:lpstr>Data_ToelageDirecteurTijd302</vt:lpstr>
      <vt:lpstr>Data_ToelageDirecteurTijd303</vt:lpstr>
      <vt:lpstr>Data_ToelageDirecteurTijd304</vt:lpstr>
      <vt:lpstr>Data_ToelageDirecteurTijd305</vt:lpstr>
      <vt:lpstr>Data_ToelageDirecteurTijd306</vt:lpstr>
      <vt:lpstr>Data_ToelageDirecteurTijd307</vt:lpstr>
      <vt:lpstr>Data_ToelageDirecteurTijd308</vt:lpstr>
      <vt:lpstr>Data_ToelageDirecteurTijd309</vt:lpstr>
      <vt:lpstr>Data_ToelageDirecteurTijd310</vt:lpstr>
      <vt:lpstr>Data_ToelageDirecteurTijd311</vt:lpstr>
      <vt:lpstr>Data_ToelageDirecteurTijd312</vt:lpstr>
      <vt:lpstr>Data_ToelageDirecteurTijd313</vt:lpstr>
      <vt:lpstr>Data_ToelageDirecteurTijd314</vt:lpstr>
      <vt:lpstr>Data_ToelageDirecteurTijd315</vt:lpstr>
      <vt:lpstr>Data_ToelageDirecteurTijd316</vt:lpstr>
      <vt:lpstr>Data_ToelageDirecteurTijd317</vt:lpstr>
      <vt:lpstr>Data_ToelageDirecteurTijd318</vt:lpstr>
      <vt:lpstr>Data_ToelageDirecteurTijd319</vt:lpstr>
      <vt:lpstr>Data_ToelageDirecteurTijd320</vt:lpstr>
      <vt:lpstr>Data_ToelageDirecteurTijd321</vt:lpstr>
      <vt:lpstr>Data_ToelageDirecteurTijd322</vt:lpstr>
      <vt:lpstr>Data_ToelageDirecteurTijd323</vt:lpstr>
      <vt:lpstr>Data_ToelageDirecteurTijd324</vt:lpstr>
      <vt:lpstr>Data_ToelageDirecteurTijd325</vt:lpstr>
      <vt:lpstr>Data_ToelageDirecteurTijd326</vt:lpstr>
      <vt:lpstr>Data_ToelageDirecteurTijd327</vt:lpstr>
      <vt:lpstr>Data_ToelageDirecteurTijd328</vt:lpstr>
      <vt:lpstr>Data_ToelageDirecteurTijd329</vt:lpstr>
      <vt:lpstr>Data_ToelageDirecteurTijd330</vt:lpstr>
      <vt:lpstr>Data_ToelageDirecteurTijd331</vt:lpstr>
      <vt:lpstr>Data_ToelageDirecteurTijd332</vt:lpstr>
      <vt:lpstr>Data_ToelageDirecteurTijd333</vt:lpstr>
      <vt:lpstr>Data_ToelageDirecteurTijd334</vt:lpstr>
      <vt:lpstr>Data_ToelageDirecteurTijd335</vt:lpstr>
      <vt:lpstr>Data_ToelageDirecteurTijd336</vt:lpstr>
      <vt:lpstr>Data_ToelageDirecteurTijd337</vt:lpstr>
      <vt:lpstr>Data_ToelageDirecteurTijd338</vt:lpstr>
      <vt:lpstr>Data_ToelageDirecteurTijd339</vt:lpstr>
      <vt:lpstr>Data_ToelageDirecteurTijd340</vt:lpstr>
      <vt:lpstr>Data_ToelageDirecteurTijd341</vt:lpstr>
      <vt:lpstr>Data_ToelageDirecteurTijd342</vt:lpstr>
      <vt:lpstr>Data_ToelageDirecteurTijd343</vt:lpstr>
      <vt:lpstr>Data_ToelageDirecteurTijd344</vt:lpstr>
      <vt:lpstr>Data_ToelageDirecteurTijd345</vt:lpstr>
      <vt:lpstr>Data_ToelageDirecteurTijd346</vt:lpstr>
      <vt:lpstr>Data_ToelageDirecteurTijd347</vt:lpstr>
      <vt:lpstr>Data_ToelageDirecteurTijd348</vt:lpstr>
      <vt:lpstr>Data_ToelageDirecteurTijd349</vt:lpstr>
      <vt:lpstr>Data_ToelageDirecteurTijd350</vt:lpstr>
      <vt:lpstr>Data_ToelageDirecteurTijd351</vt:lpstr>
      <vt:lpstr>Data_ToelageDirecteurTijd352</vt:lpstr>
      <vt:lpstr>Data_ToelageDirecteurTijd353</vt:lpstr>
      <vt:lpstr>Data_ToelageDirecteurTijd354</vt:lpstr>
      <vt:lpstr>Data_ToelageDirecteurTijd355</vt:lpstr>
      <vt:lpstr>Data_ToelageDirecteurTijd356</vt:lpstr>
      <vt:lpstr>Data_ToelageDirecteurTijd357</vt:lpstr>
      <vt:lpstr>Data_ToelageDirecteurTijd358</vt:lpstr>
      <vt:lpstr>Data_ToelageDirecteurTijd359</vt:lpstr>
      <vt:lpstr>Data_ToelageDirecteurTijd360</vt:lpstr>
      <vt:lpstr>Data_ToelageDirecteurTijd361</vt:lpstr>
      <vt:lpstr>Data_ToelageDirecteurTijd362</vt:lpstr>
      <vt:lpstr>Data_ToelageDirecteurTijd363</vt:lpstr>
      <vt:lpstr>Data_ToelageDirecteurTijd364</vt:lpstr>
      <vt:lpstr>Data_ToelageDirecteurTijd365</vt:lpstr>
      <vt:lpstr>Data_ToelageDirecteurTijd366</vt:lpstr>
      <vt:lpstr>Data_ToelageDirecteurTijd367</vt:lpstr>
      <vt:lpstr>Data_ToelageDirecteurTijd368</vt:lpstr>
      <vt:lpstr>Data_ToelageDirecteurTijd369</vt:lpstr>
      <vt:lpstr>Data_ToelageDirecteurTijd370</vt:lpstr>
      <vt:lpstr>Data_ToelageDirecteurTijd371</vt:lpstr>
      <vt:lpstr>Data_ToelageDirecteurTijd372</vt:lpstr>
      <vt:lpstr>Data_ToelageDirecteurTijd373</vt:lpstr>
      <vt:lpstr>Data_ToelageDirecteurTijd374</vt:lpstr>
      <vt:lpstr>Data_ToelageDirecteurTijd375</vt:lpstr>
      <vt:lpstr>Data_ToelageDirecteurTijd376</vt:lpstr>
      <vt:lpstr>Data_ToelageDirecteurTijd377</vt:lpstr>
      <vt:lpstr>Data_ToelageDirecteurTijd378</vt:lpstr>
      <vt:lpstr>Data_ToelageDirecteurTijd379</vt:lpstr>
      <vt:lpstr>Data_ToelageDirecteurTijd380</vt:lpstr>
      <vt:lpstr>Data_ToelageDirecteurTijd381</vt:lpstr>
      <vt:lpstr>Data_ToelageDirecteurTijd382</vt:lpstr>
      <vt:lpstr>Data_ToelageDirecteurTijd383</vt:lpstr>
      <vt:lpstr>Data_ToelageDirecteurTijd384</vt:lpstr>
      <vt:lpstr>Data_ToelageDirecteurTijd385</vt:lpstr>
      <vt:lpstr>Data_ToelageDirecteurTijd386</vt:lpstr>
      <vt:lpstr>Data_ToelageDirecteurTijd387</vt:lpstr>
      <vt:lpstr>Data_ToelageDirecteurTijd388</vt:lpstr>
      <vt:lpstr>Data_ToelageDirecteurTijd389</vt:lpstr>
      <vt:lpstr>Data_ToelageDirecteurTijd390</vt:lpstr>
      <vt:lpstr>Data_ToelageDirecteurTijd391</vt:lpstr>
      <vt:lpstr>Data_ToelageDirecteurTijd392</vt:lpstr>
      <vt:lpstr>Data_ToelageDirecteurTijd393</vt:lpstr>
      <vt:lpstr>Data_ToelageDirecteurTijd394</vt:lpstr>
      <vt:lpstr>Data_ToelageDirecteurTijd395</vt:lpstr>
      <vt:lpstr>Data_ToelageDirecteurTijd396</vt:lpstr>
      <vt:lpstr>Data_ToelageDirecteurTijd397</vt:lpstr>
      <vt:lpstr>Data_ToelageDirecteurTijd398</vt:lpstr>
      <vt:lpstr>Data_ToelageDirecteurTijd399</vt:lpstr>
      <vt:lpstr>Data_ToelageDirecteurTijd400</vt:lpstr>
      <vt:lpstr>Data_ToelageDirecteurTijd401</vt:lpstr>
      <vt:lpstr>Data_ToelageDirecteurTijd402</vt:lpstr>
      <vt:lpstr>Data_ToelageDirecteurTijd403</vt:lpstr>
      <vt:lpstr>Data_ToelageDirecteurTijd404</vt:lpstr>
      <vt:lpstr>Data_ToelageDirecteurTijd405</vt:lpstr>
      <vt:lpstr>Data_ToelageDirecteurTijd406</vt:lpstr>
      <vt:lpstr>Data_ToelageDirecteurTijd407</vt:lpstr>
      <vt:lpstr>Data_ToelageDirecteurTijd408</vt:lpstr>
      <vt:lpstr>Data_ToelageDirecteurTijd409</vt:lpstr>
      <vt:lpstr>Data_ToelageDirecteurTijd410</vt:lpstr>
      <vt:lpstr>Data_ToelageDirecteurTijd411</vt:lpstr>
      <vt:lpstr>Data_ToelageDirecteurTijd412</vt:lpstr>
      <vt:lpstr>Data_ToelageDirecteurTijd413</vt:lpstr>
      <vt:lpstr>Data_ToelageDirecteurTijd414</vt:lpstr>
      <vt:lpstr>Data_ToelageDirecteurTijd415</vt:lpstr>
      <vt:lpstr>Data_ToelageDirecteurTijd416</vt:lpstr>
      <vt:lpstr>Data_ToelageDirecteurTijd417</vt:lpstr>
      <vt:lpstr>Data_ToelageDirecteurTijd418</vt:lpstr>
      <vt:lpstr>Data_ToelageDirecteurTijd419</vt:lpstr>
      <vt:lpstr>Data_ToelageDirecteurTijd420</vt:lpstr>
      <vt:lpstr>Data_ToelageDirecteurTijd421</vt:lpstr>
      <vt:lpstr>Data_ToelageDirecteurTijd422</vt:lpstr>
      <vt:lpstr>Data_ToelageDirecteurTijd423</vt:lpstr>
      <vt:lpstr>Data_ToelageDirecteurTijd424</vt:lpstr>
      <vt:lpstr>Data_ToelageDirecteurTijd425</vt:lpstr>
      <vt:lpstr>Data_ToelageDirecteurTijd426</vt:lpstr>
      <vt:lpstr>Data_ToelageDirecteurTijd427</vt:lpstr>
      <vt:lpstr>Data_ToelageDirecteurTijd428</vt:lpstr>
      <vt:lpstr>Data_ToelageDirecteurTijd429</vt:lpstr>
      <vt:lpstr>Data_ToelageDirecteurTijd430</vt:lpstr>
      <vt:lpstr>Data_ToelageDirecteurTijd431</vt:lpstr>
      <vt:lpstr>Data_ToelageDirecteurTijd432</vt:lpstr>
      <vt:lpstr>Data_ToelageDirecteurTijd433</vt:lpstr>
      <vt:lpstr>Data_ToelageDirecteurTijd434</vt:lpstr>
      <vt:lpstr>Data_ToelageDirecteurTijd435</vt:lpstr>
      <vt:lpstr>Data_ToelageDirecteurTijd436</vt:lpstr>
      <vt:lpstr>Data_ToelageDirecteurTijd437</vt:lpstr>
      <vt:lpstr>Data_ToelageDirecteurTijd438</vt:lpstr>
      <vt:lpstr>Data_ToelageDirecteurTijd439</vt:lpstr>
      <vt:lpstr>Data_ToelageDirecteurTijd440</vt:lpstr>
      <vt:lpstr>Data_ToelageDirecteurTijd441</vt:lpstr>
      <vt:lpstr>Data_ToelageDirecteurTijd442</vt:lpstr>
      <vt:lpstr>Data_ToelageDirecteurTijd443</vt:lpstr>
      <vt:lpstr>Data_ToelageDirecteurTijd444</vt:lpstr>
      <vt:lpstr>Data_ToelageDirecteurTijd445</vt:lpstr>
      <vt:lpstr>Data_ToelageDirecteurTijd446</vt:lpstr>
      <vt:lpstr>Data_ToelageDirecteurTijd447</vt:lpstr>
      <vt:lpstr>Data_ToelageDirecteurTijd448</vt:lpstr>
      <vt:lpstr>Data_ToelageDirecteurTijd449</vt:lpstr>
      <vt:lpstr>Data_ToelageDirecteurTijd450</vt:lpstr>
      <vt:lpstr>Data_ToelageDirecteurTijd451</vt:lpstr>
      <vt:lpstr>Data_ToelageDirecteurTijd452</vt:lpstr>
      <vt:lpstr>Data_ToelageDirecteurTijd453</vt:lpstr>
      <vt:lpstr>Data_ToelageDirecteurTijd454</vt:lpstr>
      <vt:lpstr>Data_ToelageDirecteurTijd455</vt:lpstr>
      <vt:lpstr>Data_ToelageDirecteurTijd456</vt:lpstr>
      <vt:lpstr>Data_ToelageDirecteurTijd457</vt:lpstr>
      <vt:lpstr>Data_ToelageDirecteurTijd458</vt:lpstr>
      <vt:lpstr>Data_ToelageDirecteurTijd459</vt:lpstr>
      <vt:lpstr>Data_ToelageDirecteurTijd460</vt:lpstr>
      <vt:lpstr>Data_ToelageDirecteurTijd461</vt:lpstr>
      <vt:lpstr>Data_ToelageDirecteurTijd462</vt:lpstr>
      <vt:lpstr>Data_ToelageDirecteurTijd463</vt:lpstr>
      <vt:lpstr>Data_ToelageDirecteurTijd464</vt:lpstr>
      <vt:lpstr>Data_ToelageDirecteurTijd465</vt:lpstr>
      <vt:lpstr>Data_ToelageDirecteurTijd466</vt:lpstr>
      <vt:lpstr>Data_ToelageDirecteurTijd467</vt:lpstr>
      <vt:lpstr>Data_ToelageDirecteurTijd468</vt:lpstr>
      <vt:lpstr>Data_ToelageDirecteurTijd469</vt:lpstr>
      <vt:lpstr>Data_ToelageDirecteurTijd470</vt:lpstr>
      <vt:lpstr>Data_ToelageDirecteurTijd471</vt:lpstr>
      <vt:lpstr>Data_ToelageDirecteurTijd472</vt:lpstr>
      <vt:lpstr>Data_ToelageDirecteurTijd473</vt:lpstr>
      <vt:lpstr>Data_ToelageDirecteurTijd474</vt:lpstr>
      <vt:lpstr>Data_ToelageDirecteurTijd475</vt:lpstr>
      <vt:lpstr>Data_ToelageDirecteurTijd476</vt:lpstr>
      <vt:lpstr>Data_ToelageDirecteurTijd477</vt:lpstr>
      <vt:lpstr>Data_ToelageDirecteurTijd478</vt:lpstr>
      <vt:lpstr>Data_ToelageDirecteurTijd479</vt:lpstr>
      <vt:lpstr>Data_ToelageDirecteurTijd480</vt:lpstr>
      <vt:lpstr>Data_ToelageDirecteurTijd481</vt:lpstr>
      <vt:lpstr>Data_ToelageDirecteurTijd482</vt:lpstr>
      <vt:lpstr>Data_ToelageDirecteurTijd483</vt:lpstr>
      <vt:lpstr>Data_ToelageDirecteurTijd484</vt:lpstr>
      <vt:lpstr>Data_ToelageDirecteurTijd485</vt:lpstr>
      <vt:lpstr>Data_ToelageDirecteurTijd486</vt:lpstr>
      <vt:lpstr>Data_ToelageDirecteurTijd487</vt:lpstr>
      <vt:lpstr>Data_ToelageDirecteurTijd488</vt:lpstr>
      <vt:lpstr>Data_ToelageDirecteurTijd489</vt:lpstr>
      <vt:lpstr>Data_ToelageDirecteurTijd490</vt:lpstr>
      <vt:lpstr>Data_ToelageDirecteurTijd491</vt:lpstr>
      <vt:lpstr>Data_ToelageDirecteurTijd492</vt:lpstr>
      <vt:lpstr>Data_ToelageDirecteurTijd493</vt:lpstr>
      <vt:lpstr>Data_ToelageDirecteurTijd494</vt:lpstr>
      <vt:lpstr>Data_ToelageDirecteurTijd495</vt:lpstr>
      <vt:lpstr>Data_ToelageDirecteurTijd496</vt:lpstr>
      <vt:lpstr>Data_ToelageDirecteurTijd497</vt:lpstr>
      <vt:lpstr>Data_ToelageDirecteurTijd498</vt:lpstr>
      <vt:lpstr>Data_ToelageDirecteurTijd499</vt:lpstr>
      <vt:lpstr>Data_ToelageDirecteurTijd500</vt:lpstr>
      <vt:lpstr>Data_ToelageDirecteurVastOntslag001</vt:lpstr>
      <vt:lpstr>Data_ToelageDirecteurVastOntslag002</vt:lpstr>
      <vt:lpstr>Data_ToelageDirecteurVastOntslag003</vt:lpstr>
      <vt:lpstr>Data_ToelageDirecteurVastOntslag004</vt:lpstr>
      <vt:lpstr>Data_ToelageDirecteurVastOntslag005</vt:lpstr>
      <vt:lpstr>Data_ToelageDirecteurVastOntslag006</vt:lpstr>
      <vt:lpstr>Data_ToelageDirecteurVastOntslag007</vt:lpstr>
      <vt:lpstr>Data_ToelageDirecteurVastOntslag008</vt:lpstr>
      <vt:lpstr>Data_ToelageDirecteurVastOntslag009</vt:lpstr>
      <vt:lpstr>Data_ToelageDirecteurVastOntslag010</vt:lpstr>
      <vt:lpstr>Data_ToelageDirecteurVastOntslag011</vt:lpstr>
      <vt:lpstr>Data_ToelageDirecteurVastOntslag012</vt:lpstr>
      <vt:lpstr>Data_ToelageDirecteurVastOntslag013</vt:lpstr>
      <vt:lpstr>Data_ToelageDirecteurVastOntslag014</vt:lpstr>
      <vt:lpstr>Data_ToelageDirecteurVastOntslag015</vt:lpstr>
      <vt:lpstr>Data_ToelageDirecteurVastOntslag016</vt:lpstr>
      <vt:lpstr>Data_ToelageDirecteurVastOntslag017</vt:lpstr>
      <vt:lpstr>Data_ToelageDirecteurVastOntslag018</vt:lpstr>
      <vt:lpstr>Data_ToelageDirecteurVastOntslag019</vt:lpstr>
      <vt:lpstr>Data_ToelageDirecteurVastOntslag020</vt:lpstr>
      <vt:lpstr>Data_ToelageDirecteurVastOntslag021</vt:lpstr>
      <vt:lpstr>Data_ToelageDirecteurVastOntslag022</vt:lpstr>
      <vt:lpstr>Data_ToelageDirecteurVastOntslag023</vt:lpstr>
      <vt:lpstr>Data_ToelageDirecteurVastOntslag024</vt:lpstr>
      <vt:lpstr>Data_ToelageDirecteurVastOntslag025</vt:lpstr>
      <vt:lpstr>Data_ToelageDirecteurVastOntslag026</vt:lpstr>
      <vt:lpstr>Data_ToelageDirecteurVastOntslag027</vt:lpstr>
      <vt:lpstr>Data_ToelageDirecteurVastOntslag028</vt:lpstr>
      <vt:lpstr>Data_ToelageDirecteurVastOntslag029</vt:lpstr>
      <vt:lpstr>Data_ToelageDirecteurVastOntslag030</vt:lpstr>
      <vt:lpstr>Data_ToelageDirecteurVastOntslag031</vt:lpstr>
      <vt:lpstr>Data_ToelageDirecteurVastOntslag032</vt:lpstr>
      <vt:lpstr>Data_ToelageDirecteurVastOntslag033</vt:lpstr>
      <vt:lpstr>Data_ToelageDirecteurVastOntslag034</vt:lpstr>
      <vt:lpstr>Data_ToelageDirecteurVastOntslag035</vt:lpstr>
      <vt:lpstr>Data_ToelageDirecteurVastOntslag036</vt:lpstr>
      <vt:lpstr>Data_ToelageDirecteurVastOntslag037</vt:lpstr>
      <vt:lpstr>Data_ToelageDirecteurVastOntslag038</vt:lpstr>
      <vt:lpstr>Data_ToelageDirecteurVastOntslag039</vt:lpstr>
      <vt:lpstr>Data_ToelageDirecteurVastOntslag040</vt:lpstr>
      <vt:lpstr>Data_ToelageDirecteurVastOntslag041</vt:lpstr>
      <vt:lpstr>Data_ToelageDirecteurVastOntslag042</vt:lpstr>
      <vt:lpstr>Data_ToelageDirecteurVastOntslag043</vt:lpstr>
      <vt:lpstr>Data_ToelageDirecteurVastOntslag044</vt:lpstr>
      <vt:lpstr>Data_ToelageDirecteurVastOntslag045</vt:lpstr>
      <vt:lpstr>Data_ToelageDirecteurVastOntslag046</vt:lpstr>
      <vt:lpstr>Data_ToelageDirecteurVastOntslag047</vt:lpstr>
      <vt:lpstr>Data_ToelageDirecteurVastOntslag048</vt:lpstr>
      <vt:lpstr>Data_ToelageDirecteurVastOntslag049</vt:lpstr>
      <vt:lpstr>Data_ToelageDirecteurVastOntslag050</vt:lpstr>
      <vt:lpstr>Data_ToelageDirecteurVastOntslag051</vt:lpstr>
      <vt:lpstr>Data_ToelageDirecteurVastOntslag052</vt:lpstr>
      <vt:lpstr>Data_ToelageDirecteurVastOntslag053</vt:lpstr>
      <vt:lpstr>Data_ToelageDirecteurVastOntslag054</vt:lpstr>
      <vt:lpstr>Data_ToelageDirecteurVastOntslag055</vt:lpstr>
      <vt:lpstr>Data_ToelageDirecteurVastOntslag056</vt:lpstr>
      <vt:lpstr>Data_ToelageDirecteurVastOntslag057</vt:lpstr>
      <vt:lpstr>Data_ToelageDirecteurVastOntslag058</vt:lpstr>
      <vt:lpstr>Data_ToelageDirecteurVastOntslag059</vt:lpstr>
      <vt:lpstr>Data_ToelageDirecteurVastOntslag060</vt:lpstr>
      <vt:lpstr>Data_ToelageDirecteurVastOntslag061</vt:lpstr>
      <vt:lpstr>Data_ToelageDirecteurVastOntslag062</vt:lpstr>
      <vt:lpstr>Data_ToelageDirecteurVastOntslag063</vt:lpstr>
      <vt:lpstr>Data_ToelageDirecteurVastOntslag064</vt:lpstr>
      <vt:lpstr>Data_ToelageDirecteurVastOntslag065</vt:lpstr>
      <vt:lpstr>Data_ToelageDirecteurVastOntslag066</vt:lpstr>
      <vt:lpstr>Data_ToelageDirecteurVastOntslag067</vt:lpstr>
      <vt:lpstr>Data_ToelageDirecteurVastOntslag068</vt:lpstr>
      <vt:lpstr>Data_ToelageDirecteurVastOntslag069</vt:lpstr>
      <vt:lpstr>Data_ToelageDirecteurVastOntslag070</vt:lpstr>
      <vt:lpstr>Data_ToelageDirecteurVastOntslag071</vt:lpstr>
      <vt:lpstr>Data_ToelageDirecteurVastOntslag072</vt:lpstr>
      <vt:lpstr>Data_ToelageDirecteurVastOntslag073</vt:lpstr>
      <vt:lpstr>Data_ToelageDirecteurVastOntslag074</vt:lpstr>
      <vt:lpstr>Data_ToelageDirecteurVastOntslag075</vt:lpstr>
      <vt:lpstr>Data_ToelageDirecteurVastOntslag076</vt:lpstr>
      <vt:lpstr>Data_ToelageDirecteurVastOntslag077</vt:lpstr>
      <vt:lpstr>Data_ToelageDirecteurVastOntslag078</vt:lpstr>
      <vt:lpstr>Data_ToelageDirecteurVastOntslag079</vt:lpstr>
      <vt:lpstr>Data_ToelageDirecteurVastOntslag080</vt:lpstr>
      <vt:lpstr>Data_ToelageDirecteurVastOntslag081</vt:lpstr>
      <vt:lpstr>Data_ToelageDirecteurVastOntslag082</vt:lpstr>
      <vt:lpstr>Data_ToelageDirecteurVastOntslag083</vt:lpstr>
      <vt:lpstr>Data_ToelageDirecteurVastOntslag084</vt:lpstr>
      <vt:lpstr>Data_ToelageDirecteurVastOntslag085</vt:lpstr>
      <vt:lpstr>Data_ToelageDirecteurVastOntslag086</vt:lpstr>
      <vt:lpstr>Data_ToelageDirecteurVastOntslag087</vt:lpstr>
      <vt:lpstr>Data_ToelageDirecteurVastOntslag088</vt:lpstr>
      <vt:lpstr>Data_ToelageDirecteurVastOntslag089</vt:lpstr>
      <vt:lpstr>Data_ToelageDirecteurVastOntslag090</vt:lpstr>
      <vt:lpstr>Data_ToelageDirecteurVastOntslag091</vt:lpstr>
      <vt:lpstr>Data_ToelageDirecteurVastOntslag092</vt:lpstr>
      <vt:lpstr>Data_ToelageDirecteurVastOntslag093</vt:lpstr>
      <vt:lpstr>Data_ToelageDirecteurVastOntslag094</vt:lpstr>
      <vt:lpstr>Data_ToelageDirecteurVastOntslag095</vt:lpstr>
      <vt:lpstr>Data_ToelageDirecteurVastOntslag096</vt:lpstr>
      <vt:lpstr>Data_ToelageDirecteurVastOntslag097</vt:lpstr>
      <vt:lpstr>Data_ToelageDirecteurVastOntslag098</vt:lpstr>
      <vt:lpstr>Data_ToelageDirecteurVastOntslag099</vt:lpstr>
      <vt:lpstr>Data_ToelageDirecteurVastOntslag100</vt:lpstr>
      <vt:lpstr>Data_ToelageDirecteurVastOntslag101</vt:lpstr>
      <vt:lpstr>Data_ToelageDirecteurVastOntslag102</vt:lpstr>
      <vt:lpstr>Data_ToelageDirecteurVastOntslag103</vt:lpstr>
      <vt:lpstr>Data_ToelageDirecteurVastOntslag104</vt:lpstr>
      <vt:lpstr>Data_ToelageDirecteurVastOntslag105</vt:lpstr>
      <vt:lpstr>Data_ToelageDirecteurVastOntslag106</vt:lpstr>
      <vt:lpstr>Data_ToelageDirecteurVastOntslag107</vt:lpstr>
      <vt:lpstr>Data_ToelageDirecteurVastOntslag108</vt:lpstr>
      <vt:lpstr>Data_ToelageDirecteurVastOntslag109</vt:lpstr>
      <vt:lpstr>Data_ToelageDirecteurVastOntslag110</vt:lpstr>
      <vt:lpstr>Data_ToelageDirecteurVastOntslag111</vt:lpstr>
      <vt:lpstr>Data_ToelageDirecteurVastOntslag112</vt:lpstr>
      <vt:lpstr>Data_ToelageDirecteurVastOntslag113</vt:lpstr>
      <vt:lpstr>Data_ToelageDirecteurVastOntslag114</vt:lpstr>
      <vt:lpstr>Data_ToelageDirecteurVastOntslag115</vt:lpstr>
      <vt:lpstr>Data_ToelageDirecteurVastOntslag116</vt:lpstr>
      <vt:lpstr>Data_ToelageDirecteurVastOntslag117</vt:lpstr>
      <vt:lpstr>Data_ToelageDirecteurVastOntslag118</vt:lpstr>
      <vt:lpstr>Data_ToelageDirecteurVastOntslag119</vt:lpstr>
      <vt:lpstr>Data_ToelageDirecteurVastOntslag120</vt:lpstr>
      <vt:lpstr>Data_ToelageDirecteurVastOntslag121</vt:lpstr>
      <vt:lpstr>Data_ToelageDirecteurVastOntslag122</vt:lpstr>
      <vt:lpstr>Data_ToelageDirecteurVastOntslag123</vt:lpstr>
      <vt:lpstr>Data_ToelageDirecteurVastOntslag124</vt:lpstr>
      <vt:lpstr>Data_ToelageDirecteurVastOntslag125</vt:lpstr>
      <vt:lpstr>Data_ToelageDirecteurVastOntslag126</vt:lpstr>
      <vt:lpstr>Data_ToelageDirecteurVastOntslag127</vt:lpstr>
      <vt:lpstr>Data_ToelageDirecteurVastOntslag128</vt:lpstr>
      <vt:lpstr>Data_ToelageDirecteurVastOntslag129</vt:lpstr>
      <vt:lpstr>Data_ToelageDirecteurVastOntslag130</vt:lpstr>
      <vt:lpstr>Data_ToelageDirecteurVastOntslag131</vt:lpstr>
      <vt:lpstr>Data_ToelageDirecteurVastOntslag132</vt:lpstr>
      <vt:lpstr>Data_ToelageDirecteurVastOntslag133</vt:lpstr>
      <vt:lpstr>Data_ToelageDirecteurVastOntslag134</vt:lpstr>
      <vt:lpstr>Data_ToelageDirecteurVastOntslag135</vt:lpstr>
      <vt:lpstr>Data_ToelageDirecteurVastOntslag136</vt:lpstr>
      <vt:lpstr>Data_ToelageDirecteurVastOntslag137</vt:lpstr>
      <vt:lpstr>Data_ToelageDirecteurVastOntslag138</vt:lpstr>
      <vt:lpstr>Data_ToelageDirecteurVastOntslag139</vt:lpstr>
      <vt:lpstr>Data_ToelageDirecteurVastOntslag140</vt:lpstr>
      <vt:lpstr>Data_ToelageDirecteurVastOntslag141</vt:lpstr>
      <vt:lpstr>Data_ToelageDirecteurVastOntslag142</vt:lpstr>
      <vt:lpstr>Data_ToelageDirecteurVastOntslag143</vt:lpstr>
      <vt:lpstr>Data_ToelageDirecteurVastOntslag144</vt:lpstr>
      <vt:lpstr>Data_ToelageDirecteurVastOntslag145</vt:lpstr>
      <vt:lpstr>Data_ToelageDirecteurVastOntslag146</vt:lpstr>
      <vt:lpstr>Data_ToelageDirecteurVastOntslag147</vt:lpstr>
      <vt:lpstr>Data_ToelageDirecteurVastOntslag148</vt:lpstr>
      <vt:lpstr>Data_ToelageDirecteurVastOntslag149</vt:lpstr>
      <vt:lpstr>Data_ToelageDirecteurVastOntslag150</vt:lpstr>
      <vt:lpstr>Data_ToelageDirecteurVastOntslag151</vt:lpstr>
      <vt:lpstr>Data_ToelageDirecteurVastOntslag152</vt:lpstr>
      <vt:lpstr>Data_ToelageDirecteurVastOntslag153</vt:lpstr>
      <vt:lpstr>Data_ToelageDirecteurVastOntslag154</vt:lpstr>
      <vt:lpstr>Data_ToelageDirecteurVastOntslag155</vt:lpstr>
      <vt:lpstr>Data_ToelageDirecteurVastOntslag156</vt:lpstr>
      <vt:lpstr>Data_ToelageDirecteurVastOntslag157</vt:lpstr>
      <vt:lpstr>Data_ToelageDirecteurVastOntslag158</vt:lpstr>
      <vt:lpstr>Data_ToelageDirecteurVastOntslag159</vt:lpstr>
      <vt:lpstr>Data_ToelageDirecteurVastOntslag160</vt:lpstr>
      <vt:lpstr>Data_ToelageDirecteurVastOntslag161</vt:lpstr>
      <vt:lpstr>Data_ToelageDirecteurVastOntslag162</vt:lpstr>
      <vt:lpstr>Data_ToelageDirecteurVastOntslag163</vt:lpstr>
      <vt:lpstr>Data_ToelageDirecteurVastOntslag164</vt:lpstr>
      <vt:lpstr>Data_ToelageDirecteurVastOntslag165</vt:lpstr>
      <vt:lpstr>Data_ToelageDirecteurVastOntslag166</vt:lpstr>
      <vt:lpstr>Data_ToelageDirecteurVastOntslag167</vt:lpstr>
      <vt:lpstr>Data_ToelageDirecteurVastOntslag168</vt:lpstr>
      <vt:lpstr>Data_ToelageDirecteurVastOntslag169</vt:lpstr>
      <vt:lpstr>Data_ToelageDirecteurVastOntslag170</vt:lpstr>
      <vt:lpstr>Data_ToelageDirecteurVastOntslag171</vt:lpstr>
      <vt:lpstr>Data_ToelageDirecteurVastOntslag172</vt:lpstr>
      <vt:lpstr>Data_ToelageDirecteurVastOntslag173</vt:lpstr>
      <vt:lpstr>Data_ToelageDirecteurVastOntslag174</vt:lpstr>
      <vt:lpstr>Data_ToelageDirecteurVastOntslag175</vt:lpstr>
      <vt:lpstr>Data_ToelageDirecteurVastOntslag176</vt:lpstr>
      <vt:lpstr>Data_ToelageDirecteurVastOntslag177</vt:lpstr>
      <vt:lpstr>Data_ToelageDirecteurVastOntslag178</vt:lpstr>
      <vt:lpstr>Data_ToelageDirecteurVastOntslag179</vt:lpstr>
      <vt:lpstr>Data_ToelageDirecteurVastOntslag180</vt:lpstr>
      <vt:lpstr>Data_ToelageDirecteurVastOntslag181</vt:lpstr>
      <vt:lpstr>Data_ToelageDirecteurVastOntslag182</vt:lpstr>
      <vt:lpstr>Data_ToelageDirecteurVastOntslag183</vt:lpstr>
      <vt:lpstr>Data_ToelageDirecteurVastOntslag184</vt:lpstr>
      <vt:lpstr>Data_ToelageDirecteurVastOntslag185</vt:lpstr>
      <vt:lpstr>Data_ToelageDirecteurVastOntslag186</vt:lpstr>
      <vt:lpstr>Data_ToelageDirecteurVastOntslag187</vt:lpstr>
      <vt:lpstr>Data_ToelageDirecteurVastOntslag188</vt:lpstr>
      <vt:lpstr>Data_ToelageDirecteurVastOntslag189</vt:lpstr>
      <vt:lpstr>Data_ToelageDirecteurVastOntslag190</vt:lpstr>
      <vt:lpstr>Data_ToelageDirecteurVastOntslag191</vt:lpstr>
      <vt:lpstr>Data_ToelageDirecteurVastOntslag192</vt:lpstr>
      <vt:lpstr>Data_ToelageDirecteurVastOntslag193</vt:lpstr>
      <vt:lpstr>Data_ToelageDirecteurVastOntslag194</vt:lpstr>
      <vt:lpstr>Data_ToelageDirecteurVastOntslag195</vt:lpstr>
      <vt:lpstr>Data_ToelageDirecteurVastOntslag196</vt:lpstr>
      <vt:lpstr>Data_ToelageDirecteurVastOntslag197</vt:lpstr>
      <vt:lpstr>Data_ToelageDirecteurVastOntslag198</vt:lpstr>
      <vt:lpstr>Data_ToelageDirecteurVastOntslag199</vt:lpstr>
      <vt:lpstr>Data_ToelageDirecteurVastOntslag200</vt:lpstr>
      <vt:lpstr>Data_ToelageDirecteurVastOntslag201</vt:lpstr>
      <vt:lpstr>Data_ToelageDirecteurVastOntslag202</vt:lpstr>
      <vt:lpstr>Data_ToelageDirecteurVastOntslag203</vt:lpstr>
      <vt:lpstr>Data_ToelageDirecteurVastOntslag204</vt:lpstr>
      <vt:lpstr>Data_ToelageDirecteurVastOntslag205</vt:lpstr>
      <vt:lpstr>Data_ToelageDirecteurVastOntslag206</vt:lpstr>
      <vt:lpstr>Data_ToelageDirecteurVastOntslag207</vt:lpstr>
      <vt:lpstr>Data_ToelageDirecteurVastOntslag208</vt:lpstr>
      <vt:lpstr>Data_ToelageDirecteurVastOntslag209</vt:lpstr>
      <vt:lpstr>Data_ToelageDirecteurVastOntslag210</vt:lpstr>
      <vt:lpstr>Data_ToelageDirecteurVastOntslag211</vt:lpstr>
      <vt:lpstr>Data_ToelageDirecteurVastOntslag212</vt:lpstr>
      <vt:lpstr>Data_ToelageDirecteurVastOntslag213</vt:lpstr>
      <vt:lpstr>Data_ToelageDirecteurVastOntslag214</vt:lpstr>
      <vt:lpstr>Data_ToelageDirecteurVastOntslag215</vt:lpstr>
      <vt:lpstr>Data_ToelageDirecteurVastOntslag216</vt:lpstr>
      <vt:lpstr>Data_ToelageDirecteurVastOntslag217</vt:lpstr>
      <vt:lpstr>Data_ToelageDirecteurVastOntslag218</vt:lpstr>
      <vt:lpstr>Data_ToelageDirecteurVastOntslag219</vt:lpstr>
      <vt:lpstr>Data_ToelageDirecteurVastOntslag220</vt:lpstr>
      <vt:lpstr>Data_ToelageDirecteurVastOntslag221</vt:lpstr>
      <vt:lpstr>Data_ToelageDirecteurVastOntslag222</vt:lpstr>
      <vt:lpstr>Data_ToelageDirecteurVastOntslag223</vt:lpstr>
      <vt:lpstr>Data_ToelageDirecteurVastOntslag224</vt:lpstr>
      <vt:lpstr>Data_ToelageDirecteurVastOntslag225</vt:lpstr>
      <vt:lpstr>Data_ToelageDirecteurVastOntslag226</vt:lpstr>
      <vt:lpstr>Data_ToelageDirecteurVastOntslag227</vt:lpstr>
      <vt:lpstr>Data_ToelageDirecteurVastOntslag228</vt:lpstr>
      <vt:lpstr>Data_ToelageDirecteurVastOntslag229</vt:lpstr>
      <vt:lpstr>Data_ToelageDirecteurVastOntslag230</vt:lpstr>
      <vt:lpstr>Data_ToelageDirecteurVastOntslag231</vt:lpstr>
      <vt:lpstr>Data_ToelageDirecteurVastOntslag232</vt:lpstr>
      <vt:lpstr>Data_ToelageDirecteurVastOntslag233</vt:lpstr>
      <vt:lpstr>Data_ToelageDirecteurVastOntslag234</vt:lpstr>
      <vt:lpstr>Data_ToelageDirecteurVastOntslag235</vt:lpstr>
      <vt:lpstr>Data_ToelageDirecteurVastOntslag236</vt:lpstr>
      <vt:lpstr>Data_ToelageDirecteurVastOntslag237</vt:lpstr>
      <vt:lpstr>Data_ToelageDirecteurVastOntslag238</vt:lpstr>
      <vt:lpstr>Data_ToelageDirecteurVastOntslag239</vt:lpstr>
      <vt:lpstr>Data_ToelageDirecteurVastOntslag240</vt:lpstr>
      <vt:lpstr>Data_ToelageDirecteurVastOntslag241</vt:lpstr>
      <vt:lpstr>Data_ToelageDirecteurVastOntslag242</vt:lpstr>
      <vt:lpstr>Data_ToelageDirecteurVastOntslag243</vt:lpstr>
      <vt:lpstr>Data_ToelageDirecteurVastOntslag244</vt:lpstr>
      <vt:lpstr>Data_ToelageDirecteurVastOntslag245</vt:lpstr>
      <vt:lpstr>Data_ToelageDirecteurVastOntslag246</vt:lpstr>
      <vt:lpstr>Data_ToelageDirecteurVastOntslag247</vt:lpstr>
      <vt:lpstr>Data_ToelageDirecteurVastOntslag248</vt:lpstr>
      <vt:lpstr>Data_ToelageDirecteurVastOntslag249</vt:lpstr>
      <vt:lpstr>Data_ToelageDirecteurVastOntslag250</vt:lpstr>
      <vt:lpstr>Data_ToelageDirecteurVastOntslag251</vt:lpstr>
      <vt:lpstr>Data_ToelageDirecteurVastOntslag252</vt:lpstr>
      <vt:lpstr>Data_ToelageDirecteurVastOntslag253</vt:lpstr>
      <vt:lpstr>Data_ToelageDirecteurVastOntslag254</vt:lpstr>
      <vt:lpstr>Data_ToelageDirecteurVastOntslag255</vt:lpstr>
      <vt:lpstr>Data_ToelageDirecteurVastOntslag256</vt:lpstr>
      <vt:lpstr>Data_ToelageDirecteurVastOntslag257</vt:lpstr>
      <vt:lpstr>Data_ToelageDirecteurVastOntslag258</vt:lpstr>
      <vt:lpstr>Data_ToelageDirecteurVastOntslag259</vt:lpstr>
      <vt:lpstr>Data_ToelageDirecteurVastOntslag260</vt:lpstr>
      <vt:lpstr>Data_ToelageDirecteurVastOntslag261</vt:lpstr>
      <vt:lpstr>Data_ToelageDirecteurVastOntslag262</vt:lpstr>
      <vt:lpstr>Data_ToelageDirecteurVastOntslag263</vt:lpstr>
      <vt:lpstr>Data_ToelageDirecteurVastOntslag264</vt:lpstr>
      <vt:lpstr>Data_ToelageDirecteurVastOntslag265</vt:lpstr>
      <vt:lpstr>Data_ToelageDirecteurVastOntslag266</vt:lpstr>
      <vt:lpstr>Data_ToelageDirecteurVastOntslag267</vt:lpstr>
      <vt:lpstr>Data_ToelageDirecteurVastOntslag268</vt:lpstr>
      <vt:lpstr>Data_ToelageDirecteurVastOntslag269</vt:lpstr>
      <vt:lpstr>Data_ToelageDirecteurVastOntslag270</vt:lpstr>
      <vt:lpstr>Data_ToelageDirecteurVastOntslag271</vt:lpstr>
      <vt:lpstr>Data_ToelageDirecteurVastOntslag272</vt:lpstr>
      <vt:lpstr>Data_ToelageDirecteurVastOntslag273</vt:lpstr>
      <vt:lpstr>Data_ToelageDirecteurVastOntslag274</vt:lpstr>
      <vt:lpstr>Data_ToelageDirecteurVastOntslag275</vt:lpstr>
      <vt:lpstr>Data_ToelageDirecteurVastOntslag276</vt:lpstr>
      <vt:lpstr>Data_ToelageDirecteurVastOntslag277</vt:lpstr>
      <vt:lpstr>Data_ToelageDirecteurVastOntslag278</vt:lpstr>
      <vt:lpstr>Data_ToelageDirecteurVastOntslag279</vt:lpstr>
      <vt:lpstr>Data_ToelageDirecteurVastOntslag280</vt:lpstr>
      <vt:lpstr>Data_ToelageDirecteurVastOntslag281</vt:lpstr>
      <vt:lpstr>Data_ToelageDirecteurVastOntslag282</vt:lpstr>
      <vt:lpstr>Data_ToelageDirecteurVastOntslag283</vt:lpstr>
      <vt:lpstr>Data_ToelageDirecteurVastOntslag284</vt:lpstr>
      <vt:lpstr>Data_ToelageDirecteurVastOntslag285</vt:lpstr>
      <vt:lpstr>Data_ToelageDirecteurVastOntslag286</vt:lpstr>
      <vt:lpstr>Data_ToelageDirecteurVastOntslag287</vt:lpstr>
      <vt:lpstr>Data_ToelageDirecteurVastOntslag288</vt:lpstr>
      <vt:lpstr>Data_ToelageDirecteurVastOntslag289</vt:lpstr>
      <vt:lpstr>Data_ToelageDirecteurVastOntslag290</vt:lpstr>
      <vt:lpstr>Data_ToelageDirecteurVastOntslag291</vt:lpstr>
      <vt:lpstr>Data_ToelageDirecteurVastOntslag292</vt:lpstr>
      <vt:lpstr>Data_ToelageDirecteurVastOntslag293</vt:lpstr>
      <vt:lpstr>Data_ToelageDirecteurVastOntslag294</vt:lpstr>
      <vt:lpstr>Data_ToelageDirecteurVastOntslag295</vt:lpstr>
      <vt:lpstr>Data_ToelageDirecteurVastOntslag296</vt:lpstr>
      <vt:lpstr>Data_ToelageDirecteurVastOntslag297</vt:lpstr>
      <vt:lpstr>Data_ToelageDirecteurVastOntslag298</vt:lpstr>
      <vt:lpstr>Data_ToelageDirecteurVastOntslag299</vt:lpstr>
      <vt:lpstr>Data_ToelageDirecteurVastOntslag300</vt:lpstr>
      <vt:lpstr>Data_ToelageDirecteurVastOntslag301</vt:lpstr>
      <vt:lpstr>Data_ToelageDirecteurVastOntslag302</vt:lpstr>
      <vt:lpstr>Data_ToelageDirecteurVastOntslag303</vt:lpstr>
      <vt:lpstr>Data_ToelageDirecteurVastOntslag304</vt:lpstr>
      <vt:lpstr>Data_ToelageDirecteurVastOntslag305</vt:lpstr>
      <vt:lpstr>Data_ToelageDirecteurVastOntslag306</vt:lpstr>
      <vt:lpstr>Data_ToelageDirecteurVastOntslag307</vt:lpstr>
      <vt:lpstr>Data_ToelageDirecteurVastOntslag308</vt:lpstr>
      <vt:lpstr>Data_ToelageDirecteurVastOntslag309</vt:lpstr>
      <vt:lpstr>Data_ToelageDirecteurVastOntslag310</vt:lpstr>
      <vt:lpstr>Data_ToelageDirecteurVastOntslag311</vt:lpstr>
      <vt:lpstr>Data_ToelageDirecteurVastOntslag312</vt:lpstr>
      <vt:lpstr>Data_ToelageDirecteurVastOntslag313</vt:lpstr>
      <vt:lpstr>Data_ToelageDirecteurVastOntslag314</vt:lpstr>
      <vt:lpstr>Data_ToelageDirecteurVastOntslag315</vt:lpstr>
      <vt:lpstr>Data_ToelageDirecteurVastOntslag316</vt:lpstr>
      <vt:lpstr>Data_ToelageDirecteurVastOntslag317</vt:lpstr>
      <vt:lpstr>Data_ToelageDirecteurVastOntslag318</vt:lpstr>
      <vt:lpstr>Data_ToelageDirecteurVastOntslag319</vt:lpstr>
      <vt:lpstr>Data_ToelageDirecteurVastOntslag320</vt:lpstr>
      <vt:lpstr>Data_ToelageDirecteurVastOntslag321</vt:lpstr>
      <vt:lpstr>Data_ToelageDirecteurVastOntslag322</vt:lpstr>
      <vt:lpstr>Data_ToelageDirecteurVastOntslag323</vt:lpstr>
      <vt:lpstr>Data_ToelageDirecteurVastOntslag324</vt:lpstr>
      <vt:lpstr>Data_ToelageDirecteurVastOntslag325</vt:lpstr>
      <vt:lpstr>Data_ToelageDirecteurVastOntslag326</vt:lpstr>
      <vt:lpstr>Data_ToelageDirecteurVastOntslag327</vt:lpstr>
      <vt:lpstr>Data_ToelageDirecteurVastOntslag328</vt:lpstr>
      <vt:lpstr>Data_ToelageDirecteurVastOntslag329</vt:lpstr>
      <vt:lpstr>Data_ToelageDirecteurVastOntslag330</vt:lpstr>
      <vt:lpstr>Data_ToelageDirecteurVastOntslag331</vt:lpstr>
      <vt:lpstr>Data_ToelageDirecteurVastOntslag332</vt:lpstr>
      <vt:lpstr>Data_ToelageDirecteurVastOntslag333</vt:lpstr>
      <vt:lpstr>Data_ToelageDirecteurVastOntslag334</vt:lpstr>
      <vt:lpstr>Data_ToelageDirecteurVastOntslag335</vt:lpstr>
      <vt:lpstr>Data_ToelageDirecteurVastOntslag336</vt:lpstr>
      <vt:lpstr>Data_ToelageDirecteurVastOntslag337</vt:lpstr>
      <vt:lpstr>Data_ToelageDirecteurVastOntslag338</vt:lpstr>
      <vt:lpstr>Data_ToelageDirecteurVastOntslag339</vt:lpstr>
      <vt:lpstr>Data_ToelageDirecteurVastOntslag340</vt:lpstr>
      <vt:lpstr>Data_ToelageDirecteurVastOntslag341</vt:lpstr>
      <vt:lpstr>Data_ToelageDirecteurVastOntslag342</vt:lpstr>
      <vt:lpstr>Data_ToelageDirecteurVastOntslag343</vt:lpstr>
      <vt:lpstr>Data_ToelageDirecteurVastOntslag344</vt:lpstr>
      <vt:lpstr>Data_ToelageDirecteurVastOntslag345</vt:lpstr>
      <vt:lpstr>Data_ToelageDirecteurVastOntslag346</vt:lpstr>
      <vt:lpstr>Data_ToelageDirecteurVastOntslag347</vt:lpstr>
      <vt:lpstr>Data_ToelageDirecteurVastOntslag348</vt:lpstr>
      <vt:lpstr>Data_ToelageDirecteurVastOntslag349</vt:lpstr>
      <vt:lpstr>Data_ToelageDirecteurVastOntslag350</vt:lpstr>
      <vt:lpstr>Data_ToelageDirecteurVastOntslag351</vt:lpstr>
      <vt:lpstr>Data_ToelageDirecteurVastOntslag352</vt:lpstr>
      <vt:lpstr>Data_ToelageDirecteurVastOntslag353</vt:lpstr>
      <vt:lpstr>Data_ToelageDirecteurVastOntslag354</vt:lpstr>
      <vt:lpstr>Data_ToelageDirecteurVastOntslag355</vt:lpstr>
      <vt:lpstr>Data_ToelageDirecteurVastOntslag356</vt:lpstr>
      <vt:lpstr>Data_ToelageDirecteurVastOntslag357</vt:lpstr>
      <vt:lpstr>Data_ToelageDirecteurVastOntslag358</vt:lpstr>
      <vt:lpstr>Data_ToelageDirecteurVastOntslag359</vt:lpstr>
      <vt:lpstr>Data_ToelageDirecteurVastOntslag360</vt:lpstr>
      <vt:lpstr>Data_ToelageDirecteurVastOntslag361</vt:lpstr>
      <vt:lpstr>Data_ToelageDirecteurVastOntslag362</vt:lpstr>
      <vt:lpstr>Data_ToelageDirecteurVastOntslag363</vt:lpstr>
      <vt:lpstr>Data_ToelageDirecteurVastOntslag364</vt:lpstr>
      <vt:lpstr>Data_ToelageDirecteurVastOntslag365</vt:lpstr>
      <vt:lpstr>Data_ToelageDirecteurVastOntslag366</vt:lpstr>
      <vt:lpstr>Data_ToelageDirecteurVastOntslag367</vt:lpstr>
      <vt:lpstr>Data_ToelageDirecteurVastOntslag368</vt:lpstr>
      <vt:lpstr>Data_ToelageDirecteurVastOntslag369</vt:lpstr>
      <vt:lpstr>Data_ToelageDirecteurVastOntslag370</vt:lpstr>
      <vt:lpstr>Data_ToelageDirecteurVastOntslag371</vt:lpstr>
      <vt:lpstr>Data_ToelageDirecteurVastOntslag372</vt:lpstr>
      <vt:lpstr>Data_ToelageDirecteurVastOntslag373</vt:lpstr>
      <vt:lpstr>Data_ToelageDirecteurVastOntslag374</vt:lpstr>
      <vt:lpstr>Data_ToelageDirecteurVastOntslag375</vt:lpstr>
      <vt:lpstr>Data_ToelageDirecteurVastOntslag376</vt:lpstr>
      <vt:lpstr>Data_ToelageDirecteurVastOntslag377</vt:lpstr>
      <vt:lpstr>Data_ToelageDirecteurVastOntslag378</vt:lpstr>
      <vt:lpstr>Data_ToelageDirecteurVastOntslag379</vt:lpstr>
      <vt:lpstr>Data_ToelageDirecteurVastOntslag380</vt:lpstr>
      <vt:lpstr>Data_ToelageDirecteurVastOntslag381</vt:lpstr>
      <vt:lpstr>Data_ToelageDirecteurVastOntslag382</vt:lpstr>
      <vt:lpstr>Data_ToelageDirecteurVastOntslag383</vt:lpstr>
      <vt:lpstr>Data_ToelageDirecteurVastOntslag384</vt:lpstr>
      <vt:lpstr>Data_ToelageDirecteurVastOntslag385</vt:lpstr>
      <vt:lpstr>Data_ToelageDirecteurVastOntslag386</vt:lpstr>
      <vt:lpstr>Data_ToelageDirecteurVastOntslag387</vt:lpstr>
      <vt:lpstr>Data_ToelageDirecteurVastOntslag388</vt:lpstr>
      <vt:lpstr>Data_ToelageDirecteurVastOntslag389</vt:lpstr>
      <vt:lpstr>Data_ToelageDirecteurVastOntslag390</vt:lpstr>
      <vt:lpstr>Data_ToelageDirecteurVastOntslag391</vt:lpstr>
      <vt:lpstr>Data_ToelageDirecteurVastOntslag392</vt:lpstr>
      <vt:lpstr>Data_ToelageDirecteurVastOntslag393</vt:lpstr>
      <vt:lpstr>Data_ToelageDirecteurVastOntslag394</vt:lpstr>
      <vt:lpstr>Data_ToelageDirecteurVastOntslag395</vt:lpstr>
      <vt:lpstr>Data_ToelageDirecteurVastOntslag396</vt:lpstr>
      <vt:lpstr>Data_ToelageDirecteurVastOntslag397</vt:lpstr>
      <vt:lpstr>Data_ToelageDirecteurVastOntslag398</vt:lpstr>
      <vt:lpstr>Data_ToelageDirecteurVastOntslag399</vt:lpstr>
      <vt:lpstr>Data_ToelageDirecteurVastOntslag400</vt:lpstr>
      <vt:lpstr>Data_ToelageDirecteurVastOntslag401</vt:lpstr>
      <vt:lpstr>Data_ToelageDirecteurVastOntslag402</vt:lpstr>
      <vt:lpstr>Data_ToelageDirecteurVastOntslag403</vt:lpstr>
      <vt:lpstr>Data_ToelageDirecteurVastOntslag404</vt:lpstr>
      <vt:lpstr>Data_ToelageDirecteurVastOntslag405</vt:lpstr>
      <vt:lpstr>Data_ToelageDirecteurVastOntslag406</vt:lpstr>
      <vt:lpstr>Data_ToelageDirecteurVastOntslag407</vt:lpstr>
      <vt:lpstr>Data_ToelageDirecteurVastOntslag408</vt:lpstr>
      <vt:lpstr>Data_ToelageDirecteurVastOntslag409</vt:lpstr>
      <vt:lpstr>Data_ToelageDirecteurVastOntslag410</vt:lpstr>
      <vt:lpstr>Data_ToelageDirecteurVastOntslag411</vt:lpstr>
      <vt:lpstr>Data_ToelageDirecteurVastOntslag412</vt:lpstr>
      <vt:lpstr>Data_ToelageDirecteurVastOntslag413</vt:lpstr>
      <vt:lpstr>Data_ToelageDirecteurVastOntslag414</vt:lpstr>
      <vt:lpstr>Data_ToelageDirecteurVastOntslag415</vt:lpstr>
      <vt:lpstr>Data_ToelageDirecteurVastOntslag416</vt:lpstr>
      <vt:lpstr>Data_ToelageDirecteurVastOntslag417</vt:lpstr>
      <vt:lpstr>Data_ToelageDirecteurVastOntslag418</vt:lpstr>
      <vt:lpstr>Data_ToelageDirecteurVastOntslag419</vt:lpstr>
      <vt:lpstr>Data_ToelageDirecteurVastOntslag420</vt:lpstr>
      <vt:lpstr>Data_ToelageDirecteurVastOntslag421</vt:lpstr>
      <vt:lpstr>Data_ToelageDirecteurVastOntslag422</vt:lpstr>
      <vt:lpstr>Data_ToelageDirecteurVastOntslag423</vt:lpstr>
      <vt:lpstr>Data_ToelageDirecteurVastOntslag424</vt:lpstr>
      <vt:lpstr>Data_ToelageDirecteurVastOntslag425</vt:lpstr>
      <vt:lpstr>Data_ToelageDirecteurVastOntslag426</vt:lpstr>
      <vt:lpstr>Data_ToelageDirecteurVastOntslag427</vt:lpstr>
      <vt:lpstr>Data_ToelageDirecteurVastOntslag428</vt:lpstr>
      <vt:lpstr>Data_ToelageDirecteurVastOntslag429</vt:lpstr>
      <vt:lpstr>Data_ToelageDirecteurVastOntslag430</vt:lpstr>
      <vt:lpstr>Data_ToelageDirecteurVastOntslag431</vt:lpstr>
      <vt:lpstr>Data_ToelageDirecteurVastOntslag432</vt:lpstr>
      <vt:lpstr>Data_ToelageDirecteurVastOntslag433</vt:lpstr>
      <vt:lpstr>Data_ToelageDirecteurVastOntslag434</vt:lpstr>
      <vt:lpstr>Data_ToelageDirecteurVastOntslag435</vt:lpstr>
      <vt:lpstr>Data_ToelageDirecteurVastOntslag436</vt:lpstr>
      <vt:lpstr>Data_ToelageDirecteurVastOntslag437</vt:lpstr>
      <vt:lpstr>Data_ToelageDirecteurVastOntslag438</vt:lpstr>
      <vt:lpstr>Data_ToelageDirecteurVastOntslag439</vt:lpstr>
      <vt:lpstr>Data_ToelageDirecteurVastOntslag440</vt:lpstr>
      <vt:lpstr>Data_ToelageDirecteurVastOntslag441</vt:lpstr>
      <vt:lpstr>Data_ToelageDirecteurVastOntslag442</vt:lpstr>
      <vt:lpstr>Data_ToelageDirecteurVastOntslag443</vt:lpstr>
      <vt:lpstr>Data_ToelageDirecteurVastOntslag444</vt:lpstr>
      <vt:lpstr>Data_ToelageDirecteurVastOntslag445</vt:lpstr>
      <vt:lpstr>Data_ToelageDirecteurVastOntslag446</vt:lpstr>
      <vt:lpstr>Data_ToelageDirecteurVastOntslag447</vt:lpstr>
      <vt:lpstr>Data_ToelageDirecteurVastOntslag448</vt:lpstr>
      <vt:lpstr>Data_ToelageDirecteurVastOntslag449</vt:lpstr>
      <vt:lpstr>Data_ToelageDirecteurVastOntslag450</vt:lpstr>
      <vt:lpstr>Data_ToelageDirecteurVastOntslag451</vt:lpstr>
      <vt:lpstr>Data_ToelageDirecteurVastOntslag452</vt:lpstr>
      <vt:lpstr>Data_ToelageDirecteurVastOntslag453</vt:lpstr>
      <vt:lpstr>Data_ToelageDirecteurVastOntslag454</vt:lpstr>
      <vt:lpstr>Data_ToelageDirecteurVastOntslag455</vt:lpstr>
      <vt:lpstr>Data_ToelageDirecteurVastOntslag456</vt:lpstr>
      <vt:lpstr>Data_ToelageDirecteurVastOntslag457</vt:lpstr>
      <vt:lpstr>Data_ToelageDirecteurVastOntslag458</vt:lpstr>
      <vt:lpstr>Data_ToelageDirecteurVastOntslag459</vt:lpstr>
      <vt:lpstr>Data_ToelageDirecteurVastOntslag460</vt:lpstr>
      <vt:lpstr>Data_ToelageDirecteurVastOntslag461</vt:lpstr>
      <vt:lpstr>Data_ToelageDirecteurVastOntslag462</vt:lpstr>
      <vt:lpstr>Data_ToelageDirecteurVastOntslag463</vt:lpstr>
      <vt:lpstr>Data_ToelageDirecteurVastOntslag464</vt:lpstr>
      <vt:lpstr>Data_ToelageDirecteurVastOntslag465</vt:lpstr>
      <vt:lpstr>Data_ToelageDirecteurVastOntslag466</vt:lpstr>
      <vt:lpstr>Data_ToelageDirecteurVastOntslag467</vt:lpstr>
      <vt:lpstr>Data_ToelageDirecteurVastOntslag468</vt:lpstr>
      <vt:lpstr>Data_ToelageDirecteurVastOntslag469</vt:lpstr>
      <vt:lpstr>Data_ToelageDirecteurVastOntslag470</vt:lpstr>
      <vt:lpstr>Data_ToelageDirecteurVastOntslag471</vt:lpstr>
      <vt:lpstr>Data_ToelageDirecteurVastOntslag472</vt:lpstr>
      <vt:lpstr>Data_ToelageDirecteurVastOntslag473</vt:lpstr>
      <vt:lpstr>Data_ToelageDirecteurVastOntslag474</vt:lpstr>
      <vt:lpstr>Data_ToelageDirecteurVastOntslag475</vt:lpstr>
      <vt:lpstr>Data_ToelageDirecteurVastOntslag476</vt:lpstr>
      <vt:lpstr>Data_ToelageDirecteurVastOntslag477</vt:lpstr>
      <vt:lpstr>Data_ToelageDirecteurVastOntslag478</vt:lpstr>
      <vt:lpstr>Data_ToelageDirecteurVastOntslag479</vt:lpstr>
      <vt:lpstr>Data_ToelageDirecteurVastOntslag480</vt:lpstr>
      <vt:lpstr>Data_ToelageDirecteurVastOntslag481</vt:lpstr>
      <vt:lpstr>Data_ToelageDirecteurVastOntslag482</vt:lpstr>
      <vt:lpstr>Data_ToelageDirecteurVastOntslag483</vt:lpstr>
      <vt:lpstr>Data_ToelageDirecteurVastOntslag484</vt:lpstr>
      <vt:lpstr>Data_ToelageDirecteurVastOntslag485</vt:lpstr>
      <vt:lpstr>Data_ToelageDirecteurVastOntslag486</vt:lpstr>
      <vt:lpstr>Data_ToelageDirecteurVastOntslag487</vt:lpstr>
      <vt:lpstr>Data_ToelageDirecteurVastOntslag488</vt:lpstr>
      <vt:lpstr>Data_ToelageDirecteurVastOntslag489</vt:lpstr>
      <vt:lpstr>Data_ToelageDirecteurVastOntslag490</vt:lpstr>
      <vt:lpstr>Data_ToelageDirecteurVastOntslag491</vt:lpstr>
      <vt:lpstr>Data_ToelageDirecteurVastOntslag492</vt:lpstr>
      <vt:lpstr>Data_ToelageDirecteurVastOntslag493</vt:lpstr>
      <vt:lpstr>Data_ToelageDirecteurVastOntslag494</vt:lpstr>
      <vt:lpstr>Data_ToelageDirecteurVastOntslag495</vt:lpstr>
      <vt:lpstr>Data_ToelageDirecteurVastOntslag496</vt:lpstr>
      <vt:lpstr>Data_ToelageDirecteurVastOntslag497</vt:lpstr>
      <vt:lpstr>Data_ToelageDirecteurVastOntslag498</vt:lpstr>
      <vt:lpstr>Data_ToelageDirecteurVastOntslag499</vt:lpstr>
      <vt:lpstr>Data_ToelageDirecteurVastOntslag500</vt:lpstr>
      <vt:lpstr>Data_ToelageDirecteurVastVrij001</vt:lpstr>
      <vt:lpstr>Data_ToelageDirecteurVastVrij002</vt:lpstr>
      <vt:lpstr>Data_ToelageDirecteurVastVrij003</vt:lpstr>
      <vt:lpstr>Data_ToelageDirecteurVastVrij004</vt:lpstr>
      <vt:lpstr>Data_ToelageDirecteurVastVrij005</vt:lpstr>
      <vt:lpstr>Data_ToelageDirecteurVastVrij006</vt:lpstr>
      <vt:lpstr>Data_ToelageDirecteurVastVrij007</vt:lpstr>
      <vt:lpstr>Data_ToelageDirecteurVastVrij008</vt:lpstr>
      <vt:lpstr>Data_ToelageDirecteurVastVrij009</vt:lpstr>
      <vt:lpstr>Data_ToelageDirecteurVastVrij010</vt:lpstr>
      <vt:lpstr>Data_ToelageDirecteurVastVrij011</vt:lpstr>
      <vt:lpstr>Data_ToelageDirecteurVastVrij012</vt:lpstr>
      <vt:lpstr>Data_ToelageDirecteurVastVrij013</vt:lpstr>
      <vt:lpstr>Data_ToelageDirecteurVastVrij014</vt:lpstr>
      <vt:lpstr>Data_ToelageDirecteurVastVrij015</vt:lpstr>
      <vt:lpstr>Data_ToelageDirecteurVastVrij016</vt:lpstr>
      <vt:lpstr>Data_ToelageDirecteurVastVrij017</vt:lpstr>
      <vt:lpstr>Data_ToelageDirecteurVastVrij018</vt:lpstr>
      <vt:lpstr>Data_ToelageDirecteurVastVrij019</vt:lpstr>
      <vt:lpstr>Data_ToelageDirecteurVastVrij020</vt:lpstr>
      <vt:lpstr>Data_ToelageDirecteurVastVrij021</vt:lpstr>
      <vt:lpstr>Data_ToelageDirecteurVastVrij022</vt:lpstr>
      <vt:lpstr>Data_ToelageDirecteurVastVrij023</vt:lpstr>
      <vt:lpstr>Data_ToelageDirecteurVastVrij024</vt:lpstr>
      <vt:lpstr>Data_ToelageDirecteurVastVrij025</vt:lpstr>
      <vt:lpstr>Data_ToelageDirecteurVastVrij026</vt:lpstr>
      <vt:lpstr>Data_ToelageDirecteurVastVrij027</vt:lpstr>
      <vt:lpstr>Data_ToelageDirecteurVastVrij028</vt:lpstr>
      <vt:lpstr>Data_ToelageDirecteurVastVrij029</vt:lpstr>
      <vt:lpstr>Data_ToelageDirecteurVastVrij030</vt:lpstr>
      <vt:lpstr>Data_ToelageDirecteurVastVrij031</vt:lpstr>
      <vt:lpstr>Data_ToelageDirecteurVastVrij032</vt:lpstr>
      <vt:lpstr>Data_ToelageDirecteurVastVrij033</vt:lpstr>
      <vt:lpstr>Data_ToelageDirecteurVastVrij034</vt:lpstr>
      <vt:lpstr>Data_ToelageDirecteurVastVrij035</vt:lpstr>
      <vt:lpstr>Data_ToelageDirecteurVastVrij036</vt:lpstr>
      <vt:lpstr>Data_ToelageDirecteurVastVrij037</vt:lpstr>
      <vt:lpstr>Data_ToelageDirecteurVastVrij038</vt:lpstr>
      <vt:lpstr>Data_ToelageDirecteurVastVrij039</vt:lpstr>
      <vt:lpstr>Data_ToelageDirecteurVastVrij040</vt:lpstr>
      <vt:lpstr>Data_ToelageDirecteurVastVrij041</vt:lpstr>
      <vt:lpstr>Data_ToelageDirecteurVastVrij042</vt:lpstr>
      <vt:lpstr>Data_ToelageDirecteurVastVrij043</vt:lpstr>
      <vt:lpstr>Data_ToelageDirecteurVastVrij044</vt:lpstr>
      <vt:lpstr>Data_ToelageDirecteurVastVrij045</vt:lpstr>
      <vt:lpstr>Data_ToelageDirecteurVastVrij046</vt:lpstr>
      <vt:lpstr>Data_ToelageDirecteurVastVrij047</vt:lpstr>
      <vt:lpstr>Data_ToelageDirecteurVastVrij048</vt:lpstr>
      <vt:lpstr>Data_ToelageDirecteurVastVrij049</vt:lpstr>
      <vt:lpstr>Data_ToelageDirecteurVastVrij050</vt:lpstr>
      <vt:lpstr>Data_ToelageDirecteurVastVrij051</vt:lpstr>
      <vt:lpstr>Data_ToelageDirecteurVastVrij052</vt:lpstr>
      <vt:lpstr>Data_ToelageDirecteurVastVrij053</vt:lpstr>
      <vt:lpstr>Data_ToelageDirecteurVastVrij054</vt:lpstr>
      <vt:lpstr>Data_ToelageDirecteurVastVrij055</vt:lpstr>
      <vt:lpstr>Data_ToelageDirecteurVastVrij056</vt:lpstr>
      <vt:lpstr>Data_ToelageDirecteurVastVrij057</vt:lpstr>
      <vt:lpstr>Data_ToelageDirecteurVastVrij058</vt:lpstr>
      <vt:lpstr>Data_ToelageDirecteurVastVrij059</vt:lpstr>
      <vt:lpstr>Data_ToelageDirecteurVastVrij060</vt:lpstr>
      <vt:lpstr>Data_ToelageDirecteurVastVrij061</vt:lpstr>
      <vt:lpstr>Data_ToelageDirecteurVastVrij062</vt:lpstr>
      <vt:lpstr>Data_ToelageDirecteurVastVrij063</vt:lpstr>
      <vt:lpstr>Data_ToelageDirecteurVastVrij064</vt:lpstr>
      <vt:lpstr>Data_ToelageDirecteurVastVrij065</vt:lpstr>
      <vt:lpstr>Data_ToelageDirecteurVastVrij066</vt:lpstr>
      <vt:lpstr>Data_ToelageDirecteurVastVrij067</vt:lpstr>
      <vt:lpstr>Data_ToelageDirecteurVastVrij068</vt:lpstr>
      <vt:lpstr>Data_ToelageDirecteurVastVrij069</vt:lpstr>
      <vt:lpstr>Data_ToelageDirecteurVastVrij070</vt:lpstr>
      <vt:lpstr>Data_ToelageDirecteurVastVrij071</vt:lpstr>
      <vt:lpstr>Data_ToelageDirecteurVastVrij072</vt:lpstr>
      <vt:lpstr>Data_ToelageDirecteurVastVrij073</vt:lpstr>
      <vt:lpstr>Data_ToelageDirecteurVastVrij074</vt:lpstr>
      <vt:lpstr>Data_ToelageDirecteurVastVrij075</vt:lpstr>
      <vt:lpstr>Data_ToelageDirecteurVastVrij076</vt:lpstr>
      <vt:lpstr>Data_ToelageDirecteurVastVrij077</vt:lpstr>
      <vt:lpstr>Data_ToelageDirecteurVastVrij078</vt:lpstr>
      <vt:lpstr>Data_ToelageDirecteurVastVrij079</vt:lpstr>
      <vt:lpstr>Data_ToelageDirecteurVastVrij080</vt:lpstr>
      <vt:lpstr>Data_ToelageDirecteurVastVrij081</vt:lpstr>
      <vt:lpstr>Data_ToelageDirecteurVastVrij082</vt:lpstr>
      <vt:lpstr>Data_ToelageDirecteurVastVrij083</vt:lpstr>
      <vt:lpstr>Data_ToelageDirecteurVastVrij084</vt:lpstr>
      <vt:lpstr>Data_ToelageDirecteurVastVrij085</vt:lpstr>
      <vt:lpstr>Data_ToelageDirecteurVastVrij086</vt:lpstr>
      <vt:lpstr>Data_ToelageDirecteurVastVrij087</vt:lpstr>
      <vt:lpstr>Data_ToelageDirecteurVastVrij088</vt:lpstr>
      <vt:lpstr>Data_ToelageDirecteurVastVrij089</vt:lpstr>
      <vt:lpstr>Data_ToelageDirecteurVastVrij090</vt:lpstr>
      <vt:lpstr>Data_ToelageDirecteurVastVrij091</vt:lpstr>
      <vt:lpstr>Data_ToelageDirecteurVastVrij092</vt:lpstr>
      <vt:lpstr>Data_ToelageDirecteurVastVrij093</vt:lpstr>
      <vt:lpstr>Data_ToelageDirecteurVastVrij094</vt:lpstr>
      <vt:lpstr>Data_ToelageDirecteurVastVrij095</vt:lpstr>
      <vt:lpstr>Data_ToelageDirecteurVastVrij096</vt:lpstr>
      <vt:lpstr>Data_ToelageDirecteurVastVrij097</vt:lpstr>
      <vt:lpstr>Data_ToelageDirecteurVastVrij098</vt:lpstr>
      <vt:lpstr>Data_ToelageDirecteurVastVrij099</vt:lpstr>
      <vt:lpstr>Data_ToelageDirecteurVastVrij100</vt:lpstr>
      <vt:lpstr>Data_ToelageDirecteurVastVrij101</vt:lpstr>
      <vt:lpstr>Data_ToelageDirecteurVastVrij102</vt:lpstr>
      <vt:lpstr>Data_ToelageDirecteurVastVrij103</vt:lpstr>
      <vt:lpstr>Data_ToelageDirecteurVastVrij104</vt:lpstr>
      <vt:lpstr>Data_ToelageDirecteurVastVrij105</vt:lpstr>
      <vt:lpstr>Data_ToelageDirecteurVastVrij106</vt:lpstr>
      <vt:lpstr>Data_ToelageDirecteurVastVrij107</vt:lpstr>
      <vt:lpstr>Data_ToelageDirecteurVastVrij108</vt:lpstr>
      <vt:lpstr>Data_ToelageDirecteurVastVrij109</vt:lpstr>
      <vt:lpstr>Data_ToelageDirecteurVastVrij110</vt:lpstr>
      <vt:lpstr>Data_ToelageDirecteurVastVrij111</vt:lpstr>
      <vt:lpstr>Data_ToelageDirecteurVastVrij112</vt:lpstr>
      <vt:lpstr>Data_ToelageDirecteurVastVrij113</vt:lpstr>
      <vt:lpstr>Data_ToelageDirecteurVastVrij114</vt:lpstr>
      <vt:lpstr>Data_ToelageDirecteurVastVrij115</vt:lpstr>
      <vt:lpstr>Data_ToelageDirecteurVastVrij116</vt:lpstr>
      <vt:lpstr>Data_ToelageDirecteurVastVrij117</vt:lpstr>
      <vt:lpstr>Data_ToelageDirecteurVastVrij118</vt:lpstr>
      <vt:lpstr>Data_ToelageDirecteurVastVrij119</vt:lpstr>
      <vt:lpstr>Data_ToelageDirecteurVastVrij120</vt:lpstr>
      <vt:lpstr>Data_ToelageDirecteurVastVrij121</vt:lpstr>
      <vt:lpstr>Data_ToelageDirecteurVastVrij122</vt:lpstr>
      <vt:lpstr>Data_ToelageDirecteurVastVrij123</vt:lpstr>
      <vt:lpstr>Data_ToelageDirecteurVastVrij124</vt:lpstr>
      <vt:lpstr>Data_ToelageDirecteurVastVrij125</vt:lpstr>
      <vt:lpstr>Data_ToelageDirecteurVastVrij126</vt:lpstr>
      <vt:lpstr>Data_ToelageDirecteurVastVrij127</vt:lpstr>
      <vt:lpstr>Data_ToelageDirecteurVastVrij128</vt:lpstr>
      <vt:lpstr>Data_ToelageDirecteurVastVrij129</vt:lpstr>
      <vt:lpstr>Data_ToelageDirecteurVastVrij130</vt:lpstr>
      <vt:lpstr>Data_ToelageDirecteurVastVrij131</vt:lpstr>
      <vt:lpstr>Data_ToelageDirecteurVastVrij132</vt:lpstr>
      <vt:lpstr>Data_ToelageDirecteurVastVrij133</vt:lpstr>
      <vt:lpstr>Data_ToelageDirecteurVastVrij134</vt:lpstr>
      <vt:lpstr>Data_ToelageDirecteurVastVrij135</vt:lpstr>
      <vt:lpstr>Data_ToelageDirecteurVastVrij136</vt:lpstr>
      <vt:lpstr>Data_ToelageDirecteurVastVrij137</vt:lpstr>
      <vt:lpstr>Data_ToelageDirecteurVastVrij138</vt:lpstr>
      <vt:lpstr>Data_ToelageDirecteurVastVrij139</vt:lpstr>
      <vt:lpstr>Data_ToelageDirecteurVastVrij140</vt:lpstr>
      <vt:lpstr>Data_ToelageDirecteurVastVrij141</vt:lpstr>
      <vt:lpstr>Data_ToelageDirecteurVastVrij142</vt:lpstr>
      <vt:lpstr>Data_ToelageDirecteurVastVrij143</vt:lpstr>
      <vt:lpstr>Data_ToelageDirecteurVastVrij144</vt:lpstr>
      <vt:lpstr>Data_ToelageDirecteurVastVrij145</vt:lpstr>
      <vt:lpstr>Data_ToelageDirecteurVastVrij146</vt:lpstr>
      <vt:lpstr>Data_ToelageDirecteurVastVrij147</vt:lpstr>
      <vt:lpstr>Data_ToelageDirecteurVastVrij148</vt:lpstr>
      <vt:lpstr>Data_ToelageDirecteurVastVrij149</vt:lpstr>
      <vt:lpstr>Data_ToelageDirecteurVastVrij150</vt:lpstr>
      <vt:lpstr>Data_ToelageDirecteurVastVrij151</vt:lpstr>
      <vt:lpstr>Data_ToelageDirecteurVastVrij152</vt:lpstr>
      <vt:lpstr>Data_ToelageDirecteurVastVrij153</vt:lpstr>
      <vt:lpstr>Data_ToelageDirecteurVastVrij154</vt:lpstr>
      <vt:lpstr>Data_ToelageDirecteurVastVrij155</vt:lpstr>
      <vt:lpstr>Data_ToelageDirecteurVastVrij156</vt:lpstr>
      <vt:lpstr>Data_ToelageDirecteurVastVrij157</vt:lpstr>
      <vt:lpstr>Data_ToelageDirecteurVastVrij158</vt:lpstr>
      <vt:lpstr>Data_ToelageDirecteurVastVrij159</vt:lpstr>
      <vt:lpstr>Data_ToelageDirecteurVastVrij160</vt:lpstr>
      <vt:lpstr>Data_ToelageDirecteurVastVrij161</vt:lpstr>
      <vt:lpstr>Data_ToelageDirecteurVastVrij162</vt:lpstr>
      <vt:lpstr>Data_ToelageDirecteurVastVrij163</vt:lpstr>
      <vt:lpstr>Data_ToelageDirecteurVastVrij164</vt:lpstr>
      <vt:lpstr>Data_ToelageDirecteurVastVrij165</vt:lpstr>
      <vt:lpstr>Data_ToelageDirecteurVastVrij166</vt:lpstr>
      <vt:lpstr>Data_ToelageDirecteurVastVrij167</vt:lpstr>
      <vt:lpstr>Data_ToelageDirecteurVastVrij168</vt:lpstr>
      <vt:lpstr>Data_ToelageDirecteurVastVrij169</vt:lpstr>
      <vt:lpstr>Data_ToelageDirecteurVastVrij170</vt:lpstr>
      <vt:lpstr>Data_ToelageDirecteurVastVrij171</vt:lpstr>
      <vt:lpstr>Data_ToelageDirecteurVastVrij172</vt:lpstr>
      <vt:lpstr>Data_ToelageDirecteurVastVrij173</vt:lpstr>
      <vt:lpstr>Data_ToelageDirecteurVastVrij174</vt:lpstr>
      <vt:lpstr>Data_ToelageDirecteurVastVrij175</vt:lpstr>
      <vt:lpstr>Data_ToelageDirecteurVastVrij176</vt:lpstr>
      <vt:lpstr>Data_ToelageDirecteurVastVrij177</vt:lpstr>
      <vt:lpstr>Data_ToelageDirecteurVastVrij178</vt:lpstr>
      <vt:lpstr>Data_ToelageDirecteurVastVrij179</vt:lpstr>
      <vt:lpstr>Data_ToelageDirecteurVastVrij180</vt:lpstr>
      <vt:lpstr>Data_ToelageDirecteurVastVrij181</vt:lpstr>
      <vt:lpstr>Data_ToelageDirecteurVastVrij182</vt:lpstr>
      <vt:lpstr>Data_ToelageDirecteurVastVrij183</vt:lpstr>
      <vt:lpstr>Data_ToelageDirecteurVastVrij184</vt:lpstr>
      <vt:lpstr>Data_ToelageDirecteurVastVrij185</vt:lpstr>
      <vt:lpstr>Data_ToelageDirecteurVastVrij186</vt:lpstr>
      <vt:lpstr>Data_ToelageDirecteurVastVrij187</vt:lpstr>
      <vt:lpstr>Data_ToelageDirecteurVastVrij188</vt:lpstr>
      <vt:lpstr>Data_ToelageDirecteurVastVrij189</vt:lpstr>
      <vt:lpstr>Data_ToelageDirecteurVastVrij190</vt:lpstr>
      <vt:lpstr>Data_ToelageDirecteurVastVrij191</vt:lpstr>
      <vt:lpstr>Data_ToelageDirecteurVastVrij192</vt:lpstr>
      <vt:lpstr>Data_ToelageDirecteurVastVrij193</vt:lpstr>
      <vt:lpstr>Data_ToelageDirecteurVastVrij194</vt:lpstr>
      <vt:lpstr>Data_ToelageDirecteurVastVrij195</vt:lpstr>
      <vt:lpstr>Data_ToelageDirecteurVastVrij196</vt:lpstr>
      <vt:lpstr>Data_ToelageDirecteurVastVrij197</vt:lpstr>
      <vt:lpstr>Data_ToelageDirecteurVastVrij198</vt:lpstr>
      <vt:lpstr>Data_ToelageDirecteurVastVrij199</vt:lpstr>
      <vt:lpstr>Data_ToelageDirecteurVastVrij200</vt:lpstr>
      <vt:lpstr>Data_ToelageDirecteurVastVrij201</vt:lpstr>
      <vt:lpstr>Data_ToelageDirecteurVastVrij202</vt:lpstr>
      <vt:lpstr>Data_ToelageDirecteurVastVrij203</vt:lpstr>
      <vt:lpstr>Data_ToelageDirecteurVastVrij204</vt:lpstr>
      <vt:lpstr>Data_ToelageDirecteurVastVrij205</vt:lpstr>
      <vt:lpstr>Data_ToelageDirecteurVastVrij206</vt:lpstr>
      <vt:lpstr>Data_ToelageDirecteurVastVrij207</vt:lpstr>
      <vt:lpstr>Data_ToelageDirecteurVastVrij208</vt:lpstr>
      <vt:lpstr>Data_ToelageDirecteurVastVrij209</vt:lpstr>
      <vt:lpstr>Data_ToelageDirecteurVastVrij210</vt:lpstr>
      <vt:lpstr>Data_ToelageDirecteurVastVrij211</vt:lpstr>
      <vt:lpstr>Data_ToelageDirecteurVastVrij212</vt:lpstr>
      <vt:lpstr>Data_ToelageDirecteurVastVrij213</vt:lpstr>
      <vt:lpstr>Data_ToelageDirecteurVastVrij214</vt:lpstr>
      <vt:lpstr>Data_ToelageDirecteurVastVrij215</vt:lpstr>
      <vt:lpstr>Data_ToelageDirecteurVastVrij216</vt:lpstr>
      <vt:lpstr>Data_ToelageDirecteurVastVrij217</vt:lpstr>
      <vt:lpstr>Data_ToelageDirecteurVastVrij218</vt:lpstr>
      <vt:lpstr>Data_ToelageDirecteurVastVrij219</vt:lpstr>
      <vt:lpstr>Data_ToelageDirecteurVastVrij220</vt:lpstr>
      <vt:lpstr>Data_ToelageDirecteurVastVrij221</vt:lpstr>
      <vt:lpstr>Data_ToelageDirecteurVastVrij222</vt:lpstr>
      <vt:lpstr>Data_ToelageDirecteurVastVrij223</vt:lpstr>
      <vt:lpstr>Data_ToelageDirecteurVastVrij224</vt:lpstr>
      <vt:lpstr>Data_ToelageDirecteurVastVrij225</vt:lpstr>
      <vt:lpstr>Data_ToelageDirecteurVastVrij226</vt:lpstr>
      <vt:lpstr>Data_ToelageDirecteurVastVrij227</vt:lpstr>
      <vt:lpstr>Data_ToelageDirecteurVastVrij228</vt:lpstr>
      <vt:lpstr>Data_ToelageDirecteurVastVrij229</vt:lpstr>
      <vt:lpstr>Data_ToelageDirecteurVastVrij230</vt:lpstr>
      <vt:lpstr>Data_ToelageDirecteurVastVrij231</vt:lpstr>
      <vt:lpstr>Data_ToelageDirecteurVastVrij232</vt:lpstr>
      <vt:lpstr>Data_ToelageDirecteurVastVrij233</vt:lpstr>
      <vt:lpstr>Data_ToelageDirecteurVastVrij234</vt:lpstr>
      <vt:lpstr>Data_ToelageDirecteurVastVrij235</vt:lpstr>
      <vt:lpstr>Data_ToelageDirecteurVastVrij236</vt:lpstr>
      <vt:lpstr>Data_ToelageDirecteurVastVrij237</vt:lpstr>
      <vt:lpstr>Data_ToelageDirecteurVastVrij238</vt:lpstr>
      <vt:lpstr>Data_ToelageDirecteurVastVrij239</vt:lpstr>
      <vt:lpstr>Data_ToelageDirecteurVastVrij240</vt:lpstr>
      <vt:lpstr>Data_ToelageDirecteurVastVrij241</vt:lpstr>
      <vt:lpstr>Data_ToelageDirecteurVastVrij242</vt:lpstr>
      <vt:lpstr>Data_ToelageDirecteurVastVrij243</vt:lpstr>
      <vt:lpstr>Data_ToelageDirecteurVastVrij244</vt:lpstr>
      <vt:lpstr>Data_ToelageDirecteurVastVrij245</vt:lpstr>
      <vt:lpstr>Data_ToelageDirecteurVastVrij246</vt:lpstr>
      <vt:lpstr>Data_ToelageDirecteurVastVrij247</vt:lpstr>
      <vt:lpstr>Data_ToelageDirecteurVastVrij248</vt:lpstr>
      <vt:lpstr>Data_ToelageDirecteurVastVrij249</vt:lpstr>
      <vt:lpstr>Data_ToelageDirecteurVastVrij250</vt:lpstr>
      <vt:lpstr>Data_ToelageDirecteurVastVrij251</vt:lpstr>
      <vt:lpstr>Data_ToelageDirecteurVastVrij252</vt:lpstr>
      <vt:lpstr>Data_ToelageDirecteurVastVrij253</vt:lpstr>
      <vt:lpstr>Data_ToelageDirecteurVastVrij254</vt:lpstr>
      <vt:lpstr>Data_ToelageDirecteurVastVrij255</vt:lpstr>
      <vt:lpstr>Data_ToelageDirecteurVastVrij256</vt:lpstr>
      <vt:lpstr>Data_ToelageDirecteurVastVrij257</vt:lpstr>
      <vt:lpstr>Data_ToelageDirecteurVastVrij258</vt:lpstr>
      <vt:lpstr>Data_ToelageDirecteurVastVrij259</vt:lpstr>
      <vt:lpstr>Data_ToelageDirecteurVastVrij260</vt:lpstr>
      <vt:lpstr>Data_ToelageDirecteurVastVrij261</vt:lpstr>
      <vt:lpstr>Data_ToelageDirecteurVastVrij262</vt:lpstr>
      <vt:lpstr>Data_ToelageDirecteurVastVrij263</vt:lpstr>
      <vt:lpstr>Data_ToelageDirecteurVastVrij264</vt:lpstr>
      <vt:lpstr>Data_ToelageDirecteurVastVrij265</vt:lpstr>
      <vt:lpstr>Data_ToelageDirecteurVastVrij266</vt:lpstr>
      <vt:lpstr>Data_ToelageDirecteurVastVrij267</vt:lpstr>
      <vt:lpstr>Data_ToelageDirecteurVastVrij268</vt:lpstr>
      <vt:lpstr>Data_ToelageDirecteurVastVrij269</vt:lpstr>
      <vt:lpstr>Data_ToelageDirecteurVastVrij270</vt:lpstr>
      <vt:lpstr>Data_ToelageDirecteurVastVrij271</vt:lpstr>
      <vt:lpstr>Data_ToelageDirecteurVastVrij272</vt:lpstr>
      <vt:lpstr>Data_ToelageDirecteurVastVrij273</vt:lpstr>
      <vt:lpstr>Data_ToelageDirecteurVastVrij274</vt:lpstr>
      <vt:lpstr>Data_ToelageDirecteurVastVrij275</vt:lpstr>
      <vt:lpstr>Data_ToelageDirecteurVastVrij276</vt:lpstr>
      <vt:lpstr>Data_ToelageDirecteurVastVrij277</vt:lpstr>
      <vt:lpstr>Data_ToelageDirecteurVastVrij278</vt:lpstr>
      <vt:lpstr>Data_ToelageDirecteurVastVrij279</vt:lpstr>
      <vt:lpstr>Data_ToelageDirecteurVastVrij280</vt:lpstr>
      <vt:lpstr>Data_ToelageDirecteurVastVrij281</vt:lpstr>
      <vt:lpstr>Data_ToelageDirecteurVastVrij282</vt:lpstr>
      <vt:lpstr>Data_ToelageDirecteurVastVrij283</vt:lpstr>
      <vt:lpstr>Data_ToelageDirecteurVastVrij284</vt:lpstr>
      <vt:lpstr>Data_ToelageDirecteurVastVrij285</vt:lpstr>
      <vt:lpstr>Data_ToelageDirecteurVastVrij286</vt:lpstr>
      <vt:lpstr>Data_ToelageDirecteurVastVrij287</vt:lpstr>
      <vt:lpstr>Data_ToelageDirecteurVastVrij288</vt:lpstr>
      <vt:lpstr>Data_ToelageDirecteurVastVrij289</vt:lpstr>
      <vt:lpstr>Data_ToelageDirecteurVastVrij290</vt:lpstr>
      <vt:lpstr>Data_ToelageDirecteurVastVrij291</vt:lpstr>
      <vt:lpstr>Data_ToelageDirecteurVastVrij292</vt:lpstr>
      <vt:lpstr>Data_ToelageDirecteurVastVrij293</vt:lpstr>
      <vt:lpstr>Data_ToelageDirecteurVastVrij294</vt:lpstr>
      <vt:lpstr>Data_ToelageDirecteurVastVrij295</vt:lpstr>
      <vt:lpstr>Data_ToelageDirecteurVastVrij296</vt:lpstr>
      <vt:lpstr>Data_ToelageDirecteurVastVrij297</vt:lpstr>
      <vt:lpstr>Data_ToelageDirecteurVastVrij298</vt:lpstr>
      <vt:lpstr>Data_ToelageDirecteurVastVrij299</vt:lpstr>
      <vt:lpstr>Data_ToelageDirecteurVastVrij300</vt:lpstr>
      <vt:lpstr>Data_ToelageDirecteurVastVrij301</vt:lpstr>
      <vt:lpstr>Data_ToelageDirecteurVastVrij302</vt:lpstr>
      <vt:lpstr>Data_ToelageDirecteurVastVrij303</vt:lpstr>
      <vt:lpstr>Data_ToelageDirecteurVastVrij304</vt:lpstr>
      <vt:lpstr>Data_ToelageDirecteurVastVrij305</vt:lpstr>
      <vt:lpstr>Data_ToelageDirecteurVastVrij306</vt:lpstr>
      <vt:lpstr>Data_ToelageDirecteurVastVrij307</vt:lpstr>
      <vt:lpstr>Data_ToelageDirecteurVastVrij308</vt:lpstr>
      <vt:lpstr>Data_ToelageDirecteurVastVrij309</vt:lpstr>
      <vt:lpstr>Data_ToelageDirecteurVastVrij310</vt:lpstr>
      <vt:lpstr>Data_ToelageDirecteurVastVrij311</vt:lpstr>
      <vt:lpstr>Data_ToelageDirecteurVastVrij312</vt:lpstr>
      <vt:lpstr>Data_ToelageDirecteurVastVrij313</vt:lpstr>
      <vt:lpstr>Data_ToelageDirecteurVastVrij314</vt:lpstr>
      <vt:lpstr>Data_ToelageDirecteurVastVrij315</vt:lpstr>
      <vt:lpstr>Data_ToelageDirecteurVastVrij316</vt:lpstr>
      <vt:lpstr>Data_ToelageDirecteurVastVrij317</vt:lpstr>
      <vt:lpstr>Data_ToelageDirecteurVastVrij318</vt:lpstr>
      <vt:lpstr>Data_ToelageDirecteurVastVrij319</vt:lpstr>
      <vt:lpstr>Data_ToelageDirecteurVastVrij320</vt:lpstr>
      <vt:lpstr>Data_ToelageDirecteurVastVrij321</vt:lpstr>
      <vt:lpstr>Data_ToelageDirecteurVastVrij322</vt:lpstr>
      <vt:lpstr>Data_ToelageDirecteurVastVrij323</vt:lpstr>
      <vt:lpstr>Data_ToelageDirecteurVastVrij324</vt:lpstr>
      <vt:lpstr>Data_ToelageDirecteurVastVrij325</vt:lpstr>
      <vt:lpstr>Data_ToelageDirecteurVastVrij326</vt:lpstr>
      <vt:lpstr>Data_ToelageDirecteurVastVrij327</vt:lpstr>
      <vt:lpstr>Data_ToelageDirecteurVastVrij328</vt:lpstr>
      <vt:lpstr>Data_ToelageDirecteurVastVrij329</vt:lpstr>
      <vt:lpstr>Data_ToelageDirecteurVastVrij330</vt:lpstr>
      <vt:lpstr>Data_ToelageDirecteurVastVrij331</vt:lpstr>
      <vt:lpstr>Data_ToelageDirecteurVastVrij332</vt:lpstr>
      <vt:lpstr>Data_ToelageDirecteurVastVrij333</vt:lpstr>
      <vt:lpstr>Data_ToelageDirecteurVastVrij334</vt:lpstr>
      <vt:lpstr>Data_ToelageDirecteurVastVrij335</vt:lpstr>
      <vt:lpstr>Data_ToelageDirecteurVastVrij336</vt:lpstr>
      <vt:lpstr>Data_ToelageDirecteurVastVrij337</vt:lpstr>
      <vt:lpstr>Data_ToelageDirecteurVastVrij338</vt:lpstr>
      <vt:lpstr>Data_ToelageDirecteurVastVrij339</vt:lpstr>
      <vt:lpstr>Data_ToelageDirecteurVastVrij340</vt:lpstr>
      <vt:lpstr>Data_ToelageDirecteurVastVrij341</vt:lpstr>
      <vt:lpstr>Data_ToelageDirecteurVastVrij342</vt:lpstr>
      <vt:lpstr>Data_ToelageDirecteurVastVrij343</vt:lpstr>
      <vt:lpstr>Data_ToelageDirecteurVastVrij344</vt:lpstr>
      <vt:lpstr>Data_ToelageDirecteurVastVrij345</vt:lpstr>
      <vt:lpstr>Data_ToelageDirecteurVastVrij346</vt:lpstr>
      <vt:lpstr>Data_ToelageDirecteurVastVrij347</vt:lpstr>
      <vt:lpstr>Data_ToelageDirecteurVastVrij348</vt:lpstr>
      <vt:lpstr>Data_ToelageDirecteurVastVrij349</vt:lpstr>
      <vt:lpstr>Data_ToelageDirecteurVastVrij350</vt:lpstr>
      <vt:lpstr>Data_ToelageDirecteurVastVrij351</vt:lpstr>
      <vt:lpstr>Data_ToelageDirecteurVastVrij352</vt:lpstr>
      <vt:lpstr>Data_ToelageDirecteurVastVrij353</vt:lpstr>
      <vt:lpstr>Data_ToelageDirecteurVastVrij354</vt:lpstr>
      <vt:lpstr>Data_ToelageDirecteurVastVrij355</vt:lpstr>
      <vt:lpstr>Data_ToelageDirecteurVastVrij356</vt:lpstr>
      <vt:lpstr>Data_ToelageDirecteurVastVrij357</vt:lpstr>
      <vt:lpstr>Data_ToelageDirecteurVastVrij358</vt:lpstr>
      <vt:lpstr>Data_ToelageDirecteurVastVrij359</vt:lpstr>
      <vt:lpstr>Data_ToelageDirecteurVastVrij360</vt:lpstr>
      <vt:lpstr>Data_ToelageDirecteurVastVrij361</vt:lpstr>
      <vt:lpstr>Data_ToelageDirecteurVastVrij362</vt:lpstr>
      <vt:lpstr>Data_ToelageDirecteurVastVrij363</vt:lpstr>
      <vt:lpstr>Data_ToelageDirecteurVastVrij364</vt:lpstr>
      <vt:lpstr>Data_ToelageDirecteurVastVrij365</vt:lpstr>
      <vt:lpstr>Data_ToelageDirecteurVastVrij366</vt:lpstr>
      <vt:lpstr>Data_ToelageDirecteurVastVrij367</vt:lpstr>
      <vt:lpstr>Data_ToelageDirecteurVastVrij368</vt:lpstr>
      <vt:lpstr>Data_ToelageDirecteurVastVrij369</vt:lpstr>
      <vt:lpstr>Data_ToelageDirecteurVastVrij370</vt:lpstr>
      <vt:lpstr>Data_ToelageDirecteurVastVrij371</vt:lpstr>
      <vt:lpstr>Data_ToelageDirecteurVastVrij372</vt:lpstr>
      <vt:lpstr>Data_ToelageDirecteurVastVrij373</vt:lpstr>
      <vt:lpstr>Data_ToelageDirecteurVastVrij374</vt:lpstr>
      <vt:lpstr>Data_ToelageDirecteurVastVrij375</vt:lpstr>
      <vt:lpstr>Data_ToelageDirecteurVastVrij376</vt:lpstr>
      <vt:lpstr>Data_ToelageDirecteurVastVrij377</vt:lpstr>
      <vt:lpstr>Data_ToelageDirecteurVastVrij378</vt:lpstr>
      <vt:lpstr>Data_ToelageDirecteurVastVrij379</vt:lpstr>
      <vt:lpstr>Data_ToelageDirecteurVastVrij380</vt:lpstr>
      <vt:lpstr>Data_ToelageDirecteurVastVrij381</vt:lpstr>
      <vt:lpstr>Data_ToelageDirecteurVastVrij382</vt:lpstr>
      <vt:lpstr>Data_ToelageDirecteurVastVrij383</vt:lpstr>
      <vt:lpstr>Data_ToelageDirecteurVastVrij384</vt:lpstr>
      <vt:lpstr>Data_ToelageDirecteurVastVrij385</vt:lpstr>
      <vt:lpstr>Data_ToelageDirecteurVastVrij386</vt:lpstr>
      <vt:lpstr>Data_ToelageDirecteurVastVrij387</vt:lpstr>
      <vt:lpstr>Data_ToelageDirecteurVastVrij388</vt:lpstr>
      <vt:lpstr>Data_ToelageDirecteurVastVrij389</vt:lpstr>
      <vt:lpstr>Data_ToelageDirecteurVastVrij390</vt:lpstr>
      <vt:lpstr>Data_ToelageDirecteurVastVrij391</vt:lpstr>
      <vt:lpstr>Data_ToelageDirecteurVastVrij392</vt:lpstr>
      <vt:lpstr>Data_ToelageDirecteurVastVrij393</vt:lpstr>
      <vt:lpstr>Data_ToelageDirecteurVastVrij394</vt:lpstr>
      <vt:lpstr>Data_ToelageDirecteurVastVrij395</vt:lpstr>
      <vt:lpstr>Data_ToelageDirecteurVastVrij396</vt:lpstr>
      <vt:lpstr>Data_ToelageDirecteurVastVrij397</vt:lpstr>
      <vt:lpstr>Data_ToelageDirecteurVastVrij398</vt:lpstr>
      <vt:lpstr>Data_ToelageDirecteurVastVrij399</vt:lpstr>
      <vt:lpstr>Data_ToelageDirecteurVastVrij400</vt:lpstr>
      <vt:lpstr>Data_ToelageDirecteurVastVrij401</vt:lpstr>
      <vt:lpstr>Data_ToelageDirecteurVastVrij402</vt:lpstr>
      <vt:lpstr>Data_ToelageDirecteurVastVrij403</vt:lpstr>
      <vt:lpstr>Data_ToelageDirecteurVastVrij404</vt:lpstr>
      <vt:lpstr>Data_ToelageDirecteurVastVrij405</vt:lpstr>
      <vt:lpstr>Data_ToelageDirecteurVastVrij406</vt:lpstr>
      <vt:lpstr>Data_ToelageDirecteurVastVrij407</vt:lpstr>
      <vt:lpstr>Data_ToelageDirecteurVastVrij408</vt:lpstr>
      <vt:lpstr>Data_ToelageDirecteurVastVrij409</vt:lpstr>
      <vt:lpstr>Data_ToelageDirecteurVastVrij410</vt:lpstr>
      <vt:lpstr>Data_ToelageDirecteurVastVrij411</vt:lpstr>
      <vt:lpstr>Data_ToelageDirecteurVastVrij412</vt:lpstr>
      <vt:lpstr>Data_ToelageDirecteurVastVrij413</vt:lpstr>
      <vt:lpstr>Data_ToelageDirecteurVastVrij414</vt:lpstr>
      <vt:lpstr>Data_ToelageDirecteurVastVrij415</vt:lpstr>
      <vt:lpstr>Data_ToelageDirecteurVastVrij416</vt:lpstr>
      <vt:lpstr>Data_ToelageDirecteurVastVrij417</vt:lpstr>
      <vt:lpstr>Data_ToelageDirecteurVastVrij418</vt:lpstr>
      <vt:lpstr>Data_ToelageDirecteurVastVrij419</vt:lpstr>
      <vt:lpstr>Data_ToelageDirecteurVastVrij420</vt:lpstr>
      <vt:lpstr>Data_ToelageDirecteurVastVrij421</vt:lpstr>
      <vt:lpstr>Data_ToelageDirecteurVastVrij422</vt:lpstr>
      <vt:lpstr>Data_ToelageDirecteurVastVrij423</vt:lpstr>
      <vt:lpstr>Data_ToelageDirecteurVastVrij424</vt:lpstr>
      <vt:lpstr>Data_ToelageDirecteurVastVrij425</vt:lpstr>
      <vt:lpstr>Data_ToelageDirecteurVastVrij426</vt:lpstr>
      <vt:lpstr>Data_ToelageDirecteurVastVrij427</vt:lpstr>
      <vt:lpstr>Data_ToelageDirecteurVastVrij428</vt:lpstr>
      <vt:lpstr>Data_ToelageDirecteurVastVrij429</vt:lpstr>
      <vt:lpstr>Data_ToelageDirecteurVastVrij430</vt:lpstr>
      <vt:lpstr>Data_ToelageDirecteurVastVrij431</vt:lpstr>
      <vt:lpstr>Data_ToelageDirecteurVastVrij432</vt:lpstr>
      <vt:lpstr>Data_ToelageDirecteurVastVrij433</vt:lpstr>
      <vt:lpstr>Data_ToelageDirecteurVastVrij434</vt:lpstr>
      <vt:lpstr>Data_ToelageDirecteurVastVrij435</vt:lpstr>
      <vt:lpstr>Data_ToelageDirecteurVastVrij436</vt:lpstr>
      <vt:lpstr>Data_ToelageDirecteurVastVrij437</vt:lpstr>
      <vt:lpstr>Data_ToelageDirecteurVastVrij438</vt:lpstr>
      <vt:lpstr>Data_ToelageDirecteurVastVrij439</vt:lpstr>
      <vt:lpstr>Data_ToelageDirecteurVastVrij440</vt:lpstr>
      <vt:lpstr>Data_ToelageDirecteurVastVrij441</vt:lpstr>
      <vt:lpstr>Data_ToelageDirecteurVastVrij442</vt:lpstr>
      <vt:lpstr>Data_ToelageDirecteurVastVrij443</vt:lpstr>
      <vt:lpstr>Data_ToelageDirecteurVastVrij444</vt:lpstr>
      <vt:lpstr>Data_ToelageDirecteurVastVrij445</vt:lpstr>
      <vt:lpstr>Data_ToelageDirecteurVastVrij446</vt:lpstr>
      <vt:lpstr>Data_ToelageDirecteurVastVrij447</vt:lpstr>
      <vt:lpstr>Data_ToelageDirecteurVastVrij448</vt:lpstr>
      <vt:lpstr>Data_ToelageDirecteurVastVrij449</vt:lpstr>
      <vt:lpstr>Data_ToelageDirecteurVastVrij450</vt:lpstr>
      <vt:lpstr>Data_ToelageDirecteurVastVrij451</vt:lpstr>
      <vt:lpstr>Data_ToelageDirecteurVastVrij452</vt:lpstr>
      <vt:lpstr>Data_ToelageDirecteurVastVrij453</vt:lpstr>
      <vt:lpstr>Data_ToelageDirecteurVastVrij454</vt:lpstr>
      <vt:lpstr>Data_ToelageDirecteurVastVrij455</vt:lpstr>
      <vt:lpstr>Data_ToelageDirecteurVastVrij456</vt:lpstr>
      <vt:lpstr>Data_ToelageDirecteurVastVrij457</vt:lpstr>
      <vt:lpstr>Data_ToelageDirecteurVastVrij458</vt:lpstr>
      <vt:lpstr>Data_ToelageDirecteurVastVrij459</vt:lpstr>
      <vt:lpstr>Data_ToelageDirecteurVastVrij460</vt:lpstr>
      <vt:lpstr>Data_ToelageDirecteurVastVrij461</vt:lpstr>
      <vt:lpstr>Data_ToelageDirecteurVastVrij462</vt:lpstr>
      <vt:lpstr>Data_ToelageDirecteurVastVrij463</vt:lpstr>
      <vt:lpstr>Data_ToelageDirecteurVastVrij464</vt:lpstr>
      <vt:lpstr>Data_ToelageDirecteurVastVrij465</vt:lpstr>
      <vt:lpstr>Data_ToelageDirecteurVastVrij466</vt:lpstr>
      <vt:lpstr>Data_ToelageDirecteurVastVrij467</vt:lpstr>
      <vt:lpstr>Data_ToelageDirecteurVastVrij468</vt:lpstr>
      <vt:lpstr>Data_ToelageDirecteurVastVrij469</vt:lpstr>
      <vt:lpstr>Data_ToelageDirecteurVastVrij470</vt:lpstr>
      <vt:lpstr>Data_ToelageDirecteurVastVrij471</vt:lpstr>
      <vt:lpstr>Data_ToelageDirecteurVastVrij472</vt:lpstr>
      <vt:lpstr>Data_ToelageDirecteurVastVrij473</vt:lpstr>
      <vt:lpstr>Data_ToelageDirecteurVastVrij474</vt:lpstr>
      <vt:lpstr>Data_ToelageDirecteurVastVrij475</vt:lpstr>
      <vt:lpstr>Data_ToelageDirecteurVastVrij476</vt:lpstr>
      <vt:lpstr>Data_ToelageDirecteurVastVrij477</vt:lpstr>
      <vt:lpstr>Data_ToelageDirecteurVastVrij478</vt:lpstr>
      <vt:lpstr>Data_ToelageDirecteurVastVrij479</vt:lpstr>
      <vt:lpstr>Data_ToelageDirecteurVastVrij480</vt:lpstr>
      <vt:lpstr>Data_ToelageDirecteurVastVrij481</vt:lpstr>
      <vt:lpstr>Data_ToelageDirecteurVastVrij482</vt:lpstr>
      <vt:lpstr>Data_ToelageDirecteurVastVrij483</vt:lpstr>
      <vt:lpstr>Data_ToelageDirecteurVastVrij484</vt:lpstr>
      <vt:lpstr>Data_ToelageDirecteurVastVrij485</vt:lpstr>
      <vt:lpstr>Data_ToelageDirecteurVastVrij486</vt:lpstr>
      <vt:lpstr>Data_ToelageDirecteurVastVrij487</vt:lpstr>
      <vt:lpstr>Data_ToelageDirecteurVastVrij488</vt:lpstr>
      <vt:lpstr>Data_ToelageDirecteurVastVrij489</vt:lpstr>
      <vt:lpstr>Data_ToelageDirecteurVastVrij490</vt:lpstr>
      <vt:lpstr>Data_ToelageDirecteurVastVrij491</vt:lpstr>
      <vt:lpstr>Data_ToelageDirecteurVastVrij492</vt:lpstr>
      <vt:lpstr>Data_ToelageDirecteurVastVrij493</vt:lpstr>
      <vt:lpstr>Data_ToelageDirecteurVastVrij494</vt:lpstr>
      <vt:lpstr>Data_ToelageDirecteurVastVrij495</vt:lpstr>
      <vt:lpstr>Data_ToelageDirecteurVastVrij496</vt:lpstr>
      <vt:lpstr>Data_ToelageDirecteurVastVrij497</vt:lpstr>
      <vt:lpstr>Data_ToelageDirecteurVastVrij498</vt:lpstr>
      <vt:lpstr>Data_ToelageDirecteurVastVrij499</vt:lpstr>
      <vt:lpstr>Data_ToelageDirecteurVastVrij500</vt:lpstr>
      <vt:lpstr>Data_TredeNatVerloop001</vt:lpstr>
      <vt:lpstr>Data_TredeNatVerloop002</vt:lpstr>
      <vt:lpstr>Data_TredeNatVerloop003</vt:lpstr>
      <vt:lpstr>Data_TredeNatVerloop004</vt:lpstr>
      <vt:lpstr>Data_TredeNatVerloop005</vt:lpstr>
      <vt:lpstr>Data_TredeNatVerloop006</vt:lpstr>
      <vt:lpstr>Data_TredeNatVerloop007</vt:lpstr>
      <vt:lpstr>Data_TredeNatVerloop008</vt:lpstr>
      <vt:lpstr>Data_TredeNatVerloop009</vt:lpstr>
      <vt:lpstr>Data_TredeNatVerloop010</vt:lpstr>
      <vt:lpstr>Data_TredeNatVerloop011</vt:lpstr>
      <vt:lpstr>Data_TredeNatVerloop012</vt:lpstr>
      <vt:lpstr>Data_TredeNatVerloop013</vt:lpstr>
      <vt:lpstr>Data_TredeNatVerloop014</vt:lpstr>
      <vt:lpstr>Data_TredeNatVerloop015</vt:lpstr>
      <vt:lpstr>Data_TredeNatVerloop016</vt:lpstr>
      <vt:lpstr>Data_TredeNatVerloop017</vt:lpstr>
      <vt:lpstr>Data_TredeNatVerloop018</vt:lpstr>
      <vt:lpstr>Data_TredeNatVerloop019</vt:lpstr>
      <vt:lpstr>Data_TredeNatVerloop020</vt:lpstr>
      <vt:lpstr>Data_TredeNatVerloop021</vt:lpstr>
      <vt:lpstr>Data_TredeNatVerloop022</vt:lpstr>
      <vt:lpstr>Data_TredeNatVerloop023</vt:lpstr>
      <vt:lpstr>Data_TredeNatVerloop024</vt:lpstr>
      <vt:lpstr>Data_TredeNatVerloop025</vt:lpstr>
      <vt:lpstr>Data_TredeNatVerloop026</vt:lpstr>
      <vt:lpstr>Data_TredeNatVerloop027</vt:lpstr>
      <vt:lpstr>Data_TredeNatVerloop028</vt:lpstr>
      <vt:lpstr>Data_TredeNatVerloop029</vt:lpstr>
      <vt:lpstr>Data_TredeNatVerloop030</vt:lpstr>
      <vt:lpstr>Data_TredeNatVerloop031</vt:lpstr>
      <vt:lpstr>Data_TredeNatVerloop032</vt:lpstr>
      <vt:lpstr>Data_TredeNatVerloop033</vt:lpstr>
      <vt:lpstr>Data_TredeNatVerloop034</vt:lpstr>
      <vt:lpstr>Data_TredeNatVerloop035</vt:lpstr>
      <vt:lpstr>Data_TredeNatVerloop036</vt:lpstr>
      <vt:lpstr>Data_TredeNatVerloop037</vt:lpstr>
      <vt:lpstr>Data_TredeNatVerloop038</vt:lpstr>
      <vt:lpstr>Data_TredeNatVerloop039</vt:lpstr>
      <vt:lpstr>Data_TredeNatVerloop040</vt:lpstr>
      <vt:lpstr>Data_TredeNatVerloop041</vt:lpstr>
      <vt:lpstr>Data_TredeNatVerloop042</vt:lpstr>
      <vt:lpstr>Data_TredeNatVerloop043</vt:lpstr>
      <vt:lpstr>Data_TredeNatVerloop044</vt:lpstr>
      <vt:lpstr>Data_TredeNatVerloop045</vt:lpstr>
      <vt:lpstr>Data_TredeNatVerloop046</vt:lpstr>
      <vt:lpstr>Data_TredeNatVerloop047</vt:lpstr>
      <vt:lpstr>Data_TredeNatVerloop048</vt:lpstr>
      <vt:lpstr>Data_TredeNatVerloop049</vt:lpstr>
      <vt:lpstr>Data_TredeNatVerloop050</vt:lpstr>
      <vt:lpstr>Data_TredeNatVerloop051</vt:lpstr>
      <vt:lpstr>Data_TredeNatVerloop052</vt:lpstr>
      <vt:lpstr>Data_TredeNatVerloop053</vt:lpstr>
      <vt:lpstr>Data_TredeNatVerloop054</vt:lpstr>
      <vt:lpstr>Data_TredeNatVerloop055</vt:lpstr>
      <vt:lpstr>Data_TredeNatVerloop056</vt:lpstr>
      <vt:lpstr>Data_TredeNatVerloop057</vt:lpstr>
      <vt:lpstr>Data_TredeNatVerloop058</vt:lpstr>
      <vt:lpstr>Data_TredeNatVerloop059</vt:lpstr>
      <vt:lpstr>Data_TredeNatVerloop060</vt:lpstr>
      <vt:lpstr>Data_TredeNatVerloop061</vt:lpstr>
      <vt:lpstr>Data_TredeNatVerloop062</vt:lpstr>
      <vt:lpstr>Data_TredeNatVerloop063</vt:lpstr>
      <vt:lpstr>Data_TredeNatVerloop064</vt:lpstr>
      <vt:lpstr>Data_TredeNatVerloop065</vt:lpstr>
      <vt:lpstr>Data_TredeNatVerloop066</vt:lpstr>
      <vt:lpstr>Data_TredeNatVerloop067</vt:lpstr>
      <vt:lpstr>Data_TredeNatVerloop068</vt:lpstr>
      <vt:lpstr>Data_TredeNatVerloop069</vt:lpstr>
      <vt:lpstr>Data_TredeNatVerloop070</vt:lpstr>
      <vt:lpstr>Data_TredeNatVerloop071</vt:lpstr>
      <vt:lpstr>Data_TredeNatVerloop072</vt:lpstr>
      <vt:lpstr>Data_TredeNatVerloop073</vt:lpstr>
      <vt:lpstr>Data_TredeNatVerloop074</vt:lpstr>
      <vt:lpstr>Data_TredeNatVerloop075</vt:lpstr>
      <vt:lpstr>Data_TredeNatVerloop076</vt:lpstr>
      <vt:lpstr>Data_TredeNatVerloop077</vt:lpstr>
      <vt:lpstr>Data_TredeNatVerloop078</vt:lpstr>
      <vt:lpstr>Data_TredeNatVerloop079</vt:lpstr>
      <vt:lpstr>Data_TredeNatVerloop080</vt:lpstr>
      <vt:lpstr>Data_TredeNatVerloop081</vt:lpstr>
      <vt:lpstr>Data_TredeNatVerloop082</vt:lpstr>
      <vt:lpstr>Data_TredeNatVerloop083</vt:lpstr>
      <vt:lpstr>Data_TredeNatVerloop084</vt:lpstr>
      <vt:lpstr>Data_TredeNatVerloop085</vt:lpstr>
      <vt:lpstr>Data_TredeNatVerloop086</vt:lpstr>
      <vt:lpstr>Data_TredeNatVerloop087</vt:lpstr>
      <vt:lpstr>Data_TredeNatVerloop088</vt:lpstr>
      <vt:lpstr>Data_TredeNatVerloop089</vt:lpstr>
      <vt:lpstr>Data_TredeNatVerloop090</vt:lpstr>
      <vt:lpstr>Data_TredeNatVerloop091</vt:lpstr>
      <vt:lpstr>Data_TredeNatVerloop092</vt:lpstr>
      <vt:lpstr>Data_TredeNatVerloop093</vt:lpstr>
      <vt:lpstr>Data_TredeNatVerloop094</vt:lpstr>
      <vt:lpstr>Data_TredeNatVerloop095</vt:lpstr>
      <vt:lpstr>Data_TredeNatVerloop096</vt:lpstr>
      <vt:lpstr>Data_TredeNatVerloop097</vt:lpstr>
      <vt:lpstr>Data_TredeNatVerloop098</vt:lpstr>
      <vt:lpstr>Data_TredeNatVerloop099</vt:lpstr>
      <vt:lpstr>Data_TredeNatVerloop100</vt:lpstr>
      <vt:lpstr>Data_TredeNatVerloop101</vt:lpstr>
      <vt:lpstr>Data_TredeNatVerloop102</vt:lpstr>
      <vt:lpstr>Data_TredeNatVerloop103</vt:lpstr>
      <vt:lpstr>Data_TredeNatVerloop104</vt:lpstr>
      <vt:lpstr>Data_TredeNatVerloop105</vt:lpstr>
      <vt:lpstr>Data_TredeNatVerloop106</vt:lpstr>
      <vt:lpstr>Data_TredeNatVerloop107</vt:lpstr>
      <vt:lpstr>Data_TredeNatVerloop108</vt:lpstr>
      <vt:lpstr>Data_TredeNatVerloop109</vt:lpstr>
      <vt:lpstr>Data_TredeNatVerloop110</vt:lpstr>
      <vt:lpstr>Data_TredeNatVerloop111</vt:lpstr>
      <vt:lpstr>Data_TredeNatVerloop112</vt:lpstr>
      <vt:lpstr>Data_TredeNatVerloop113</vt:lpstr>
      <vt:lpstr>Data_TredeNatVerloop114</vt:lpstr>
      <vt:lpstr>Data_TredeNatVerloop115</vt:lpstr>
      <vt:lpstr>Data_TredeNatVerloop116</vt:lpstr>
      <vt:lpstr>Data_TredeNatVerloop117</vt:lpstr>
      <vt:lpstr>Data_TredeNatVerloop118</vt:lpstr>
      <vt:lpstr>Data_TredeNatVerloop119</vt:lpstr>
      <vt:lpstr>Data_TredeNatVerloop120</vt:lpstr>
      <vt:lpstr>Data_TredeNatVerloop121</vt:lpstr>
      <vt:lpstr>Data_TredeNatVerloop122</vt:lpstr>
      <vt:lpstr>Data_TredeNatVerloop123</vt:lpstr>
      <vt:lpstr>Data_TredeNatVerloop124</vt:lpstr>
      <vt:lpstr>Data_TredeNatVerloop125</vt:lpstr>
      <vt:lpstr>Data_TredeNatVerloop126</vt:lpstr>
      <vt:lpstr>Data_TredeNatVerloop127</vt:lpstr>
      <vt:lpstr>Data_TredeNatVerloop128</vt:lpstr>
      <vt:lpstr>Data_TredeNatVerloop129</vt:lpstr>
      <vt:lpstr>Data_TredeNatVerloop130</vt:lpstr>
      <vt:lpstr>Data_TredeNatVerloop131</vt:lpstr>
      <vt:lpstr>Data_TredeNatVerloop132</vt:lpstr>
      <vt:lpstr>Data_TredeNatVerloop133</vt:lpstr>
      <vt:lpstr>Data_TredeNatVerloop134</vt:lpstr>
      <vt:lpstr>Data_TredeNatVerloop135</vt:lpstr>
      <vt:lpstr>Data_TredeNatVerloop136</vt:lpstr>
      <vt:lpstr>Data_TredeNatVerloop137</vt:lpstr>
      <vt:lpstr>Data_TredeNatVerloop138</vt:lpstr>
      <vt:lpstr>Data_TredeNatVerloop139</vt:lpstr>
      <vt:lpstr>Data_TredeNatVerloop140</vt:lpstr>
      <vt:lpstr>Data_TredeNatVerloop141</vt:lpstr>
      <vt:lpstr>Data_TredeNatVerloop142</vt:lpstr>
      <vt:lpstr>Data_TredeNatVerloop143</vt:lpstr>
      <vt:lpstr>Data_TredeNatVerloop144</vt:lpstr>
      <vt:lpstr>Data_TredeNatVerloop145</vt:lpstr>
      <vt:lpstr>Data_TredeNatVerloop146</vt:lpstr>
      <vt:lpstr>Data_TredeNatVerloop147</vt:lpstr>
      <vt:lpstr>Data_TredeNatVerloop148</vt:lpstr>
      <vt:lpstr>Data_TredeNatVerloop149</vt:lpstr>
      <vt:lpstr>Data_TredeNatVerloop150</vt:lpstr>
      <vt:lpstr>Data_TredeNatVerloop151</vt:lpstr>
      <vt:lpstr>Data_TredeNatVerloop152</vt:lpstr>
      <vt:lpstr>Data_TredeNatVerloop153</vt:lpstr>
      <vt:lpstr>Data_TredeNatVerloop154</vt:lpstr>
      <vt:lpstr>Data_TredeNatVerloop155</vt:lpstr>
      <vt:lpstr>Data_TredeNatVerloop156</vt:lpstr>
      <vt:lpstr>Data_TredeNatVerloop157</vt:lpstr>
      <vt:lpstr>Data_TredeNatVerloop158</vt:lpstr>
      <vt:lpstr>Data_TredeNatVerloop159</vt:lpstr>
      <vt:lpstr>Data_TredeNatVerloop160</vt:lpstr>
      <vt:lpstr>Data_TredeNatVerloop161</vt:lpstr>
      <vt:lpstr>Data_TredeNatVerloop162</vt:lpstr>
      <vt:lpstr>Data_TredeNatVerloop163</vt:lpstr>
      <vt:lpstr>Data_TredeNatVerloop164</vt:lpstr>
      <vt:lpstr>Data_TredeNatVerloop165</vt:lpstr>
      <vt:lpstr>Data_TredeNatVerloop166</vt:lpstr>
      <vt:lpstr>Data_TredeNatVerloop167</vt:lpstr>
      <vt:lpstr>Data_TredeNatVerloop168</vt:lpstr>
      <vt:lpstr>Data_TredeNatVerloop169</vt:lpstr>
      <vt:lpstr>Data_TredeNatVerloop170</vt:lpstr>
      <vt:lpstr>Data_TredeNatVerloop171</vt:lpstr>
      <vt:lpstr>Data_TredeNatVerloop172</vt:lpstr>
      <vt:lpstr>Data_TredeNatVerloop173</vt:lpstr>
      <vt:lpstr>Data_TredeNatVerloop174</vt:lpstr>
      <vt:lpstr>Data_TredeNatVerloop175</vt:lpstr>
      <vt:lpstr>Data_TredeNatVerloop176</vt:lpstr>
      <vt:lpstr>Data_TredeNatVerloop177</vt:lpstr>
      <vt:lpstr>Data_TredeNatVerloop178</vt:lpstr>
      <vt:lpstr>Data_TredeNatVerloop179</vt:lpstr>
      <vt:lpstr>Data_TredeNatVerloop180</vt:lpstr>
      <vt:lpstr>Data_TredeNatVerloop181</vt:lpstr>
      <vt:lpstr>Data_TredeNatVerloop182</vt:lpstr>
      <vt:lpstr>Data_TredeNatVerloop183</vt:lpstr>
      <vt:lpstr>Data_TredeNatVerloop184</vt:lpstr>
      <vt:lpstr>Data_TredeNatVerloop185</vt:lpstr>
      <vt:lpstr>Data_TredeNatVerloop186</vt:lpstr>
      <vt:lpstr>Data_TredeNatVerloop187</vt:lpstr>
      <vt:lpstr>Data_TredeNatVerloop188</vt:lpstr>
      <vt:lpstr>Data_TredeNatVerloop189</vt:lpstr>
      <vt:lpstr>Data_TredeNatVerloop190</vt:lpstr>
      <vt:lpstr>Data_TredeNatVerloop191</vt:lpstr>
      <vt:lpstr>Data_TredeNatVerloop192</vt:lpstr>
      <vt:lpstr>Data_TredeNatVerloop193</vt:lpstr>
      <vt:lpstr>Data_TredeNatVerloop194</vt:lpstr>
      <vt:lpstr>Data_TredeNatVerloop195</vt:lpstr>
      <vt:lpstr>Data_TredeNatVerloop196</vt:lpstr>
      <vt:lpstr>Data_TredeNatVerloop197</vt:lpstr>
      <vt:lpstr>Data_TredeNatVerloop198</vt:lpstr>
      <vt:lpstr>Data_TredeNatVerloop199</vt:lpstr>
      <vt:lpstr>Data_TredeNatVerloop200</vt:lpstr>
      <vt:lpstr>Data_TredeNatVerloop201</vt:lpstr>
      <vt:lpstr>Data_TredeNatVerloop202</vt:lpstr>
      <vt:lpstr>Data_TredeNatVerloop203</vt:lpstr>
      <vt:lpstr>Data_TredeNatVerloop204</vt:lpstr>
      <vt:lpstr>Data_TredeNatVerloop205</vt:lpstr>
      <vt:lpstr>Data_TredeNatVerloop206</vt:lpstr>
      <vt:lpstr>Data_TredeNatVerloop207</vt:lpstr>
      <vt:lpstr>Data_TredeNatVerloop208</vt:lpstr>
      <vt:lpstr>Data_TredeNatVerloop209</vt:lpstr>
      <vt:lpstr>Data_TredeNatVerloop210</vt:lpstr>
      <vt:lpstr>Data_TredeNatVerloop211</vt:lpstr>
      <vt:lpstr>Data_TredeNatVerloop212</vt:lpstr>
      <vt:lpstr>Data_TredeNatVerloop213</vt:lpstr>
      <vt:lpstr>Data_TredeNatVerloop214</vt:lpstr>
      <vt:lpstr>Data_TredeNatVerloop215</vt:lpstr>
      <vt:lpstr>Data_TredeNatVerloop216</vt:lpstr>
      <vt:lpstr>Data_TredeNatVerloop217</vt:lpstr>
      <vt:lpstr>Data_TredeNatVerloop218</vt:lpstr>
      <vt:lpstr>Data_TredeNatVerloop219</vt:lpstr>
      <vt:lpstr>Data_TredeNatVerloop220</vt:lpstr>
      <vt:lpstr>Data_TredeNatVerloop221</vt:lpstr>
      <vt:lpstr>Data_TredeNatVerloop222</vt:lpstr>
      <vt:lpstr>Data_TredeNatVerloop223</vt:lpstr>
      <vt:lpstr>Data_TredeNatVerloop224</vt:lpstr>
      <vt:lpstr>Data_TredeNatVerloop225</vt:lpstr>
      <vt:lpstr>Data_TredeNatVerloop226</vt:lpstr>
      <vt:lpstr>Data_TredeNatVerloop227</vt:lpstr>
      <vt:lpstr>Data_TredeNatVerloop228</vt:lpstr>
      <vt:lpstr>Data_TredeNatVerloop229</vt:lpstr>
      <vt:lpstr>Data_TredeNatVerloop230</vt:lpstr>
      <vt:lpstr>Data_TredeNatVerloop231</vt:lpstr>
      <vt:lpstr>Data_TredeNatVerloop232</vt:lpstr>
      <vt:lpstr>Data_TredeNatVerloop233</vt:lpstr>
      <vt:lpstr>Data_TredeNatVerloop234</vt:lpstr>
      <vt:lpstr>Data_TredeNatVerloop235</vt:lpstr>
      <vt:lpstr>Data_TredeNatVerloop236</vt:lpstr>
      <vt:lpstr>Data_TredeNatVerloop237</vt:lpstr>
      <vt:lpstr>Data_TredeNatVerloop238</vt:lpstr>
      <vt:lpstr>Data_TredeNatVerloop239</vt:lpstr>
      <vt:lpstr>Data_TredeNatVerloop240</vt:lpstr>
      <vt:lpstr>Data_TredeNatVerloop241</vt:lpstr>
      <vt:lpstr>Data_TredeNatVerloop242</vt:lpstr>
      <vt:lpstr>Data_TredeNatVerloop243</vt:lpstr>
      <vt:lpstr>Data_TredeNatVerloop244</vt:lpstr>
      <vt:lpstr>Data_TredeNatVerloop245</vt:lpstr>
      <vt:lpstr>Data_TredeNatVerloop246</vt:lpstr>
      <vt:lpstr>Data_TredeNatVerloop247</vt:lpstr>
      <vt:lpstr>Data_TredeNatVerloop248</vt:lpstr>
      <vt:lpstr>Data_TredeNatVerloop249</vt:lpstr>
      <vt:lpstr>Data_TredeNatVerloop250</vt:lpstr>
      <vt:lpstr>Data_TredeNatVerloop251</vt:lpstr>
      <vt:lpstr>Data_TredeNatVerloop252</vt:lpstr>
      <vt:lpstr>Data_TredeNatVerloop253</vt:lpstr>
      <vt:lpstr>Data_TredeNatVerloop254</vt:lpstr>
      <vt:lpstr>Data_TredeNatVerloop255</vt:lpstr>
      <vt:lpstr>Data_TredeNatVerloop256</vt:lpstr>
      <vt:lpstr>Data_TredeNatVerloop257</vt:lpstr>
      <vt:lpstr>Data_TredeNatVerloop258</vt:lpstr>
      <vt:lpstr>Data_TredeNatVerloop259</vt:lpstr>
      <vt:lpstr>Data_TredeNatVerloop260</vt:lpstr>
      <vt:lpstr>Data_TredeNatVerloop261</vt:lpstr>
      <vt:lpstr>Data_TredeNatVerloop262</vt:lpstr>
      <vt:lpstr>Data_TredeNatVerloop263</vt:lpstr>
      <vt:lpstr>Data_TredeNatVerloop264</vt:lpstr>
      <vt:lpstr>Data_TredeNatVerloop265</vt:lpstr>
      <vt:lpstr>Data_TredeNatVerloop266</vt:lpstr>
      <vt:lpstr>Data_TredeNatVerloop267</vt:lpstr>
      <vt:lpstr>Data_TredeNatVerloop268</vt:lpstr>
      <vt:lpstr>Data_TredeNatVerloop269</vt:lpstr>
      <vt:lpstr>Data_TredeNatVerloop270</vt:lpstr>
      <vt:lpstr>Data_TredeNatVerloop271</vt:lpstr>
      <vt:lpstr>Data_TredeNatVerloop272</vt:lpstr>
      <vt:lpstr>Data_TredeNatVerloop273</vt:lpstr>
      <vt:lpstr>Data_TredeNatVerloop274</vt:lpstr>
      <vt:lpstr>Data_TredeNatVerloop275</vt:lpstr>
      <vt:lpstr>Data_TredeNatVerloop276</vt:lpstr>
      <vt:lpstr>Data_TredeNatVerloop277</vt:lpstr>
      <vt:lpstr>Data_TredeNatVerloop278</vt:lpstr>
      <vt:lpstr>Data_TredeNatVerloop279</vt:lpstr>
      <vt:lpstr>Data_TredeNatVerloop280</vt:lpstr>
      <vt:lpstr>Data_TredeNatVerloop281</vt:lpstr>
      <vt:lpstr>Data_TredeNatVerloop282</vt:lpstr>
      <vt:lpstr>Data_TredeNatVerloop283</vt:lpstr>
      <vt:lpstr>Data_TredeNatVerloop284</vt:lpstr>
      <vt:lpstr>Data_TredeNatVerloop285</vt:lpstr>
      <vt:lpstr>Data_TredeNatVerloop286</vt:lpstr>
      <vt:lpstr>Data_TredeNatVerloop287</vt:lpstr>
      <vt:lpstr>Data_TredeNatVerloop288</vt:lpstr>
      <vt:lpstr>Data_TredeNatVerloop289</vt:lpstr>
      <vt:lpstr>Data_TredeNatVerloop290</vt:lpstr>
      <vt:lpstr>Data_TredeNatVerloop291</vt:lpstr>
      <vt:lpstr>Data_TredeNatVerloop292</vt:lpstr>
      <vt:lpstr>Data_TredeNatVerloop293</vt:lpstr>
      <vt:lpstr>Data_TredeNatVerloop294</vt:lpstr>
      <vt:lpstr>Data_TredeNatVerloop295</vt:lpstr>
      <vt:lpstr>Data_TredeNatVerloop296</vt:lpstr>
      <vt:lpstr>Data_TredeNatVerloop297</vt:lpstr>
      <vt:lpstr>Data_TredeNatVerloop298</vt:lpstr>
      <vt:lpstr>Data_TredeNatVerloop299</vt:lpstr>
      <vt:lpstr>Data_TredeNatVerloop300</vt:lpstr>
      <vt:lpstr>Data_TredeNatVerloop301</vt:lpstr>
      <vt:lpstr>Data_TredeNatVerloop302</vt:lpstr>
      <vt:lpstr>Data_TredeNatVerloop303</vt:lpstr>
      <vt:lpstr>Data_TredeNatVerloop304</vt:lpstr>
      <vt:lpstr>Data_TredeNatVerloop305</vt:lpstr>
      <vt:lpstr>Data_TredeNatVerloop306</vt:lpstr>
      <vt:lpstr>Data_TredeNatVerloop307</vt:lpstr>
      <vt:lpstr>Data_TredeNatVerloop308</vt:lpstr>
      <vt:lpstr>Data_TredeNatVerloop309</vt:lpstr>
      <vt:lpstr>Data_TredeNatVerloop310</vt:lpstr>
      <vt:lpstr>Data_TredeNatVerloop311</vt:lpstr>
      <vt:lpstr>Data_TredeNatVerloop312</vt:lpstr>
      <vt:lpstr>Data_TredeNatVerloop313</vt:lpstr>
      <vt:lpstr>Data_TredeNatVerloop314</vt:lpstr>
      <vt:lpstr>Data_TredeNatVerloop315</vt:lpstr>
      <vt:lpstr>Data_TredeNatVerloop316</vt:lpstr>
      <vt:lpstr>Data_TredeNatVerloop317</vt:lpstr>
      <vt:lpstr>Data_TredeNatVerloop318</vt:lpstr>
      <vt:lpstr>Data_TredeNatVerloop319</vt:lpstr>
      <vt:lpstr>Data_TredeNatVerloop320</vt:lpstr>
      <vt:lpstr>Data_TredeNatVerloop321</vt:lpstr>
      <vt:lpstr>Data_TredeNatVerloop322</vt:lpstr>
      <vt:lpstr>Data_TredeNatVerloop323</vt:lpstr>
      <vt:lpstr>Data_TredeNatVerloop324</vt:lpstr>
      <vt:lpstr>Data_TredeNatVerloop325</vt:lpstr>
      <vt:lpstr>Data_TredeNatVerloop326</vt:lpstr>
      <vt:lpstr>Data_TredeNatVerloop327</vt:lpstr>
      <vt:lpstr>Data_TredeNatVerloop328</vt:lpstr>
      <vt:lpstr>Data_TredeNatVerloop329</vt:lpstr>
      <vt:lpstr>Data_TredeNatVerloop330</vt:lpstr>
      <vt:lpstr>Data_TredeNatVerloop331</vt:lpstr>
      <vt:lpstr>Data_TredeNatVerloop332</vt:lpstr>
      <vt:lpstr>Data_TredeNatVerloop333</vt:lpstr>
      <vt:lpstr>Data_TredeNatVerloop334</vt:lpstr>
      <vt:lpstr>Data_TredeNatVerloop335</vt:lpstr>
      <vt:lpstr>Data_TredeNatVerloop336</vt:lpstr>
      <vt:lpstr>Data_TredeNatVerloop337</vt:lpstr>
      <vt:lpstr>Data_TredeNatVerloop338</vt:lpstr>
      <vt:lpstr>Data_TredeNatVerloop339</vt:lpstr>
      <vt:lpstr>Data_TredeNatVerloop340</vt:lpstr>
      <vt:lpstr>Data_TredeNatVerloop341</vt:lpstr>
      <vt:lpstr>Data_TredeNatVerloop342</vt:lpstr>
      <vt:lpstr>Data_TredeNatVerloop343</vt:lpstr>
      <vt:lpstr>Data_TredeNatVerloop344</vt:lpstr>
      <vt:lpstr>Data_TredeNatVerloop345</vt:lpstr>
      <vt:lpstr>Data_TredeNatVerloop346</vt:lpstr>
      <vt:lpstr>Data_TredeNatVerloop347</vt:lpstr>
      <vt:lpstr>Data_TredeNatVerloop348</vt:lpstr>
      <vt:lpstr>Data_TredeNatVerloop349</vt:lpstr>
      <vt:lpstr>Data_TredeNatVerloop350</vt:lpstr>
      <vt:lpstr>Data_TredeNatVerloop351</vt:lpstr>
      <vt:lpstr>Data_TredeNatVerloop352</vt:lpstr>
      <vt:lpstr>Data_TredeNatVerloop353</vt:lpstr>
      <vt:lpstr>Data_TredeNatVerloop354</vt:lpstr>
      <vt:lpstr>Data_TredeNatVerloop355</vt:lpstr>
      <vt:lpstr>Data_TredeNatVerloop356</vt:lpstr>
      <vt:lpstr>Data_TredeNatVerloop357</vt:lpstr>
      <vt:lpstr>Data_TredeNatVerloop358</vt:lpstr>
      <vt:lpstr>Data_TredeNatVerloop359</vt:lpstr>
      <vt:lpstr>Data_TredeNatVerloop360</vt:lpstr>
      <vt:lpstr>Data_TredeNatVerloop361</vt:lpstr>
      <vt:lpstr>Data_TredeNatVerloop362</vt:lpstr>
      <vt:lpstr>Data_TredeNatVerloop363</vt:lpstr>
      <vt:lpstr>Data_TredeNatVerloop364</vt:lpstr>
      <vt:lpstr>Data_TredeNatVerloop365</vt:lpstr>
      <vt:lpstr>Data_TredeNatVerloop366</vt:lpstr>
      <vt:lpstr>Data_TredeNatVerloop367</vt:lpstr>
      <vt:lpstr>Data_TredeNatVerloop368</vt:lpstr>
      <vt:lpstr>Data_TredeNatVerloop369</vt:lpstr>
      <vt:lpstr>Data_TredeNatVerloop370</vt:lpstr>
      <vt:lpstr>Data_TredeNatVerloop371</vt:lpstr>
      <vt:lpstr>Data_TredeNatVerloop372</vt:lpstr>
      <vt:lpstr>Data_TredeNatVerloop373</vt:lpstr>
      <vt:lpstr>Data_TredeNatVerloop374</vt:lpstr>
      <vt:lpstr>Data_TredeNatVerloop375</vt:lpstr>
      <vt:lpstr>Data_TredeNatVerloop376</vt:lpstr>
      <vt:lpstr>Data_TredeNatVerloop377</vt:lpstr>
      <vt:lpstr>Data_TredeNatVerloop378</vt:lpstr>
      <vt:lpstr>Data_TredeNatVerloop379</vt:lpstr>
      <vt:lpstr>Data_TredeNatVerloop380</vt:lpstr>
      <vt:lpstr>Data_TredeNatVerloop381</vt:lpstr>
      <vt:lpstr>Data_TredeNatVerloop382</vt:lpstr>
      <vt:lpstr>Data_TredeNatVerloop383</vt:lpstr>
      <vt:lpstr>Data_TredeNatVerloop384</vt:lpstr>
      <vt:lpstr>Data_TredeNatVerloop385</vt:lpstr>
      <vt:lpstr>Data_TredeNatVerloop386</vt:lpstr>
      <vt:lpstr>Data_TredeNatVerloop387</vt:lpstr>
      <vt:lpstr>Data_TredeNatVerloop388</vt:lpstr>
      <vt:lpstr>Data_TredeNatVerloop389</vt:lpstr>
      <vt:lpstr>Data_TredeNatVerloop390</vt:lpstr>
      <vt:lpstr>Data_TredeNatVerloop391</vt:lpstr>
      <vt:lpstr>Data_TredeNatVerloop392</vt:lpstr>
      <vt:lpstr>Data_TredeNatVerloop393</vt:lpstr>
      <vt:lpstr>Data_TredeNatVerloop394</vt:lpstr>
      <vt:lpstr>Data_TredeNatVerloop395</vt:lpstr>
      <vt:lpstr>Data_TredeNatVerloop396</vt:lpstr>
      <vt:lpstr>Data_TredeNatVerloop397</vt:lpstr>
      <vt:lpstr>Data_TredeNatVerloop398</vt:lpstr>
      <vt:lpstr>Data_TredeNatVerloop399</vt:lpstr>
      <vt:lpstr>Data_TredeNatVerloop400</vt:lpstr>
      <vt:lpstr>Data_TredeNatVerloop401</vt:lpstr>
      <vt:lpstr>Data_TredeNatVerloop402</vt:lpstr>
      <vt:lpstr>Data_TredeNatVerloop403</vt:lpstr>
      <vt:lpstr>Data_TredeNatVerloop404</vt:lpstr>
      <vt:lpstr>Data_TredeNatVerloop405</vt:lpstr>
      <vt:lpstr>Data_TredeNatVerloop406</vt:lpstr>
      <vt:lpstr>Data_TredeNatVerloop407</vt:lpstr>
      <vt:lpstr>Data_TredeNatVerloop408</vt:lpstr>
      <vt:lpstr>Data_TredeNatVerloop409</vt:lpstr>
      <vt:lpstr>Data_TredeNatVerloop410</vt:lpstr>
      <vt:lpstr>Data_TredeNatVerloop411</vt:lpstr>
      <vt:lpstr>Data_TredeNatVerloop412</vt:lpstr>
      <vt:lpstr>Data_TredeNatVerloop413</vt:lpstr>
      <vt:lpstr>Data_TredeNatVerloop414</vt:lpstr>
      <vt:lpstr>Data_TredeNatVerloop415</vt:lpstr>
      <vt:lpstr>Data_TredeNatVerloop416</vt:lpstr>
      <vt:lpstr>Data_TredeNatVerloop417</vt:lpstr>
      <vt:lpstr>Data_TredeNatVerloop418</vt:lpstr>
      <vt:lpstr>Data_TredeNatVerloop419</vt:lpstr>
      <vt:lpstr>Data_TredeNatVerloop420</vt:lpstr>
      <vt:lpstr>Data_TredeNatVerloop421</vt:lpstr>
      <vt:lpstr>Data_TredeNatVerloop422</vt:lpstr>
      <vt:lpstr>Data_TredeNatVerloop423</vt:lpstr>
      <vt:lpstr>Data_TredeNatVerloop424</vt:lpstr>
      <vt:lpstr>Data_TredeNatVerloop425</vt:lpstr>
      <vt:lpstr>Data_TredeNatVerloop426</vt:lpstr>
      <vt:lpstr>Data_TredeNatVerloop427</vt:lpstr>
      <vt:lpstr>Data_TredeNatVerloop428</vt:lpstr>
      <vt:lpstr>Data_TredeNatVerloop429</vt:lpstr>
      <vt:lpstr>Data_TredeNatVerloop430</vt:lpstr>
      <vt:lpstr>Data_TredeNatVerloop431</vt:lpstr>
      <vt:lpstr>Data_TredeNatVerloop432</vt:lpstr>
      <vt:lpstr>Data_TredeNatVerloop433</vt:lpstr>
      <vt:lpstr>Data_TredeNatVerloop434</vt:lpstr>
      <vt:lpstr>Data_TredeNatVerloop435</vt:lpstr>
      <vt:lpstr>Data_TredeNatVerloop436</vt:lpstr>
      <vt:lpstr>Data_TredeNatVerloop437</vt:lpstr>
      <vt:lpstr>Data_TredeNatVerloop438</vt:lpstr>
      <vt:lpstr>Data_TredeNatVerloop439</vt:lpstr>
      <vt:lpstr>Data_TredeNatVerloop440</vt:lpstr>
      <vt:lpstr>Data_TredeNatVerloop441</vt:lpstr>
      <vt:lpstr>Data_TredeNatVerloop442</vt:lpstr>
      <vt:lpstr>Data_TredeNatVerloop443</vt:lpstr>
      <vt:lpstr>Data_TredeNatVerloop444</vt:lpstr>
      <vt:lpstr>Data_TredeNatVerloop445</vt:lpstr>
      <vt:lpstr>Data_TredeNatVerloop446</vt:lpstr>
      <vt:lpstr>Data_TredeNatVerloop447</vt:lpstr>
      <vt:lpstr>Data_TredeNatVerloop448</vt:lpstr>
      <vt:lpstr>Data_TredeNatVerloop449</vt:lpstr>
      <vt:lpstr>Data_TredeNatVerloop450</vt:lpstr>
      <vt:lpstr>Data_TredeNatVerloop451</vt:lpstr>
      <vt:lpstr>Data_TredeNatVerloop452</vt:lpstr>
      <vt:lpstr>Data_TredeNatVerloop453</vt:lpstr>
      <vt:lpstr>Data_TredeNatVerloop454</vt:lpstr>
      <vt:lpstr>Data_TredeNatVerloop455</vt:lpstr>
      <vt:lpstr>Data_TredeNatVerloop456</vt:lpstr>
      <vt:lpstr>Data_TredeNatVerloop457</vt:lpstr>
      <vt:lpstr>Data_TredeNatVerloop458</vt:lpstr>
      <vt:lpstr>Data_TredeNatVerloop459</vt:lpstr>
      <vt:lpstr>Data_TredeNatVerloop460</vt:lpstr>
      <vt:lpstr>Data_TredeNatVerloop461</vt:lpstr>
      <vt:lpstr>Data_TredeNatVerloop462</vt:lpstr>
      <vt:lpstr>Data_TredeNatVerloop463</vt:lpstr>
      <vt:lpstr>Data_TredeNatVerloop464</vt:lpstr>
      <vt:lpstr>Data_TredeNatVerloop465</vt:lpstr>
      <vt:lpstr>Data_TredeNatVerloop466</vt:lpstr>
      <vt:lpstr>Data_TredeNatVerloop467</vt:lpstr>
      <vt:lpstr>Data_TredeNatVerloop468</vt:lpstr>
      <vt:lpstr>Data_TredeNatVerloop469</vt:lpstr>
      <vt:lpstr>Data_TredeNatVerloop470</vt:lpstr>
      <vt:lpstr>Data_TredeNatVerloop471</vt:lpstr>
      <vt:lpstr>Data_TredeNatVerloop472</vt:lpstr>
      <vt:lpstr>Data_TredeNatVerloop473</vt:lpstr>
      <vt:lpstr>Data_TredeNatVerloop474</vt:lpstr>
      <vt:lpstr>Data_TredeNatVerloop475</vt:lpstr>
      <vt:lpstr>Data_TredeNatVerloop476</vt:lpstr>
      <vt:lpstr>Data_TredeNatVerloop477</vt:lpstr>
      <vt:lpstr>Data_TredeNatVerloop478</vt:lpstr>
      <vt:lpstr>Data_TredeNatVerloop479</vt:lpstr>
      <vt:lpstr>Data_TredeNatVerloop480</vt:lpstr>
      <vt:lpstr>Data_TredeNatVerloop481</vt:lpstr>
      <vt:lpstr>Data_TredeNatVerloop482</vt:lpstr>
      <vt:lpstr>Data_TredeNatVerloop483</vt:lpstr>
      <vt:lpstr>Data_TredeNatVerloop484</vt:lpstr>
      <vt:lpstr>Data_TredeNatVerloop485</vt:lpstr>
      <vt:lpstr>Data_TredeNatVerloop486</vt:lpstr>
      <vt:lpstr>Data_TredeNatVerloop487</vt:lpstr>
      <vt:lpstr>Data_TredeNatVerloop488</vt:lpstr>
      <vt:lpstr>Data_TredeNatVerloop489</vt:lpstr>
      <vt:lpstr>Data_TredeNatVerloop490</vt:lpstr>
      <vt:lpstr>Data_TredeNatVerloop491</vt:lpstr>
      <vt:lpstr>Data_TredeNatVerloop492</vt:lpstr>
      <vt:lpstr>Data_TredeNatVerloop493</vt:lpstr>
      <vt:lpstr>Data_TredeNatVerloop494</vt:lpstr>
      <vt:lpstr>Data_TredeNatVerloop495</vt:lpstr>
      <vt:lpstr>Data_TredeNatVerloop496</vt:lpstr>
      <vt:lpstr>Data_TredeNatVerloop497</vt:lpstr>
      <vt:lpstr>Data_TredeNatVerloop498</vt:lpstr>
      <vt:lpstr>Data_TredeNatVerloop499</vt:lpstr>
      <vt:lpstr>Data_TredeNatVerloop500</vt:lpstr>
      <vt:lpstr>Data_TredeTijd001</vt:lpstr>
      <vt:lpstr>Data_TredeTijd002</vt:lpstr>
      <vt:lpstr>Data_TredeTijd003</vt:lpstr>
      <vt:lpstr>Data_TredeTijd004</vt:lpstr>
      <vt:lpstr>Data_TredeTijd005</vt:lpstr>
      <vt:lpstr>Data_TredeTijd006</vt:lpstr>
      <vt:lpstr>Data_TredeTijd007</vt:lpstr>
      <vt:lpstr>Data_TredeTijd008</vt:lpstr>
      <vt:lpstr>Data_TredeTijd009</vt:lpstr>
      <vt:lpstr>Data_TredeTijd010</vt:lpstr>
      <vt:lpstr>Data_TredeTijd011</vt:lpstr>
      <vt:lpstr>Data_TredeTijd012</vt:lpstr>
      <vt:lpstr>Data_TredeTijd013</vt:lpstr>
      <vt:lpstr>Data_TredeTijd014</vt:lpstr>
      <vt:lpstr>Data_TredeTijd015</vt:lpstr>
      <vt:lpstr>Data_TredeTijd016</vt:lpstr>
      <vt:lpstr>Data_TredeTijd017</vt:lpstr>
      <vt:lpstr>Data_TredeTijd018</vt:lpstr>
      <vt:lpstr>Data_TredeTijd019</vt:lpstr>
      <vt:lpstr>Data_TredeTijd020</vt:lpstr>
      <vt:lpstr>Data_TredeTijd021</vt:lpstr>
      <vt:lpstr>Data_TredeTijd022</vt:lpstr>
      <vt:lpstr>Data_TredeTijd023</vt:lpstr>
      <vt:lpstr>Data_TredeTijd024</vt:lpstr>
      <vt:lpstr>Data_TredeTijd025</vt:lpstr>
      <vt:lpstr>Data_TredeTijd026</vt:lpstr>
      <vt:lpstr>Data_TredeTijd027</vt:lpstr>
      <vt:lpstr>Data_TredeTijd028</vt:lpstr>
      <vt:lpstr>Data_TredeTijd029</vt:lpstr>
      <vt:lpstr>Data_TredeTijd030</vt:lpstr>
      <vt:lpstr>Data_TredeTijd031</vt:lpstr>
      <vt:lpstr>Data_TredeTijd032</vt:lpstr>
      <vt:lpstr>Data_TredeTijd033</vt:lpstr>
      <vt:lpstr>Data_TredeTijd034</vt:lpstr>
      <vt:lpstr>Data_TredeTijd035</vt:lpstr>
      <vt:lpstr>Data_TredeTijd036</vt:lpstr>
      <vt:lpstr>Data_TredeTijd037</vt:lpstr>
      <vt:lpstr>Data_TredeTijd038</vt:lpstr>
      <vt:lpstr>Data_TredeTijd039</vt:lpstr>
      <vt:lpstr>Data_TredeTijd040</vt:lpstr>
      <vt:lpstr>Data_TredeTijd041</vt:lpstr>
      <vt:lpstr>Data_TredeTijd042</vt:lpstr>
      <vt:lpstr>Data_TredeTijd043</vt:lpstr>
      <vt:lpstr>Data_TredeTijd044</vt:lpstr>
      <vt:lpstr>Data_TredeTijd045</vt:lpstr>
      <vt:lpstr>Data_TredeTijd046</vt:lpstr>
      <vt:lpstr>Data_TredeTijd047</vt:lpstr>
      <vt:lpstr>Data_TredeTijd048</vt:lpstr>
      <vt:lpstr>Data_TredeTijd049</vt:lpstr>
      <vt:lpstr>Data_TredeTijd050</vt:lpstr>
      <vt:lpstr>Data_TredeTijd051</vt:lpstr>
      <vt:lpstr>Data_TredeTijd052</vt:lpstr>
      <vt:lpstr>Data_TredeTijd053</vt:lpstr>
      <vt:lpstr>Data_TredeTijd054</vt:lpstr>
      <vt:lpstr>Data_TredeTijd055</vt:lpstr>
      <vt:lpstr>Data_TredeTijd056</vt:lpstr>
      <vt:lpstr>Data_TredeTijd057</vt:lpstr>
      <vt:lpstr>Data_TredeTijd058</vt:lpstr>
      <vt:lpstr>Data_TredeTijd059</vt:lpstr>
      <vt:lpstr>Data_TredeTijd060</vt:lpstr>
      <vt:lpstr>Data_TredeTijd061</vt:lpstr>
      <vt:lpstr>Data_TredeTijd062</vt:lpstr>
      <vt:lpstr>Data_TredeTijd063</vt:lpstr>
      <vt:lpstr>Data_TredeTijd064</vt:lpstr>
      <vt:lpstr>Data_TredeTijd065</vt:lpstr>
      <vt:lpstr>Data_TredeTijd066</vt:lpstr>
      <vt:lpstr>Data_TredeTijd067</vt:lpstr>
      <vt:lpstr>Data_TredeTijd068</vt:lpstr>
      <vt:lpstr>Data_TredeTijd069</vt:lpstr>
      <vt:lpstr>Data_TredeTijd070</vt:lpstr>
      <vt:lpstr>Data_TredeTijd071</vt:lpstr>
      <vt:lpstr>Data_TredeTijd072</vt:lpstr>
      <vt:lpstr>Data_TredeTijd073</vt:lpstr>
      <vt:lpstr>Data_TredeTijd074</vt:lpstr>
      <vt:lpstr>Data_TredeTijd075</vt:lpstr>
      <vt:lpstr>Data_TredeTijd076</vt:lpstr>
      <vt:lpstr>Data_TredeTijd077</vt:lpstr>
      <vt:lpstr>Data_TredeTijd078</vt:lpstr>
      <vt:lpstr>Data_TredeTijd079</vt:lpstr>
      <vt:lpstr>Data_TredeTijd080</vt:lpstr>
      <vt:lpstr>Data_TredeTijd081</vt:lpstr>
      <vt:lpstr>Data_TredeTijd082</vt:lpstr>
      <vt:lpstr>Data_TredeTijd083</vt:lpstr>
      <vt:lpstr>Data_TredeTijd084</vt:lpstr>
      <vt:lpstr>Data_TredeTijd085</vt:lpstr>
      <vt:lpstr>Data_TredeTijd086</vt:lpstr>
      <vt:lpstr>Data_TredeTijd087</vt:lpstr>
      <vt:lpstr>Data_TredeTijd088</vt:lpstr>
      <vt:lpstr>Data_TredeTijd089</vt:lpstr>
      <vt:lpstr>Data_TredeTijd090</vt:lpstr>
      <vt:lpstr>Data_TredeTijd091</vt:lpstr>
      <vt:lpstr>Data_TredeTijd092</vt:lpstr>
      <vt:lpstr>Data_TredeTijd093</vt:lpstr>
      <vt:lpstr>Data_TredeTijd094</vt:lpstr>
      <vt:lpstr>Data_TredeTijd095</vt:lpstr>
      <vt:lpstr>Data_TredeTijd096</vt:lpstr>
      <vt:lpstr>Data_TredeTijd097</vt:lpstr>
      <vt:lpstr>Data_TredeTijd098</vt:lpstr>
      <vt:lpstr>Data_TredeTijd099</vt:lpstr>
      <vt:lpstr>Data_TredeTijd100</vt:lpstr>
      <vt:lpstr>Data_TredeTijd101</vt:lpstr>
      <vt:lpstr>Data_TredeTijd102</vt:lpstr>
      <vt:lpstr>Data_TredeTijd103</vt:lpstr>
      <vt:lpstr>Data_TredeTijd104</vt:lpstr>
      <vt:lpstr>Data_TredeTijd105</vt:lpstr>
      <vt:lpstr>Data_TredeTijd106</vt:lpstr>
      <vt:lpstr>Data_TredeTijd107</vt:lpstr>
      <vt:lpstr>Data_TredeTijd108</vt:lpstr>
      <vt:lpstr>Data_TredeTijd109</vt:lpstr>
      <vt:lpstr>Data_TredeTijd110</vt:lpstr>
      <vt:lpstr>Data_TredeTijd111</vt:lpstr>
      <vt:lpstr>Data_TredeTijd112</vt:lpstr>
      <vt:lpstr>Data_TredeTijd113</vt:lpstr>
      <vt:lpstr>Data_TredeTijd114</vt:lpstr>
      <vt:lpstr>Data_TredeTijd115</vt:lpstr>
      <vt:lpstr>Data_TredeTijd116</vt:lpstr>
      <vt:lpstr>Data_TredeTijd117</vt:lpstr>
      <vt:lpstr>Data_TredeTijd118</vt:lpstr>
      <vt:lpstr>Data_TredeTijd119</vt:lpstr>
      <vt:lpstr>Data_TredeTijd120</vt:lpstr>
      <vt:lpstr>Data_TredeTijd121</vt:lpstr>
      <vt:lpstr>Data_TredeTijd122</vt:lpstr>
      <vt:lpstr>Data_TredeTijd123</vt:lpstr>
      <vt:lpstr>Data_TredeTijd124</vt:lpstr>
      <vt:lpstr>Data_TredeTijd125</vt:lpstr>
      <vt:lpstr>Data_TredeTijd126</vt:lpstr>
      <vt:lpstr>Data_TredeTijd127</vt:lpstr>
      <vt:lpstr>Data_TredeTijd128</vt:lpstr>
      <vt:lpstr>Data_TredeTijd129</vt:lpstr>
      <vt:lpstr>Data_TredeTijd130</vt:lpstr>
      <vt:lpstr>Data_TredeTijd131</vt:lpstr>
      <vt:lpstr>Data_TredeTijd132</vt:lpstr>
      <vt:lpstr>Data_TredeTijd133</vt:lpstr>
      <vt:lpstr>Data_TredeTijd134</vt:lpstr>
      <vt:lpstr>Data_TredeTijd135</vt:lpstr>
      <vt:lpstr>Data_TredeTijd136</vt:lpstr>
      <vt:lpstr>Data_TredeTijd137</vt:lpstr>
      <vt:lpstr>Data_TredeTijd138</vt:lpstr>
      <vt:lpstr>Data_TredeTijd139</vt:lpstr>
      <vt:lpstr>Data_TredeTijd140</vt:lpstr>
      <vt:lpstr>Data_TredeTijd141</vt:lpstr>
      <vt:lpstr>Data_TredeTijd142</vt:lpstr>
      <vt:lpstr>Data_TredeTijd143</vt:lpstr>
      <vt:lpstr>Data_TredeTijd144</vt:lpstr>
      <vt:lpstr>Data_TredeTijd145</vt:lpstr>
      <vt:lpstr>Data_TredeTijd146</vt:lpstr>
      <vt:lpstr>Data_TredeTijd147</vt:lpstr>
      <vt:lpstr>Data_TredeTijd148</vt:lpstr>
      <vt:lpstr>Data_TredeTijd149</vt:lpstr>
      <vt:lpstr>Data_TredeTijd150</vt:lpstr>
      <vt:lpstr>Data_TredeTijd151</vt:lpstr>
      <vt:lpstr>Data_TredeTijd152</vt:lpstr>
      <vt:lpstr>Data_TredeTijd153</vt:lpstr>
      <vt:lpstr>Data_TredeTijd154</vt:lpstr>
      <vt:lpstr>Data_TredeTijd155</vt:lpstr>
      <vt:lpstr>Data_TredeTijd156</vt:lpstr>
      <vt:lpstr>Data_TredeTijd157</vt:lpstr>
      <vt:lpstr>Data_TredeTijd158</vt:lpstr>
      <vt:lpstr>Data_TredeTijd159</vt:lpstr>
      <vt:lpstr>Data_TredeTijd160</vt:lpstr>
      <vt:lpstr>Data_TredeTijd161</vt:lpstr>
      <vt:lpstr>Data_TredeTijd162</vt:lpstr>
      <vt:lpstr>Data_TredeTijd163</vt:lpstr>
      <vt:lpstr>Data_TredeTijd164</vt:lpstr>
      <vt:lpstr>Data_TredeTijd165</vt:lpstr>
      <vt:lpstr>Data_TredeTijd166</vt:lpstr>
      <vt:lpstr>Data_TredeTijd167</vt:lpstr>
      <vt:lpstr>Data_TredeTijd168</vt:lpstr>
      <vt:lpstr>Data_TredeTijd169</vt:lpstr>
      <vt:lpstr>Data_TredeTijd170</vt:lpstr>
      <vt:lpstr>Data_TredeTijd171</vt:lpstr>
      <vt:lpstr>Data_TredeTijd172</vt:lpstr>
      <vt:lpstr>Data_TredeTijd173</vt:lpstr>
      <vt:lpstr>Data_TredeTijd174</vt:lpstr>
      <vt:lpstr>Data_TredeTijd175</vt:lpstr>
      <vt:lpstr>Data_TredeTijd176</vt:lpstr>
      <vt:lpstr>Data_TredeTijd177</vt:lpstr>
      <vt:lpstr>Data_TredeTijd178</vt:lpstr>
      <vt:lpstr>Data_TredeTijd179</vt:lpstr>
      <vt:lpstr>Data_TredeTijd180</vt:lpstr>
      <vt:lpstr>Data_TredeTijd181</vt:lpstr>
      <vt:lpstr>Data_TredeTijd182</vt:lpstr>
      <vt:lpstr>Data_TredeTijd183</vt:lpstr>
      <vt:lpstr>Data_TredeTijd184</vt:lpstr>
      <vt:lpstr>Data_TredeTijd185</vt:lpstr>
      <vt:lpstr>Data_TredeTijd186</vt:lpstr>
      <vt:lpstr>Data_TredeTijd187</vt:lpstr>
      <vt:lpstr>Data_TredeTijd188</vt:lpstr>
      <vt:lpstr>Data_TredeTijd189</vt:lpstr>
      <vt:lpstr>Data_TredeTijd190</vt:lpstr>
      <vt:lpstr>Data_TredeTijd191</vt:lpstr>
      <vt:lpstr>Data_TredeTijd192</vt:lpstr>
      <vt:lpstr>Data_TredeTijd193</vt:lpstr>
      <vt:lpstr>Data_TredeTijd194</vt:lpstr>
      <vt:lpstr>Data_TredeTijd195</vt:lpstr>
      <vt:lpstr>Data_TredeTijd196</vt:lpstr>
      <vt:lpstr>Data_TredeTijd197</vt:lpstr>
      <vt:lpstr>Data_TredeTijd198</vt:lpstr>
      <vt:lpstr>Data_TredeTijd199</vt:lpstr>
      <vt:lpstr>Data_TredeTijd200</vt:lpstr>
      <vt:lpstr>Data_TredeTijd201</vt:lpstr>
      <vt:lpstr>Data_TredeTijd202</vt:lpstr>
      <vt:lpstr>Data_TredeTijd203</vt:lpstr>
      <vt:lpstr>Data_TredeTijd204</vt:lpstr>
      <vt:lpstr>Data_TredeTijd205</vt:lpstr>
      <vt:lpstr>Data_TredeTijd206</vt:lpstr>
      <vt:lpstr>Data_TredeTijd207</vt:lpstr>
      <vt:lpstr>Data_TredeTijd208</vt:lpstr>
      <vt:lpstr>Data_TredeTijd209</vt:lpstr>
      <vt:lpstr>Data_TredeTijd210</vt:lpstr>
      <vt:lpstr>Data_TredeTijd211</vt:lpstr>
      <vt:lpstr>Data_TredeTijd212</vt:lpstr>
      <vt:lpstr>Data_TredeTijd213</vt:lpstr>
      <vt:lpstr>Data_TredeTijd214</vt:lpstr>
      <vt:lpstr>Data_TredeTijd215</vt:lpstr>
      <vt:lpstr>Data_TredeTijd216</vt:lpstr>
      <vt:lpstr>Data_TredeTijd217</vt:lpstr>
      <vt:lpstr>Data_TredeTijd218</vt:lpstr>
      <vt:lpstr>Data_TredeTijd219</vt:lpstr>
      <vt:lpstr>Data_TredeTijd220</vt:lpstr>
      <vt:lpstr>Data_TredeTijd221</vt:lpstr>
      <vt:lpstr>Data_TredeTijd222</vt:lpstr>
      <vt:lpstr>Data_TredeTijd223</vt:lpstr>
      <vt:lpstr>Data_TredeTijd224</vt:lpstr>
      <vt:lpstr>Data_TredeTijd225</vt:lpstr>
      <vt:lpstr>Data_TredeTijd226</vt:lpstr>
      <vt:lpstr>Data_TredeTijd227</vt:lpstr>
      <vt:lpstr>Data_TredeTijd228</vt:lpstr>
      <vt:lpstr>Data_TredeTijd229</vt:lpstr>
      <vt:lpstr>Data_TredeTijd230</vt:lpstr>
      <vt:lpstr>Data_TredeTijd231</vt:lpstr>
      <vt:lpstr>Data_TredeTijd232</vt:lpstr>
      <vt:lpstr>Data_TredeTijd233</vt:lpstr>
      <vt:lpstr>Data_TredeTijd234</vt:lpstr>
      <vt:lpstr>Data_TredeTijd235</vt:lpstr>
      <vt:lpstr>Data_TredeTijd236</vt:lpstr>
      <vt:lpstr>Data_TredeTijd237</vt:lpstr>
      <vt:lpstr>Data_TredeTijd238</vt:lpstr>
      <vt:lpstr>Data_TredeTijd239</vt:lpstr>
      <vt:lpstr>Data_TredeTijd240</vt:lpstr>
      <vt:lpstr>Data_TredeTijd241</vt:lpstr>
      <vt:lpstr>Data_TredeTijd242</vt:lpstr>
      <vt:lpstr>Data_TredeTijd243</vt:lpstr>
      <vt:lpstr>Data_TredeTijd244</vt:lpstr>
      <vt:lpstr>Data_TredeTijd245</vt:lpstr>
      <vt:lpstr>Data_TredeTijd246</vt:lpstr>
      <vt:lpstr>Data_TredeTijd247</vt:lpstr>
      <vt:lpstr>Data_TredeTijd248</vt:lpstr>
      <vt:lpstr>Data_TredeTijd249</vt:lpstr>
      <vt:lpstr>Data_TredeTijd250</vt:lpstr>
      <vt:lpstr>Data_TredeTijd251</vt:lpstr>
      <vt:lpstr>Data_TredeTijd252</vt:lpstr>
      <vt:lpstr>Data_TredeTijd253</vt:lpstr>
      <vt:lpstr>Data_TredeTijd254</vt:lpstr>
      <vt:lpstr>Data_TredeTijd255</vt:lpstr>
      <vt:lpstr>Data_TredeTijd256</vt:lpstr>
      <vt:lpstr>Data_TredeTijd257</vt:lpstr>
      <vt:lpstr>Data_TredeTijd258</vt:lpstr>
      <vt:lpstr>Data_TredeTijd259</vt:lpstr>
      <vt:lpstr>Data_TredeTijd260</vt:lpstr>
      <vt:lpstr>Data_TredeTijd261</vt:lpstr>
      <vt:lpstr>Data_TredeTijd262</vt:lpstr>
      <vt:lpstr>Data_TredeTijd263</vt:lpstr>
      <vt:lpstr>Data_TredeTijd264</vt:lpstr>
      <vt:lpstr>Data_TredeTijd265</vt:lpstr>
      <vt:lpstr>Data_TredeTijd266</vt:lpstr>
      <vt:lpstr>Data_TredeTijd267</vt:lpstr>
      <vt:lpstr>Data_TredeTijd268</vt:lpstr>
      <vt:lpstr>Data_TredeTijd269</vt:lpstr>
      <vt:lpstr>Data_TredeTijd270</vt:lpstr>
      <vt:lpstr>Data_TredeTijd271</vt:lpstr>
      <vt:lpstr>Data_TredeTijd272</vt:lpstr>
      <vt:lpstr>Data_TredeTijd273</vt:lpstr>
      <vt:lpstr>Data_TredeTijd274</vt:lpstr>
      <vt:lpstr>Data_TredeTijd275</vt:lpstr>
      <vt:lpstr>Data_TredeTijd276</vt:lpstr>
      <vt:lpstr>Data_TredeTijd277</vt:lpstr>
      <vt:lpstr>Data_TredeTijd278</vt:lpstr>
      <vt:lpstr>Data_TredeTijd279</vt:lpstr>
      <vt:lpstr>Data_TredeTijd280</vt:lpstr>
      <vt:lpstr>Data_TredeTijd281</vt:lpstr>
      <vt:lpstr>Data_TredeTijd282</vt:lpstr>
      <vt:lpstr>Data_TredeTijd283</vt:lpstr>
      <vt:lpstr>Data_TredeTijd284</vt:lpstr>
      <vt:lpstr>Data_TredeTijd285</vt:lpstr>
      <vt:lpstr>Data_TredeTijd286</vt:lpstr>
      <vt:lpstr>Data_TredeTijd287</vt:lpstr>
      <vt:lpstr>Data_TredeTijd288</vt:lpstr>
      <vt:lpstr>Data_TredeTijd289</vt:lpstr>
      <vt:lpstr>Data_TredeTijd290</vt:lpstr>
      <vt:lpstr>Data_TredeTijd291</vt:lpstr>
      <vt:lpstr>Data_TredeTijd292</vt:lpstr>
      <vt:lpstr>Data_TredeTijd293</vt:lpstr>
      <vt:lpstr>Data_TredeTijd294</vt:lpstr>
      <vt:lpstr>Data_TredeTijd295</vt:lpstr>
      <vt:lpstr>Data_TredeTijd296</vt:lpstr>
      <vt:lpstr>Data_TredeTijd297</vt:lpstr>
      <vt:lpstr>Data_TredeTijd298</vt:lpstr>
      <vt:lpstr>Data_TredeTijd299</vt:lpstr>
      <vt:lpstr>Data_TredeTijd300</vt:lpstr>
      <vt:lpstr>Data_TredeTijd301</vt:lpstr>
      <vt:lpstr>Data_TredeTijd302</vt:lpstr>
      <vt:lpstr>Data_TredeTijd303</vt:lpstr>
      <vt:lpstr>Data_TredeTijd304</vt:lpstr>
      <vt:lpstr>Data_TredeTijd305</vt:lpstr>
      <vt:lpstr>Data_TredeTijd306</vt:lpstr>
      <vt:lpstr>Data_TredeTijd307</vt:lpstr>
      <vt:lpstr>Data_TredeTijd308</vt:lpstr>
      <vt:lpstr>Data_TredeTijd309</vt:lpstr>
      <vt:lpstr>Data_TredeTijd310</vt:lpstr>
      <vt:lpstr>Data_TredeTijd311</vt:lpstr>
      <vt:lpstr>Data_TredeTijd312</vt:lpstr>
      <vt:lpstr>Data_TredeTijd313</vt:lpstr>
      <vt:lpstr>Data_TredeTijd314</vt:lpstr>
      <vt:lpstr>Data_TredeTijd315</vt:lpstr>
      <vt:lpstr>Data_TredeTijd316</vt:lpstr>
      <vt:lpstr>Data_TredeTijd317</vt:lpstr>
      <vt:lpstr>Data_TredeTijd318</vt:lpstr>
      <vt:lpstr>Data_TredeTijd319</vt:lpstr>
      <vt:lpstr>Data_TredeTijd320</vt:lpstr>
      <vt:lpstr>Data_TredeTijd321</vt:lpstr>
      <vt:lpstr>Data_TredeTijd322</vt:lpstr>
      <vt:lpstr>Data_TredeTijd323</vt:lpstr>
      <vt:lpstr>Data_TredeTijd324</vt:lpstr>
      <vt:lpstr>Data_TredeTijd325</vt:lpstr>
      <vt:lpstr>Data_TredeTijd326</vt:lpstr>
      <vt:lpstr>Data_TredeTijd327</vt:lpstr>
      <vt:lpstr>Data_TredeTijd328</vt:lpstr>
      <vt:lpstr>Data_TredeTijd329</vt:lpstr>
      <vt:lpstr>Data_TredeTijd330</vt:lpstr>
      <vt:lpstr>Data_TredeTijd331</vt:lpstr>
      <vt:lpstr>Data_TredeTijd332</vt:lpstr>
      <vt:lpstr>Data_TredeTijd333</vt:lpstr>
      <vt:lpstr>Data_TredeTijd334</vt:lpstr>
      <vt:lpstr>Data_TredeTijd335</vt:lpstr>
      <vt:lpstr>Data_TredeTijd336</vt:lpstr>
      <vt:lpstr>Data_TredeTijd337</vt:lpstr>
      <vt:lpstr>Data_TredeTijd338</vt:lpstr>
      <vt:lpstr>Data_TredeTijd339</vt:lpstr>
      <vt:lpstr>Data_TredeTijd340</vt:lpstr>
      <vt:lpstr>Data_TredeTijd341</vt:lpstr>
      <vt:lpstr>Data_TredeTijd342</vt:lpstr>
      <vt:lpstr>Data_TredeTijd343</vt:lpstr>
      <vt:lpstr>Data_TredeTijd344</vt:lpstr>
      <vt:lpstr>Data_TredeTijd345</vt:lpstr>
      <vt:lpstr>Data_TredeTijd346</vt:lpstr>
      <vt:lpstr>Data_TredeTijd347</vt:lpstr>
      <vt:lpstr>Data_TredeTijd348</vt:lpstr>
      <vt:lpstr>Data_TredeTijd349</vt:lpstr>
      <vt:lpstr>Data_TredeTijd350</vt:lpstr>
      <vt:lpstr>Data_TredeTijd351</vt:lpstr>
      <vt:lpstr>Data_TredeTijd352</vt:lpstr>
      <vt:lpstr>Data_TredeTijd353</vt:lpstr>
      <vt:lpstr>Data_TredeTijd354</vt:lpstr>
      <vt:lpstr>Data_TredeTijd355</vt:lpstr>
      <vt:lpstr>Data_TredeTijd356</vt:lpstr>
      <vt:lpstr>Data_TredeTijd357</vt:lpstr>
      <vt:lpstr>Data_TredeTijd358</vt:lpstr>
      <vt:lpstr>Data_TredeTijd359</vt:lpstr>
      <vt:lpstr>Data_TredeTijd360</vt:lpstr>
      <vt:lpstr>Data_TredeTijd361</vt:lpstr>
      <vt:lpstr>Data_TredeTijd362</vt:lpstr>
      <vt:lpstr>Data_TredeTijd363</vt:lpstr>
      <vt:lpstr>Data_TredeTijd364</vt:lpstr>
      <vt:lpstr>Data_TredeTijd365</vt:lpstr>
      <vt:lpstr>Data_TredeTijd366</vt:lpstr>
      <vt:lpstr>Data_TredeTijd367</vt:lpstr>
      <vt:lpstr>Data_TredeTijd368</vt:lpstr>
      <vt:lpstr>Data_TredeTijd369</vt:lpstr>
      <vt:lpstr>Data_TredeTijd370</vt:lpstr>
      <vt:lpstr>Data_TredeTijd371</vt:lpstr>
      <vt:lpstr>Data_TredeTijd372</vt:lpstr>
      <vt:lpstr>Data_TredeTijd373</vt:lpstr>
      <vt:lpstr>Data_TredeTijd374</vt:lpstr>
      <vt:lpstr>Data_TredeTijd375</vt:lpstr>
      <vt:lpstr>Data_TredeTijd376</vt:lpstr>
      <vt:lpstr>Data_TredeTijd377</vt:lpstr>
      <vt:lpstr>Data_TredeTijd378</vt:lpstr>
      <vt:lpstr>Data_TredeTijd379</vt:lpstr>
      <vt:lpstr>Data_TredeTijd380</vt:lpstr>
      <vt:lpstr>Data_TredeTijd381</vt:lpstr>
      <vt:lpstr>Data_TredeTijd382</vt:lpstr>
      <vt:lpstr>Data_TredeTijd383</vt:lpstr>
      <vt:lpstr>Data_TredeTijd384</vt:lpstr>
      <vt:lpstr>Data_TredeTijd385</vt:lpstr>
      <vt:lpstr>Data_TredeTijd386</vt:lpstr>
      <vt:lpstr>Data_TredeTijd387</vt:lpstr>
      <vt:lpstr>Data_TredeTijd388</vt:lpstr>
      <vt:lpstr>Data_TredeTijd389</vt:lpstr>
      <vt:lpstr>Data_TredeTijd390</vt:lpstr>
      <vt:lpstr>Data_TredeTijd391</vt:lpstr>
      <vt:lpstr>Data_TredeTijd392</vt:lpstr>
      <vt:lpstr>Data_TredeTijd393</vt:lpstr>
      <vt:lpstr>Data_TredeTijd394</vt:lpstr>
      <vt:lpstr>Data_TredeTijd395</vt:lpstr>
      <vt:lpstr>Data_TredeTijd396</vt:lpstr>
      <vt:lpstr>Data_TredeTijd397</vt:lpstr>
      <vt:lpstr>Data_TredeTijd398</vt:lpstr>
      <vt:lpstr>Data_TredeTijd399</vt:lpstr>
      <vt:lpstr>Data_TredeTijd400</vt:lpstr>
      <vt:lpstr>Data_TredeTijd401</vt:lpstr>
      <vt:lpstr>Data_TredeTijd402</vt:lpstr>
      <vt:lpstr>Data_TredeTijd403</vt:lpstr>
      <vt:lpstr>Data_TredeTijd404</vt:lpstr>
      <vt:lpstr>Data_TredeTijd405</vt:lpstr>
      <vt:lpstr>Data_TredeTijd406</vt:lpstr>
      <vt:lpstr>Data_TredeTijd407</vt:lpstr>
      <vt:lpstr>Data_TredeTijd408</vt:lpstr>
      <vt:lpstr>Data_TredeTijd409</vt:lpstr>
      <vt:lpstr>Data_TredeTijd410</vt:lpstr>
      <vt:lpstr>Data_TredeTijd411</vt:lpstr>
      <vt:lpstr>Data_TredeTijd412</vt:lpstr>
      <vt:lpstr>Data_TredeTijd413</vt:lpstr>
      <vt:lpstr>Data_TredeTijd414</vt:lpstr>
      <vt:lpstr>Data_TredeTijd415</vt:lpstr>
      <vt:lpstr>Data_TredeTijd416</vt:lpstr>
      <vt:lpstr>Data_TredeTijd417</vt:lpstr>
      <vt:lpstr>Data_TredeTijd418</vt:lpstr>
      <vt:lpstr>Data_TredeTijd419</vt:lpstr>
      <vt:lpstr>Data_TredeTijd420</vt:lpstr>
      <vt:lpstr>Data_TredeTijd421</vt:lpstr>
      <vt:lpstr>Data_TredeTijd422</vt:lpstr>
      <vt:lpstr>Data_TredeTijd423</vt:lpstr>
      <vt:lpstr>Data_TredeTijd424</vt:lpstr>
      <vt:lpstr>Data_TredeTijd425</vt:lpstr>
      <vt:lpstr>Data_TredeTijd426</vt:lpstr>
      <vt:lpstr>Data_TredeTijd427</vt:lpstr>
      <vt:lpstr>Data_TredeTijd428</vt:lpstr>
      <vt:lpstr>Data_TredeTijd429</vt:lpstr>
      <vt:lpstr>Data_TredeTijd430</vt:lpstr>
      <vt:lpstr>Data_TredeTijd431</vt:lpstr>
      <vt:lpstr>Data_TredeTijd432</vt:lpstr>
      <vt:lpstr>Data_TredeTijd433</vt:lpstr>
      <vt:lpstr>Data_TredeTijd434</vt:lpstr>
      <vt:lpstr>Data_TredeTijd435</vt:lpstr>
      <vt:lpstr>Data_TredeTijd436</vt:lpstr>
      <vt:lpstr>Data_TredeTijd437</vt:lpstr>
      <vt:lpstr>Data_TredeTijd438</vt:lpstr>
      <vt:lpstr>Data_TredeTijd439</vt:lpstr>
      <vt:lpstr>Data_TredeTijd440</vt:lpstr>
      <vt:lpstr>Data_TredeTijd441</vt:lpstr>
      <vt:lpstr>Data_TredeTijd442</vt:lpstr>
      <vt:lpstr>Data_TredeTijd443</vt:lpstr>
      <vt:lpstr>Data_TredeTijd444</vt:lpstr>
      <vt:lpstr>Data_TredeTijd445</vt:lpstr>
      <vt:lpstr>Data_TredeTijd446</vt:lpstr>
      <vt:lpstr>Data_TredeTijd447</vt:lpstr>
      <vt:lpstr>Data_TredeTijd448</vt:lpstr>
      <vt:lpstr>Data_TredeTijd449</vt:lpstr>
      <vt:lpstr>Data_TredeTijd450</vt:lpstr>
      <vt:lpstr>Data_TredeTijd451</vt:lpstr>
      <vt:lpstr>Data_TredeTijd452</vt:lpstr>
      <vt:lpstr>Data_TredeTijd453</vt:lpstr>
      <vt:lpstr>Data_TredeTijd454</vt:lpstr>
      <vt:lpstr>Data_TredeTijd455</vt:lpstr>
      <vt:lpstr>Data_TredeTijd456</vt:lpstr>
      <vt:lpstr>Data_TredeTijd457</vt:lpstr>
      <vt:lpstr>Data_TredeTijd458</vt:lpstr>
      <vt:lpstr>Data_TredeTijd459</vt:lpstr>
      <vt:lpstr>Data_TredeTijd460</vt:lpstr>
      <vt:lpstr>Data_TredeTijd461</vt:lpstr>
      <vt:lpstr>Data_TredeTijd462</vt:lpstr>
      <vt:lpstr>Data_TredeTijd463</vt:lpstr>
      <vt:lpstr>Data_TredeTijd464</vt:lpstr>
      <vt:lpstr>Data_TredeTijd465</vt:lpstr>
      <vt:lpstr>Data_TredeTijd466</vt:lpstr>
      <vt:lpstr>Data_TredeTijd467</vt:lpstr>
      <vt:lpstr>Data_TredeTijd468</vt:lpstr>
      <vt:lpstr>Data_TredeTijd469</vt:lpstr>
      <vt:lpstr>Data_TredeTijd470</vt:lpstr>
      <vt:lpstr>Data_TredeTijd471</vt:lpstr>
      <vt:lpstr>Data_TredeTijd472</vt:lpstr>
      <vt:lpstr>Data_TredeTijd473</vt:lpstr>
      <vt:lpstr>Data_TredeTijd474</vt:lpstr>
      <vt:lpstr>Data_TredeTijd475</vt:lpstr>
      <vt:lpstr>Data_TredeTijd476</vt:lpstr>
      <vt:lpstr>Data_TredeTijd477</vt:lpstr>
      <vt:lpstr>Data_TredeTijd478</vt:lpstr>
      <vt:lpstr>Data_TredeTijd479</vt:lpstr>
      <vt:lpstr>Data_TredeTijd480</vt:lpstr>
      <vt:lpstr>Data_TredeTijd481</vt:lpstr>
      <vt:lpstr>Data_TredeTijd482</vt:lpstr>
      <vt:lpstr>Data_TredeTijd483</vt:lpstr>
      <vt:lpstr>Data_TredeTijd484</vt:lpstr>
      <vt:lpstr>Data_TredeTijd485</vt:lpstr>
      <vt:lpstr>Data_TredeTijd486</vt:lpstr>
      <vt:lpstr>Data_TredeTijd487</vt:lpstr>
      <vt:lpstr>Data_TredeTijd488</vt:lpstr>
      <vt:lpstr>Data_TredeTijd489</vt:lpstr>
      <vt:lpstr>Data_TredeTijd490</vt:lpstr>
      <vt:lpstr>Data_TredeTijd491</vt:lpstr>
      <vt:lpstr>Data_TredeTijd492</vt:lpstr>
      <vt:lpstr>Data_TredeTijd493</vt:lpstr>
      <vt:lpstr>Data_TredeTijd494</vt:lpstr>
      <vt:lpstr>Data_TredeTijd495</vt:lpstr>
      <vt:lpstr>Data_TredeTijd496</vt:lpstr>
      <vt:lpstr>Data_TredeTijd497</vt:lpstr>
      <vt:lpstr>Data_TredeTijd498</vt:lpstr>
      <vt:lpstr>Data_TredeTijd499</vt:lpstr>
      <vt:lpstr>Data_TredeTijd500</vt:lpstr>
      <vt:lpstr>Data_TredeVastOntslag001</vt:lpstr>
      <vt:lpstr>Data_TredeVastOntslag002</vt:lpstr>
      <vt:lpstr>Data_TredeVastOntslag003</vt:lpstr>
      <vt:lpstr>Data_TredeVastOntslag004</vt:lpstr>
      <vt:lpstr>Data_TredeVastOntslag005</vt:lpstr>
      <vt:lpstr>Data_TredeVastOntslag006</vt:lpstr>
      <vt:lpstr>Data_TredeVastOntslag007</vt:lpstr>
      <vt:lpstr>Data_TredeVastOntslag008</vt:lpstr>
      <vt:lpstr>Data_TredeVastOntslag009</vt:lpstr>
      <vt:lpstr>Data_TredeVastOntslag010</vt:lpstr>
      <vt:lpstr>Data_TredeVastOntslag011</vt:lpstr>
      <vt:lpstr>Data_TredeVastOntslag012</vt:lpstr>
      <vt:lpstr>Data_TredeVastOntslag013</vt:lpstr>
      <vt:lpstr>Data_TredeVastOntslag014</vt:lpstr>
      <vt:lpstr>Data_TredeVastOntslag015</vt:lpstr>
      <vt:lpstr>Data_TredeVastOntslag016</vt:lpstr>
      <vt:lpstr>Data_TredeVastOntslag017</vt:lpstr>
      <vt:lpstr>Data_TredeVastOntslag018</vt:lpstr>
      <vt:lpstr>Data_TredeVastOntslag019</vt:lpstr>
      <vt:lpstr>Data_TredeVastOntslag020</vt:lpstr>
      <vt:lpstr>Data_TredeVastOntslag021</vt:lpstr>
      <vt:lpstr>Data_TredeVastOntslag022</vt:lpstr>
      <vt:lpstr>Data_TredeVastOntslag023</vt:lpstr>
      <vt:lpstr>Data_TredeVastOntslag024</vt:lpstr>
      <vt:lpstr>Data_TredeVastOntslag025</vt:lpstr>
      <vt:lpstr>Data_TredeVastOntslag026</vt:lpstr>
      <vt:lpstr>Data_TredeVastOntslag027</vt:lpstr>
      <vt:lpstr>Data_TredeVastOntslag028</vt:lpstr>
      <vt:lpstr>Data_TredeVastOntslag029</vt:lpstr>
      <vt:lpstr>Data_TredeVastOntslag030</vt:lpstr>
      <vt:lpstr>Data_TredeVastOntslag031</vt:lpstr>
      <vt:lpstr>Data_TredeVastOntslag032</vt:lpstr>
      <vt:lpstr>Data_TredeVastOntslag033</vt:lpstr>
      <vt:lpstr>Data_TredeVastOntslag034</vt:lpstr>
      <vt:lpstr>Data_TredeVastOntslag035</vt:lpstr>
      <vt:lpstr>Data_TredeVastOntslag036</vt:lpstr>
      <vt:lpstr>Data_TredeVastOntslag037</vt:lpstr>
      <vt:lpstr>Data_TredeVastOntslag038</vt:lpstr>
      <vt:lpstr>Data_TredeVastOntslag039</vt:lpstr>
      <vt:lpstr>Data_TredeVastOntslag040</vt:lpstr>
      <vt:lpstr>Data_TredeVastOntslag041</vt:lpstr>
      <vt:lpstr>Data_TredeVastOntslag042</vt:lpstr>
      <vt:lpstr>Data_TredeVastOntslag043</vt:lpstr>
      <vt:lpstr>Data_TredeVastOntslag044</vt:lpstr>
      <vt:lpstr>Data_TredeVastOntslag045</vt:lpstr>
      <vt:lpstr>Data_TredeVastOntslag046</vt:lpstr>
      <vt:lpstr>Data_TredeVastOntslag047</vt:lpstr>
      <vt:lpstr>Data_TredeVastOntslag048</vt:lpstr>
      <vt:lpstr>Data_TredeVastOntslag049</vt:lpstr>
      <vt:lpstr>Data_TredeVastOntslag050</vt:lpstr>
      <vt:lpstr>Data_TredeVastOntslag051</vt:lpstr>
      <vt:lpstr>Data_TredeVastOntslag052</vt:lpstr>
      <vt:lpstr>Data_TredeVastOntslag053</vt:lpstr>
      <vt:lpstr>Data_TredeVastOntslag054</vt:lpstr>
      <vt:lpstr>Data_TredeVastOntslag055</vt:lpstr>
      <vt:lpstr>Data_TredeVastOntslag056</vt:lpstr>
      <vt:lpstr>Data_TredeVastOntslag057</vt:lpstr>
      <vt:lpstr>Data_TredeVastOntslag058</vt:lpstr>
      <vt:lpstr>Data_TredeVastOntslag059</vt:lpstr>
      <vt:lpstr>Data_TredeVastOntslag060</vt:lpstr>
      <vt:lpstr>Data_TredeVastOntslag061</vt:lpstr>
      <vt:lpstr>Data_TredeVastOntslag062</vt:lpstr>
      <vt:lpstr>Data_TredeVastOntslag063</vt:lpstr>
      <vt:lpstr>Data_TredeVastOntslag064</vt:lpstr>
      <vt:lpstr>Data_TredeVastOntslag065</vt:lpstr>
      <vt:lpstr>Data_TredeVastOntslag066</vt:lpstr>
      <vt:lpstr>Data_TredeVastOntslag067</vt:lpstr>
      <vt:lpstr>Data_TredeVastOntslag068</vt:lpstr>
      <vt:lpstr>Data_TredeVastOntslag069</vt:lpstr>
      <vt:lpstr>Data_TredeVastOntslag070</vt:lpstr>
      <vt:lpstr>Data_TredeVastOntslag071</vt:lpstr>
      <vt:lpstr>Data_TredeVastOntslag072</vt:lpstr>
      <vt:lpstr>Data_TredeVastOntslag073</vt:lpstr>
      <vt:lpstr>Data_TredeVastOntslag074</vt:lpstr>
      <vt:lpstr>Data_TredeVastOntslag075</vt:lpstr>
      <vt:lpstr>Data_TredeVastOntslag076</vt:lpstr>
      <vt:lpstr>Data_TredeVastOntslag077</vt:lpstr>
      <vt:lpstr>Data_TredeVastOntslag078</vt:lpstr>
      <vt:lpstr>Data_TredeVastOntslag079</vt:lpstr>
      <vt:lpstr>Data_TredeVastOntslag080</vt:lpstr>
      <vt:lpstr>Data_TredeVastOntslag081</vt:lpstr>
      <vt:lpstr>Data_TredeVastOntslag082</vt:lpstr>
      <vt:lpstr>Data_TredeVastOntslag083</vt:lpstr>
      <vt:lpstr>Data_TredeVastOntslag084</vt:lpstr>
      <vt:lpstr>Data_TredeVastOntslag085</vt:lpstr>
      <vt:lpstr>Data_TredeVastOntslag086</vt:lpstr>
      <vt:lpstr>Data_TredeVastOntslag087</vt:lpstr>
      <vt:lpstr>Data_TredeVastOntslag088</vt:lpstr>
      <vt:lpstr>Data_TredeVastOntslag089</vt:lpstr>
      <vt:lpstr>Data_TredeVastOntslag090</vt:lpstr>
      <vt:lpstr>Data_TredeVastOntslag091</vt:lpstr>
      <vt:lpstr>Data_TredeVastOntslag092</vt:lpstr>
      <vt:lpstr>Data_TredeVastOntslag093</vt:lpstr>
      <vt:lpstr>Data_TredeVastOntslag094</vt:lpstr>
      <vt:lpstr>Data_TredeVastOntslag095</vt:lpstr>
      <vt:lpstr>Data_TredeVastOntslag096</vt:lpstr>
      <vt:lpstr>Data_TredeVastOntslag097</vt:lpstr>
      <vt:lpstr>Data_TredeVastOntslag098</vt:lpstr>
      <vt:lpstr>Data_TredeVastOntslag099</vt:lpstr>
      <vt:lpstr>Data_TredeVastOntslag100</vt:lpstr>
      <vt:lpstr>Data_TredeVastOntslag101</vt:lpstr>
      <vt:lpstr>Data_TredeVastOntslag102</vt:lpstr>
      <vt:lpstr>Data_TredeVastOntslag103</vt:lpstr>
      <vt:lpstr>Data_TredeVastOntslag104</vt:lpstr>
      <vt:lpstr>Data_TredeVastOntslag105</vt:lpstr>
      <vt:lpstr>Data_TredeVastOntslag106</vt:lpstr>
      <vt:lpstr>Data_TredeVastOntslag107</vt:lpstr>
      <vt:lpstr>Data_TredeVastOntslag108</vt:lpstr>
      <vt:lpstr>Data_TredeVastOntslag109</vt:lpstr>
      <vt:lpstr>Data_TredeVastOntslag110</vt:lpstr>
      <vt:lpstr>Data_TredeVastOntslag111</vt:lpstr>
      <vt:lpstr>Data_TredeVastOntslag112</vt:lpstr>
      <vt:lpstr>Data_TredeVastOntslag113</vt:lpstr>
      <vt:lpstr>Data_TredeVastOntslag114</vt:lpstr>
      <vt:lpstr>Data_TredeVastOntslag115</vt:lpstr>
      <vt:lpstr>Data_TredeVastOntslag116</vt:lpstr>
      <vt:lpstr>Data_TredeVastOntslag117</vt:lpstr>
      <vt:lpstr>Data_TredeVastOntslag118</vt:lpstr>
      <vt:lpstr>Data_TredeVastOntslag119</vt:lpstr>
      <vt:lpstr>Data_TredeVastOntslag120</vt:lpstr>
      <vt:lpstr>Data_TredeVastOntslag121</vt:lpstr>
      <vt:lpstr>Data_TredeVastOntslag122</vt:lpstr>
      <vt:lpstr>Data_TredeVastOntslag123</vt:lpstr>
      <vt:lpstr>Data_TredeVastOntslag124</vt:lpstr>
      <vt:lpstr>Data_TredeVastOntslag125</vt:lpstr>
      <vt:lpstr>Data_TredeVastOntslag126</vt:lpstr>
      <vt:lpstr>Data_TredeVastOntslag127</vt:lpstr>
      <vt:lpstr>Data_TredeVastOntslag128</vt:lpstr>
      <vt:lpstr>Data_TredeVastOntslag129</vt:lpstr>
      <vt:lpstr>Data_TredeVastOntslag130</vt:lpstr>
      <vt:lpstr>Data_TredeVastOntslag131</vt:lpstr>
      <vt:lpstr>Data_TredeVastOntslag132</vt:lpstr>
      <vt:lpstr>Data_TredeVastOntslag133</vt:lpstr>
      <vt:lpstr>Data_TredeVastOntslag134</vt:lpstr>
      <vt:lpstr>Data_TredeVastOntslag135</vt:lpstr>
      <vt:lpstr>Data_TredeVastOntslag136</vt:lpstr>
      <vt:lpstr>Data_TredeVastOntslag137</vt:lpstr>
      <vt:lpstr>Data_TredeVastOntslag138</vt:lpstr>
      <vt:lpstr>Data_TredeVastOntslag139</vt:lpstr>
      <vt:lpstr>Data_TredeVastOntslag140</vt:lpstr>
      <vt:lpstr>Data_TredeVastOntslag141</vt:lpstr>
      <vt:lpstr>Data_TredeVastOntslag142</vt:lpstr>
      <vt:lpstr>Data_TredeVastOntslag143</vt:lpstr>
      <vt:lpstr>Data_TredeVastOntslag144</vt:lpstr>
      <vt:lpstr>Data_TredeVastOntslag145</vt:lpstr>
      <vt:lpstr>Data_TredeVastOntslag146</vt:lpstr>
      <vt:lpstr>Data_TredeVastOntslag147</vt:lpstr>
      <vt:lpstr>Data_TredeVastOntslag148</vt:lpstr>
      <vt:lpstr>Data_TredeVastOntslag149</vt:lpstr>
      <vt:lpstr>Data_TredeVastOntslag150</vt:lpstr>
      <vt:lpstr>Data_TredeVastOntslag151</vt:lpstr>
      <vt:lpstr>Data_TredeVastOntslag152</vt:lpstr>
      <vt:lpstr>Data_TredeVastOntslag153</vt:lpstr>
      <vt:lpstr>Data_TredeVastOntslag154</vt:lpstr>
      <vt:lpstr>Data_TredeVastOntslag155</vt:lpstr>
      <vt:lpstr>Data_TredeVastOntslag156</vt:lpstr>
      <vt:lpstr>Data_TredeVastOntslag157</vt:lpstr>
      <vt:lpstr>Data_TredeVastOntslag158</vt:lpstr>
      <vt:lpstr>Data_TredeVastOntslag159</vt:lpstr>
      <vt:lpstr>Data_TredeVastOntslag160</vt:lpstr>
      <vt:lpstr>Data_TredeVastOntslag161</vt:lpstr>
      <vt:lpstr>Data_TredeVastOntslag162</vt:lpstr>
      <vt:lpstr>Data_TredeVastOntslag163</vt:lpstr>
      <vt:lpstr>Data_TredeVastOntslag164</vt:lpstr>
      <vt:lpstr>Data_TredeVastOntslag165</vt:lpstr>
      <vt:lpstr>Data_TredeVastOntslag166</vt:lpstr>
      <vt:lpstr>Data_TredeVastOntslag167</vt:lpstr>
      <vt:lpstr>Data_TredeVastOntslag168</vt:lpstr>
      <vt:lpstr>Data_TredeVastOntslag169</vt:lpstr>
      <vt:lpstr>Data_TredeVastOntslag170</vt:lpstr>
      <vt:lpstr>Data_TredeVastOntslag171</vt:lpstr>
      <vt:lpstr>Data_TredeVastOntslag172</vt:lpstr>
      <vt:lpstr>Data_TredeVastOntslag173</vt:lpstr>
      <vt:lpstr>Data_TredeVastOntslag174</vt:lpstr>
      <vt:lpstr>Data_TredeVastOntslag175</vt:lpstr>
      <vt:lpstr>Data_TredeVastOntslag176</vt:lpstr>
      <vt:lpstr>Data_TredeVastOntslag177</vt:lpstr>
      <vt:lpstr>Data_TredeVastOntslag178</vt:lpstr>
      <vt:lpstr>Data_TredeVastOntslag179</vt:lpstr>
      <vt:lpstr>Data_TredeVastOntslag180</vt:lpstr>
      <vt:lpstr>Data_TredeVastOntslag181</vt:lpstr>
      <vt:lpstr>Data_TredeVastOntslag182</vt:lpstr>
      <vt:lpstr>Data_TredeVastOntslag183</vt:lpstr>
      <vt:lpstr>Data_TredeVastOntslag184</vt:lpstr>
      <vt:lpstr>Data_TredeVastOntslag185</vt:lpstr>
      <vt:lpstr>Data_TredeVastOntslag186</vt:lpstr>
      <vt:lpstr>Data_TredeVastOntslag187</vt:lpstr>
      <vt:lpstr>Data_TredeVastOntslag188</vt:lpstr>
      <vt:lpstr>Data_TredeVastOntslag189</vt:lpstr>
      <vt:lpstr>Data_TredeVastOntslag190</vt:lpstr>
      <vt:lpstr>Data_TredeVastOntslag191</vt:lpstr>
      <vt:lpstr>Data_TredeVastOntslag192</vt:lpstr>
      <vt:lpstr>Data_TredeVastOntslag193</vt:lpstr>
      <vt:lpstr>Data_TredeVastOntslag194</vt:lpstr>
      <vt:lpstr>Data_TredeVastOntslag195</vt:lpstr>
      <vt:lpstr>Data_TredeVastOntslag196</vt:lpstr>
      <vt:lpstr>Data_TredeVastOntslag197</vt:lpstr>
      <vt:lpstr>Data_TredeVastOntslag198</vt:lpstr>
      <vt:lpstr>Data_TredeVastOntslag199</vt:lpstr>
      <vt:lpstr>Data_TredeVastOntslag200</vt:lpstr>
      <vt:lpstr>Data_TredeVastOntslag201</vt:lpstr>
      <vt:lpstr>Data_TredeVastOntslag202</vt:lpstr>
      <vt:lpstr>Data_TredeVastOntslag203</vt:lpstr>
      <vt:lpstr>Data_TredeVastOntslag204</vt:lpstr>
      <vt:lpstr>Data_TredeVastOntslag205</vt:lpstr>
      <vt:lpstr>Data_TredeVastOntslag206</vt:lpstr>
      <vt:lpstr>Data_TredeVastOntslag207</vt:lpstr>
      <vt:lpstr>Data_TredeVastOntslag208</vt:lpstr>
      <vt:lpstr>Data_TredeVastOntslag209</vt:lpstr>
      <vt:lpstr>Data_TredeVastOntslag210</vt:lpstr>
      <vt:lpstr>Data_TredeVastOntslag211</vt:lpstr>
      <vt:lpstr>Data_TredeVastOntslag212</vt:lpstr>
      <vt:lpstr>Data_TredeVastOntslag213</vt:lpstr>
      <vt:lpstr>Data_TredeVastOntslag214</vt:lpstr>
      <vt:lpstr>Data_TredeVastOntslag215</vt:lpstr>
      <vt:lpstr>Data_TredeVastOntslag216</vt:lpstr>
      <vt:lpstr>Data_TredeVastOntslag217</vt:lpstr>
      <vt:lpstr>Data_TredeVastOntslag218</vt:lpstr>
      <vt:lpstr>Data_TredeVastOntslag219</vt:lpstr>
      <vt:lpstr>Data_TredeVastOntslag220</vt:lpstr>
      <vt:lpstr>Data_TredeVastOntslag221</vt:lpstr>
      <vt:lpstr>Data_TredeVastOntslag222</vt:lpstr>
      <vt:lpstr>Data_TredeVastOntslag223</vt:lpstr>
      <vt:lpstr>Data_TredeVastOntslag224</vt:lpstr>
      <vt:lpstr>Data_TredeVastOntslag225</vt:lpstr>
      <vt:lpstr>Data_TredeVastOntslag226</vt:lpstr>
      <vt:lpstr>Data_TredeVastOntslag227</vt:lpstr>
      <vt:lpstr>Data_TredeVastOntslag228</vt:lpstr>
      <vt:lpstr>Data_TredeVastOntslag229</vt:lpstr>
      <vt:lpstr>Data_TredeVastOntslag230</vt:lpstr>
      <vt:lpstr>Data_TredeVastOntslag231</vt:lpstr>
      <vt:lpstr>Data_TredeVastOntslag232</vt:lpstr>
      <vt:lpstr>Data_TredeVastOntslag233</vt:lpstr>
      <vt:lpstr>Data_TredeVastOntslag234</vt:lpstr>
      <vt:lpstr>Data_TredeVastOntslag235</vt:lpstr>
      <vt:lpstr>Data_TredeVastOntslag236</vt:lpstr>
      <vt:lpstr>Data_TredeVastOntslag237</vt:lpstr>
      <vt:lpstr>Data_TredeVastOntslag238</vt:lpstr>
      <vt:lpstr>Data_TredeVastOntslag239</vt:lpstr>
      <vt:lpstr>Data_TredeVastOntslag240</vt:lpstr>
      <vt:lpstr>Data_TredeVastOntslag241</vt:lpstr>
      <vt:lpstr>Data_TredeVastOntslag242</vt:lpstr>
      <vt:lpstr>Data_TredeVastOntslag243</vt:lpstr>
      <vt:lpstr>Data_TredeVastOntslag244</vt:lpstr>
      <vt:lpstr>Data_TredeVastOntslag245</vt:lpstr>
      <vt:lpstr>Data_TredeVastOntslag246</vt:lpstr>
      <vt:lpstr>Data_TredeVastOntslag247</vt:lpstr>
      <vt:lpstr>Data_TredeVastOntslag248</vt:lpstr>
      <vt:lpstr>Data_TredeVastOntslag249</vt:lpstr>
      <vt:lpstr>Data_TredeVastOntslag250</vt:lpstr>
      <vt:lpstr>Data_TredeVastOntslag251</vt:lpstr>
      <vt:lpstr>Data_TredeVastOntslag252</vt:lpstr>
      <vt:lpstr>Data_TredeVastOntslag253</vt:lpstr>
      <vt:lpstr>Data_TredeVastOntslag254</vt:lpstr>
      <vt:lpstr>Data_TredeVastOntslag255</vt:lpstr>
      <vt:lpstr>Data_TredeVastOntslag256</vt:lpstr>
      <vt:lpstr>Data_TredeVastOntslag257</vt:lpstr>
      <vt:lpstr>Data_TredeVastOntslag258</vt:lpstr>
      <vt:lpstr>Data_TredeVastOntslag259</vt:lpstr>
      <vt:lpstr>Data_TredeVastOntslag260</vt:lpstr>
      <vt:lpstr>Data_TredeVastOntslag261</vt:lpstr>
      <vt:lpstr>Data_TredeVastOntslag262</vt:lpstr>
      <vt:lpstr>Data_TredeVastOntslag263</vt:lpstr>
      <vt:lpstr>Data_TredeVastOntslag264</vt:lpstr>
      <vt:lpstr>Data_TredeVastOntslag265</vt:lpstr>
      <vt:lpstr>Data_TredeVastOntslag266</vt:lpstr>
      <vt:lpstr>Data_TredeVastOntslag267</vt:lpstr>
      <vt:lpstr>Data_TredeVastOntslag268</vt:lpstr>
      <vt:lpstr>Data_TredeVastOntslag269</vt:lpstr>
      <vt:lpstr>Data_TredeVastOntslag270</vt:lpstr>
      <vt:lpstr>Data_TredeVastOntslag271</vt:lpstr>
      <vt:lpstr>Data_TredeVastOntslag272</vt:lpstr>
      <vt:lpstr>Data_TredeVastOntslag273</vt:lpstr>
      <vt:lpstr>Data_TredeVastOntslag274</vt:lpstr>
      <vt:lpstr>Data_TredeVastOntslag275</vt:lpstr>
      <vt:lpstr>Data_TredeVastOntslag276</vt:lpstr>
      <vt:lpstr>Data_TredeVastOntslag277</vt:lpstr>
      <vt:lpstr>Data_TredeVastOntslag278</vt:lpstr>
      <vt:lpstr>Data_TredeVastOntslag279</vt:lpstr>
      <vt:lpstr>Data_TredeVastOntslag280</vt:lpstr>
      <vt:lpstr>Data_TredeVastOntslag281</vt:lpstr>
      <vt:lpstr>Data_TredeVastOntslag282</vt:lpstr>
      <vt:lpstr>Data_TredeVastOntslag283</vt:lpstr>
      <vt:lpstr>Data_TredeVastOntslag284</vt:lpstr>
      <vt:lpstr>Data_TredeVastOntslag285</vt:lpstr>
      <vt:lpstr>Data_TredeVastOntslag286</vt:lpstr>
      <vt:lpstr>Data_TredeVastOntslag287</vt:lpstr>
      <vt:lpstr>Data_TredeVastOntslag288</vt:lpstr>
      <vt:lpstr>Data_TredeVastOntslag289</vt:lpstr>
      <vt:lpstr>Data_TredeVastOntslag290</vt:lpstr>
      <vt:lpstr>Data_TredeVastOntslag291</vt:lpstr>
      <vt:lpstr>Data_TredeVastOntslag292</vt:lpstr>
      <vt:lpstr>Data_TredeVastOntslag293</vt:lpstr>
      <vt:lpstr>Data_TredeVastOntslag294</vt:lpstr>
      <vt:lpstr>Data_TredeVastOntslag295</vt:lpstr>
      <vt:lpstr>Data_TredeVastOntslag296</vt:lpstr>
      <vt:lpstr>Data_TredeVastOntslag297</vt:lpstr>
      <vt:lpstr>Data_TredeVastOntslag298</vt:lpstr>
      <vt:lpstr>Data_TredeVastOntslag299</vt:lpstr>
      <vt:lpstr>Data_TredeVastOntslag300</vt:lpstr>
      <vt:lpstr>Data_TredeVastOntslag301</vt:lpstr>
      <vt:lpstr>Data_TredeVastOntslag302</vt:lpstr>
      <vt:lpstr>Data_TredeVastOntslag303</vt:lpstr>
      <vt:lpstr>Data_TredeVastOntslag304</vt:lpstr>
      <vt:lpstr>Data_TredeVastOntslag305</vt:lpstr>
      <vt:lpstr>Data_TredeVastOntslag306</vt:lpstr>
      <vt:lpstr>Data_TredeVastOntslag307</vt:lpstr>
      <vt:lpstr>Data_TredeVastOntslag308</vt:lpstr>
      <vt:lpstr>Data_TredeVastOntslag309</vt:lpstr>
      <vt:lpstr>Data_TredeVastOntslag310</vt:lpstr>
      <vt:lpstr>Data_TredeVastOntslag311</vt:lpstr>
      <vt:lpstr>Data_TredeVastOntslag312</vt:lpstr>
      <vt:lpstr>Data_TredeVastOntslag313</vt:lpstr>
      <vt:lpstr>Data_TredeVastOntslag314</vt:lpstr>
      <vt:lpstr>Data_TredeVastOntslag315</vt:lpstr>
      <vt:lpstr>Data_TredeVastOntslag316</vt:lpstr>
      <vt:lpstr>Data_TredeVastOntslag317</vt:lpstr>
      <vt:lpstr>Data_TredeVastOntslag318</vt:lpstr>
      <vt:lpstr>Data_TredeVastOntslag319</vt:lpstr>
      <vt:lpstr>Data_TredeVastOntslag320</vt:lpstr>
      <vt:lpstr>Data_TredeVastOntslag321</vt:lpstr>
      <vt:lpstr>Data_TredeVastOntslag322</vt:lpstr>
      <vt:lpstr>Data_TredeVastOntslag323</vt:lpstr>
      <vt:lpstr>Data_TredeVastOntslag324</vt:lpstr>
      <vt:lpstr>Data_TredeVastOntslag325</vt:lpstr>
      <vt:lpstr>Data_TredeVastOntslag326</vt:lpstr>
      <vt:lpstr>Data_TredeVastOntslag327</vt:lpstr>
      <vt:lpstr>Data_TredeVastOntslag328</vt:lpstr>
      <vt:lpstr>Data_TredeVastOntslag329</vt:lpstr>
      <vt:lpstr>Data_TredeVastOntslag330</vt:lpstr>
      <vt:lpstr>Data_TredeVastOntslag331</vt:lpstr>
      <vt:lpstr>Data_TredeVastOntslag332</vt:lpstr>
      <vt:lpstr>Data_TredeVastOntslag333</vt:lpstr>
      <vt:lpstr>Data_TredeVastOntslag334</vt:lpstr>
      <vt:lpstr>Data_TredeVastOntslag335</vt:lpstr>
      <vt:lpstr>Data_TredeVastOntslag336</vt:lpstr>
      <vt:lpstr>Data_TredeVastOntslag337</vt:lpstr>
      <vt:lpstr>Data_TredeVastOntslag338</vt:lpstr>
      <vt:lpstr>Data_TredeVastOntslag339</vt:lpstr>
      <vt:lpstr>Data_TredeVastOntslag340</vt:lpstr>
      <vt:lpstr>Data_TredeVastOntslag341</vt:lpstr>
      <vt:lpstr>Data_TredeVastOntslag342</vt:lpstr>
      <vt:lpstr>Data_TredeVastOntslag343</vt:lpstr>
      <vt:lpstr>Data_TredeVastOntslag344</vt:lpstr>
      <vt:lpstr>Data_TredeVastOntslag345</vt:lpstr>
      <vt:lpstr>Data_TredeVastOntslag346</vt:lpstr>
      <vt:lpstr>Data_TredeVastOntslag347</vt:lpstr>
      <vt:lpstr>Data_TredeVastOntslag348</vt:lpstr>
      <vt:lpstr>Data_TredeVastOntslag349</vt:lpstr>
      <vt:lpstr>Data_TredeVastOntslag350</vt:lpstr>
      <vt:lpstr>Data_TredeVastOntslag351</vt:lpstr>
      <vt:lpstr>Data_TredeVastOntslag352</vt:lpstr>
      <vt:lpstr>Data_TredeVastOntslag353</vt:lpstr>
      <vt:lpstr>Data_TredeVastOntslag354</vt:lpstr>
      <vt:lpstr>Data_TredeVastOntslag355</vt:lpstr>
      <vt:lpstr>Data_TredeVastOntslag356</vt:lpstr>
      <vt:lpstr>Data_TredeVastOntslag357</vt:lpstr>
      <vt:lpstr>Data_TredeVastOntslag358</vt:lpstr>
      <vt:lpstr>Data_TredeVastOntslag359</vt:lpstr>
      <vt:lpstr>Data_TredeVastOntslag360</vt:lpstr>
      <vt:lpstr>Data_TredeVastOntslag361</vt:lpstr>
      <vt:lpstr>Data_TredeVastOntslag362</vt:lpstr>
      <vt:lpstr>Data_TredeVastOntslag363</vt:lpstr>
      <vt:lpstr>Data_TredeVastOntslag364</vt:lpstr>
      <vt:lpstr>Data_TredeVastOntslag365</vt:lpstr>
      <vt:lpstr>Data_TredeVastOntslag366</vt:lpstr>
      <vt:lpstr>Data_TredeVastOntslag367</vt:lpstr>
      <vt:lpstr>Data_TredeVastOntslag368</vt:lpstr>
      <vt:lpstr>Data_TredeVastOntslag369</vt:lpstr>
      <vt:lpstr>Data_TredeVastOntslag370</vt:lpstr>
      <vt:lpstr>Data_TredeVastOntslag371</vt:lpstr>
      <vt:lpstr>Data_TredeVastOntslag372</vt:lpstr>
      <vt:lpstr>Data_TredeVastOntslag373</vt:lpstr>
      <vt:lpstr>Data_TredeVastOntslag374</vt:lpstr>
      <vt:lpstr>Data_TredeVastOntslag375</vt:lpstr>
      <vt:lpstr>Data_TredeVastOntslag376</vt:lpstr>
      <vt:lpstr>Data_TredeVastOntslag377</vt:lpstr>
      <vt:lpstr>Data_TredeVastOntslag378</vt:lpstr>
      <vt:lpstr>Data_TredeVastOntslag379</vt:lpstr>
      <vt:lpstr>Data_TredeVastOntslag380</vt:lpstr>
      <vt:lpstr>Data_TredeVastOntslag381</vt:lpstr>
      <vt:lpstr>Data_TredeVastOntslag382</vt:lpstr>
      <vt:lpstr>Data_TredeVastOntslag383</vt:lpstr>
      <vt:lpstr>Data_TredeVastOntslag384</vt:lpstr>
      <vt:lpstr>Data_TredeVastOntslag385</vt:lpstr>
      <vt:lpstr>Data_TredeVastOntslag386</vt:lpstr>
      <vt:lpstr>Data_TredeVastOntslag387</vt:lpstr>
      <vt:lpstr>Data_TredeVastOntslag388</vt:lpstr>
      <vt:lpstr>Data_TredeVastOntslag389</vt:lpstr>
      <vt:lpstr>Data_TredeVastOntslag390</vt:lpstr>
      <vt:lpstr>Data_TredeVastOntslag391</vt:lpstr>
      <vt:lpstr>Data_TredeVastOntslag392</vt:lpstr>
      <vt:lpstr>Data_TredeVastOntslag393</vt:lpstr>
      <vt:lpstr>Data_TredeVastOntslag394</vt:lpstr>
      <vt:lpstr>Data_TredeVastOntslag395</vt:lpstr>
      <vt:lpstr>Data_TredeVastOntslag396</vt:lpstr>
      <vt:lpstr>Data_TredeVastOntslag397</vt:lpstr>
      <vt:lpstr>Data_TredeVastOntslag398</vt:lpstr>
      <vt:lpstr>Data_TredeVastOntslag399</vt:lpstr>
      <vt:lpstr>Data_TredeVastOntslag400</vt:lpstr>
      <vt:lpstr>Data_TredeVastOntslag401</vt:lpstr>
      <vt:lpstr>Data_TredeVastOntslag402</vt:lpstr>
      <vt:lpstr>Data_TredeVastOntslag403</vt:lpstr>
      <vt:lpstr>Data_TredeVastOntslag404</vt:lpstr>
      <vt:lpstr>Data_TredeVastOntslag405</vt:lpstr>
      <vt:lpstr>Data_TredeVastOntslag406</vt:lpstr>
      <vt:lpstr>Data_TredeVastOntslag407</vt:lpstr>
      <vt:lpstr>Data_TredeVastOntslag408</vt:lpstr>
      <vt:lpstr>Data_TredeVastOntslag409</vt:lpstr>
      <vt:lpstr>Data_TredeVastOntslag410</vt:lpstr>
      <vt:lpstr>Data_TredeVastOntslag411</vt:lpstr>
      <vt:lpstr>Data_TredeVastOntslag412</vt:lpstr>
      <vt:lpstr>Data_TredeVastOntslag413</vt:lpstr>
      <vt:lpstr>Data_TredeVastOntslag414</vt:lpstr>
      <vt:lpstr>Data_TredeVastOntslag415</vt:lpstr>
      <vt:lpstr>Data_TredeVastOntslag416</vt:lpstr>
      <vt:lpstr>Data_TredeVastOntslag417</vt:lpstr>
      <vt:lpstr>Data_TredeVastOntslag418</vt:lpstr>
      <vt:lpstr>Data_TredeVastOntslag419</vt:lpstr>
      <vt:lpstr>Data_TredeVastOntslag420</vt:lpstr>
      <vt:lpstr>Data_TredeVastOntslag421</vt:lpstr>
      <vt:lpstr>Data_TredeVastOntslag422</vt:lpstr>
      <vt:lpstr>Data_TredeVastOntslag423</vt:lpstr>
      <vt:lpstr>Data_TredeVastOntslag424</vt:lpstr>
      <vt:lpstr>Data_TredeVastOntslag425</vt:lpstr>
      <vt:lpstr>Data_TredeVastOntslag426</vt:lpstr>
      <vt:lpstr>Data_TredeVastOntslag427</vt:lpstr>
      <vt:lpstr>Data_TredeVastOntslag428</vt:lpstr>
      <vt:lpstr>Data_TredeVastOntslag429</vt:lpstr>
      <vt:lpstr>Data_TredeVastOntslag430</vt:lpstr>
      <vt:lpstr>Data_TredeVastOntslag431</vt:lpstr>
      <vt:lpstr>Data_TredeVastOntslag432</vt:lpstr>
      <vt:lpstr>Data_TredeVastOntslag433</vt:lpstr>
      <vt:lpstr>Data_TredeVastOntslag434</vt:lpstr>
      <vt:lpstr>Data_TredeVastOntslag435</vt:lpstr>
      <vt:lpstr>Data_TredeVastOntslag436</vt:lpstr>
      <vt:lpstr>Data_TredeVastOntslag437</vt:lpstr>
      <vt:lpstr>Data_TredeVastOntslag438</vt:lpstr>
      <vt:lpstr>Data_TredeVastOntslag439</vt:lpstr>
      <vt:lpstr>Data_TredeVastOntslag440</vt:lpstr>
      <vt:lpstr>Data_TredeVastOntslag441</vt:lpstr>
      <vt:lpstr>Data_TredeVastOntslag442</vt:lpstr>
      <vt:lpstr>Data_TredeVastOntslag443</vt:lpstr>
      <vt:lpstr>Data_TredeVastOntslag444</vt:lpstr>
      <vt:lpstr>Data_TredeVastOntslag445</vt:lpstr>
      <vt:lpstr>Data_TredeVastOntslag446</vt:lpstr>
      <vt:lpstr>Data_TredeVastOntslag447</vt:lpstr>
      <vt:lpstr>Data_TredeVastOntslag448</vt:lpstr>
      <vt:lpstr>Data_TredeVastOntslag449</vt:lpstr>
      <vt:lpstr>Data_TredeVastOntslag450</vt:lpstr>
      <vt:lpstr>Data_TredeVastOntslag451</vt:lpstr>
      <vt:lpstr>Data_TredeVastOntslag452</vt:lpstr>
      <vt:lpstr>Data_TredeVastOntslag453</vt:lpstr>
      <vt:lpstr>Data_TredeVastOntslag454</vt:lpstr>
      <vt:lpstr>Data_TredeVastOntslag455</vt:lpstr>
      <vt:lpstr>Data_TredeVastOntslag456</vt:lpstr>
      <vt:lpstr>Data_TredeVastOntslag457</vt:lpstr>
      <vt:lpstr>Data_TredeVastOntslag458</vt:lpstr>
      <vt:lpstr>Data_TredeVastOntslag459</vt:lpstr>
      <vt:lpstr>Data_TredeVastOntslag460</vt:lpstr>
      <vt:lpstr>Data_TredeVastOntslag461</vt:lpstr>
      <vt:lpstr>Data_TredeVastOntslag462</vt:lpstr>
      <vt:lpstr>Data_TredeVastOntslag463</vt:lpstr>
      <vt:lpstr>Data_TredeVastOntslag464</vt:lpstr>
      <vt:lpstr>Data_TredeVastOntslag465</vt:lpstr>
      <vt:lpstr>Data_TredeVastOntslag466</vt:lpstr>
      <vt:lpstr>Data_TredeVastOntslag467</vt:lpstr>
      <vt:lpstr>Data_TredeVastOntslag468</vt:lpstr>
      <vt:lpstr>Data_TredeVastOntslag469</vt:lpstr>
      <vt:lpstr>Data_TredeVastOntslag470</vt:lpstr>
      <vt:lpstr>Data_TredeVastOntslag471</vt:lpstr>
      <vt:lpstr>Data_TredeVastOntslag472</vt:lpstr>
      <vt:lpstr>Data_TredeVastOntslag473</vt:lpstr>
      <vt:lpstr>Data_TredeVastOntslag474</vt:lpstr>
      <vt:lpstr>Data_TredeVastOntslag475</vt:lpstr>
      <vt:lpstr>Data_TredeVastOntslag476</vt:lpstr>
      <vt:lpstr>Data_TredeVastOntslag477</vt:lpstr>
      <vt:lpstr>Data_TredeVastOntslag478</vt:lpstr>
      <vt:lpstr>Data_TredeVastOntslag479</vt:lpstr>
      <vt:lpstr>Data_TredeVastOntslag480</vt:lpstr>
      <vt:lpstr>Data_TredeVastOntslag481</vt:lpstr>
      <vt:lpstr>Data_TredeVastOntslag482</vt:lpstr>
      <vt:lpstr>Data_TredeVastOntslag483</vt:lpstr>
      <vt:lpstr>Data_TredeVastOntslag484</vt:lpstr>
      <vt:lpstr>Data_TredeVastOntslag485</vt:lpstr>
      <vt:lpstr>Data_TredeVastOntslag486</vt:lpstr>
      <vt:lpstr>Data_TredeVastOntslag487</vt:lpstr>
      <vt:lpstr>Data_TredeVastOntslag488</vt:lpstr>
      <vt:lpstr>Data_TredeVastOntslag489</vt:lpstr>
      <vt:lpstr>Data_TredeVastOntslag490</vt:lpstr>
      <vt:lpstr>Data_TredeVastOntslag491</vt:lpstr>
      <vt:lpstr>Data_TredeVastOntslag492</vt:lpstr>
      <vt:lpstr>Data_TredeVastOntslag493</vt:lpstr>
      <vt:lpstr>Data_TredeVastOntslag494</vt:lpstr>
      <vt:lpstr>Data_TredeVastOntslag495</vt:lpstr>
      <vt:lpstr>Data_TredeVastOntslag496</vt:lpstr>
      <vt:lpstr>Data_TredeVastOntslag497</vt:lpstr>
      <vt:lpstr>Data_TredeVastOntslag498</vt:lpstr>
      <vt:lpstr>Data_TredeVastOntslag499</vt:lpstr>
      <vt:lpstr>Data_TredeVastOntslag500</vt:lpstr>
      <vt:lpstr>Data_TredeVastVrij001</vt:lpstr>
      <vt:lpstr>Data_TredeVastVrij002</vt:lpstr>
      <vt:lpstr>Data_TredeVastVrij003</vt:lpstr>
      <vt:lpstr>Data_TredeVastVrij004</vt:lpstr>
      <vt:lpstr>Data_TredeVastVrij005</vt:lpstr>
      <vt:lpstr>Data_TredeVastVrij006</vt:lpstr>
      <vt:lpstr>Data_TredeVastVrij007</vt:lpstr>
      <vt:lpstr>Data_TredeVastVrij008</vt:lpstr>
      <vt:lpstr>Data_TredeVastVrij009</vt:lpstr>
      <vt:lpstr>Data_TredeVastVrij010</vt:lpstr>
      <vt:lpstr>Data_TredeVastVrij011</vt:lpstr>
      <vt:lpstr>Data_TredeVastVrij012</vt:lpstr>
      <vt:lpstr>Data_TredeVastVrij013</vt:lpstr>
      <vt:lpstr>Data_TredeVastVrij014</vt:lpstr>
      <vt:lpstr>Data_TredeVastVrij015</vt:lpstr>
      <vt:lpstr>Data_TredeVastVrij016</vt:lpstr>
      <vt:lpstr>Data_TredeVastVrij017</vt:lpstr>
      <vt:lpstr>Data_TredeVastVrij018</vt:lpstr>
      <vt:lpstr>Data_TredeVastVrij019</vt:lpstr>
      <vt:lpstr>Data_TredeVastVrij020</vt:lpstr>
      <vt:lpstr>Data_TredeVastVrij021</vt:lpstr>
      <vt:lpstr>Data_TredeVastVrij022</vt:lpstr>
      <vt:lpstr>Data_TredeVastVrij023</vt:lpstr>
      <vt:lpstr>Data_TredeVastVrij024</vt:lpstr>
      <vt:lpstr>Data_TredeVastVrij025</vt:lpstr>
      <vt:lpstr>Data_TredeVastVrij026</vt:lpstr>
      <vt:lpstr>Data_TredeVastVrij027</vt:lpstr>
      <vt:lpstr>Data_TredeVastVrij028</vt:lpstr>
      <vt:lpstr>Data_TredeVastVrij029</vt:lpstr>
      <vt:lpstr>Data_TredeVastVrij030</vt:lpstr>
      <vt:lpstr>Data_TredeVastVrij031</vt:lpstr>
      <vt:lpstr>Data_TredeVastVrij032</vt:lpstr>
      <vt:lpstr>Data_TredeVastVrij033</vt:lpstr>
      <vt:lpstr>Data_TredeVastVrij034</vt:lpstr>
      <vt:lpstr>Data_TredeVastVrij035</vt:lpstr>
      <vt:lpstr>Data_TredeVastVrij036</vt:lpstr>
      <vt:lpstr>Data_TredeVastVrij037</vt:lpstr>
      <vt:lpstr>Data_TredeVastVrij038</vt:lpstr>
      <vt:lpstr>Data_TredeVastVrij039</vt:lpstr>
      <vt:lpstr>Data_TredeVastVrij040</vt:lpstr>
      <vt:lpstr>Data_TredeVastVrij041</vt:lpstr>
      <vt:lpstr>Data_TredeVastVrij042</vt:lpstr>
      <vt:lpstr>Data_TredeVastVrij043</vt:lpstr>
      <vt:lpstr>Data_TredeVastVrij044</vt:lpstr>
      <vt:lpstr>Data_TredeVastVrij045</vt:lpstr>
      <vt:lpstr>Data_TredeVastVrij046</vt:lpstr>
      <vt:lpstr>Data_TredeVastVrij047</vt:lpstr>
      <vt:lpstr>Data_TredeVastVrij048</vt:lpstr>
      <vt:lpstr>Data_TredeVastVrij049</vt:lpstr>
      <vt:lpstr>Data_TredeVastVrij050</vt:lpstr>
      <vt:lpstr>Data_TredeVastVrij051</vt:lpstr>
      <vt:lpstr>Data_TredeVastVrij052</vt:lpstr>
      <vt:lpstr>Data_TredeVastVrij053</vt:lpstr>
      <vt:lpstr>Data_TredeVastVrij054</vt:lpstr>
      <vt:lpstr>Data_TredeVastVrij055</vt:lpstr>
      <vt:lpstr>Data_TredeVastVrij056</vt:lpstr>
      <vt:lpstr>Data_TredeVastVrij057</vt:lpstr>
      <vt:lpstr>Data_TredeVastVrij058</vt:lpstr>
      <vt:lpstr>Data_TredeVastVrij059</vt:lpstr>
      <vt:lpstr>Data_TredeVastVrij060</vt:lpstr>
      <vt:lpstr>Data_TredeVastVrij061</vt:lpstr>
      <vt:lpstr>Data_TredeVastVrij062</vt:lpstr>
      <vt:lpstr>Data_TredeVastVrij063</vt:lpstr>
      <vt:lpstr>Data_TredeVastVrij064</vt:lpstr>
      <vt:lpstr>Data_TredeVastVrij065</vt:lpstr>
      <vt:lpstr>Data_TredeVastVrij066</vt:lpstr>
      <vt:lpstr>Data_TredeVastVrij067</vt:lpstr>
      <vt:lpstr>Data_TredeVastVrij068</vt:lpstr>
      <vt:lpstr>Data_TredeVastVrij069</vt:lpstr>
      <vt:lpstr>Data_TredeVastVrij070</vt:lpstr>
      <vt:lpstr>Data_TredeVastVrij071</vt:lpstr>
      <vt:lpstr>Data_TredeVastVrij072</vt:lpstr>
      <vt:lpstr>Data_TredeVastVrij073</vt:lpstr>
      <vt:lpstr>Data_TredeVastVrij074</vt:lpstr>
      <vt:lpstr>Data_TredeVastVrij075</vt:lpstr>
      <vt:lpstr>Data_TredeVastVrij076</vt:lpstr>
      <vt:lpstr>Data_TredeVastVrij077</vt:lpstr>
      <vt:lpstr>Data_TredeVastVrij078</vt:lpstr>
      <vt:lpstr>Data_TredeVastVrij079</vt:lpstr>
      <vt:lpstr>Data_TredeVastVrij080</vt:lpstr>
      <vt:lpstr>Data_TredeVastVrij081</vt:lpstr>
      <vt:lpstr>Data_TredeVastVrij082</vt:lpstr>
      <vt:lpstr>Data_TredeVastVrij083</vt:lpstr>
      <vt:lpstr>Data_TredeVastVrij084</vt:lpstr>
      <vt:lpstr>Data_TredeVastVrij085</vt:lpstr>
      <vt:lpstr>Data_TredeVastVrij086</vt:lpstr>
      <vt:lpstr>Data_TredeVastVrij087</vt:lpstr>
      <vt:lpstr>Data_TredeVastVrij088</vt:lpstr>
      <vt:lpstr>Data_TredeVastVrij089</vt:lpstr>
      <vt:lpstr>Data_TredeVastVrij090</vt:lpstr>
      <vt:lpstr>Data_TredeVastVrij091</vt:lpstr>
      <vt:lpstr>Data_TredeVastVrij092</vt:lpstr>
      <vt:lpstr>Data_TredeVastVrij093</vt:lpstr>
      <vt:lpstr>Data_TredeVastVrij094</vt:lpstr>
      <vt:lpstr>Data_TredeVastVrij095</vt:lpstr>
      <vt:lpstr>Data_TredeVastVrij096</vt:lpstr>
      <vt:lpstr>Data_TredeVastVrij097</vt:lpstr>
      <vt:lpstr>Data_TredeVastVrij098</vt:lpstr>
      <vt:lpstr>Data_TredeVastVrij099</vt:lpstr>
      <vt:lpstr>Data_TredeVastVrij100</vt:lpstr>
      <vt:lpstr>Data_TredeVastVrij101</vt:lpstr>
      <vt:lpstr>Data_TredeVastVrij102</vt:lpstr>
      <vt:lpstr>Data_TredeVastVrij103</vt:lpstr>
      <vt:lpstr>Data_TredeVastVrij104</vt:lpstr>
      <vt:lpstr>Data_TredeVastVrij105</vt:lpstr>
      <vt:lpstr>Data_TredeVastVrij106</vt:lpstr>
      <vt:lpstr>Data_TredeVastVrij107</vt:lpstr>
      <vt:lpstr>Data_TredeVastVrij108</vt:lpstr>
      <vt:lpstr>Data_TredeVastVrij109</vt:lpstr>
      <vt:lpstr>Data_TredeVastVrij110</vt:lpstr>
      <vt:lpstr>Data_TredeVastVrij111</vt:lpstr>
      <vt:lpstr>Data_TredeVastVrij112</vt:lpstr>
      <vt:lpstr>Data_TredeVastVrij113</vt:lpstr>
      <vt:lpstr>Data_TredeVastVrij114</vt:lpstr>
      <vt:lpstr>Data_TredeVastVrij115</vt:lpstr>
      <vt:lpstr>Data_TredeVastVrij116</vt:lpstr>
      <vt:lpstr>Data_TredeVastVrij117</vt:lpstr>
      <vt:lpstr>Data_TredeVastVrij118</vt:lpstr>
      <vt:lpstr>Data_TredeVastVrij119</vt:lpstr>
      <vt:lpstr>Data_TredeVastVrij120</vt:lpstr>
      <vt:lpstr>Data_TredeVastVrij121</vt:lpstr>
      <vt:lpstr>Data_TredeVastVrij122</vt:lpstr>
      <vt:lpstr>Data_TredeVastVrij123</vt:lpstr>
      <vt:lpstr>Data_TredeVastVrij124</vt:lpstr>
      <vt:lpstr>Data_TredeVastVrij125</vt:lpstr>
      <vt:lpstr>Data_TredeVastVrij126</vt:lpstr>
      <vt:lpstr>Data_TredeVastVrij127</vt:lpstr>
      <vt:lpstr>Data_TredeVastVrij128</vt:lpstr>
      <vt:lpstr>Data_TredeVastVrij129</vt:lpstr>
      <vt:lpstr>Data_TredeVastVrij130</vt:lpstr>
      <vt:lpstr>Data_TredeVastVrij131</vt:lpstr>
      <vt:lpstr>Data_TredeVastVrij132</vt:lpstr>
      <vt:lpstr>Data_TredeVastVrij133</vt:lpstr>
      <vt:lpstr>Data_TredeVastVrij134</vt:lpstr>
      <vt:lpstr>Data_TredeVastVrij135</vt:lpstr>
      <vt:lpstr>Data_TredeVastVrij136</vt:lpstr>
      <vt:lpstr>Data_TredeVastVrij137</vt:lpstr>
      <vt:lpstr>Data_TredeVastVrij138</vt:lpstr>
      <vt:lpstr>Data_TredeVastVrij139</vt:lpstr>
      <vt:lpstr>Data_TredeVastVrij140</vt:lpstr>
      <vt:lpstr>Data_TredeVastVrij141</vt:lpstr>
      <vt:lpstr>Data_TredeVastVrij142</vt:lpstr>
      <vt:lpstr>Data_TredeVastVrij143</vt:lpstr>
      <vt:lpstr>Data_TredeVastVrij144</vt:lpstr>
      <vt:lpstr>Data_TredeVastVrij145</vt:lpstr>
      <vt:lpstr>Data_TredeVastVrij146</vt:lpstr>
      <vt:lpstr>Data_TredeVastVrij147</vt:lpstr>
      <vt:lpstr>Data_TredeVastVrij148</vt:lpstr>
      <vt:lpstr>Data_TredeVastVrij149</vt:lpstr>
      <vt:lpstr>Data_TredeVastVrij150</vt:lpstr>
      <vt:lpstr>Data_TredeVastVrij151</vt:lpstr>
      <vt:lpstr>Data_TredeVastVrij152</vt:lpstr>
      <vt:lpstr>Data_TredeVastVrij153</vt:lpstr>
      <vt:lpstr>Data_TredeVastVrij154</vt:lpstr>
      <vt:lpstr>Data_TredeVastVrij155</vt:lpstr>
      <vt:lpstr>Data_TredeVastVrij156</vt:lpstr>
      <vt:lpstr>Data_TredeVastVrij157</vt:lpstr>
      <vt:lpstr>Data_TredeVastVrij158</vt:lpstr>
      <vt:lpstr>Data_TredeVastVrij159</vt:lpstr>
      <vt:lpstr>Data_TredeVastVrij160</vt:lpstr>
      <vt:lpstr>Data_TredeVastVrij161</vt:lpstr>
      <vt:lpstr>Data_TredeVastVrij162</vt:lpstr>
      <vt:lpstr>Data_TredeVastVrij163</vt:lpstr>
      <vt:lpstr>Data_TredeVastVrij164</vt:lpstr>
      <vt:lpstr>Data_TredeVastVrij165</vt:lpstr>
      <vt:lpstr>Data_TredeVastVrij166</vt:lpstr>
      <vt:lpstr>Data_TredeVastVrij167</vt:lpstr>
      <vt:lpstr>Data_TredeVastVrij168</vt:lpstr>
      <vt:lpstr>Data_TredeVastVrij169</vt:lpstr>
      <vt:lpstr>Data_TredeVastVrij170</vt:lpstr>
      <vt:lpstr>Data_TredeVastVrij171</vt:lpstr>
      <vt:lpstr>Data_TredeVastVrij172</vt:lpstr>
      <vt:lpstr>Data_TredeVastVrij173</vt:lpstr>
      <vt:lpstr>Data_TredeVastVrij174</vt:lpstr>
      <vt:lpstr>Data_TredeVastVrij175</vt:lpstr>
      <vt:lpstr>Data_TredeVastVrij176</vt:lpstr>
      <vt:lpstr>Data_TredeVastVrij177</vt:lpstr>
      <vt:lpstr>Data_TredeVastVrij178</vt:lpstr>
      <vt:lpstr>Data_TredeVastVrij179</vt:lpstr>
      <vt:lpstr>Data_TredeVastVrij180</vt:lpstr>
      <vt:lpstr>Data_TredeVastVrij181</vt:lpstr>
      <vt:lpstr>Data_TredeVastVrij182</vt:lpstr>
      <vt:lpstr>Data_TredeVastVrij183</vt:lpstr>
      <vt:lpstr>Data_TredeVastVrij184</vt:lpstr>
      <vt:lpstr>Data_TredeVastVrij185</vt:lpstr>
      <vt:lpstr>Data_TredeVastVrij186</vt:lpstr>
      <vt:lpstr>Data_TredeVastVrij187</vt:lpstr>
      <vt:lpstr>Data_TredeVastVrij188</vt:lpstr>
      <vt:lpstr>Data_TredeVastVrij189</vt:lpstr>
      <vt:lpstr>Data_TredeVastVrij190</vt:lpstr>
      <vt:lpstr>Data_TredeVastVrij191</vt:lpstr>
      <vt:lpstr>Data_TredeVastVrij192</vt:lpstr>
      <vt:lpstr>Data_TredeVastVrij193</vt:lpstr>
      <vt:lpstr>Data_TredeVastVrij194</vt:lpstr>
      <vt:lpstr>Data_TredeVastVrij195</vt:lpstr>
      <vt:lpstr>Data_TredeVastVrij196</vt:lpstr>
      <vt:lpstr>Data_TredeVastVrij197</vt:lpstr>
      <vt:lpstr>Data_TredeVastVrij198</vt:lpstr>
      <vt:lpstr>Data_TredeVastVrij199</vt:lpstr>
      <vt:lpstr>Data_TredeVastVrij200</vt:lpstr>
      <vt:lpstr>Data_TredeVastVrij201</vt:lpstr>
      <vt:lpstr>Data_TredeVastVrij202</vt:lpstr>
      <vt:lpstr>Data_TredeVastVrij203</vt:lpstr>
      <vt:lpstr>Data_TredeVastVrij204</vt:lpstr>
      <vt:lpstr>Data_TredeVastVrij205</vt:lpstr>
      <vt:lpstr>Data_TredeVastVrij206</vt:lpstr>
      <vt:lpstr>Data_TredeVastVrij207</vt:lpstr>
      <vt:lpstr>Data_TredeVastVrij208</vt:lpstr>
      <vt:lpstr>Data_TredeVastVrij209</vt:lpstr>
      <vt:lpstr>Data_TredeVastVrij210</vt:lpstr>
      <vt:lpstr>Data_TredeVastVrij211</vt:lpstr>
      <vt:lpstr>Data_TredeVastVrij212</vt:lpstr>
      <vt:lpstr>Data_TredeVastVrij213</vt:lpstr>
      <vt:lpstr>Data_TredeVastVrij214</vt:lpstr>
      <vt:lpstr>Data_TredeVastVrij215</vt:lpstr>
      <vt:lpstr>Data_TredeVastVrij216</vt:lpstr>
      <vt:lpstr>Data_TredeVastVrij217</vt:lpstr>
      <vt:lpstr>Data_TredeVastVrij218</vt:lpstr>
      <vt:lpstr>Data_TredeVastVrij219</vt:lpstr>
      <vt:lpstr>Data_TredeVastVrij220</vt:lpstr>
      <vt:lpstr>Data_TredeVastVrij221</vt:lpstr>
      <vt:lpstr>Data_TredeVastVrij222</vt:lpstr>
      <vt:lpstr>Data_TredeVastVrij223</vt:lpstr>
      <vt:lpstr>Data_TredeVastVrij224</vt:lpstr>
      <vt:lpstr>Data_TredeVastVrij225</vt:lpstr>
      <vt:lpstr>Data_TredeVastVrij226</vt:lpstr>
      <vt:lpstr>Data_TredeVastVrij227</vt:lpstr>
      <vt:lpstr>Data_TredeVastVrij228</vt:lpstr>
      <vt:lpstr>Data_TredeVastVrij229</vt:lpstr>
      <vt:lpstr>Data_TredeVastVrij230</vt:lpstr>
      <vt:lpstr>Data_TredeVastVrij231</vt:lpstr>
      <vt:lpstr>Data_TredeVastVrij232</vt:lpstr>
      <vt:lpstr>Data_TredeVastVrij233</vt:lpstr>
      <vt:lpstr>Data_TredeVastVrij234</vt:lpstr>
      <vt:lpstr>Data_TredeVastVrij235</vt:lpstr>
      <vt:lpstr>Data_TredeVastVrij236</vt:lpstr>
      <vt:lpstr>Data_TredeVastVrij237</vt:lpstr>
      <vt:lpstr>Data_TredeVastVrij238</vt:lpstr>
      <vt:lpstr>Data_TredeVastVrij239</vt:lpstr>
      <vt:lpstr>Data_TredeVastVrij240</vt:lpstr>
      <vt:lpstr>Data_TredeVastVrij241</vt:lpstr>
      <vt:lpstr>Data_TredeVastVrij242</vt:lpstr>
      <vt:lpstr>Data_TredeVastVrij243</vt:lpstr>
      <vt:lpstr>Data_TredeVastVrij244</vt:lpstr>
      <vt:lpstr>Data_TredeVastVrij245</vt:lpstr>
      <vt:lpstr>Data_TredeVastVrij246</vt:lpstr>
      <vt:lpstr>Data_TredeVastVrij247</vt:lpstr>
      <vt:lpstr>Data_TredeVastVrij248</vt:lpstr>
      <vt:lpstr>Data_TredeVastVrij249</vt:lpstr>
      <vt:lpstr>Data_TredeVastVrij250</vt:lpstr>
      <vt:lpstr>Data_TredeVastVrij251</vt:lpstr>
      <vt:lpstr>Data_TredeVastVrij252</vt:lpstr>
      <vt:lpstr>Data_TredeVastVrij253</vt:lpstr>
      <vt:lpstr>Data_TredeVastVrij254</vt:lpstr>
      <vt:lpstr>Data_TredeVastVrij255</vt:lpstr>
      <vt:lpstr>Data_TredeVastVrij256</vt:lpstr>
      <vt:lpstr>Data_TredeVastVrij257</vt:lpstr>
      <vt:lpstr>Data_TredeVastVrij258</vt:lpstr>
      <vt:lpstr>Data_TredeVastVrij259</vt:lpstr>
      <vt:lpstr>Data_TredeVastVrij260</vt:lpstr>
      <vt:lpstr>Data_TredeVastVrij261</vt:lpstr>
      <vt:lpstr>Data_TredeVastVrij262</vt:lpstr>
      <vt:lpstr>Data_TredeVastVrij263</vt:lpstr>
      <vt:lpstr>Data_TredeVastVrij264</vt:lpstr>
      <vt:lpstr>Data_TredeVastVrij265</vt:lpstr>
      <vt:lpstr>Data_TredeVastVrij266</vt:lpstr>
      <vt:lpstr>Data_TredeVastVrij267</vt:lpstr>
      <vt:lpstr>Data_TredeVastVrij268</vt:lpstr>
      <vt:lpstr>Data_TredeVastVrij269</vt:lpstr>
      <vt:lpstr>Data_TredeVastVrij270</vt:lpstr>
      <vt:lpstr>Data_TredeVastVrij271</vt:lpstr>
      <vt:lpstr>Data_TredeVastVrij272</vt:lpstr>
      <vt:lpstr>Data_TredeVastVrij273</vt:lpstr>
      <vt:lpstr>Data_TredeVastVrij274</vt:lpstr>
      <vt:lpstr>Data_TredeVastVrij275</vt:lpstr>
      <vt:lpstr>Data_TredeVastVrij276</vt:lpstr>
      <vt:lpstr>Data_TredeVastVrij277</vt:lpstr>
      <vt:lpstr>Data_TredeVastVrij278</vt:lpstr>
      <vt:lpstr>Data_TredeVastVrij279</vt:lpstr>
      <vt:lpstr>Data_TredeVastVrij280</vt:lpstr>
      <vt:lpstr>Data_TredeVastVrij281</vt:lpstr>
      <vt:lpstr>Data_TredeVastVrij282</vt:lpstr>
      <vt:lpstr>Data_TredeVastVrij283</vt:lpstr>
      <vt:lpstr>Data_TredeVastVrij284</vt:lpstr>
      <vt:lpstr>Data_TredeVastVrij285</vt:lpstr>
      <vt:lpstr>Data_TredeVastVrij286</vt:lpstr>
      <vt:lpstr>Data_TredeVastVrij287</vt:lpstr>
      <vt:lpstr>Data_TredeVastVrij288</vt:lpstr>
      <vt:lpstr>Data_TredeVastVrij289</vt:lpstr>
      <vt:lpstr>Data_TredeVastVrij290</vt:lpstr>
      <vt:lpstr>Data_TredeVastVrij291</vt:lpstr>
      <vt:lpstr>Data_TredeVastVrij292</vt:lpstr>
      <vt:lpstr>Data_TredeVastVrij293</vt:lpstr>
      <vt:lpstr>Data_TredeVastVrij294</vt:lpstr>
      <vt:lpstr>Data_TredeVastVrij295</vt:lpstr>
      <vt:lpstr>Data_TredeVastVrij296</vt:lpstr>
      <vt:lpstr>Data_TredeVastVrij297</vt:lpstr>
      <vt:lpstr>Data_TredeVastVrij298</vt:lpstr>
      <vt:lpstr>Data_TredeVastVrij299</vt:lpstr>
      <vt:lpstr>Data_TredeVastVrij300</vt:lpstr>
      <vt:lpstr>Data_TredeVastVrij301</vt:lpstr>
      <vt:lpstr>Data_TredeVastVrij302</vt:lpstr>
      <vt:lpstr>Data_TredeVastVrij303</vt:lpstr>
      <vt:lpstr>Data_TredeVastVrij304</vt:lpstr>
      <vt:lpstr>Data_TredeVastVrij305</vt:lpstr>
      <vt:lpstr>Data_TredeVastVrij306</vt:lpstr>
      <vt:lpstr>Data_TredeVastVrij307</vt:lpstr>
      <vt:lpstr>Data_TredeVastVrij308</vt:lpstr>
      <vt:lpstr>Data_TredeVastVrij309</vt:lpstr>
      <vt:lpstr>Data_TredeVastVrij310</vt:lpstr>
      <vt:lpstr>Data_TredeVastVrij311</vt:lpstr>
      <vt:lpstr>Data_TredeVastVrij312</vt:lpstr>
      <vt:lpstr>Data_TredeVastVrij313</vt:lpstr>
      <vt:lpstr>Data_TredeVastVrij314</vt:lpstr>
      <vt:lpstr>Data_TredeVastVrij315</vt:lpstr>
      <vt:lpstr>Data_TredeVastVrij316</vt:lpstr>
      <vt:lpstr>Data_TredeVastVrij317</vt:lpstr>
      <vt:lpstr>Data_TredeVastVrij318</vt:lpstr>
      <vt:lpstr>Data_TredeVastVrij319</vt:lpstr>
      <vt:lpstr>Data_TredeVastVrij320</vt:lpstr>
      <vt:lpstr>Data_TredeVastVrij321</vt:lpstr>
      <vt:lpstr>Data_TredeVastVrij322</vt:lpstr>
      <vt:lpstr>Data_TredeVastVrij323</vt:lpstr>
      <vt:lpstr>Data_TredeVastVrij324</vt:lpstr>
      <vt:lpstr>Data_TredeVastVrij325</vt:lpstr>
      <vt:lpstr>Data_TredeVastVrij326</vt:lpstr>
      <vt:lpstr>Data_TredeVastVrij327</vt:lpstr>
      <vt:lpstr>Data_TredeVastVrij328</vt:lpstr>
      <vt:lpstr>Data_TredeVastVrij329</vt:lpstr>
      <vt:lpstr>Data_TredeVastVrij330</vt:lpstr>
      <vt:lpstr>Data_TredeVastVrij331</vt:lpstr>
      <vt:lpstr>Data_TredeVastVrij332</vt:lpstr>
      <vt:lpstr>Data_TredeVastVrij333</vt:lpstr>
      <vt:lpstr>Data_TredeVastVrij334</vt:lpstr>
      <vt:lpstr>Data_TredeVastVrij335</vt:lpstr>
      <vt:lpstr>Data_TredeVastVrij336</vt:lpstr>
      <vt:lpstr>Data_TredeVastVrij337</vt:lpstr>
      <vt:lpstr>Data_TredeVastVrij338</vt:lpstr>
      <vt:lpstr>Data_TredeVastVrij339</vt:lpstr>
      <vt:lpstr>Data_TredeVastVrij340</vt:lpstr>
      <vt:lpstr>Data_TredeVastVrij341</vt:lpstr>
      <vt:lpstr>Data_TredeVastVrij342</vt:lpstr>
      <vt:lpstr>Data_TredeVastVrij343</vt:lpstr>
      <vt:lpstr>Data_TredeVastVrij344</vt:lpstr>
      <vt:lpstr>Data_TredeVastVrij345</vt:lpstr>
      <vt:lpstr>Data_TredeVastVrij346</vt:lpstr>
      <vt:lpstr>Data_TredeVastVrij347</vt:lpstr>
      <vt:lpstr>Data_TredeVastVrij348</vt:lpstr>
      <vt:lpstr>Data_TredeVastVrij349</vt:lpstr>
      <vt:lpstr>Data_TredeVastVrij350</vt:lpstr>
      <vt:lpstr>Data_TredeVastVrij351</vt:lpstr>
      <vt:lpstr>Data_TredeVastVrij352</vt:lpstr>
      <vt:lpstr>Data_TredeVastVrij353</vt:lpstr>
      <vt:lpstr>Data_TredeVastVrij354</vt:lpstr>
      <vt:lpstr>Data_TredeVastVrij355</vt:lpstr>
      <vt:lpstr>Data_TredeVastVrij356</vt:lpstr>
      <vt:lpstr>Data_TredeVastVrij357</vt:lpstr>
      <vt:lpstr>Data_TredeVastVrij358</vt:lpstr>
      <vt:lpstr>Data_TredeVastVrij359</vt:lpstr>
      <vt:lpstr>Data_TredeVastVrij360</vt:lpstr>
      <vt:lpstr>Data_TredeVastVrij361</vt:lpstr>
      <vt:lpstr>Data_TredeVastVrij362</vt:lpstr>
      <vt:lpstr>Data_TredeVastVrij363</vt:lpstr>
      <vt:lpstr>Data_TredeVastVrij364</vt:lpstr>
      <vt:lpstr>Data_TredeVastVrij365</vt:lpstr>
      <vt:lpstr>Data_TredeVastVrij366</vt:lpstr>
      <vt:lpstr>Data_TredeVastVrij367</vt:lpstr>
      <vt:lpstr>Data_TredeVastVrij368</vt:lpstr>
      <vt:lpstr>Data_TredeVastVrij369</vt:lpstr>
      <vt:lpstr>Data_TredeVastVrij370</vt:lpstr>
      <vt:lpstr>Data_TredeVastVrij371</vt:lpstr>
      <vt:lpstr>Data_TredeVastVrij372</vt:lpstr>
      <vt:lpstr>Data_TredeVastVrij373</vt:lpstr>
      <vt:lpstr>Data_TredeVastVrij374</vt:lpstr>
      <vt:lpstr>Data_TredeVastVrij375</vt:lpstr>
      <vt:lpstr>Data_TredeVastVrij376</vt:lpstr>
      <vt:lpstr>Data_TredeVastVrij377</vt:lpstr>
      <vt:lpstr>Data_TredeVastVrij378</vt:lpstr>
      <vt:lpstr>Data_TredeVastVrij379</vt:lpstr>
      <vt:lpstr>Data_TredeVastVrij380</vt:lpstr>
      <vt:lpstr>Data_TredeVastVrij381</vt:lpstr>
      <vt:lpstr>Data_TredeVastVrij382</vt:lpstr>
      <vt:lpstr>Data_TredeVastVrij383</vt:lpstr>
      <vt:lpstr>Data_TredeVastVrij384</vt:lpstr>
      <vt:lpstr>Data_TredeVastVrij385</vt:lpstr>
      <vt:lpstr>Data_TredeVastVrij386</vt:lpstr>
      <vt:lpstr>Data_TredeVastVrij387</vt:lpstr>
      <vt:lpstr>Data_TredeVastVrij388</vt:lpstr>
      <vt:lpstr>Data_TredeVastVrij389</vt:lpstr>
      <vt:lpstr>Data_TredeVastVrij390</vt:lpstr>
      <vt:lpstr>Data_TredeVastVrij391</vt:lpstr>
      <vt:lpstr>Data_TredeVastVrij392</vt:lpstr>
      <vt:lpstr>Data_TredeVastVrij393</vt:lpstr>
      <vt:lpstr>Data_TredeVastVrij394</vt:lpstr>
      <vt:lpstr>Data_TredeVastVrij395</vt:lpstr>
      <vt:lpstr>Data_TredeVastVrij396</vt:lpstr>
      <vt:lpstr>Data_TredeVastVrij397</vt:lpstr>
      <vt:lpstr>Data_TredeVastVrij398</vt:lpstr>
      <vt:lpstr>Data_TredeVastVrij399</vt:lpstr>
      <vt:lpstr>Data_TredeVastVrij400</vt:lpstr>
      <vt:lpstr>Data_TredeVastVrij401</vt:lpstr>
      <vt:lpstr>Data_TredeVastVrij402</vt:lpstr>
      <vt:lpstr>Data_TredeVastVrij403</vt:lpstr>
      <vt:lpstr>Data_TredeVastVrij404</vt:lpstr>
      <vt:lpstr>Data_TredeVastVrij405</vt:lpstr>
      <vt:lpstr>Data_TredeVastVrij406</vt:lpstr>
      <vt:lpstr>Data_TredeVastVrij407</vt:lpstr>
      <vt:lpstr>Data_TredeVastVrij408</vt:lpstr>
      <vt:lpstr>Data_TredeVastVrij409</vt:lpstr>
      <vt:lpstr>Data_TredeVastVrij410</vt:lpstr>
      <vt:lpstr>Data_TredeVastVrij411</vt:lpstr>
      <vt:lpstr>Data_TredeVastVrij412</vt:lpstr>
      <vt:lpstr>Data_TredeVastVrij413</vt:lpstr>
      <vt:lpstr>Data_TredeVastVrij414</vt:lpstr>
      <vt:lpstr>Data_TredeVastVrij415</vt:lpstr>
      <vt:lpstr>Data_TredeVastVrij416</vt:lpstr>
      <vt:lpstr>Data_TredeVastVrij417</vt:lpstr>
      <vt:lpstr>Data_TredeVastVrij418</vt:lpstr>
      <vt:lpstr>Data_TredeVastVrij419</vt:lpstr>
      <vt:lpstr>Data_TredeVastVrij420</vt:lpstr>
      <vt:lpstr>Data_TredeVastVrij421</vt:lpstr>
      <vt:lpstr>Data_TredeVastVrij422</vt:lpstr>
      <vt:lpstr>Data_TredeVastVrij423</vt:lpstr>
      <vt:lpstr>Data_TredeVastVrij424</vt:lpstr>
      <vt:lpstr>Data_TredeVastVrij425</vt:lpstr>
      <vt:lpstr>Data_TredeVastVrij426</vt:lpstr>
      <vt:lpstr>Data_TredeVastVrij427</vt:lpstr>
      <vt:lpstr>Data_TredeVastVrij428</vt:lpstr>
      <vt:lpstr>Data_TredeVastVrij429</vt:lpstr>
      <vt:lpstr>Data_TredeVastVrij430</vt:lpstr>
      <vt:lpstr>Data_TredeVastVrij431</vt:lpstr>
      <vt:lpstr>Data_TredeVastVrij432</vt:lpstr>
      <vt:lpstr>Data_TredeVastVrij433</vt:lpstr>
      <vt:lpstr>Data_TredeVastVrij434</vt:lpstr>
      <vt:lpstr>Data_TredeVastVrij435</vt:lpstr>
      <vt:lpstr>Data_TredeVastVrij436</vt:lpstr>
      <vt:lpstr>Data_TredeVastVrij437</vt:lpstr>
      <vt:lpstr>Data_TredeVastVrij438</vt:lpstr>
      <vt:lpstr>Data_TredeVastVrij439</vt:lpstr>
      <vt:lpstr>Data_TredeVastVrij440</vt:lpstr>
      <vt:lpstr>Data_TredeVastVrij441</vt:lpstr>
      <vt:lpstr>Data_TredeVastVrij442</vt:lpstr>
      <vt:lpstr>Data_TredeVastVrij443</vt:lpstr>
      <vt:lpstr>Data_TredeVastVrij444</vt:lpstr>
      <vt:lpstr>Data_TredeVastVrij445</vt:lpstr>
      <vt:lpstr>Data_TredeVastVrij446</vt:lpstr>
      <vt:lpstr>Data_TredeVastVrij447</vt:lpstr>
      <vt:lpstr>Data_TredeVastVrij448</vt:lpstr>
      <vt:lpstr>Data_TredeVastVrij449</vt:lpstr>
      <vt:lpstr>Data_TredeVastVrij450</vt:lpstr>
      <vt:lpstr>Data_TredeVastVrij451</vt:lpstr>
      <vt:lpstr>Data_TredeVastVrij452</vt:lpstr>
      <vt:lpstr>Data_TredeVastVrij453</vt:lpstr>
      <vt:lpstr>Data_TredeVastVrij454</vt:lpstr>
      <vt:lpstr>Data_TredeVastVrij455</vt:lpstr>
      <vt:lpstr>Data_TredeVastVrij456</vt:lpstr>
      <vt:lpstr>Data_TredeVastVrij457</vt:lpstr>
      <vt:lpstr>Data_TredeVastVrij458</vt:lpstr>
      <vt:lpstr>Data_TredeVastVrij459</vt:lpstr>
      <vt:lpstr>Data_TredeVastVrij460</vt:lpstr>
      <vt:lpstr>Data_TredeVastVrij461</vt:lpstr>
      <vt:lpstr>Data_TredeVastVrij462</vt:lpstr>
      <vt:lpstr>Data_TredeVastVrij463</vt:lpstr>
      <vt:lpstr>Data_TredeVastVrij464</vt:lpstr>
      <vt:lpstr>Data_TredeVastVrij465</vt:lpstr>
      <vt:lpstr>Data_TredeVastVrij466</vt:lpstr>
      <vt:lpstr>Data_TredeVastVrij467</vt:lpstr>
      <vt:lpstr>Data_TredeVastVrij468</vt:lpstr>
      <vt:lpstr>Data_TredeVastVrij469</vt:lpstr>
      <vt:lpstr>Data_TredeVastVrij470</vt:lpstr>
      <vt:lpstr>Data_TredeVastVrij471</vt:lpstr>
      <vt:lpstr>Data_TredeVastVrij472</vt:lpstr>
      <vt:lpstr>Data_TredeVastVrij473</vt:lpstr>
      <vt:lpstr>Data_TredeVastVrij474</vt:lpstr>
      <vt:lpstr>Data_TredeVastVrij475</vt:lpstr>
      <vt:lpstr>Data_TredeVastVrij476</vt:lpstr>
      <vt:lpstr>Data_TredeVastVrij477</vt:lpstr>
      <vt:lpstr>Data_TredeVastVrij478</vt:lpstr>
      <vt:lpstr>Data_TredeVastVrij479</vt:lpstr>
      <vt:lpstr>Data_TredeVastVrij480</vt:lpstr>
      <vt:lpstr>Data_TredeVastVrij481</vt:lpstr>
      <vt:lpstr>Data_TredeVastVrij482</vt:lpstr>
      <vt:lpstr>Data_TredeVastVrij483</vt:lpstr>
      <vt:lpstr>Data_TredeVastVrij484</vt:lpstr>
      <vt:lpstr>Data_TredeVastVrij485</vt:lpstr>
      <vt:lpstr>Data_TredeVastVrij486</vt:lpstr>
      <vt:lpstr>Data_TredeVastVrij487</vt:lpstr>
      <vt:lpstr>Data_TredeVastVrij488</vt:lpstr>
      <vt:lpstr>Data_TredeVastVrij489</vt:lpstr>
      <vt:lpstr>Data_TredeVastVrij490</vt:lpstr>
      <vt:lpstr>Data_TredeVastVrij491</vt:lpstr>
      <vt:lpstr>Data_TredeVastVrij492</vt:lpstr>
      <vt:lpstr>Data_TredeVastVrij493</vt:lpstr>
      <vt:lpstr>Data_TredeVastVrij494</vt:lpstr>
      <vt:lpstr>Data_TredeVastVrij495</vt:lpstr>
      <vt:lpstr>Data_TredeVastVrij496</vt:lpstr>
      <vt:lpstr>Data_TredeVastVrij497</vt:lpstr>
      <vt:lpstr>Data_TredeVastVrij498</vt:lpstr>
      <vt:lpstr>Data_TredeVastVrij499</vt:lpstr>
      <vt:lpstr>Data_TredeVastVrij500</vt:lpstr>
      <vt:lpstr>Data_UitloopschaalNatVerloop001</vt:lpstr>
      <vt:lpstr>Data_UitloopschaalNatVerloop002</vt:lpstr>
      <vt:lpstr>Data_UitloopschaalNatVerloop003</vt:lpstr>
      <vt:lpstr>Data_UitloopschaalNatVerloop004</vt:lpstr>
      <vt:lpstr>Data_UitloopschaalNatVerloop005</vt:lpstr>
      <vt:lpstr>Data_UitloopschaalNatVerloop006</vt:lpstr>
      <vt:lpstr>Data_UitloopschaalNatVerloop007</vt:lpstr>
      <vt:lpstr>Data_UitloopschaalNatVerloop008</vt:lpstr>
      <vt:lpstr>Data_UitloopschaalNatVerloop009</vt:lpstr>
      <vt:lpstr>Data_UitloopschaalNatVerloop010</vt:lpstr>
      <vt:lpstr>Data_UitloopschaalNatVerloop011</vt:lpstr>
      <vt:lpstr>Data_UitloopschaalNatVerloop012</vt:lpstr>
      <vt:lpstr>Data_UitloopschaalNatVerloop013</vt:lpstr>
      <vt:lpstr>Data_UitloopschaalNatVerloop014</vt:lpstr>
      <vt:lpstr>Data_UitloopschaalNatVerloop015</vt:lpstr>
      <vt:lpstr>Data_UitloopschaalNatVerloop016</vt:lpstr>
      <vt:lpstr>Data_UitloopschaalNatVerloop017</vt:lpstr>
      <vt:lpstr>Data_UitloopschaalNatVerloop018</vt:lpstr>
      <vt:lpstr>Data_UitloopschaalNatVerloop019</vt:lpstr>
      <vt:lpstr>Data_UitloopschaalNatVerloop020</vt:lpstr>
      <vt:lpstr>Data_UitloopschaalNatVerloop021</vt:lpstr>
      <vt:lpstr>Data_UitloopschaalNatVerloop022</vt:lpstr>
      <vt:lpstr>Data_UitloopschaalNatVerloop023</vt:lpstr>
      <vt:lpstr>Data_UitloopschaalNatVerloop024</vt:lpstr>
      <vt:lpstr>Data_UitloopschaalNatVerloop025</vt:lpstr>
      <vt:lpstr>Data_UitloopschaalNatVerloop026</vt:lpstr>
      <vt:lpstr>Data_UitloopschaalNatVerloop027</vt:lpstr>
      <vt:lpstr>Data_UitloopschaalNatVerloop028</vt:lpstr>
      <vt:lpstr>Data_UitloopschaalNatVerloop029</vt:lpstr>
      <vt:lpstr>Data_UitloopschaalNatVerloop030</vt:lpstr>
      <vt:lpstr>Data_UitloopschaalNatVerloop031</vt:lpstr>
      <vt:lpstr>Data_UitloopschaalNatVerloop032</vt:lpstr>
      <vt:lpstr>Data_UitloopschaalNatVerloop033</vt:lpstr>
      <vt:lpstr>Data_UitloopschaalNatVerloop034</vt:lpstr>
      <vt:lpstr>Data_UitloopschaalNatVerloop035</vt:lpstr>
      <vt:lpstr>Data_UitloopschaalNatVerloop036</vt:lpstr>
      <vt:lpstr>Data_UitloopschaalNatVerloop037</vt:lpstr>
      <vt:lpstr>Data_UitloopschaalNatVerloop038</vt:lpstr>
      <vt:lpstr>Data_UitloopschaalNatVerloop039</vt:lpstr>
      <vt:lpstr>Data_UitloopschaalNatVerloop040</vt:lpstr>
      <vt:lpstr>Data_UitloopschaalNatVerloop041</vt:lpstr>
      <vt:lpstr>Data_UitloopschaalNatVerloop042</vt:lpstr>
      <vt:lpstr>Data_UitloopschaalNatVerloop043</vt:lpstr>
      <vt:lpstr>Data_UitloopschaalNatVerloop044</vt:lpstr>
      <vt:lpstr>Data_UitloopschaalNatVerloop045</vt:lpstr>
      <vt:lpstr>Data_UitloopschaalNatVerloop046</vt:lpstr>
      <vt:lpstr>Data_UitloopschaalNatVerloop047</vt:lpstr>
      <vt:lpstr>Data_UitloopschaalNatVerloop048</vt:lpstr>
      <vt:lpstr>Data_UitloopschaalNatVerloop049</vt:lpstr>
      <vt:lpstr>Data_UitloopschaalNatVerloop050</vt:lpstr>
      <vt:lpstr>Data_UitloopschaalNatVerloop051</vt:lpstr>
      <vt:lpstr>Data_UitloopschaalNatVerloop052</vt:lpstr>
      <vt:lpstr>Data_UitloopschaalNatVerloop053</vt:lpstr>
      <vt:lpstr>Data_UitloopschaalNatVerloop054</vt:lpstr>
      <vt:lpstr>Data_UitloopschaalNatVerloop055</vt:lpstr>
      <vt:lpstr>Data_UitloopschaalNatVerloop056</vt:lpstr>
      <vt:lpstr>Data_UitloopschaalNatVerloop057</vt:lpstr>
      <vt:lpstr>Data_UitloopschaalNatVerloop058</vt:lpstr>
      <vt:lpstr>Data_UitloopschaalNatVerloop059</vt:lpstr>
      <vt:lpstr>Data_UitloopschaalNatVerloop060</vt:lpstr>
      <vt:lpstr>Data_UitloopschaalNatVerloop061</vt:lpstr>
      <vt:lpstr>Data_UitloopschaalNatVerloop062</vt:lpstr>
      <vt:lpstr>Data_UitloopschaalNatVerloop063</vt:lpstr>
      <vt:lpstr>Data_UitloopschaalNatVerloop064</vt:lpstr>
      <vt:lpstr>Data_UitloopschaalNatVerloop065</vt:lpstr>
      <vt:lpstr>Data_UitloopschaalNatVerloop066</vt:lpstr>
      <vt:lpstr>Data_UitloopschaalNatVerloop067</vt:lpstr>
      <vt:lpstr>Data_UitloopschaalNatVerloop068</vt:lpstr>
      <vt:lpstr>Data_UitloopschaalNatVerloop069</vt:lpstr>
      <vt:lpstr>Data_UitloopschaalNatVerloop070</vt:lpstr>
      <vt:lpstr>Data_UitloopschaalNatVerloop071</vt:lpstr>
      <vt:lpstr>Data_UitloopschaalNatVerloop072</vt:lpstr>
      <vt:lpstr>Data_UitloopschaalNatVerloop073</vt:lpstr>
      <vt:lpstr>Data_UitloopschaalNatVerloop074</vt:lpstr>
      <vt:lpstr>Data_UitloopschaalNatVerloop075</vt:lpstr>
      <vt:lpstr>Data_UitloopschaalNatVerloop076</vt:lpstr>
      <vt:lpstr>Data_UitloopschaalNatVerloop077</vt:lpstr>
      <vt:lpstr>Data_UitloopschaalNatVerloop078</vt:lpstr>
      <vt:lpstr>Data_UitloopschaalNatVerloop079</vt:lpstr>
      <vt:lpstr>Data_UitloopschaalNatVerloop080</vt:lpstr>
      <vt:lpstr>Data_UitloopschaalNatVerloop081</vt:lpstr>
      <vt:lpstr>Data_UitloopschaalNatVerloop082</vt:lpstr>
      <vt:lpstr>Data_UitloopschaalNatVerloop083</vt:lpstr>
      <vt:lpstr>Data_UitloopschaalNatVerloop084</vt:lpstr>
      <vt:lpstr>Data_UitloopschaalNatVerloop085</vt:lpstr>
      <vt:lpstr>Data_UitloopschaalNatVerloop086</vt:lpstr>
      <vt:lpstr>Data_UitloopschaalNatVerloop087</vt:lpstr>
      <vt:lpstr>Data_UitloopschaalNatVerloop088</vt:lpstr>
      <vt:lpstr>Data_UitloopschaalNatVerloop089</vt:lpstr>
      <vt:lpstr>Data_UitloopschaalNatVerloop090</vt:lpstr>
      <vt:lpstr>Data_UitloopschaalNatVerloop091</vt:lpstr>
      <vt:lpstr>Data_UitloopschaalNatVerloop092</vt:lpstr>
      <vt:lpstr>Data_UitloopschaalNatVerloop093</vt:lpstr>
      <vt:lpstr>Data_UitloopschaalNatVerloop094</vt:lpstr>
      <vt:lpstr>Data_UitloopschaalNatVerloop095</vt:lpstr>
      <vt:lpstr>Data_UitloopschaalNatVerloop096</vt:lpstr>
      <vt:lpstr>Data_UitloopschaalNatVerloop097</vt:lpstr>
      <vt:lpstr>Data_UitloopschaalNatVerloop098</vt:lpstr>
      <vt:lpstr>Data_UitloopschaalNatVerloop099</vt:lpstr>
      <vt:lpstr>Data_UitloopschaalNatVerloop100</vt:lpstr>
      <vt:lpstr>Data_UitloopschaalNatVerloop101</vt:lpstr>
      <vt:lpstr>Data_UitloopschaalNatVerloop102</vt:lpstr>
      <vt:lpstr>Data_UitloopschaalNatVerloop103</vt:lpstr>
      <vt:lpstr>Data_UitloopschaalNatVerloop104</vt:lpstr>
      <vt:lpstr>Data_UitloopschaalNatVerloop105</vt:lpstr>
      <vt:lpstr>Data_UitloopschaalNatVerloop106</vt:lpstr>
      <vt:lpstr>Data_UitloopschaalNatVerloop107</vt:lpstr>
      <vt:lpstr>Data_UitloopschaalNatVerloop108</vt:lpstr>
      <vt:lpstr>Data_UitloopschaalNatVerloop109</vt:lpstr>
      <vt:lpstr>Data_UitloopschaalNatVerloop110</vt:lpstr>
      <vt:lpstr>Data_UitloopschaalNatVerloop111</vt:lpstr>
      <vt:lpstr>Data_UitloopschaalNatVerloop112</vt:lpstr>
      <vt:lpstr>Data_UitloopschaalNatVerloop113</vt:lpstr>
      <vt:lpstr>Data_UitloopschaalNatVerloop114</vt:lpstr>
      <vt:lpstr>Data_UitloopschaalNatVerloop115</vt:lpstr>
      <vt:lpstr>Data_UitloopschaalNatVerloop116</vt:lpstr>
      <vt:lpstr>Data_UitloopschaalNatVerloop117</vt:lpstr>
      <vt:lpstr>Data_UitloopschaalNatVerloop118</vt:lpstr>
      <vt:lpstr>Data_UitloopschaalNatVerloop119</vt:lpstr>
      <vt:lpstr>Data_UitloopschaalNatVerloop120</vt:lpstr>
      <vt:lpstr>Data_UitloopschaalNatVerloop121</vt:lpstr>
      <vt:lpstr>Data_UitloopschaalNatVerloop122</vt:lpstr>
      <vt:lpstr>Data_UitloopschaalNatVerloop123</vt:lpstr>
      <vt:lpstr>Data_UitloopschaalNatVerloop124</vt:lpstr>
      <vt:lpstr>Data_UitloopschaalNatVerloop125</vt:lpstr>
      <vt:lpstr>Data_UitloopschaalNatVerloop126</vt:lpstr>
      <vt:lpstr>Data_UitloopschaalNatVerloop127</vt:lpstr>
      <vt:lpstr>Data_UitloopschaalNatVerloop128</vt:lpstr>
      <vt:lpstr>Data_UitloopschaalNatVerloop129</vt:lpstr>
      <vt:lpstr>Data_UitloopschaalNatVerloop130</vt:lpstr>
      <vt:lpstr>Data_UitloopschaalNatVerloop131</vt:lpstr>
      <vt:lpstr>Data_UitloopschaalNatVerloop132</vt:lpstr>
      <vt:lpstr>Data_UitloopschaalNatVerloop133</vt:lpstr>
      <vt:lpstr>Data_UitloopschaalNatVerloop134</vt:lpstr>
      <vt:lpstr>Data_UitloopschaalNatVerloop135</vt:lpstr>
      <vt:lpstr>Data_UitloopschaalNatVerloop136</vt:lpstr>
      <vt:lpstr>Data_UitloopschaalNatVerloop137</vt:lpstr>
      <vt:lpstr>Data_UitloopschaalNatVerloop138</vt:lpstr>
      <vt:lpstr>Data_UitloopschaalNatVerloop139</vt:lpstr>
      <vt:lpstr>Data_UitloopschaalNatVerloop140</vt:lpstr>
      <vt:lpstr>Data_UitloopschaalNatVerloop141</vt:lpstr>
      <vt:lpstr>Data_UitloopschaalNatVerloop142</vt:lpstr>
      <vt:lpstr>Data_UitloopschaalNatVerloop143</vt:lpstr>
      <vt:lpstr>Data_UitloopschaalNatVerloop144</vt:lpstr>
      <vt:lpstr>Data_UitloopschaalNatVerloop145</vt:lpstr>
      <vt:lpstr>Data_UitloopschaalNatVerloop146</vt:lpstr>
      <vt:lpstr>Data_UitloopschaalNatVerloop147</vt:lpstr>
      <vt:lpstr>Data_UitloopschaalNatVerloop148</vt:lpstr>
      <vt:lpstr>Data_UitloopschaalNatVerloop149</vt:lpstr>
      <vt:lpstr>Data_UitloopschaalNatVerloop150</vt:lpstr>
      <vt:lpstr>Data_UitloopschaalNatVerloop151</vt:lpstr>
      <vt:lpstr>Data_UitloopschaalNatVerloop152</vt:lpstr>
      <vt:lpstr>Data_UitloopschaalNatVerloop153</vt:lpstr>
      <vt:lpstr>Data_UitloopschaalNatVerloop154</vt:lpstr>
      <vt:lpstr>Data_UitloopschaalNatVerloop155</vt:lpstr>
      <vt:lpstr>Data_UitloopschaalNatVerloop156</vt:lpstr>
      <vt:lpstr>Data_UitloopschaalNatVerloop157</vt:lpstr>
      <vt:lpstr>Data_UitloopschaalNatVerloop158</vt:lpstr>
      <vt:lpstr>Data_UitloopschaalNatVerloop159</vt:lpstr>
      <vt:lpstr>Data_UitloopschaalNatVerloop160</vt:lpstr>
      <vt:lpstr>Data_UitloopschaalNatVerloop161</vt:lpstr>
      <vt:lpstr>Data_UitloopschaalNatVerloop162</vt:lpstr>
      <vt:lpstr>Data_UitloopschaalNatVerloop163</vt:lpstr>
      <vt:lpstr>Data_UitloopschaalNatVerloop164</vt:lpstr>
      <vt:lpstr>Data_UitloopschaalNatVerloop165</vt:lpstr>
      <vt:lpstr>Data_UitloopschaalNatVerloop166</vt:lpstr>
      <vt:lpstr>Data_UitloopschaalNatVerloop167</vt:lpstr>
      <vt:lpstr>Data_UitloopschaalNatVerloop168</vt:lpstr>
      <vt:lpstr>Data_UitloopschaalNatVerloop169</vt:lpstr>
      <vt:lpstr>Data_UitloopschaalNatVerloop170</vt:lpstr>
      <vt:lpstr>Data_UitloopschaalNatVerloop171</vt:lpstr>
      <vt:lpstr>Data_UitloopschaalNatVerloop172</vt:lpstr>
      <vt:lpstr>Data_UitloopschaalNatVerloop173</vt:lpstr>
      <vt:lpstr>Data_UitloopschaalNatVerloop174</vt:lpstr>
      <vt:lpstr>Data_UitloopschaalNatVerloop175</vt:lpstr>
      <vt:lpstr>Data_UitloopschaalNatVerloop176</vt:lpstr>
      <vt:lpstr>Data_UitloopschaalNatVerloop177</vt:lpstr>
      <vt:lpstr>Data_UitloopschaalNatVerloop178</vt:lpstr>
      <vt:lpstr>Data_UitloopschaalNatVerloop179</vt:lpstr>
      <vt:lpstr>Data_UitloopschaalNatVerloop180</vt:lpstr>
      <vt:lpstr>Data_UitloopschaalNatVerloop181</vt:lpstr>
      <vt:lpstr>Data_UitloopschaalNatVerloop182</vt:lpstr>
      <vt:lpstr>Data_UitloopschaalNatVerloop183</vt:lpstr>
      <vt:lpstr>Data_UitloopschaalNatVerloop184</vt:lpstr>
      <vt:lpstr>Data_UitloopschaalNatVerloop185</vt:lpstr>
      <vt:lpstr>Data_UitloopschaalNatVerloop186</vt:lpstr>
      <vt:lpstr>Data_UitloopschaalNatVerloop187</vt:lpstr>
      <vt:lpstr>Data_UitloopschaalNatVerloop188</vt:lpstr>
      <vt:lpstr>Data_UitloopschaalNatVerloop189</vt:lpstr>
      <vt:lpstr>Data_UitloopschaalNatVerloop190</vt:lpstr>
      <vt:lpstr>Data_UitloopschaalNatVerloop191</vt:lpstr>
      <vt:lpstr>Data_UitloopschaalNatVerloop192</vt:lpstr>
      <vt:lpstr>Data_UitloopschaalNatVerloop193</vt:lpstr>
      <vt:lpstr>Data_UitloopschaalNatVerloop194</vt:lpstr>
      <vt:lpstr>Data_UitloopschaalNatVerloop195</vt:lpstr>
      <vt:lpstr>Data_UitloopschaalNatVerloop196</vt:lpstr>
      <vt:lpstr>Data_UitloopschaalNatVerloop197</vt:lpstr>
      <vt:lpstr>Data_UitloopschaalNatVerloop198</vt:lpstr>
      <vt:lpstr>Data_UitloopschaalNatVerloop199</vt:lpstr>
      <vt:lpstr>Data_UitloopschaalNatVerloop200</vt:lpstr>
      <vt:lpstr>Data_UitloopschaalNatVerloop201</vt:lpstr>
      <vt:lpstr>Data_UitloopschaalNatVerloop202</vt:lpstr>
      <vt:lpstr>Data_UitloopschaalNatVerloop203</vt:lpstr>
      <vt:lpstr>Data_UitloopschaalNatVerloop204</vt:lpstr>
      <vt:lpstr>Data_UitloopschaalNatVerloop205</vt:lpstr>
      <vt:lpstr>Data_UitloopschaalNatVerloop206</vt:lpstr>
      <vt:lpstr>Data_UitloopschaalNatVerloop207</vt:lpstr>
      <vt:lpstr>Data_UitloopschaalNatVerloop208</vt:lpstr>
      <vt:lpstr>Data_UitloopschaalNatVerloop209</vt:lpstr>
      <vt:lpstr>Data_UitloopschaalNatVerloop210</vt:lpstr>
      <vt:lpstr>Data_UitloopschaalNatVerloop211</vt:lpstr>
      <vt:lpstr>Data_UitloopschaalNatVerloop212</vt:lpstr>
      <vt:lpstr>Data_UitloopschaalNatVerloop213</vt:lpstr>
      <vt:lpstr>Data_UitloopschaalNatVerloop214</vt:lpstr>
      <vt:lpstr>Data_UitloopschaalNatVerloop215</vt:lpstr>
      <vt:lpstr>Data_UitloopschaalNatVerloop216</vt:lpstr>
      <vt:lpstr>Data_UitloopschaalNatVerloop217</vt:lpstr>
      <vt:lpstr>Data_UitloopschaalNatVerloop218</vt:lpstr>
      <vt:lpstr>Data_UitloopschaalNatVerloop219</vt:lpstr>
      <vt:lpstr>Data_UitloopschaalNatVerloop220</vt:lpstr>
      <vt:lpstr>Data_UitloopschaalNatVerloop221</vt:lpstr>
      <vt:lpstr>Data_UitloopschaalNatVerloop222</vt:lpstr>
      <vt:lpstr>Data_UitloopschaalNatVerloop223</vt:lpstr>
      <vt:lpstr>Data_UitloopschaalNatVerloop224</vt:lpstr>
      <vt:lpstr>Data_UitloopschaalNatVerloop225</vt:lpstr>
      <vt:lpstr>Data_UitloopschaalNatVerloop226</vt:lpstr>
      <vt:lpstr>Data_UitloopschaalNatVerloop227</vt:lpstr>
      <vt:lpstr>Data_UitloopschaalNatVerloop228</vt:lpstr>
      <vt:lpstr>Data_UitloopschaalNatVerloop229</vt:lpstr>
      <vt:lpstr>Data_UitloopschaalNatVerloop230</vt:lpstr>
      <vt:lpstr>Data_UitloopschaalNatVerloop231</vt:lpstr>
      <vt:lpstr>Data_UitloopschaalNatVerloop232</vt:lpstr>
      <vt:lpstr>Data_UitloopschaalNatVerloop233</vt:lpstr>
      <vt:lpstr>Data_UitloopschaalNatVerloop234</vt:lpstr>
      <vt:lpstr>Data_UitloopschaalNatVerloop235</vt:lpstr>
      <vt:lpstr>Data_UitloopschaalNatVerloop236</vt:lpstr>
      <vt:lpstr>Data_UitloopschaalNatVerloop237</vt:lpstr>
      <vt:lpstr>Data_UitloopschaalNatVerloop238</vt:lpstr>
      <vt:lpstr>Data_UitloopschaalNatVerloop239</vt:lpstr>
      <vt:lpstr>Data_UitloopschaalNatVerloop240</vt:lpstr>
      <vt:lpstr>Data_UitloopschaalNatVerloop241</vt:lpstr>
      <vt:lpstr>Data_UitloopschaalNatVerloop242</vt:lpstr>
      <vt:lpstr>Data_UitloopschaalNatVerloop243</vt:lpstr>
      <vt:lpstr>Data_UitloopschaalNatVerloop244</vt:lpstr>
      <vt:lpstr>Data_UitloopschaalNatVerloop245</vt:lpstr>
      <vt:lpstr>Data_UitloopschaalNatVerloop246</vt:lpstr>
      <vt:lpstr>Data_UitloopschaalNatVerloop247</vt:lpstr>
      <vt:lpstr>Data_UitloopschaalNatVerloop248</vt:lpstr>
      <vt:lpstr>Data_UitloopschaalNatVerloop249</vt:lpstr>
      <vt:lpstr>Data_UitloopschaalNatVerloop250</vt:lpstr>
      <vt:lpstr>Data_UitloopschaalNatVerloop251</vt:lpstr>
      <vt:lpstr>Data_UitloopschaalNatVerloop252</vt:lpstr>
      <vt:lpstr>Data_UitloopschaalNatVerloop253</vt:lpstr>
      <vt:lpstr>Data_UitloopschaalNatVerloop254</vt:lpstr>
      <vt:lpstr>Data_UitloopschaalNatVerloop255</vt:lpstr>
      <vt:lpstr>Data_UitloopschaalNatVerloop256</vt:lpstr>
      <vt:lpstr>Data_UitloopschaalNatVerloop257</vt:lpstr>
      <vt:lpstr>Data_UitloopschaalNatVerloop258</vt:lpstr>
      <vt:lpstr>Data_UitloopschaalNatVerloop259</vt:lpstr>
      <vt:lpstr>Data_UitloopschaalNatVerloop260</vt:lpstr>
      <vt:lpstr>Data_UitloopschaalNatVerloop261</vt:lpstr>
      <vt:lpstr>Data_UitloopschaalNatVerloop262</vt:lpstr>
      <vt:lpstr>Data_UitloopschaalNatVerloop263</vt:lpstr>
      <vt:lpstr>Data_UitloopschaalNatVerloop264</vt:lpstr>
      <vt:lpstr>Data_UitloopschaalNatVerloop265</vt:lpstr>
      <vt:lpstr>Data_UitloopschaalNatVerloop266</vt:lpstr>
      <vt:lpstr>Data_UitloopschaalNatVerloop267</vt:lpstr>
      <vt:lpstr>Data_UitloopschaalNatVerloop268</vt:lpstr>
      <vt:lpstr>Data_UitloopschaalNatVerloop269</vt:lpstr>
      <vt:lpstr>Data_UitloopschaalNatVerloop270</vt:lpstr>
      <vt:lpstr>Data_UitloopschaalNatVerloop271</vt:lpstr>
      <vt:lpstr>Data_UitloopschaalNatVerloop272</vt:lpstr>
      <vt:lpstr>Data_UitloopschaalNatVerloop273</vt:lpstr>
      <vt:lpstr>Data_UitloopschaalNatVerloop274</vt:lpstr>
      <vt:lpstr>Data_UitloopschaalNatVerloop275</vt:lpstr>
      <vt:lpstr>Data_UitloopschaalNatVerloop276</vt:lpstr>
      <vt:lpstr>Data_UitloopschaalNatVerloop277</vt:lpstr>
      <vt:lpstr>Data_UitloopschaalNatVerloop278</vt:lpstr>
      <vt:lpstr>Data_UitloopschaalNatVerloop279</vt:lpstr>
      <vt:lpstr>Data_UitloopschaalNatVerloop280</vt:lpstr>
      <vt:lpstr>Data_UitloopschaalNatVerloop281</vt:lpstr>
      <vt:lpstr>Data_UitloopschaalNatVerloop282</vt:lpstr>
      <vt:lpstr>Data_UitloopschaalNatVerloop283</vt:lpstr>
      <vt:lpstr>Data_UitloopschaalNatVerloop284</vt:lpstr>
      <vt:lpstr>Data_UitloopschaalNatVerloop285</vt:lpstr>
      <vt:lpstr>Data_UitloopschaalNatVerloop286</vt:lpstr>
      <vt:lpstr>Data_UitloopschaalNatVerloop287</vt:lpstr>
      <vt:lpstr>Data_UitloopschaalNatVerloop288</vt:lpstr>
      <vt:lpstr>Data_UitloopschaalNatVerloop289</vt:lpstr>
      <vt:lpstr>Data_UitloopschaalNatVerloop290</vt:lpstr>
      <vt:lpstr>Data_UitloopschaalNatVerloop291</vt:lpstr>
      <vt:lpstr>Data_UitloopschaalNatVerloop292</vt:lpstr>
      <vt:lpstr>Data_UitloopschaalNatVerloop293</vt:lpstr>
      <vt:lpstr>Data_UitloopschaalNatVerloop294</vt:lpstr>
      <vt:lpstr>Data_UitloopschaalNatVerloop295</vt:lpstr>
      <vt:lpstr>Data_UitloopschaalNatVerloop296</vt:lpstr>
      <vt:lpstr>Data_UitloopschaalNatVerloop297</vt:lpstr>
      <vt:lpstr>Data_UitloopschaalNatVerloop298</vt:lpstr>
      <vt:lpstr>Data_UitloopschaalNatVerloop299</vt:lpstr>
      <vt:lpstr>Data_UitloopschaalNatVerloop300</vt:lpstr>
      <vt:lpstr>Data_UitloopschaalNatVerloop301</vt:lpstr>
      <vt:lpstr>Data_UitloopschaalNatVerloop302</vt:lpstr>
      <vt:lpstr>Data_UitloopschaalNatVerloop303</vt:lpstr>
      <vt:lpstr>Data_UitloopschaalNatVerloop304</vt:lpstr>
      <vt:lpstr>Data_UitloopschaalNatVerloop305</vt:lpstr>
      <vt:lpstr>Data_UitloopschaalNatVerloop306</vt:lpstr>
      <vt:lpstr>Data_UitloopschaalNatVerloop307</vt:lpstr>
      <vt:lpstr>Data_UitloopschaalNatVerloop308</vt:lpstr>
      <vt:lpstr>Data_UitloopschaalNatVerloop309</vt:lpstr>
      <vt:lpstr>Data_UitloopschaalNatVerloop310</vt:lpstr>
      <vt:lpstr>Data_UitloopschaalNatVerloop311</vt:lpstr>
      <vt:lpstr>Data_UitloopschaalNatVerloop312</vt:lpstr>
      <vt:lpstr>Data_UitloopschaalNatVerloop313</vt:lpstr>
      <vt:lpstr>Data_UitloopschaalNatVerloop314</vt:lpstr>
      <vt:lpstr>Data_UitloopschaalNatVerloop315</vt:lpstr>
      <vt:lpstr>Data_UitloopschaalNatVerloop316</vt:lpstr>
      <vt:lpstr>Data_UitloopschaalNatVerloop317</vt:lpstr>
      <vt:lpstr>Data_UitloopschaalNatVerloop318</vt:lpstr>
      <vt:lpstr>Data_UitloopschaalNatVerloop319</vt:lpstr>
      <vt:lpstr>Data_UitloopschaalNatVerloop320</vt:lpstr>
      <vt:lpstr>Data_UitloopschaalNatVerloop321</vt:lpstr>
      <vt:lpstr>Data_UitloopschaalNatVerloop322</vt:lpstr>
      <vt:lpstr>Data_UitloopschaalNatVerloop323</vt:lpstr>
      <vt:lpstr>Data_UitloopschaalNatVerloop324</vt:lpstr>
      <vt:lpstr>Data_UitloopschaalNatVerloop325</vt:lpstr>
      <vt:lpstr>Data_UitloopschaalNatVerloop326</vt:lpstr>
      <vt:lpstr>Data_UitloopschaalNatVerloop327</vt:lpstr>
      <vt:lpstr>Data_UitloopschaalNatVerloop328</vt:lpstr>
      <vt:lpstr>Data_UitloopschaalNatVerloop329</vt:lpstr>
      <vt:lpstr>Data_UitloopschaalNatVerloop330</vt:lpstr>
      <vt:lpstr>Data_UitloopschaalNatVerloop331</vt:lpstr>
      <vt:lpstr>Data_UitloopschaalNatVerloop332</vt:lpstr>
      <vt:lpstr>Data_UitloopschaalNatVerloop333</vt:lpstr>
      <vt:lpstr>Data_UitloopschaalNatVerloop334</vt:lpstr>
      <vt:lpstr>Data_UitloopschaalNatVerloop335</vt:lpstr>
      <vt:lpstr>Data_UitloopschaalNatVerloop336</vt:lpstr>
      <vt:lpstr>Data_UitloopschaalNatVerloop337</vt:lpstr>
      <vt:lpstr>Data_UitloopschaalNatVerloop338</vt:lpstr>
      <vt:lpstr>Data_UitloopschaalNatVerloop339</vt:lpstr>
      <vt:lpstr>Data_UitloopschaalNatVerloop340</vt:lpstr>
      <vt:lpstr>Data_UitloopschaalNatVerloop341</vt:lpstr>
      <vt:lpstr>Data_UitloopschaalNatVerloop342</vt:lpstr>
      <vt:lpstr>Data_UitloopschaalNatVerloop343</vt:lpstr>
      <vt:lpstr>Data_UitloopschaalNatVerloop344</vt:lpstr>
      <vt:lpstr>Data_UitloopschaalNatVerloop345</vt:lpstr>
      <vt:lpstr>Data_UitloopschaalNatVerloop346</vt:lpstr>
      <vt:lpstr>Data_UitloopschaalNatVerloop347</vt:lpstr>
      <vt:lpstr>Data_UitloopschaalNatVerloop348</vt:lpstr>
      <vt:lpstr>Data_UitloopschaalNatVerloop349</vt:lpstr>
      <vt:lpstr>Data_UitloopschaalNatVerloop350</vt:lpstr>
      <vt:lpstr>Data_UitloopschaalNatVerloop351</vt:lpstr>
      <vt:lpstr>Data_UitloopschaalNatVerloop352</vt:lpstr>
      <vt:lpstr>Data_UitloopschaalNatVerloop353</vt:lpstr>
      <vt:lpstr>Data_UitloopschaalNatVerloop354</vt:lpstr>
      <vt:lpstr>Data_UitloopschaalNatVerloop355</vt:lpstr>
      <vt:lpstr>Data_UitloopschaalNatVerloop356</vt:lpstr>
      <vt:lpstr>Data_UitloopschaalNatVerloop357</vt:lpstr>
      <vt:lpstr>Data_UitloopschaalNatVerloop358</vt:lpstr>
      <vt:lpstr>Data_UitloopschaalNatVerloop359</vt:lpstr>
      <vt:lpstr>Data_UitloopschaalNatVerloop360</vt:lpstr>
      <vt:lpstr>Data_UitloopschaalNatVerloop361</vt:lpstr>
      <vt:lpstr>Data_UitloopschaalNatVerloop362</vt:lpstr>
      <vt:lpstr>Data_UitloopschaalNatVerloop363</vt:lpstr>
      <vt:lpstr>Data_UitloopschaalNatVerloop364</vt:lpstr>
      <vt:lpstr>Data_UitloopschaalNatVerloop365</vt:lpstr>
      <vt:lpstr>Data_UitloopschaalNatVerloop366</vt:lpstr>
      <vt:lpstr>Data_UitloopschaalNatVerloop367</vt:lpstr>
      <vt:lpstr>Data_UitloopschaalNatVerloop368</vt:lpstr>
      <vt:lpstr>Data_UitloopschaalNatVerloop369</vt:lpstr>
      <vt:lpstr>Data_UitloopschaalNatVerloop370</vt:lpstr>
      <vt:lpstr>Data_UitloopschaalNatVerloop371</vt:lpstr>
      <vt:lpstr>Data_UitloopschaalNatVerloop372</vt:lpstr>
      <vt:lpstr>Data_UitloopschaalNatVerloop373</vt:lpstr>
      <vt:lpstr>Data_UitloopschaalNatVerloop374</vt:lpstr>
      <vt:lpstr>Data_UitloopschaalNatVerloop375</vt:lpstr>
      <vt:lpstr>Data_UitloopschaalNatVerloop376</vt:lpstr>
      <vt:lpstr>Data_UitloopschaalNatVerloop377</vt:lpstr>
      <vt:lpstr>Data_UitloopschaalNatVerloop378</vt:lpstr>
      <vt:lpstr>Data_UitloopschaalNatVerloop379</vt:lpstr>
      <vt:lpstr>Data_UitloopschaalNatVerloop380</vt:lpstr>
      <vt:lpstr>Data_UitloopschaalNatVerloop381</vt:lpstr>
      <vt:lpstr>Data_UitloopschaalNatVerloop382</vt:lpstr>
      <vt:lpstr>Data_UitloopschaalNatVerloop383</vt:lpstr>
      <vt:lpstr>Data_UitloopschaalNatVerloop384</vt:lpstr>
      <vt:lpstr>Data_UitloopschaalNatVerloop385</vt:lpstr>
      <vt:lpstr>Data_UitloopschaalNatVerloop386</vt:lpstr>
      <vt:lpstr>Data_UitloopschaalNatVerloop387</vt:lpstr>
      <vt:lpstr>Data_UitloopschaalNatVerloop388</vt:lpstr>
      <vt:lpstr>Data_UitloopschaalNatVerloop389</vt:lpstr>
      <vt:lpstr>Data_UitloopschaalNatVerloop390</vt:lpstr>
      <vt:lpstr>Data_UitloopschaalNatVerloop391</vt:lpstr>
      <vt:lpstr>Data_UitloopschaalNatVerloop392</vt:lpstr>
      <vt:lpstr>Data_UitloopschaalNatVerloop393</vt:lpstr>
      <vt:lpstr>Data_UitloopschaalNatVerloop394</vt:lpstr>
      <vt:lpstr>Data_UitloopschaalNatVerloop395</vt:lpstr>
      <vt:lpstr>Data_UitloopschaalNatVerloop396</vt:lpstr>
      <vt:lpstr>Data_UitloopschaalNatVerloop397</vt:lpstr>
      <vt:lpstr>Data_UitloopschaalNatVerloop398</vt:lpstr>
      <vt:lpstr>Data_UitloopschaalNatVerloop399</vt:lpstr>
      <vt:lpstr>Data_UitloopschaalNatVerloop400</vt:lpstr>
      <vt:lpstr>Data_UitloopschaalNatVerloop401</vt:lpstr>
      <vt:lpstr>Data_UitloopschaalNatVerloop402</vt:lpstr>
      <vt:lpstr>Data_UitloopschaalNatVerloop403</vt:lpstr>
      <vt:lpstr>Data_UitloopschaalNatVerloop404</vt:lpstr>
      <vt:lpstr>Data_UitloopschaalNatVerloop405</vt:lpstr>
      <vt:lpstr>Data_UitloopschaalNatVerloop406</vt:lpstr>
      <vt:lpstr>Data_UitloopschaalNatVerloop407</vt:lpstr>
      <vt:lpstr>Data_UitloopschaalNatVerloop408</vt:lpstr>
      <vt:lpstr>Data_UitloopschaalNatVerloop409</vt:lpstr>
      <vt:lpstr>Data_UitloopschaalNatVerloop410</vt:lpstr>
      <vt:lpstr>Data_UitloopschaalNatVerloop411</vt:lpstr>
      <vt:lpstr>Data_UitloopschaalNatVerloop412</vt:lpstr>
      <vt:lpstr>Data_UitloopschaalNatVerloop413</vt:lpstr>
      <vt:lpstr>Data_UitloopschaalNatVerloop414</vt:lpstr>
      <vt:lpstr>Data_UitloopschaalNatVerloop415</vt:lpstr>
      <vt:lpstr>Data_UitloopschaalNatVerloop416</vt:lpstr>
      <vt:lpstr>Data_UitloopschaalNatVerloop417</vt:lpstr>
      <vt:lpstr>Data_UitloopschaalNatVerloop418</vt:lpstr>
      <vt:lpstr>Data_UitloopschaalNatVerloop419</vt:lpstr>
      <vt:lpstr>Data_UitloopschaalNatVerloop420</vt:lpstr>
      <vt:lpstr>Data_UitloopschaalNatVerloop421</vt:lpstr>
      <vt:lpstr>Data_UitloopschaalNatVerloop422</vt:lpstr>
      <vt:lpstr>Data_UitloopschaalNatVerloop423</vt:lpstr>
      <vt:lpstr>Data_UitloopschaalNatVerloop424</vt:lpstr>
      <vt:lpstr>Data_UitloopschaalNatVerloop425</vt:lpstr>
      <vt:lpstr>Data_UitloopschaalNatVerloop426</vt:lpstr>
      <vt:lpstr>Data_UitloopschaalNatVerloop427</vt:lpstr>
      <vt:lpstr>Data_UitloopschaalNatVerloop428</vt:lpstr>
      <vt:lpstr>Data_UitloopschaalNatVerloop429</vt:lpstr>
      <vt:lpstr>Data_UitloopschaalNatVerloop430</vt:lpstr>
      <vt:lpstr>Data_UitloopschaalNatVerloop431</vt:lpstr>
      <vt:lpstr>Data_UitloopschaalNatVerloop432</vt:lpstr>
      <vt:lpstr>Data_UitloopschaalNatVerloop433</vt:lpstr>
      <vt:lpstr>Data_UitloopschaalNatVerloop434</vt:lpstr>
      <vt:lpstr>Data_UitloopschaalNatVerloop435</vt:lpstr>
      <vt:lpstr>Data_UitloopschaalNatVerloop436</vt:lpstr>
      <vt:lpstr>Data_UitloopschaalNatVerloop437</vt:lpstr>
      <vt:lpstr>Data_UitloopschaalNatVerloop438</vt:lpstr>
      <vt:lpstr>Data_UitloopschaalNatVerloop439</vt:lpstr>
      <vt:lpstr>Data_UitloopschaalNatVerloop440</vt:lpstr>
      <vt:lpstr>Data_UitloopschaalNatVerloop441</vt:lpstr>
      <vt:lpstr>Data_UitloopschaalNatVerloop442</vt:lpstr>
      <vt:lpstr>Data_UitloopschaalNatVerloop443</vt:lpstr>
      <vt:lpstr>Data_UitloopschaalNatVerloop444</vt:lpstr>
      <vt:lpstr>Data_UitloopschaalNatVerloop445</vt:lpstr>
      <vt:lpstr>Data_UitloopschaalNatVerloop446</vt:lpstr>
      <vt:lpstr>Data_UitloopschaalNatVerloop447</vt:lpstr>
      <vt:lpstr>Data_UitloopschaalNatVerloop448</vt:lpstr>
      <vt:lpstr>Data_UitloopschaalNatVerloop449</vt:lpstr>
      <vt:lpstr>Data_UitloopschaalNatVerloop450</vt:lpstr>
      <vt:lpstr>Data_UitloopschaalNatVerloop451</vt:lpstr>
      <vt:lpstr>Data_UitloopschaalNatVerloop452</vt:lpstr>
      <vt:lpstr>Data_UitloopschaalNatVerloop453</vt:lpstr>
      <vt:lpstr>Data_UitloopschaalNatVerloop454</vt:lpstr>
      <vt:lpstr>Data_UitloopschaalNatVerloop455</vt:lpstr>
      <vt:lpstr>Data_UitloopschaalNatVerloop456</vt:lpstr>
      <vt:lpstr>Data_UitloopschaalNatVerloop457</vt:lpstr>
      <vt:lpstr>Data_UitloopschaalNatVerloop458</vt:lpstr>
      <vt:lpstr>Data_UitloopschaalNatVerloop459</vt:lpstr>
      <vt:lpstr>Data_UitloopschaalNatVerloop460</vt:lpstr>
      <vt:lpstr>Data_UitloopschaalNatVerloop461</vt:lpstr>
      <vt:lpstr>Data_UitloopschaalNatVerloop462</vt:lpstr>
      <vt:lpstr>Data_UitloopschaalNatVerloop463</vt:lpstr>
      <vt:lpstr>Data_UitloopschaalNatVerloop464</vt:lpstr>
      <vt:lpstr>Data_UitloopschaalNatVerloop465</vt:lpstr>
      <vt:lpstr>Data_UitloopschaalNatVerloop466</vt:lpstr>
      <vt:lpstr>Data_UitloopschaalNatVerloop467</vt:lpstr>
      <vt:lpstr>Data_UitloopschaalNatVerloop468</vt:lpstr>
      <vt:lpstr>Data_UitloopschaalNatVerloop469</vt:lpstr>
      <vt:lpstr>Data_UitloopschaalNatVerloop470</vt:lpstr>
      <vt:lpstr>Data_UitloopschaalNatVerloop471</vt:lpstr>
      <vt:lpstr>Data_UitloopschaalNatVerloop472</vt:lpstr>
      <vt:lpstr>Data_UitloopschaalNatVerloop473</vt:lpstr>
      <vt:lpstr>Data_UitloopschaalNatVerloop474</vt:lpstr>
      <vt:lpstr>Data_UitloopschaalNatVerloop475</vt:lpstr>
      <vt:lpstr>Data_UitloopschaalNatVerloop476</vt:lpstr>
      <vt:lpstr>Data_UitloopschaalNatVerloop477</vt:lpstr>
      <vt:lpstr>Data_UitloopschaalNatVerloop478</vt:lpstr>
      <vt:lpstr>Data_UitloopschaalNatVerloop479</vt:lpstr>
      <vt:lpstr>Data_UitloopschaalNatVerloop480</vt:lpstr>
      <vt:lpstr>Data_UitloopschaalNatVerloop481</vt:lpstr>
      <vt:lpstr>Data_UitloopschaalNatVerloop482</vt:lpstr>
      <vt:lpstr>Data_UitloopschaalNatVerloop483</vt:lpstr>
      <vt:lpstr>Data_UitloopschaalNatVerloop484</vt:lpstr>
      <vt:lpstr>Data_UitloopschaalNatVerloop485</vt:lpstr>
      <vt:lpstr>Data_UitloopschaalNatVerloop486</vt:lpstr>
      <vt:lpstr>Data_UitloopschaalNatVerloop487</vt:lpstr>
      <vt:lpstr>Data_UitloopschaalNatVerloop488</vt:lpstr>
      <vt:lpstr>Data_UitloopschaalNatVerloop489</vt:lpstr>
      <vt:lpstr>Data_UitloopschaalNatVerloop490</vt:lpstr>
      <vt:lpstr>Data_UitloopschaalNatVerloop491</vt:lpstr>
      <vt:lpstr>Data_UitloopschaalNatVerloop492</vt:lpstr>
      <vt:lpstr>Data_UitloopschaalNatVerloop493</vt:lpstr>
      <vt:lpstr>Data_UitloopschaalNatVerloop494</vt:lpstr>
      <vt:lpstr>Data_UitloopschaalNatVerloop495</vt:lpstr>
      <vt:lpstr>Data_UitloopschaalNatVerloop496</vt:lpstr>
      <vt:lpstr>Data_UitloopschaalNatVerloop497</vt:lpstr>
      <vt:lpstr>Data_UitloopschaalNatVerloop498</vt:lpstr>
      <vt:lpstr>Data_UitloopschaalNatVerloop499</vt:lpstr>
      <vt:lpstr>Data_UitloopschaalNatVerloop500</vt:lpstr>
      <vt:lpstr>Data_UitloopschaalTijd001</vt:lpstr>
      <vt:lpstr>Data_UitloopschaalTijd002</vt:lpstr>
      <vt:lpstr>Data_UitloopschaalTijd003</vt:lpstr>
      <vt:lpstr>Data_UitloopschaalTijd004</vt:lpstr>
      <vt:lpstr>Data_UitloopschaalTijd005</vt:lpstr>
      <vt:lpstr>Data_UitloopschaalTijd006</vt:lpstr>
      <vt:lpstr>Data_UitloopschaalTijd007</vt:lpstr>
      <vt:lpstr>Data_UitloopschaalTijd008</vt:lpstr>
      <vt:lpstr>Data_UitloopschaalTijd009</vt:lpstr>
      <vt:lpstr>Data_UitloopschaalTijd010</vt:lpstr>
      <vt:lpstr>Data_UitloopschaalTijd011</vt:lpstr>
      <vt:lpstr>Data_UitloopschaalTijd012</vt:lpstr>
      <vt:lpstr>Data_UitloopschaalTijd013</vt:lpstr>
      <vt:lpstr>Data_UitloopschaalTijd014</vt:lpstr>
      <vt:lpstr>Data_UitloopschaalTijd015</vt:lpstr>
      <vt:lpstr>Data_UitloopschaalTijd016</vt:lpstr>
      <vt:lpstr>Data_UitloopschaalTijd017</vt:lpstr>
      <vt:lpstr>Data_UitloopschaalTijd018</vt:lpstr>
      <vt:lpstr>Data_UitloopschaalTijd019</vt:lpstr>
      <vt:lpstr>Data_UitloopschaalTijd020</vt:lpstr>
      <vt:lpstr>Data_UitloopschaalTijd021</vt:lpstr>
      <vt:lpstr>Data_UitloopschaalTijd022</vt:lpstr>
      <vt:lpstr>Data_UitloopschaalTijd023</vt:lpstr>
      <vt:lpstr>Data_UitloopschaalTijd024</vt:lpstr>
      <vt:lpstr>Data_UitloopschaalTijd025</vt:lpstr>
      <vt:lpstr>Data_UitloopschaalTijd026</vt:lpstr>
      <vt:lpstr>Data_UitloopschaalTijd027</vt:lpstr>
      <vt:lpstr>Data_UitloopschaalTijd028</vt:lpstr>
      <vt:lpstr>Data_UitloopschaalTijd029</vt:lpstr>
      <vt:lpstr>Data_UitloopschaalTijd030</vt:lpstr>
      <vt:lpstr>Data_UitloopschaalTijd031</vt:lpstr>
      <vt:lpstr>Data_UitloopschaalTijd032</vt:lpstr>
      <vt:lpstr>Data_UitloopschaalTijd033</vt:lpstr>
      <vt:lpstr>Data_UitloopschaalTijd034</vt:lpstr>
      <vt:lpstr>Data_UitloopschaalTijd035</vt:lpstr>
      <vt:lpstr>Data_UitloopschaalTijd036</vt:lpstr>
      <vt:lpstr>Data_UitloopschaalTijd037</vt:lpstr>
      <vt:lpstr>Data_UitloopschaalTijd038</vt:lpstr>
      <vt:lpstr>Data_UitloopschaalTijd039</vt:lpstr>
      <vt:lpstr>Data_UitloopschaalTijd040</vt:lpstr>
      <vt:lpstr>Data_UitloopschaalTijd041</vt:lpstr>
      <vt:lpstr>Data_UitloopschaalTijd042</vt:lpstr>
      <vt:lpstr>Data_UitloopschaalTijd043</vt:lpstr>
      <vt:lpstr>Data_UitloopschaalTijd044</vt:lpstr>
      <vt:lpstr>Data_UitloopschaalTijd045</vt:lpstr>
      <vt:lpstr>Data_UitloopschaalTijd046</vt:lpstr>
      <vt:lpstr>Data_UitloopschaalTijd047</vt:lpstr>
      <vt:lpstr>Data_UitloopschaalTijd048</vt:lpstr>
      <vt:lpstr>Data_UitloopschaalTijd049</vt:lpstr>
      <vt:lpstr>Data_UitloopschaalTijd050</vt:lpstr>
      <vt:lpstr>Data_UitloopschaalTijd051</vt:lpstr>
      <vt:lpstr>Data_UitloopschaalTijd052</vt:lpstr>
      <vt:lpstr>Data_UitloopschaalTijd053</vt:lpstr>
      <vt:lpstr>Data_UitloopschaalTijd054</vt:lpstr>
      <vt:lpstr>Data_UitloopschaalTijd055</vt:lpstr>
      <vt:lpstr>Data_UitloopschaalTijd056</vt:lpstr>
      <vt:lpstr>Data_UitloopschaalTijd057</vt:lpstr>
      <vt:lpstr>Data_UitloopschaalTijd058</vt:lpstr>
      <vt:lpstr>Data_UitloopschaalTijd059</vt:lpstr>
      <vt:lpstr>Data_UitloopschaalTijd060</vt:lpstr>
      <vt:lpstr>Data_UitloopschaalTijd061</vt:lpstr>
      <vt:lpstr>Data_UitloopschaalTijd062</vt:lpstr>
      <vt:lpstr>Data_UitloopschaalTijd063</vt:lpstr>
      <vt:lpstr>Data_UitloopschaalTijd064</vt:lpstr>
      <vt:lpstr>Data_UitloopschaalTijd065</vt:lpstr>
      <vt:lpstr>Data_UitloopschaalTijd066</vt:lpstr>
      <vt:lpstr>Data_UitloopschaalTijd067</vt:lpstr>
      <vt:lpstr>Data_UitloopschaalTijd068</vt:lpstr>
      <vt:lpstr>Data_UitloopschaalTijd069</vt:lpstr>
      <vt:lpstr>Data_UitloopschaalTijd070</vt:lpstr>
      <vt:lpstr>Data_UitloopschaalTijd071</vt:lpstr>
      <vt:lpstr>Data_UitloopschaalTijd072</vt:lpstr>
      <vt:lpstr>Data_UitloopschaalTijd073</vt:lpstr>
      <vt:lpstr>Data_UitloopschaalTijd074</vt:lpstr>
      <vt:lpstr>Data_UitloopschaalTijd075</vt:lpstr>
      <vt:lpstr>Data_UitloopschaalTijd076</vt:lpstr>
      <vt:lpstr>Data_UitloopschaalTijd077</vt:lpstr>
      <vt:lpstr>Data_UitloopschaalTijd078</vt:lpstr>
      <vt:lpstr>Data_UitloopschaalTijd079</vt:lpstr>
      <vt:lpstr>Data_UitloopschaalTijd080</vt:lpstr>
      <vt:lpstr>Data_UitloopschaalTijd081</vt:lpstr>
      <vt:lpstr>Data_UitloopschaalTijd082</vt:lpstr>
      <vt:lpstr>Data_UitloopschaalTijd083</vt:lpstr>
      <vt:lpstr>Data_UitloopschaalTijd084</vt:lpstr>
      <vt:lpstr>Data_UitloopschaalTijd085</vt:lpstr>
      <vt:lpstr>Data_UitloopschaalTijd086</vt:lpstr>
      <vt:lpstr>Data_UitloopschaalTijd087</vt:lpstr>
      <vt:lpstr>Data_UitloopschaalTijd088</vt:lpstr>
      <vt:lpstr>Data_UitloopschaalTijd089</vt:lpstr>
      <vt:lpstr>Data_UitloopschaalTijd090</vt:lpstr>
      <vt:lpstr>Data_UitloopschaalTijd091</vt:lpstr>
      <vt:lpstr>Data_UitloopschaalTijd092</vt:lpstr>
      <vt:lpstr>Data_UitloopschaalTijd093</vt:lpstr>
      <vt:lpstr>Data_UitloopschaalTijd094</vt:lpstr>
      <vt:lpstr>Data_UitloopschaalTijd095</vt:lpstr>
      <vt:lpstr>Data_UitloopschaalTijd096</vt:lpstr>
      <vt:lpstr>Data_UitloopschaalTijd097</vt:lpstr>
      <vt:lpstr>Data_UitloopschaalTijd098</vt:lpstr>
      <vt:lpstr>Data_UitloopschaalTijd099</vt:lpstr>
      <vt:lpstr>Data_UitloopschaalTijd100</vt:lpstr>
      <vt:lpstr>Data_UitloopschaalTijd101</vt:lpstr>
      <vt:lpstr>Data_UitloopschaalTijd102</vt:lpstr>
      <vt:lpstr>Data_UitloopschaalTijd103</vt:lpstr>
      <vt:lpstr>Data_UitloopschaalTijd104</vt:lpstr>
      <vt:lpstr>Data_UitloopschaalTijd105</vt:lpstr>
      <vt:lpstr>Data_UitloopschaalTijd106</vt:lpstr>
      <vt:lpstr>Data_UitloopschaalTijd107</vt:lpstr>
      <vt:lpstr>Data_UitloopschaalTijd108</vt:lpstr>
      <vt:lpstr>Data_UitloopschaalTijd109</vt:lpstr>
      <vt:lpstr>Data_UitloopschaalTijd110</vt:lpstr>
      <vt:lpstr>Data_UitloopschaalTijd111</vt:lpstr>
      <vt:lpstr>Data_UitloopschaalTijd112</vt:lpstr>
      <vt:lpstr>Data_UitloopschaalTijd113</vt:lpstr>
      <vt:lpstr>Data_UitloopschaalTijd114</vt:lpstr>
      <vt:lpstr>Data_UitloopschaalTijd115</vt:lpstr>
      <vt:lpstr>Data_UitloopschaalTijd116</vt:lpstr>
      <vt:lpstr>Data_UitloopschaalTijd117</vt:lpstr>
      <vt:lpstr>Data_UitloopschaalTijd118</vt:lpstr>
      <vt:lpstr>Data_UitloopschaalTijd119</vt:lpstr>
      <vt:lpstr>Data_UitloopschaalTijd120</vt:lpstr>
      <vt:lpstr>Data_UitloopschaalTijd121</vt:lpstr>
      <vt:lpstr>Data_UitloopschaalTijd122</vt:lpstr>
      <vt:lpstr>Data_UitloopschaalTijd123</vt:lpstr>
      <vt:lpstr>Data_UitloopschaalTijd124</vt:lpstr>
      <vt:lpstr>Data_UitloopschaalTijd125</vt:lpstr>
      <vt:lpstr>Data_UitloopschaalTijd126</vt:lpstr>
      <vt:lpstr>Data_UitloopschaalTijd127</vt:lpstr>
      <vt:lpstr>Data_UitloopschaalTijd128</vt:lpstr>
      <vt:lpstr>Data_UitloopschaalTijd129</vt:lpstr>
      <vt:lpstr>Data_UitloopschaalTijd130</vt:lpstr>
      <vt:lpstr>Data_UitloopschaalTijd131</vt:lpstr>
      <vt:lpstr>Data_UitloopschaalTijd132</vt:lpstr>
      <vt:lpstr>Data_UitloopschaalTijd133</vt:lpstr>
      <vt:lpstr>Data_UitloopschaalTijd134</vt:lpstr>
      <vt:lpstr>Data_UitloopschaalTijd135</vt:lpstr>
      <vt:lpstr>Data_UitloopschaalTijd136</vt:lpstr>
      <vt:lpstr>Data_UitloopschaalTijd137</vt:lpstr>
      <vt:lpstr>Data_UitloopschaalTijd138</vt:lpstr>
      <vt:lpstr>Data_UitloopschaalTijd139</vt:lpstr>
      <vt:lpstr>Data_UitloopschaalTijd140</vt:lpstr>
      <vt:lpstr>Data_UitloopschaalTijd141</vt:lpstr>
      <vt:lpstr>Data_UitloopschaalTijd142</vt:lpstr>
      <vt:lpstr>Data_UitloopschaalTijd143</vt:lpstr>
      <vt:lpstr>Data_UitloopschaalTijd144</vt:lpstr>
      <vt:lpstr>Data_UitloopschaalTijd145</vt:lpstr>
      <vt:lpstr>Data_UitloopschaalTijd146</vt:lpstr>
      <vt:lpstr>Data_UitloopschaalTijd147</vt:lpstr>
      <vt:lpstr>Data_UitloopschaalTijd148</vt:lpstr>
      <vt:lpstr>Data_UitloopschaalTijd149</vt:lpstr>
      <vt:lpstr>Data_UitloopschaalTijd150</vt:lpstr>
      <vt:lpstr>Data_UitloopschaalTijd151</vt:lpstr>
      <vt:lpstr>Data_UitloopschaalTijd152</vt:lpstr>
      <vt:lpstr>Data_UitloopschaalTijd153</vt:lpstr>
      <vt:lpstr>Data_UitloopschaalTijd154</vt:lpstr>
      <vt:lpstr>Data_UitloopschaalTijd155</vt:lpstr>
      <vt:lpstr>Data_UitloopschaalTijd156</vt:lpstr>
      <vt:lpstr>Data_UitloopschaalTijd157</vt:lpstr>
      <vt:lpstr>Data_UitloopschaalTijd158</vt:lpstr>
      <vt:lpstr>Data_UitloopschaalTijd159</vt:lpstr>
      <vt:lpstr>Data_UitloopschaalTijd160</vt:lpstr>
      <vt:lpstr>Data_UitloopschaalTijd161</vt:lpstr>
      <vt:lpstr>Data_UitloopschaalTijd162</vt:lpstr>
      <vt:lpstr>Data_UitloopschaalTijd163</vt:lpstr>
      <vt:lpstr>Data_UitloopschaalTijd164</vt:lpstr>
      <vt:lpstr>Data_UitloopschaalTijd165</vt:lpstr>
      <vt:lpstr>Data_UitloopschaalTijd166</vt:lpstr>
      <vt:lpstr>Data_UitloopschaalTijd167</vt:lpstr>
      <vt:lpstr>Data_UitloopschaalTijd168</vt:lpstr>
      <vt:lpstr>Data_UitloopschaalTijd169</vt:lpstr>
      <vt:lpstr>Data_UitloopschaalTijd170</vt:lpstr>
      <vt:lpstr>Data_UitloopschaalTijd171</vt:lpstr>
      <vt:lpstr>Data_UitloopschaalTijd172</vt:lpstr>
      <vt:lpstr>Data_UitloopschaalTijd173</vt:lpstr>
      <vt:lpstr>Data_UitloopschaalTijd174</vt:lpstr>
      <vt:lpstr>Data_UitloopschaalTijd175</vt:lpstr>
      <vt:lpstr>Data_UitloopschaalTijd176</vt:lpstr>
      <vt:lpstr>Data_UitloopschaalTijd177</vt:lpstr>
      <vt:lpstr>Data_UitloopschaalTijd178</vt:lpstr>
      <vt:lpstr>Data_UitloopschaalTijd179</vt:lpstr>
      <vt:lpstr>Data_UitloopschaalTijd180</vt:lpstr>
      <vt:lpstr>Data_UitloopschaalTijd181</vt:lpstr>
      <vt:lpstr>Data_UitloopschaalTijd182</vt:lpstr>
      <vt:lpstr>Data_UitloopschaalTijd183</vt:lpstr>
      <vt:lpstr>Data_UitloopschaalTijd184</vt:lpstr>
      <vt:lpstr>Data_UitloopschaalTijd185</vt:lpstr>
      <vt:lpstr>Data_UitloopschaalTijd186</vt:lpstr>
      <vt:lpstr>Data_UitloopschaalTijd187</vt:lpstr>
      <vt:lpstr>Data_UitloopschaalTijd188</vt:lpstr>
      <vt:lpstr>Data_UitloopschaalTijd189</vt:lpstr>
      <vt:lpstr>Data_UitloopschaalTijd190</vt:lpstr>
      <vt:lpstr>Data_UitloopschaalTijd191</vt:lpstr>
      <vt:lpstr>Data_UitloopschaalTijd192</vt:lpstr>
      <vt:lpstr>Data_UitloopschaalTijd193</vt:lpstr>
      <vt:lpstr>Data_UitloopschaalTijd194</vt:lpstr>
      <vt:lpstr>Data_UitloopschaalTijd195</vt:lpstr>
      <vt:lpstr>Data_UitloopschaalTijd196</vt:lpstr>
      <vt:lpstr>Data_UitloopschaalTijd197</vt:lpstr>
      <vt:lpstr>Data_UitloopschaalTijd198</vt:lpstr>
      <vt:lpstr>Data_UitloopschaalTijd199</vt:lpstr>
      <vt:lpstr>Data_UitloopschaalTijd200</vt:lpstr>
      <vt:lpstr>Data_UitloopschaalTijd201</vt:lpstr>
      <vt:lpstr>Data_UitloopschaalTijd202</vt:lpstr>
      <vt:lpstr>Data_UitloopschaalTijd203</vt:lpstr>
      <vt:lpstr>Data_UitloopschaalTijd204</vt:lpstr>
      <vt:lpstr>Data_UitloopschaalTijd205</vt:lpstr>
      <vt:lpstr>Data_UitloopschaalTijd206</vt:lpstr>
      <vt:lpstr>Data_UitloopschaalTijd207</vt:lpstr>
      <vt:lpstr>Data_UitloopschaalTijd208</vt:lpstr>
      <vt:lpstr>Data_UitloopschaalTijd209</vt:lpstr>
      <vt:lpstr>Data_UitloopschaalTijd210</vt:lpstr>
      <vt:lpstr>Data_UitloopschaalTijd211</vt:lpstr>
      <vt:lpstr>Data_UitloopschaalTijd212</vt:lpstr>
      <vt:lpstr>Data_UitloopschaalTijd213</vt:lpstr>
      <vt:lpstr>Data_UitloopschaalTijd214</vt:lpstr>
      <vt:lpstr>Data_UitloopschaalTijd215</vt:lpstr>
      <vt:lpstr>Data_UitloopschaalTijd216</vt:lpstr>
      <vt:lpstr>Data_UitloopschaalTijd217</vt:lpstr>
      <vt:lpstr>Data_UitloopschaalTijd218</vt:lpstr>
      <vt:lpstr>Data_UitloopschaalTijd219</vt:lpstr>
      <vt:lpstr>Data_UitloopschaalTijd220</vt:lpstr>
      <vt:lpstr>Data_UitloopschaalTijd221</vt:lpstr>
      <vt:lpstr>Data_UitloopschaalTijd222</vt:lpstr>
      <vt:lpstr>Data_UitloopschaalTijd223</vt:lpstr>
      <vt:lpstr>Data_UitloopschaalTijd224</vt:lpstr>
      <vt:lpstr>Data_UitloopschaalTijd225</vt:lpstr>
      <vt:lpstr>Data_UitloopschaalTijd226</vt:lpstr>
      <vt:lpstr>Data_UitloopschaalTijd227</vt:lpstr>
      <vt:lpstr>Data_UitloopschaalTijd228</vt:lpstr>
      <vt:lpstr>Data_UitloopschaalTijd229</vt:lpstr>
      <vt:lpstr>Data_UitloopschaalTijd230</vt:lpstr>
      <vt:lpstr>Data_UitloopschaalTijd231</vt:lpstr>
      <vt:lpstr>Data_UitloopschaalTijd232</vt:lpstr>
      <vt:lpstr>Data_UitloopschaalTijd233</vt:lpstr>
      <vt:lpstr>Data_UitloopschaalTijd234</vt:lpstr>
      <vt:lpstr>Data_UitloopschaalTijd235</vt:lpstr>
      <vt:lpstr>Data_UitloopschaalTijd236</vt:lpstr>
      <vt:lpstr>Data_UitloopschaalTijd237</vt:lpstr>
      <vt:lpstr>Data_UitloopschaalTijd238</vt:lpstr>
      <vt:lpstr>Data_UitloopschaalTijd239</vt:lpstr>
      <vt:lpstr>Data_UitloopschaalTijd240</vt:lpstr>
      <vt:lpstr>Data_UitloopschaalTijd241</vt:lpstr>
      <vt:lpstr>Data_UitloopschaalTijd242</vt:lpstr>
      <vt:lpstr>Data_UitloopschaalTijd243</vt:lpstr>
      <vt:lpstr>Data_UitloopschaalTijd244</vt:lpstr>
      <vt:lpstr>Data_UitloopschaalTijd245</vt:lpstr>
      <vt:lpstr>Data_UitloopschaalTijd246</vt:lpstr>
      <vt:lpstr>Data_UitloopschaalTijd247</vt:lpstr>
      <vt:lpstr>Data_UitloopschaalTijd248</vt:lpstr>
      <vt:lpstr>Data_UitloopschaalTijd249</vt:lpstr>
      <vt:lpstr>Data_UitloopschaalTijd250</vt:lpstr>
      <vt:lpstr>Data_UitloopschaalTijd251</vt:lpstr>
      <vt:lpstr>Data_UitloopschaalTijd252</vt:lpstr>
      <vt:lpstr>Data_UitloopschaalTijd253</vt:lpstr>
      <vt:lpstr>Data_UitloopschaalTijd254</vt:lpstr>
      <vt:lpstr>Data_UitloopschaalTijd255</vt:lpstr>
      <vt:lpstr>Data_UitloopschaalTijd256</vt:lpstr>
      <vt:lpstr>Data_UitloopschaalTijd257</vt:lpstr>
      <vt:lpstr>Data_UitloopschaalTijd258</vt:lpstr>
      <vt:lpstr>Data_UitloopschaalTijd259</vt:lpstr>
      <vt:lpstr>Data_UitloopschaalTijd260</vt:lpstr>
      <vt:lpstr>Data_UitloopschaalTijd261</vt:lpstr>
      <vt:lpstr>Data_UitloopschaalTijd262</vt:lpstr>
      <vt:lpstr>Data_UitloopschaalTijd263</vt:lpstr>
      <vt:lpstr>Data_UitloopschaalTijd264</vt:lpstr>
      <vt:lpstr>Data_UitloopschaalTijd265</vt:lpstr>
      <vt:lpstr>Data_UitloopschaalTijd266</vt:lpstr>
      <vt:lpstr>Data_UitloopschaalTijd267</vt:lpstr>
      <vt:lpstr>Data_UitloopschaalTijd268</vt:lpstr>
      <vt:lpstr>Data_UitloopschaalTijd269</vt:lpstr>
      <vt:lpstr>Data_UitloopschaalTijd270</vt:lpstr>
      <vt:lpstr>Data_UitloopschaalTijd271</vt:lpstr>
      <vt:lpstr>Data_UitloopschaalTijd272</vt:lpstr>
      <vt:lpstr>Data_UitloopschaalTijd273</vt:lpstr>
      <vt:lpstr>Data_UitloopschaalTijd274</vt:lpstr>
      <vt:lpstr>Data_UitloopschaalTijd275</vt:lpstr>
      <vt:lpstr>Data_UitloopschaalTijd276</vt:lpstr>
      <vt:lpstr>Data_UitloopschaalTijd277</vt:lpstr>
      <vt:lpstr>Data_UitloopschaalTijd278</vt:lpstr>
      <vt:lpstr>Data_UitloopschaalTijd279</vt:lpstr>
      <vt:lpstr>Data_UitloopschaalTijd280</vt:lpstr>
      <vt:lpstr>Data_UitloopschaalTijd281</vt:lpstr>
      <vt:lpstr>Data_UitloopschaalTijd282</vt:lpstr>
      <vt:lpstr>Data_UitloopschaalTijd283</vt:lpstr>
      <vt:lpstr>Data_UitloopschaalTijd284</vt:lpstr>
      <vt:lpstr>Data_UitloopschaalTijd285</vt:lpstr>
      <vt:lpstr>Data_UitloopschaalTijd286</vt:lpstr>
      <vt:lpstr>Data_UitloopschaalTijd287</vt:lpstr>
      <vt:lpstr>Data_UitloopschaalTijd288</vt:lpstr>
      <vt:lpstr>Data_UitloopschaalTijd289</vt:lpstr>
      <vt:lpstr>Data_UitloopschaalTijd290</vt:lpstr>
      <vt:lpstr>Data_UitloopschaalTijd291</vt:lpstr>
      <vt:lpstr>Data_UitloopschaalTijd292</vt:lpstr>
      <vt:lpstr>Data_UitloopschaalTijd293</vt:lpstr>
      <vt:lpstr>Data_UitloopschaalTijd294</vt:lpstr>
      <vt:lpstr>Data_UitloopschaalTijd295</vt:lpstr>
      <vt:lpstr>Data_UitloopschaalTijd296</vt:lpstr>
      <vt:lpstr>Data_UitloopschaalTijd297</vt:lpstr>
      <vt:lpstr>Data_UitloopschaalTijd298</vt:lpstr>
      <vt:lpstr>Data_UitloopschaalTijd299</vt:lpstr>
      <vt:lpstr>Data_UitloopschaalTijd300</vt:lpstr>
      <vt:lpstr>Data_UitloopschaalTijd301</vt:lpstr>
      <vt:lpstr>Data_UitloopschaalTijd302</vt:lpstr>
      <vt:lpstr>Data_UitloopschaalTijd303</vt:lpstr>
      <vt:lpstr>Data_UitloopschaalTijd304</vt:lpstr>
      <vt:lpstr>Data_UitloopschaalTijd305</vt:lpstr>
      <vt:lpstr>Data_UitloopschaalTijd306</vt:lpstr>
      <vt:lpstr>Data_UitloopschaalTijd307</vt:lpstr>
      <vt:lpstr>Data_UitloopschaalTijd308</vt:lpstr>
      <vt:lpstr>Data_UitloopschaalTijd309</vt:lpstr>
      <vt:lpstr>Data_UitloopschaalTijd310</vt:lpstr>
      <vt:lpstr>Data_UitloopschaalTijd311</vt:lpstr>
      <vt:lpstr>Data_UitloopschaalTijd312</vt:lpstr>
      <vt:lpstr>Data_UitloopschaalTijd313</vt:lpstr>
      <vt:lpstr>Data_UitloopschaalTijd314</vt:lpstr>
      <vt:lpstr>Data_UitloopschaalTijd315</vt:lpstr>
      <vt:lpstr>Data_UitloopschaalTijd316</vt:lpstr>
      <vt:lpstr>Data_UitloopschaalTijd317</vt:lpstr>
      <vt:lpstr>Data_UitloopschaalTijd318</vt:lpstr>
      <vt:lpstr>Data_UitloopschaalTijd319</vt:lpstr>
      <vt:lpstr>Data_UitloopschaalTijd320</vt:lpstr>
      <vt:lpstr>Data_UitloopschaalTijd321</vt:lpstr>
      <vt:lpstr>Data_UitloopschaalTijd322</vt:lpstr>
      <vt:lpstr>Data_UitloopschaalTijd323</vt:lpstr>
      <vt:lpstr>Data_UitloopschaalTijd324</vt:lpstr>
      <vt:lpstr>Data_UitloopschaalTijd325</vt:lpstr>
      <vt:lpstr>Data_UitloopschaalTijd326</vt:lpstr>
      <vt:lpstr>Data_UitloopschaalTijd327</vt:lpstr>
      <vt:lpstr>Data_UitloopschaalTijd328</vt:lpstr>
      <vt:lpstr>Data_UitloopschaalTijd329</vt:lpstr>
      <vt:lpstr>Data_UitloopschaalTijd330</vt:lpstr>
      <vt:lpstr>Data_UitloopschaalTijd331</vt:lpstr>
      <vt:lpstr>Data_UitloopschaalTijd332</vt:lpstr>
      <vt:lpstr>Data_UitloopschaalTijd333</vt:lpstr>
      <vt:lpstr>Data_UitloopschaalTijd334</vt:lpstr>
      <vt:lpstr>Data_UitloopschaalTijd335</vt:lpstr>
      <vt:lpstr>Data_UitloopschaalTijd336</vt:lpstr>
      <vt:lpstr>Data_UitloopschaalTijd337</vt:lpstr>
      <vt:lpstr>Data_UitloopschaalTijd338</vt:lpstr>
      <vt:lpstr>Data_UitloopschaalTijd339</vt:lpstr>
      <vt:lpstr>Data_UitloopschaalTijd340</vt:lpstr>
      <vt:lpstr>Data_UitloopschaalTijd341</vt:lpstr>
      <vt:lpstr>Data_UitloopschaalTijd342</vt:lpstr>
      <vt:lpstr>Data_UitloopschaalTijd343</vt:lpstr>
      <vt:lpstr>Data_UitloopschaalTijd344</vt:lpstr>
      <vt:lpstr>Data_UitloopschaalTijd345</vt:lpstr>
      <vt:lpstr>Data_UitloopschaalTijd346</vt:lpstr>
      <vt:lpstr>Data_UitloopschaalTijd347</vt:lpstr>
      <vt:lpstr>Data_UitloopschaalTijd348</vt:lpstr>
      <vt:lpstr>Data_UitloopschaalTijd349</vt:lpstr>
      <vt:lpstr>Data_UitloopschaalTijd350</vt:lpstr>
      <vt:lpstr>Data_UitloopschaalTijd351</vt:lpstr>
      <vt:lpstr>Data_UitloopschaalTijd352</vt:lpstr>
      <vt:lpstr>Data_UitloopschaalTijd353</vt:lpstr>
      <vt:lpstr>Data_UitloopschaalTijd354</vt:lpstr>
      <vt:lpstr>Data_UitloopschaalTijd355</vt:lpstr>
      <vt:lpstr>Data_UitloopschaalTijd356</vt:lpstr>
      <vt:lpstr>Data_UitloopschaalTijd357</vt:lpstr>
      <vt:lpstr>Data_UitloopschaalTijd358</vt:lpstr>
      <vt:lpstr>Data_UitloopschaalTijd359</vt:lpstr>
      <vt:lpstr>Data_UitloopschaalTijd360</vt:lpstr>
      <vt:lpstr>Data_UitloopschaalTijd361</vt:lpstr>
      <vt:lpstr>Data_UitloopschaalTijd362</vt:lpstr>
      <vt:lpstr>Data_UitloopschaalTijd363</vt:lpstr>
      <vt:lpstr>Data_UitloopschaalTijd364</vt:lpstr>
      <vt:lpstr>Data_UitloopschaalTijd365</vt:lpstr>
      <vt:lpstr>Data_UitloopschaalTijd366</vt:lpstr>
      <vt:lpstr>Data_UitloopschaalTijd367</vt:lpstr>
      <vt:lpstr>Data_UitloopschaalTijd368</vt:lpstr>
      <vt:lpstr>Data_UitloopschaalTijd369</vt:lpstr>
      <vt:lpstr>Data_UitloopschaalTijd370</vt:lpstr>
      <vt:lpstr>Data_UitloopschaalTijd371</vt:lpstr>
      <vt:lpstr>Data_UitloopschaalTijd372</vt:lpstr>
      <vt:lpstr>Data_UitloopschaalTijd373</vt:lpstr>
      <vt:lpstr>Data_UitloopschaalTijd374</vt:lpstr>
      <vt:lpstr>Data_UitloopschaalTijd375</vt:lpstr>
      <vt:lpstr>Data_UitloopschaalTijd376</vt:lpstr>
      <vt:lpstr>Data_UitloopschaalTijd377</vt:lpstr>
      <vt:lpstr>Data_UitloopschaalTijd378</vt:lpstr>
      <vt:lpstr>Data_UitloopschaalTijd379</vt:lpstr>
      <vt:lpstr>Data_UitloopschaalTijd380</vt:lpstr>
      <vt:lpstr>Data_UitloopschaalTijd381</vt:lpstr>
      <vt:lpstr>Data_UitloopschaalTijd382</vt:lpstr>
      <vt:lpstr>Data_UitloopschaalTijd383</vt:lpstr>
      <vt:lpstr>Data_UitloopschaalTijd384</vt:lpstr>
      <vt:lpstr>Data_UitloopschaalTijd385</vt:lpstr>
      <vt:lpstr>Data_UitloopschaalTijd386</vt:lpstr>
      <vt:lpstr>Data_UitloopschaalTijd387</vt:lpstr>
      <vt:lpstr>Data_UitloopschaalTijd388</vt:lpstr>
      <vt:lpstr>Data_UitloopschaalTijd389</vt:lpstr>
      <vt:lpstr>Data_UitloopschaalTijd390</vt:lpstr>
      <vt:lpstr>Data_UitloopschaalTijd391</vt:lpstr>
      <vt:lpstr>Data_UitloopschaalTijd392</vt:lpstr>
      <vt:lpstr>Data_UitloopschaalTijd393</vt:lpstr>
      <vt:lpstr>Data_UitloopschaalTijd394</vt:lpstr>
      <vt:lpstr>Data_UitloopschaalTijd395</vt:lpstr>
      <vt:lpstr>Data_UitloopschaalTijd396</vt:lpstr>
      <vt:lpstr>Data_UitloopschaalTijd397</vt:lpstr>
      <vt:lpstr>Data_UitloopschaalTijd398</vt:lpstr>
      <vt:lpstr>Data_UitloopschaalTijd399</vt:lpstr>
      <vt:lpstr>Data_UitloopschaalTijd400</vt:lpstr>
      <vt:lpstr>Data_UitloopschaalTijd401</vt:lpstr>
      <vt:lpstr>Data_UitloopschaalTijd402</vt:lpstr>
      <vt:lpstr>Data_UitloopschaalTijd403</vt:lpstr>
      <vt:lpstr>Data_UitloopschaalTijd404</vt:lpstr>
      <vt:lpstr>Data_UitloopschaalTijd405</vt:lpstr>
      <vt:lpstr>Data_UitloopschaalTijd406</vt:lpstr>
      <vt:lpstr>Data_UitloopschaalTijd407</vt:lpstr>
      <vt:lpstr>Data_UitloopschaalTijd408</vt:lpstr>
      <vt:lpstr>Data_UitloopschaalTijd409</vt:lpstr>
      <vt:lpstr>Data_UitloopschaalTijd410</vt:lpstr>
      <vt:lpstr>Data_UitloopschaalTijd411</vt:lpstr>
      <vt:lpstr>Data_UitloopschaalTijd412</vt:lpstr>
      <vt:lpstr>Data_UitloopschaalTijd413</vt:lpstr>
      <vt:lpstr>Data_UitloopschaalTijd414</vt:lpstr>
      <vt:lpstr>Data_UitloopschaalTijd415</vt:lpstr>
      <vt:lpstr>Data_UitloopschaalTijd416</vt:lpstr>
      <vt:lpstr>Data_UitloopschaalTijd417</vt:lpstr>
      <vt:lpstr>Data_UitloopschaalTijd418</vt:lpstr>
      <vt:lpstr>Data_UitloopschaalTijd419</vt:lpstr>
      <vt:lpstr>Data_UitloopschaalTijd420</vt:lpstr>
      <vt:lpstr>Data_UitloopschaalTijd421</vt:lpstr>
      <vt:lpstr>Data_UitloopschaalTijd422</vt:lpstr>
      <vt:lpstr>Data_UitloopschaalTijd423</vt:lpstr>
      <vt:lpstr>Data_UitloopschaalTijd424</vt:lpstr>
      <vt:lpstr>Data_UitloopschaalTijd425</vt:lpstr>
      <vt:lpstr>Data_UitloopschaalTijd426</vt:lpstr>
      <vt:lpstr>Data_UitloopschaalTijd427</vt:lpstr>
      <vt:lpstr>Data_UitloopschaalTijd428</vt:lpstr>
      <vt:lpstr>Data_UitloopschaalTijd429</vt:lpstr>
      <vt:lpstr>Data_UitloopschaalTijd430</vt:lpstr>
      <vt:lpstr>Data_UitloopschaalTijd431</vt:lpstr>
      <vt:lpstr>Data_UitloopschaalTijd432</vt:lpstr>
      <vt:lpstr>Data_UitloopschaalTijd433</vt:lpstr>
      <vt:lpstr>Data_UitloopschaalTijd434</vt:lpstr>
      <vt:lpstr>Data_UitloopschaalTijd435</vt:lpstr>
      <vt:lpstr>Data_UitloopschaalTijd436</vt:lpstr>
      <vt:lpstr>Data_UitloopschaalTijd437</vt:lpstr>
      <vt:lpstr>Data_UitloopschaalTijd438</vt:lpstr>
      <vt:lpstr>Data_UitloopschaalTijd439</vt:lpstr>
      <vt:lpstr>Data_UitloopschaalTijd440</vt:lpstr>
      <vt:lpstr>Data_UitloopschaalTijd441</vt:lpstr>
      <vt:lpstr>Data_UitloopschaalTijd442</vt:lpstr>
      <vt:lpstr>Data_UitloopschaalTijd443</vt:lpstr>
      <vt:lpstr>Data_UitloopschaalTijd444</vt:lpstr>
      <vt:lpstr>Data_UitloopschaalTijd445</vt:lpstr>
      <vt:lpstr>Data_UitloopschaalTijd446</vt:lpstr>
      <vt:lpstr>Data_UitloopschaalTijd447</vt:lpstr>
      <vt:lpstr>Data_UitloopschaalTijd448</vt:lpstr>
      <vt:lpstr>Data_UitloopschaalTijd449</vt:lpstr>
      <vt:lpstr>Data_UitloopschaalTijd450</vt:lpstr>
      <vt:lpstr>Data_UitloopschaalTijd451</vt:lpstr>
      <vt:lpstr>Data_UitloopschaalTijd452</vt:lpstr>
      <vt:lpstr>Data_UitloopschaalTijd453</vt:lpstr>
      <vt:lpstr>Data_UitloopschaalTijd454</vt:lpstr>
      <vt:lpstr>Data_UitloopschaalTijd455</vt:lpstr>
      <vt:lpstr>Data_UitloopschaalTijd456</vt:lpstr>
      <vt:lpstr>Data_UitloopschaalTijd457</vt:lpstr>
      <vt:lpstr>Data_UitloopschaalTijd458</vt:lpstr>
      <vt:lpstr>Data_UitloopschaalTijd459</vt:lpstr>
      <vt:lpstr>Data_UitloopschaalTijd460</vt:lpstr>
      <vt:lpstr>Data_UitloopschaalTijd461</vt:lpstr>
      <vt:lpstr>Data_UitloopschaalTijd462</vt:lpstr>
      <vt:lpstr>Data_UitloopschaalTijd463</vt:lpstr>
      <vt:lpstr>Data_UitloopschaalTijd464</vt:lpstr>
      <vt:lpstr>Data_UitloopschaalTijd465</vt:lpstr>
      <vt:lpstr>Data_UitloopschaalTijd466</vt:lpstr>
      <vt:lpstr>Data_UitloopschaalTijd467</vt:lpstr>
      <vt:lpstr>Data_UitloopschaalTijd468</vt:lpstr>
      <vt:lpstr>Data_UitloopschaalTijd469</vt:lpstr>
      <vt:lpstr>Data_UitloopschaalTijd470</vt:lpstr>
      <vt:lpstr>Data_UitloopschaalTijd471</vt:lpstr>
      <vt:lpstr>Data_UitloopschaalTijd472</vt:lpstr>
      <vt:lpstr>Data_UitloopschaalTijd473</vt:lpstr>
      <vt:lpstr>Data_UitloopschaalTijd474</vt:lpstr>
      <vt:lpstr>Data_UitloopschaalTijd475</vt:lpstr>
      <vt:lpstr>Data_UitloopschaalTijd476</vt:lpstr>
      <vt:lpstr>Data_UitloopschaalTijd477</vt:lpstr>
      <vt:lpstr>Data_UitloopschaalTijd478</vt:lpstr>
      <vt:lpstr>Data_UitloopschaalTijd479</vt:lpstr>
      <vt:lpstr>Data_UitloopschaalTijd480</vt:lpstr>
      <vt:lpstr>Data_UitloopschaalTijd481</vt:lpstr>
      <vt:lpstr>Data_UitloopschaalTijd482</vt:lpstr>
      <vt:lpstr>Data_UitloopschaalTijd483</vt:lpstr>
      <vt:lpstr>Data_UitloopschaalTijd484</vt:lpstr>
      <vt:lpstr>Data_UitloopschaalTijd485</vt:lpstr>
      <vt:lpstr>Data_UitloopschaalTijd486</vt:lpstr>
      <vt:lpstr>Data_UitloopschaalTijd487</vt:lpstr>
      <vt:lpstr>Data_UitloopschaalTijd488</vt:lpstr>
      <vt:lpstr>Data_UitloopschaalTijd489</vt:lpstr>
      <vt:lpstr>Data_UitloopschaalTijd490</vt:lpstr>
      <vt:lpstr>Data_UitloopschaalTijd491</vt:lpstr>
      <vt:lpstr>Data_UitloopschaalTijd492</vt:lpstr>
      <vt:lpstr>Data_UitloopschaalTijd493</vt:lpstr>
      <vt:lpstr>Data_UitloopschaalTijd494</vt:lpstr>
      <vt:lpstr>Data_UitloopschaalTijd495</vt:lpstr>
      <vt:lpstr>Data_UitloopschaalTijd496</vt:lpstr>
      <vt:lpstr>Data_UitloopschaalTijd497</vt:lpstr>
      <vt:lpstr>Data_UitloopschaalTijd498</vt:lpstr>
      <vt:lpstr>Data_UitloopschaalTijd499</vt:lpstr>
      <vt:lpstr>Data_UitloopschaalTijd500</vt:lpstr>
      <vt:lpstr>Data_UitloopschaalVastOntslag001</vt:lpstr>
      <vt:lpstr>Data_UitloopschaalVastOntslag002</vt:lpstr>
      <vt:lpstr>Data_UitloopschaalVastOntslag003</vt:lpstr>
      <vt:lpstr>Data_UitloopschaalVastOntslag004</vt:lpstr>
      <vt:lpstr>Data_UitloopschaalVastOntslag005</vt:lpstr>
      <vt:lpstr>Data_UitloopschaalVastOntslag006</vt:lpstr>
      <vt:lpstr>Data_UitloopschaalVastOntslag007</vt:lpstr>
      <vt:lpstr>Data_UitloopschaalVastOntslag008</vt:lpstr>
      <vt:lpstr>Data_UitloopschaalVastOntslag009</vt:lpstr>
      <vt:lpstr>Data_UitloopschaalVastOntslag010</vt:lpstr>
      <vt:lpstr>Data_UitloopschaalVastOntslag011</vt:lpstr>
      <vt:lpstr>Data_UitloopschaalVastOntslag012</vt:lpstr>
      <vt:lpstr>Data_UitloopschaalVastOntslag013</vt:lpstr>
      <vt:lpstr>Data_UitloopschaalVastOntslag014</vt:lpstr>
      <vt:lpstr>Data_UitloopschaalVastOntslag015</vt:lpstr>
      <vt:lpstr>Data_UitloopschaalVastOntslag016</vt:lpstr>
      <vt:lpstr>Data_UitloopschaalVastOntslag017</vt:lpstr>
      <vt:lpstr>Data_UitloopschaalVastOntslag018</vt:lpstr>
      <vt:lpstr>Data_UitloopschaalVastOntslag019</vt:lpstr>
      <vt:lpstr>Data_UitloopschaalVastOntslag020</vt:lpstr>
      <vt:lpstr>Data_UitloopschaalVastOntslag021</vt:lpstr>
      <vt:lpstr>Data_UitloopschaalVastOntslag022</vt:lpstr>
      <vt:lpstr>Data_UitloopschaalVastOntslag023</vt:lpstr>
      <vt:lpstr>Data_UitloopschaalVastOntslag024</vt:lpstr>
      <vt:lpstr>Data_UitloopschaalVastOntslag025</vt:lpstr>
      <vt:lpstr>Data_UitloopschaalVastOntslag026</vt:lpstr>
      <vt:lpstr>Data_UitloopschaalVastOntslag027</vt:lpstr>
      <vt:lpstr>Data_UitloopschaalVastOntslag028</vt:lpstr>
      <vt:lpstr>Data_UitloopschaalVastOntslag029</vt:lpstr>
      <vt:lpstr>Data_UitloopschaalVastOntslag030</vt:lpstr>
      <vt:lpstr>Data_UitloopschaalVastOntslag031</vt:lpstr>
      <vt:lpstr>Data_UitloopschaalVastOntslag032</vt:lpstr>
      <vt:lpstr>Data_UitloopschaalVastOntslag033</vt:lpstr>
      <vt:lpstr>Data_UitloopschaalVastOntslag034</vt:lpstr>
      <vt:lpstr>Data_UitloopschaalVastOntslag035</vt:lpstr>
      <vt:lpstr>Data_UitloopschaalVastOntslag036</vt:lpstr>
      <vt:lpstr>Data_UitloopschaalVastOntslag037</vt:lpstr>
      <vt:lpstr>Data_UitloopschaalVastOntslag038</vt:lpstr>
      <vt:lpstr>Data_UitloopschaalVastOntslag039</vt:lpstr>
      <vt:lpstr>Data_UitloopschaalVastOntslag040</vt:lpstr>
      <vt:lpstr>Data_UitloopschaalVastOntslag041</vt:lpstr>
      <vt:lpstr>Data_UitloopschaalVastOntslag042</vt:lpstr>
      <vt:lpstr>Data_UitloopschaalVastOntslag043</vt:lpstr>
      <vt:lpstr>Data_UitloopschaalVastOntslag044</vt:lpstr>
      <vt:lpstr>Data_UitloopschaalVastOntslag045</vt:lpstr>
      <vt:lpstr>Data_UitloopschaalVastOntslag046</vt:lpstr>
      <vt:lpstr>Data_UitloopschaalVastOntslag047</vt:lpstr>
      <vt:lpstr>Data_UitloopschaalVastOntslag048</vt:lpstr>
      <vt:lpstr>Data_UitloopschaalVastOntslag049</vt:lpstr>
      <vt:lpstr>Data_UitloopschaalVastOntslag050</vt:lpstr>
      <vt:lpstr>Data_UitloopschaalVastOntslag051</vt:lpstr>
      <vt:lpstr>Data_UitloopschaalVastOntslag052</vt:lpstr>
      <vt:lpstr>Data_UitloopschaalVastOntslag053</vt:lpstr>
      <vt:lpstr>Data_UitloopschaalVastOntslag054</vt:lpstr>
      <vt:lpstr>Data_UitloopschaalVastOntslag055</vt:lpstr>
      <vt:lpstr>Data_UitloopschaalVastOntslag056</vt:lpstr>
      <vt:lpstr>Data_UitloopschaalVastOntslag057</vt:lpstr>
      <vt:lpstr>Data_UitloopschaalVastOntslag058</vt:lpstr>
      <vt:lpstr>Data_UitloopschaalVastOntslag059</vt:lpstr>
      <vt:lpstr>Data_UitloopschaalVastOntslag060</vt:lpstr>
      <vt:lpstr>Data_UitloopschaalVastOntslag061</vt:lpstr>
      <vt:lpstr>Data_UitloopschaalVastOntslag062</vt:lpstr>
      <vt:lpstr>Data_UitloopschaalVastOntslag063</vt:lpstr>
      <vt:lpstr>Data_UitloopschaalVastOntslag064</vt:lpstr>
      <vt:lpstr>Data_UitloopschaalVastOntslag065</vt:lpstr>
      <vt:lpstr>Data_UitloopschaalVastOntslag066</vt:lpstr>
      <vt:lpstr>Data_UitloopschaalVastOntslag067</vt:lpstr>
      <vt:lpstr>Data_UitloopschaalVastOntslag068</vt:lpstr>
      <vt:lpstr>Data_UitloopschaalVastOntslag069</vt:lpstr>
      <vt:lpstr>Data_UitloopschaalVastOntslag070</vt:lpstr>
      <vt:lpstr>Data_UitloopschaalVastOntslag071</vt:lpstr>
      <vt:lpstr>Data_UitloopschaalVastOntslag072</vt:lpstr>
      <vt:lpstr>Data_UitloopschaalVastOntslag073</vt:lpstr>
      <vt:lpstr>Data_UitloopschaalVastOntslag074</vt:lpstr>
      <vt:lpstr>Data_UitloopschaalVastOntslag075</vt:lpstr>
      <vt:lpstr>Data_UitloopschaalVastOntslag076</vt:lpstr>
      <vt:lpstr>Data_UitloopschaalVastOntslag077</vt:lpstr>
      <vt:lpstr>Data_UitloopschaalVastOntslag078</vt:lpstr>
      <vt:lpstr>Data_UitloopschaalVastOntslag079</vt:lpstr>
      <vt:lpstr>Data_UitloopschaalVastOntslag080</vt:lpstr>
      <vt:lpstr>Data_UitloopschaalVastOntslag081</vt:lpstr>
      <vt:lpstr>Data_UitloopschaalVastOntslag082</vt:lpstr>
      <vt:lpstr>Data_UitloopschaalVastOntslag083</vt:lpstr>
      <vt:lpstr>Data_UitloopschaalVastOntslag084</vt:lpstr>
      <vt:lpstr>Data_UitloopschaalVastOntslag085</vt:lpstr>
      <vt:lpstr>Data_UitloopschaalVastOntslag086</vt:lpstr>
      <vt:lpstr>Data_UitloopschaalVastOntslag087</vt:lpstr>
      <vt:lpstr>Data_UitloopschaalVastOntslag088</vt:lpstr>
      <vt:lpstr>Data_UitloopschaalVastOntslag089</vt:lpstr>
      <vt:lpstr>Data_UitloopschaalVastOntslag090</vt:lpstr>
      <vt:lpstr>Data_UitloopschaalVastOntslag091</vt:lpstr>
      <vt:lpstr>Data_UitloopschaalVastOntslag092</vt:lpstr>
      <vt:lpstr>Data_UitloopschaalVastOntslag093</vt:lpstr>
      <vt:lpstr>Data_UitloopschaalVastOntslag094</vt:lpstr>
      <vt:lpstr>Data_UitloopschaalVastOntslag095</vt:lpstr>
      <vt:lpstr>Data_UitloopschaalVastOntslag096</vt:lpstr>
      <vt:lpstr>Data_UitloopschaalVastOntslag097</vt:lpstr>
      <vt:lpstr>Data_UitloopschaalVastOntslag098</vt:lpstr>
      <vt:lpstr>Data_UitloopschaalVastOntslag099</vt:lpstr>
      <vt:lpstr>Data_UitloopschaalVastOntslag100</vt:lpstr>
      <vt:lpstr>Data_UitloopschaalVastOntslag101</vt:lpstr>
      <vt:lpstr>Data_UitloopschaalVastOntslag102</vt:lpstr>
      <vt:lpstr>Data_UitloopschaalVastOntslag103</vt:lpstr>
      <vt:lpstr>Data_UitloopschaalVastOntslag104</vt:lpstr>
      <vt:lpstr>Data_UitloopschaalVastOntslag105</vt:lpstr>
      <vt:lpstr>Data_UitloopschaalVastOntslag106</vt:lpstr>
      <vt:lpstr>Data_UitloopschaalVastOntslag107</vt:lpstr>
      <vt:lpstr>Data_UitloopschaalVastOntslag108</vt:lpstr>
      <vt:lpstr>Data_UitloopschaalVastOntslag109</vt:lpstr>
      <vt:lpstr>Data_UitloopschaalVastOntslag110</vt:lpstr>
      <vt:lpstr>Data_UitloopschaalVastOntslag111</vt:lpstr>
      <vt:lpstr>Data_UitloopschaalVastOntslag112</vt:lpstr>
      <vt:lpstr>Data_UitloopschaalVastOntslag113</vt:lpstr>
      <vt:lpstr>Data_UitloopschaalVastOntslag114</vt:lpstr>
      <vt:lpstr>Data_UitloopschaalVastOntslag115</vt:lpstr>
      <vt:lpstr>Data_UitloopschaalVastOntslag116</vt:lpstr>
      <vt:lpstr>Data_UitloopschaalVastOntslag117</vt:lpstr>
      <vt:lpstr>Data_UitloopschaalVastOntslag118</vt:lpstr>
      <vt:lpstr>Data_UitloopschaalVastOntslag119</vt:lpstr>
      <vt:lpstr>Data_UitloopschaalVastOntslag120</vt:lpstr>
      <vt:lpstr>Data_UitloopschaalVastOntslag121</vt:lpstr>
      <vt:lpstr>Data_UitloopschaalVastOntslag122</vt:lpstr>
      <vt:lpstr>Data_UitloopschaalVastOntslag123</vt:lpstr>
      <vt:lpstr>Data_UitloopschaalVastOntslag124</vt:lpstr>
      <vt:lpstr>Data_UitloopschaalVastOntslag125</vt:lpstr>
      <vt:lpstr>Data_UitloopschaalVastOntslag126</vt:lpstr>
      <vt:lpstr>Data_UitloopschaalVastOntslag127</vt:lpstr>
      <vt:lpstr>Data_UitloopschaalVastOntslag128</vt:lpstr>
      <vt:lpstr>Data_UitloopschaalVastOntslag129</vt:lpstr>
      <vt:lpstr>Data_UitloopschaalVastOntslag130</vt:lpstr>
      <vt:lpstr>Data_UitloopschaalVastOntslag131</vt:lpstr>
      <vt:lpstr>Data_UitloopschaalVastOntslag132</vt:lpstr>
      <vt:lpstr>Data_UitloopschaalVastOntslag133</vt:lpstr>
      <vt:lpstr>Data_UitloopschaalVastOntslag134</vt:lpstr>
      <vt:lpstr>Data_UitloopschaalVastOntslag135</vt:lpstr>
      <vt:lpstr>Data_UitloopschaalVastOntslag136</vt:lpstr>
      <vt:lpstr>Data_UitloopschaalVastOntslag137</vt:lpstr>
      <vt:lpstr>Data_UitloopschaalVastOntslag138</vt:lpstr>
      <vt:lpstr>Data_UitloopschaalVastOntslag139</vt:lpstr>
      <vt:lpstr>Data_UitloopschaalVastOntslag140</vt:lpstr>
      <vt:lpstr>Data_UitloopschaalVastOntslag141</vt:lpstr>
      <vt:lpstr>Data_UitloopschaalVastOntslag142</vt:lpstr>
      <vt:lpstr>Data_UitloopschaalVastOntslag143</vt:lpstr>
      <vt:lpstr>Data_UitloopschaalVastOntslag144</vt:lpstr>
      <vt:lpstr>Data_UitloopschaalVastOntslag145</vt:lpstr>
      <vt:lpstr>Data_UitloopschaalVastOntslag146</vt:lpstr>
      <vt:lpstr>Data_UitloopschaalVastOntslag147</vt:lpstr>
      <vt:lpstr>Data_UitloopschaalVastOntslag148</vt:lpstr>
      <vt:lpstr>Data_UitloopschaalVastOntslag149</vt:lpstr>
      <vt:lpstr>Data_UitloopschaalVastOntslag150</vt:lpstr>
      <vt:lpstr>Data_UitloopschaalVastOntslag151</vt:lpstr>
      <vt:lpstr>Data_UitloopschaalVastOntslag152</vt:lpstr>
      <vt:lpstr>Data_UitloopschaalVastOntslag153</vt:lpstr>
      <vt:lpstr>Data_UitloopschaalVastOntslag154</vt:lpstr>
      <vt:lpstr>Data_UitloopschaalVastOntslag155</vt:lpstr>
      <vt:lpstr>Data_UitloopschaalVastOntslag156</vt:lpstr>
      <vt:lpstr>Data_UitloopschaalVastOntslag157</vt:lpstr>
      <vt:lpstr>Data_UitloopschaalVastOntslag158</vt:lpstr>
      <vt:lpstr>Data_UitloopschaalVastOntslag159</vt:lpstr>
      <vt:lpstr>Data_UitloopschaalVastOntslag160</vt:lpstr>
      <vt:lpstr>Data_UitloopschaalVastOntslag161</vt:lpstr>
      <vt:lpstr>Data_UitloopschaalVastOntslag162</vt:lpstr>
      <vt:lpstr>Data_UitloopschaalVastOntslag163</vt:lpstr>
      <vt:lpstr>Data_UitloopschaalVastOntslag164</vt:lpstr>
      <vt:lpstr>Data_UitloopschaalVastOntslag165</vt:lpstr>
      <vt:lpstr>Data_UitloopschaalVastOntslag166</vt:lpstr>
      <vt:lpstr>Data_UitloopschaalVastOntslag167</vt:lpstr>
      <vt:lpstr>Data_UitloopschaalVastOntslag168</vt:lpstr>
      <vt:lpstr>Data_UitloopschaalVastOntslag169</vt:lpstr>
      <vt:lpstr>Data_UitloopschaalVastOntslag170</vt:lpstr>
      <vt:lpstr>Data_UitloopschaalVastOntslag171</vt:lpstr>
      <vt:lpstr>Data_UitloopschaalVastOntslag172</vt:lpstr>
      <vt:lpstr>Data_UitloopschaalVastOntslag173</vt:lpstr>
      <vt:lpstr>Data_UitloopschaalVastOntslag174</vt:lpstr>
      <vt:lpstr>Data_UitloopschaalVastOntslag175</vt:lpstr>
      <vt:lpstr>Data_UitloopschaalVastOntslag176</vt:lpstr>
      <vt:lpstr>Data_UitloopschaalVastOntslag177</vt:lpstr>
      <vt:lpstr>Data_UitloopschaalVastOntslag178</vt:lpstr>
      <vt:lpstr>Data_UitloopschaalVastOntslag179</vt:lpstr>
      <vt:lpstr>Data_UitloopschaalVastOntslag180</vt:lpstr>
      <vt:lpstr>Data_UitloopschaalVastOntslag181</vt:lpstr>
      <vt:lpstr>Data_UitloopschaalVastOntslag182</vt:lpstr>
      <vt:lpstr>Data_UitloopschaalVastOntslag183</vt:lpstr>
      <vt:lpstr>Data_UitloopschaalVastOntslag184</vt:lpstr>
      <vt:lpstr>Data_UitloopschaalVastOntslag185</vt:lpstr>
      <vt:lpstr>Data_UitloopschaalVastOntslag186</vt:lpstr>
      <vt:lpstr>Data_UitloopschaalVastOntslag187</vt:lpstr>
      <vt:lpstr>Data_UitloopschaalVastOntslag188</vt:lpstr>
      <vt:lpstr>Data_UitloopschaalVastOntslag189</vt:lpstr>
      <vt:lpstr>Data_UitloopschaalVastOntslag190</vt:lpstr>
      <vt:lpstr>Data_UitloopschaalVastOntslag191</vt:lpstr>
      <vt:lpstr>Data_UitloopschaalVastOntslag192</vt:lpstr>
      <vt:lpstr>Data_UitloopschaalVastOntslag193</vt:lpstr>
      <vt:lpstr>Data_UitloopschaalVastOntslag194</vt:lpstr>
      <vt:lpstr>Data_UitloopschaalVastOntslag195</vt:lpstr>
      <vt:lpstr>Data_UitloopschaalVastOntslag196</vt:lpstr>
      <vt:lpstr>Data_UitloopschaalVastOntslag197</vt:lpstr>
      <vt:lpstr>Data_UitloopschaalVastOntslag198</vt:lpstr>
      <vt:lpstr>Data_UitloopschaalVastOntslag199</vt:lpstr>
      <vt:lpstr>Data_UitloopschaalVastOntslag200</vt:lpstr>
      <vt:lpstr>Data_UitloopschaalVastOntslag201</vt:lpstr>
      <vt:lpstr>Data_UitloopschaalVastOntslag202</vt:lpstr>
      <vt:lpstr>Data_UitloopschaalVastOntslag203</vt:lpstr>
      <vt:lpstr>Data_UitloopschaalVastOntslag204</vt:lpstr>
      <vt:lpstr>Data_UitloopschaalVastOntslag205</vt:lpstr>
      <vt:lpstr>Data_UitloopschaalVastOntslag206</vt:lpstr>
      <vt:lpstr>Data_UitloopschaalVastOntslag207</vt:lpstr>
      <vt:lpstr>Data_UitloopschaalVastOntslag208</vt:lpstr>
      <vt:lpstr>Data_UitloopschaalVastOntslag209</vt:lpstr>
      <vt:lpstr>Data_UitloopschaalVastOntslag210</vt:lpstr>
      <vt:lpstr>Data_UitloopschaalVastOntslag211</vt:lpstr>
      <vt:lpstr>Data_UitloopschaalVastOntslag212</vt:lpstr>
      <vt:lpstr>Data_UitloopschaalVastOntslag213</vt:lpstr>
      <vt:lpstr>Data_UitloopschaalVastOntslag214</vt:lpstr>
      <vt:lpstr>Data_UitloopschaalVastOntslag215</vt:lpstr>
      <vt:lpstr>Data_UitloopschaalVastOntslag216</vt:lpstr>
      <vt:lpstr>Data_UitloopschaalVastOntslag217</vt:lpstr>
      <vt:lpstr>Data_UitloopschaalVastOntslag218</vt:lpstr>
      <vt:lpstr>Data_UitloopschaalVastOntslag219</vt:lpstr>
      <vt:lpstr>Data_UitloopschaalVastOntslag220</vt:lpstr>
      <vt:lpstr>Data_UitloopschaalVastOntslag221</vt:lpstr>
      <vt:lpstr>Data_UitloopschaalVastOntslag222</vt:lpstr>
      <vt:lpstr>Data_UitloopschaalVastOntslag223</vt:lpstr>
      <vt:lpstr>Data_UitloopschaalVastOntslag224</vt:lpstr>
      <vt:lpstr>Data_UitloopschaalVastOntslag225</vt:lpstr>
      <vt:lpstr>Data_UitloopschaalVastOntslag226</vt:lpstr>
      <vt:lpstr>Data_UitloopschaalVastOntslag227</vt:lpstr>
      <vt:lpstr>Data_UitloopschaalVastOntslag228</vt:lpstr>
      <vt:lpstr>Data_UitloopschaalVastOntslag229</vt:lpstr>
      <vt:lpstr>Data_UitloopschaalVastOntslag230</vt:lpstr>
      <vt:lpstr>Data_UitloopschaalVastOntslag231</vt:lpstr>
      <vt:lpstr>Data_UitloopschaalVastOntslag232</vt:lpstr>
      <vt:lpstr>Data_UitloopschaalVastOntslag233</vt:lpstr>
      <vt:lpstr>Data_UitloopschaalVastOntslag234</vt:lpstr>
      <vt:lpstr>Data_UitloopschaalVastOntslag235</vt:lpstr>
      <vt:lpstr>Data_UitloopschaalVastOntslag236</vt:lpstr>
      <vt:lpstr>Data_UitloopschaalVastOntslag237</vt:lpstr>
      <vt:lpstr>Data_UitloopschaalVastOntslag238</vt:lpstr>
      <vt:lpstr>Data_UitloopschaalVastOntslag239</vt:lpstr>
      <vt:lpstr>Data_UitloopschaalVastOntslag240</vt:lpstr>
      <vt:lpstr>Data_UitloopschaalVastOntslag241</vt:lpstr>
      <vt:lpstr>Data_UitloopschaalVastOntslag242</vt:lpstr>
      <vt:lpstr>Data_UitloopschaalVastOntslag243</vt:lpstr>
      <vt:lpstr>Data_UitloopschaalVastOntslag244</vt:lpstr>
      <vt:lpstr>Data_UitloopschaalVastOntslag245</vt:lpstr>
      <vt:lpstr>Data_UitloopschaalVastOntslag246</vt:lpstr>
      <vt:lpstr>Data_UitloopschaalVastOntslag247</vt:lpstr>
      <vt:lpstr>Data_UitloopschaalVastOntslag248</vt:lpstr>
      <vt:lpstr>Data_UitloopschaalVastOntslag249</vt:lpstr>
      <vt:lpstr>Data_UitloopschaalVastOntslag250</vt:lpstr>
      <vt:lpstr>Data_UitloopschaalVastOntslag251</vt:lpstr>
      <vt:lpstr>Data_UitloopschaalVastOntslag252</vt:lpstr>
      <vt:lpstr>Data_UitloopschaalVastOntslag253</vt:lpstr>
      <vt:lpstr>Data_UitloopschaalVastOntslag254</vt:lpstr>
      <vt:lpstr>Data_UitloopschaalVastOntslag255</vt:lpstr>
      <vt:lpstr>Data_UitloopschaalVastOntslag256</vt:lpstr>
      <vt:lpstr>Data_UitloopschaalVastOntslag257</vt:lpstr>
      <vt:lpstr>Data_UitloopschaalVastOntslag258</vt:lpstr>
      <vt:lpstr>Data_UitloopschaalVastOntslag259</vt:lpstr>
      <vt:lpstr>Data_UitloopschaalVastOntslag260</vt:lpstr>
      <vt:lpstr>Data_UitloopschaalVastOntslag261</vt:lpstr>
      <vt:lpstr>Data_UitloopschaalVastOntslag262</vt:lpstr>
      <vt:lpstr>Data_UitloopschaalVastOntslag263</vt:lpstr>
      <vt:lpstr>Data_UitloopschaalVastOntslag264</vt:lpstr>
      <vt:lpstr>Data_UitloopschaalVastOntslag265</vt:lpstr>
      <vt:lpstr>Data_UitloopschaalVastOntslag266</vt:lpstr>
      <vt:lpstr>Data_UitloopschaalVastOntslag267</vt:lpstr>
      <vt:lpstr>Data_UitloopschaalVastOntslag268</vt:lpstr>
      <vt:lpstr>Data_UitloopschaalVastOntslag269</vt:lpstr>
      <vt:lpstr>Data_UitloopschaalVastOntslag270</vt:lpstr>
      <vt:lpstr>Data_UitloopschaalVastOntslag271</vt:lpstr>
      <vt:lpstr>Data_UitloopschaalVastOntslag272</vt:lpstr>
      <vt:lpstr>Data_UitloopschaalVastOntslag273</vt:lpstr>
      <vt:lpstr>Data_UitloopschaalVastOntslag274</vt:lpstr>
      <vt:lpstr>Data_UitloopschaalVastOntslag275</vt:lpstr>
      <vt:lpstr>Data_UitloopschaalVastOntslag276</vt:lpstr>
      <vt:lpstr>Data_UitloopschaalVastOntslag277</vt:lpstr>
      <vt:lpstr>Data_UitloopschaalVastOntslag278</vt:lpstr>
      <vt:lpstr>Data_UitloopschaalVastOntslag279</vt:lpstr>
      <vt:lpstr>Data_UitloopschaalVastOntslag280</vt:lpstr>
      <vt:lpstr>Data_UitloopschaalVastOntslag281</vt:lpstr>
      <vt:lpstr>Data_UitloopschaalVastOntslag282</vt:lpstr>
      <vt:lpstr>Data_UitloopschaalVastOntslag283</vt:lpstr>
      <vt:lpstr>Data_UitloopschaalVastOntslag284</vt:lpstr>
      <vt:lpstr>Data_UitloopschaalVastOntslag285</vt:lpstr>
      <vt:lpstr>Data_UitloopschaalVastOntslag286</vt:lpstr>
      <vt:lpstr>Data_UitloopschaalVastOntslag287</vt:lpstr>
      <vt:lpstr>Data_UitloopschaalVastOntslag288</vt:lpstr>
      <vt:lpstr>Data_UitloopschaalVastOntslag289</vt:lpstr>
      <vt:lpstr>Data_UitloopschaalVastOntslag290</vt:lpstr>
      <vt:lpstr>Data_UitloopschaalVastOntslag291</vt:lpstr>
      <vt:lpstr>Data_UitloopschaalVastOntslag292</vt:lpstr>
      <vt:lpstr>Data_UitloopschaalVastOntslag293</vt:lpstr>
      <vt:lpstr>Data_UitloopschaalVastOntslag294</vt:lpstr>
      <vt:lpstr>Data_UitloopschaalVastOntslag295</vt:lpstr>
      <vt:lpstr>Data_UitloopschaalVastOntslag296</vt:lpstr>
      <vt:lpstr>Data_UitloopschaalVastOntslag297</vt:lpstr>
      <vt:lpstr>Data_UitloopschaalVastOntslag298</vt:lpstr>
      <vt:lpstr>Data_UitloopschaalVastOntslag299</vt:lpstr>
      <vt:lpstr>Data_UitloopschaalVastOntslag300</vt:lpstr>
      <vt:lpstr>Data_UitloopschaalVastOntslag301</vt:lpstr>
      <vt:lpstr>Data_UitloopschaalVastOntslag302</vt:lpstr>
      <vt:lpstr>Data_UitloopschaalVastOntslag303</vt:lpstr>
      <vt:lpstr>Data_UitloopschaalVastOntslag304</vt:lpstr>
      <vt:lpstr>Data_UitloopschaalVastOntslag305</vt:lpstr>
      <vt:lpstr>Data_UitloopschaalVastOntslag306</vt:lpstr>
      <vt:lpstr>Data_UitloopschaalVastOntslag307</vt:lpstr>
      <vt:lpstr>Data_UitloopschaalVastOntslag308</vt:lpstr>
      <vt:lpstr>Data_UitloopschaalVastOntslag309</vt:lpstr>
      <vt:lpstr>Data_UitloopschaalVastOntslag310</vt:lpstr>
      <vt:lpstr>Data_UitloopschaalVastOntslag311</vt:lpstr>
      <vt:lpstr>Data_UitloopschaalVastOntslag312</vt:lpstr>
      <vt:lpstr>Data_UitloopschaalVastOntslag313</vt:lpstr>
      <vt:lpstr>Data_UitloopschaalVastOntslag314</vt:lpstr>
      <vt:lpstr>Data_UitloopschaalVastOntslag315</vt:lpstr>
      <vt:lpstr>Data_UitloopschaalVastOntslag316</vt:lpstr>
      <vt:lpstr>Data_UitloopschaalVastOntslag317</vt:lpstr>
      <vt:lpstr>Data_UitloopschaalVastOntslag318</vt:lpstr>
      <vt:lpstr>Data_UitloopschaalVastOntslag319</vt:lpstr>
      <vt:lpstr>Data_UitloopschaalVastOntslag320</vt:lpstr>
      <vt:lpstr>Data_UitloopschaalVastOntslag321</vt:lpstr>
      <vt:lpstr>Data_UitloopschaalVastOntslag322</vt:lpstr>
      <vt:lpstr>Data_UitloopschaalVastOntslag323</vt:lpstr>
      <vt:lpstr>Data_UitloopschaalVastOntslag324</vt:lpstr>
      <vt:lpstr>Data_UitloopschaalVastOntslag325</vt:lpstr>
      <vt:lpstr>Data_UitloopschaalVastOntslag326</vt:lpstr>
      <vt:lpstr>Data_UitloopschaalVastOntslag327</vt:lpstr>
      <vt:lpstr>Data_UitloopschaalVastOntslag328</vt:lpstr>
      <vt:lpstr>Data_UitloopschaalVastOntslag329</vt:lpstr>
      <vt:lpstr>Data_UitloopschaalVastOntslag330</vt:lpstr>
      <vt:lpstr>Data_UitloopschaalVastOntslag331</vt:lpstr>
      <vt:lpstr>Data_UitloopschaalVastOntslag332</vt:lpstr>
      <vt:lpstr>Data_UitloopschaalVastOntslag333</vt:lpstr>
      <vt:lpstr>Data_UitloopschaalVastOntslag334</vt:lpstr>
      <vt:lpstr>Data_UitloopschaalVastOntslag335</vt:lpstr>
      <vt:lpstr>Data_UitloopschaalVastOntslag336</vt:lpstr>
      <vt:lpstr>Data_UitloopschaalVastOntslag337</vt:lpstr>
      <vt:lpstr>Data_UitloopschaalVastOntslag338</vt:lpstr>
      <vt:lpstr>Data_UitloopschaalVastOntslag339</vt:lpstr>
      <vt:lpstr>Data_UitloopschaalVastOntslag340</vt:lpstr>
      <vt:lpstr>Data_UitloopschaalVastOntslag341</vt:lpstr>
      <vt:lpstr>Data_UitloopschaalVastOntslag342</vt:lpstr>
      <vt:lpstr>Data_UitloopschaalVastOntslag343</vt:lpstr>
      <vt:lpstr>Data_UitloopschaalVastOntslag344</vt:lpstr>
      <vt:lpstr>Data_UitloopschaalVastOntslag345</vt:lpstr>
      <vt:lpstr>Data_UitloopschaalVastOntslag346</vt:lpstr>
      <vt:lpstr>Data_UitloopschaalVastOntslag347</vt:lpstr>
      <vt:lpstr>Data_UitloopschaalVastOntslag348</vt:lpstr>
      <vt:lpstr>Data_UitloopschaalVastOntslag349</vt:lpstr>
      <vt:lpstr>Data_UitloopschaalVastOntslag350</vt:lpstr>
      <vt:lpstr>Data_UitloopschaalVastOntslag351</vt:lpstr>
      <vt:lpstr>Data_UitloopschaalVastOntslag352</vt:lpstr>
      <vt:lpstr>Data_UitloopschaalVastOntslag353</vt:lpstr>
      <vt:lpstr>Data_UitloopschaalVastOntslag354</vt:lpstr>
      <vt:lpstr>Data_UitloopschaalVastOntslag355</vt:lpstr>
      <vt:lpstr>Data_UitloopschaalVastOntslag356</vt:lpstr>
      <vt:lpstr>Data_UitloopschaalVastOntslag357</vt:lpstr>
      <vt:lpstr>Data_UitloopschaalVastOntslag358</vt:lpstr>
      <vt:lpstr>Data_UitloopschaalVastOntslag359</vt:lpstr>
      <vt:lpstr>Data_UitloopschaalVastOntslag360</vt:lpstr>
      <vt:lpstr>Data_UitloopschaalVastOntslag361</vt:lpstr>
      <vt:lpstr>Data_UitloopschaalVastOntslag362</vt:lpstr>
      <vt:lpstr>Data_UitloopschaalVastOntslag363</vt:lpstr>
      <vt:lpstr>Data_UitloopschaalVastOntslag364</vt:lpstr>
      <vt:lpstr>Data_UitloopschaalVastOntslag365</vt:lpstr>
      <vt:lpstr>Data_UitloopschaalVastOntslag366</vt:lpstr>
      <vt:lpstr>Data_UitloopschaalVastOntslag367</vt:lpstr>
      <vt:lpstr>Data_UitloopschaalVastOntslag368</vt:lpstr>
      <vt:lpstr>Data_UitloopschaalVastOntslag369</vt:lpstr>
      <vt:lpstr>Data_UitloopschaalVastOntslag370</vt:lpstr>
      <vt:lpstr>Data_UitloopschaalVastOntslag371</vt:lpstr>
      <vt:lpstr>Data_UitloopschaalVastOntslag372</vt:lpstr>
      <vt:lpstr>Data_UitloopschaalVastOntslag373</vt:lpstr>
      <vt:lpstr>Data_UitloopschaalVastOntslag374</vt:lpstr>
      <vt:lpstr>Data_UitloopschaalVastOntslag375</vt:lpstr>
      <vt:lpstr>Data_UitloopschaalVastOntslag376</vt:lpstr>
      <vt:lpstr>Data_UitloopschaalVastOntslag377</vt:lpstr>
      <vt:lpstr>Data_UitloopschaalVastOntslag378</vt:lpstr>
      <vt:lpstr>Data_UitloopschaalVastOntslag379</vt:lpstr>
      <vt:lpstr>Data_UitloopschaalVastOntslag380</vt:lpstr>
      <vt:lpstr>Data_UitloopschaalVastOntslag381</vt:lpstr>
      <vt:lpstr>Data_UitloopschaalVastOntslag382</vt:lpstr>
      <vt:lpstr>Data_UitloopschaalVastOntslag383</vt:lpstr>
      <vt:lpstr>Data_UitloopschaalVastOntslag384</vt:lpstr>
      <vt:lpstr>Data_UitloopschaalVastOntslag385</vt:lpstr>
      <vt:lpstr>Data_UitloopschaalVastOntslag386</vt:lpstr>
      <vt:lpstr>Data_UitloopschaalVastOntslag387</vt:lpstr>
      <vt:lpstr>Data_UitloopschaalVastOntslag388</vt:lpstr>
      <vt:lpstr>Data_UitloopschaalVastOntslag389</vt:lpstr>
      <vt:lpstr>Data_UitloopschaalVastOntslag390</vt:lpstr>
      <vt:lpstr>Data_UitloopschaalVastOntslag391</vt:lpstr>
      <vt:lpstr>Data_UitloopschaalVastOntslag392</vt:lpstr>
      <vt:lpstr>Data_UitloopschaalVastOntslag393</vt:lpstr>
      <vt:lpstr>Data_UitloopschaalVastOntslag394</vt:lpstr>
      <vt:lpstr>Data_UitloopschaalVastOntslag395</vt:lpstr>
      <vt:lpstr>Data_UitloopschaalVastOntslag396</vt:lpstr>
      <vt:lpstr>Data_UitloopschaalVastOntslag397</vt:lpstr>
      <vt:lpstr>Data_UitloopschaalVastOntslag398</vt:lpstr>
      <vt:lpstr>Data_UitloopschaalVastOntslag399</vt:lpstr>
      <vt:lpstr>Data_UitloopschaalVastOntslag400</vt:lpstr>
      <vt:lpstr>Data_UitloopschaalVastOntslag401</vt:lpstr>
      <vt:lpstr>Data_UitloopschaalVastOntslag402</vt:lpstr>
      <vt:lpstr>Data_UitloopschaalVastOntslag403</vt:lpstr>
      <vt:lpstr>Data_UitloopschaalVastOntslag404</vt:lpstr>
      <vt:lpstr>Data_UitloopschaalVastOntslag405</vt:lpstr>
      <vt:lpstr>Data_UitloopschaalVastOntslag406</vt:lpstr>
      <vt:lpstr>Data_UitloopschaalVastOntslag407</vt:lpstr>
      <vt:lpstr>Data_UitloopschaalVastOntslag408</vt:lpstr>
      <vt:lpstr>Data_UitloopschaalVastOntslag409</vt:lpstr>
      <vt:lpstr>Data_UitloopschaalVastOntslag410</vt:lpstr>
      <vt:lpstr>Data_UitloopschaalVastOntslag411</vt:lpstr>
      <vt:lpstr>Data_UitloopschaalVastOntslag412</vt:lpstr>
      <vt:lpstr>Data_UitloopschaalVastOntslag413</vt:lpstr>
      <vt:lpstr>Data_UitloopschaalVastOntslag414</vt:lpstr>
      <vt:lpstr>Data_UitloopschaalVastOntslag415</vt:lpstr>
      <vt:lpstr>Data_UitloopschaalVastOntslag416</vt:lpstr>
      <vt:lpstr>Data_UitloopschaalVastOntslag417</vt:lpstr>
      <vt:lpstr>Data_UitloopschaalVastOntslag418</vt:lpstr>
      <vt:lpstr>Data_UitloopschaalVastOntslag419</vt:lpstr>
      <vt:lpstr>Data_UitloopschaalVastOntslag420</vt:lpstr>
      <vt:lpstr>Data_UitloopschaalVastOntslag421</vt:lpstr>
      <vt:lpstr>Data_UitloopschaalVastOntslag422</vt:lpstr>
      <vt:lpstr>Data_UitloopschaalVastOntslag423</vt:lpstr>
      <vt:lpstr>Data_UitloopschaalVastOntslag424</vt:lpstr>
      <vt:lpstr>Data_UitloopschaalVastOntslag425</vt:lpstr>
      <vt:lpstr>Data_UitloopschaalVastOntslag426</vt:lpstr>
      <vt:lpstr>Data_UitloopschaalVastOntslag427</vt:lpstr>
      <vt:lpstr>Data_UitloopschaalVastOntslag428</vt:lpstr>
      <vt:lpstr>Data_UitloopschaalVastOntslag429</vt:lpstr>
      <vt:lpstr>Data_UitloopschaalVastOntslag430</vt:lpstr>
      <vt:lpstr>Data_UitloopschaalVastOntslag431</vt:lpstr>
      <vt:lpstr>Data_UitloopschaalVastOntslag432</vt:lpstr>
      <vt:lpstr>Data_UitloopschaalVastOntslag433</vt:lpstr>
      <vt:lpstr>Data_UitloopschaalVastOntslag434</vt:lpstr>
      <vt:lpstr>Data_UitloopschaalVastOntslag435</vt:lpstr>
      <vt:lpstr>Data_UitloopschaalVastOntslag436</vt:lpstr>
      <vt:lpstr>Data_UitloopschaalVastOntslag437</vt:lpstr>
      <vt:lpstr>Data_UitloopschaalVastOntslag438</vt:lpstr>
      <vt:lpstr>Data_UitloopschaalVastOntslag439</vt:lpstr>
      <vt:lpstr>Data_UitloopschaalVastOntslag440</vt:lpstr>
      <vt:lpstr>Data_UitloopschaalVastOntslag441</vt:lpstr>
      <vt:lpstr>Data_UitloopschaalVastOntslag442</vt:lpstr>
      <vt:lpstr>Data_UitloopschaalVastOntslag443</vt:lpstr>
      <vt:lpstr>Data_UitloopschaalVastOntslag444</vt:lpstr>
      <vt:lpstr>Data_UitloopschaalVastOntslag445</vt:lpstr>
      <vt:lpstr>Data_UitloopschaalVastOntslag446</vt:lpstr>
      <vt:lpstr>Data_UitloopschaalVastOntslag447</vt:lpstr>
      <vt:lpstr>Data_UitloopschaalVastOntslag448</vt:lpstr>
      <vt:lpstr>Data_UitloopschaalVastOntslag449</vt:lpstr>
      <vt:lpstr>Data_UitloopschaalVastOntslag450</vt:lpstr>
      <vt:lpstr>Data_UitloopschaalVastOntslag451</vt:lpstr>
      <vt:lpstr>Data_UitloopschaalVastOntslag452</vt:lpstr>
      <vt:lpstr>Data_UitloopschaalVastOntslag453</vt:lpstr>
      <vt:lpstr>Data_UitloopschaalVastOntslag454</vt:lpstr>
      <vt:lpstr>Data_UitloopschaalVastOntslag455</vt:lpstr>
      <vt:lpstr>Data_UitloopschaalVastOntslag456</vt:lpstr>
      <vt:lpstr>Data_UitloopschaalVastOntslag457</vt:lpstr>
      <vt:lpstr>Data_UitloopschaalVastOntslag458</vt:lpstr>
      <vt:lpstr>Data_UitloopschaalVastOntslag459</vt:lpstr>
      <vt:lpstr>Data_UitloopschaalVastOntslag460</vt:lpstr>
      <vt:lpstr>Data_UitloopschaalVastOntslag461</vt:lpstr>
      <vt:lpstr>Data_UitloopschaalVastOntslag462</vt:lpstr>
      <vt:lpstr>Data_UitloopschaalVastOntslag463</vt:lpstr>
      <vt:lpstr>Data_UitloopschaalVastOntslag464</vt:lpstr>
      <vt:lpstr>Data_UitloopschaalVastOntslag465</vt:lpstr>
      <vt:lpstr>Data_UitloopschaalVastOntslag466</vt:lpstr>
      <vt:lpstr>Data_UitloopschaalVastOntslag467</vt:lpstr>
      <vt:lpstr>Data_UitloopschaalVastOntslag468</vt:lpstr>
      <vt:lpstr>Data_UitloopschaalVastOntslag469</vt:lpstr>
      <vt:lpstr>Data_UitloopschaalVastOntslag470</vt:lpstr>
      <vt:lpstr>Data_UitloopschaalVastOntslag471</vt:lpstr>
      <vt:lpstr>Data_UitloopschaalVastOntslag472</vt:lpstr>
      <vt:lpstr>Data_UitloopschaalVastOntslag473</vt:lpstr>
      <vt:lpstr>Data_UitloopschaalVastOntslag474</vt:lpstr>
      <vt:lpstr>Data_UitloopschaalVastOntslag475</vt:lpstr>
      <vt:lpstr>Data_UitloopschaalVastOntslag476</vt:lpstr>
      <vt:lpstr>Data_UitloopschaalVastOntslag477</vt:lpstr>
      <vt:lpstr>Data_UitloopschaalVastOntslag478</vt:lpstr>
      <vt:lpstr>Data_UitloopschaalVastOntslag479</vt:lpstr>
      <vt:lpstr>Data_UitloopschaalVastOntslag480</vt:lpstr>
      <vt:lpstr>Data_UitloopschaalVastOntslag481</vt:lpstr>
      <vt:lpstr>Data_UitloopschaalVastOntslag482</vt:lpstr>
      <vt:lpstr>Data_UitloopschaalVastOntslag483</vt:lpstr>
      <vt:lpstr>Data_UitloopschaalVastOntslag484</vt:lpstr>
      <vt:lpstr>Data_UitloopschaalVastOntslag485</vt:lpstr>
      <vt:lpstr>Data_UitloopschaalVastOntslag486</vt:lpstr>
      <vt:lpstr>Data_UitloopschaalVastOntslag487</vt:lpstr>
      <vt:lpstr>Data_UitloopschaalVastOntslag488</vt:lpstr>
      <vt:lpstr>Data_UitloopschaalVastOntslag489</vt:lpstr>
      <vt:lpstr>Data_UitloopschaalVastOntslag490</vt:lpstr>
      <vt:lpstr>Data_UitloopschaalVastOntslag491</vt:lpstr>
      <vt:lpstr>Data_UitloopschaalVastOntslag492</vt:lpstr>
      <vt:lpstr>Data_UitloopschaalVastOntslag493</vt:lpstr>
      <vt:lpstr>Data_UitloopschaalVastOntslag494</vt:lpstr>
      <vt:lpstr>Data_UitloopschaalVastOntslag495</vt:lpstr>
      <vt:lpstr>Data_UitloopschaalVastOntslag496</vt:lpstr>
      <vt:lpstr>Data_UitloopschaalVastOntslag497</vt:lpstr>
      <vt:lpstr>Data_UitloopschaalVastOntslag498</vt:lpstr>
      <vt:lpstr>Data_UitloopschaalVastOntslag499</vt:lpstr>
      <vt:lpstr>Data_UitloopschaalVastOntslag500</vt:lpstr>
      <vt:lpstr>Data_UitloopschaalVastVrij001</vt:lpstr>
      <vt:lpstr>Data_UitloopschaalVastVrij002</vt:lpstr>
      <vt:lpstr>Data_UitloopschaalVastVrij003</vt:lpstr>
      <vt:lpstr>Data_UitloopschaalVastVrij004</vt:lpstr>
      <vt:lpstr>Data_UitloopschaalVastVrij005</vt:lpstr>
      <vt:lpstr>Data_UitloopschaalVastVrij006</vt:lpstr>
      <vt:lpstr>Data_UitloopschaalVastVrij007</vt:lpstr>
      <vt:lpstr>Data_UitloopschaalVastVrij008</vt:lpstr>
      <vt:lpstr>Data_UitloopschaalVastVrij009</vt:lpstr>
      <vt:lpstr>Data_UitloopschaalVastVrij010</vt:lpstr>
      <vt:lpstr>Data_UitloopschaalVastVrij011</vt:lpstr>
      <vt:lpstr>Data_UitloopschaalVastVrij012</vt:lpstr>
      <vt:lpstr>Data_UitloopschaalVastVrij013</vt:lpstr>
      <vt:lpstr>Data_UitloopschaalVastVrij014</vt:lpstr>
      <vt:lpstr>Data_UitloopschaalVastVrij015</vt:lpstr>
      <vt:lpstr>Data_UitloopschaalVastVrij016</vt:lpstr>
      <vt:lpstr>Data_UitloopschaalVastVrij017</vt:lpstr>
      <vt:lpstr>Data_UitloopschaalVastVrij018</vt:lpstr>
      <vt:lpstr>Data_UitloopschaalVastVrij019</vt:lpstr>
      <vt:lpstr>Data_UitloopschaalVastVrij020</vt:lpstr>
      <vt:lpstr>Data_UitloopschaalVastVrij021</vt:lpstr>
      <vt:lpstr>Data_UitloopschaalVastVrij022</vt:lpstr>
      <vt:lpstr>Data_UitloopschaalVastVrij023</vt:lpstr>
      <vt:lpstr>Data_UitloopschaalVastVrij024</vt:lpstr>
      <vt:lpstr>Data_UitloopschaalVastVrij025</vt:lpstr>
      <vt:lpstr>Data_UitloopschaalVastVrij026</vt:lpstr>
      <vt:lpstr>Data_UitloopschaalVastVrij027</vt:lpstr>
      <vt:lpstr>Data_UitloopschaalVastVrij028</vt:lpstr>
      <vt:lpstr>Data_UitloopschaalVastVrij029</vt:lpstr>
      <vt:lpstr>Data_UitloopschaalVastVrij030</vt:lpstr>
      <vt:lpstr>Data_UitloopschaalVastVrij031</vt:lpstr>
      <vt:lpstr>Data_UitloopschaalVastVrij032</vt:lpstr>
      <vt:lpstr>Data_UitloopschaalVastVrij033</vt:lpstr>
      <vt:lpstr>Data_UitloopschaalVastVrij034</vt:lpstr>
      <vt:lpstr>Data_UitloopschaalVastVrij035</vt:lpstr>
      <vt:lpstr>Data_UitloopschaalVastVrij036</vt:lpstr>
      <vt:lpstr>Data_UitloopschaalVastVrij037</vt:lpstr>
      <vt:lpstr>Data_UitloopschaalVastVrij038</vt:lpstr>
      <vt:lpstr>Data_UitloopschaalVastVrij039</vt:lpstr>
      <vt:lpstr>Data_UitloopschaalVastVrij040</vt:lpstr>
      <vt:lpstr>Data_UitloopschaalVastVrij041</vt:lpstr>
      <vt:lpstr>Data_UitloopschaalVastVrij042</vt:lpstr>
      <vt:lpstr>Data_UitloopschaalVastVrij043</vt:lpstr>
      <vt:lpstr>Data_UitloopschaalVastVrij044</vt:lpstr>
      <vt:lpstr>Data_UitloopschaalVastVrij045</vt:lpstr>
      <vt:lpstr>Data_UitloopschaalVastVrij046</vt:lpstr>
      <vt:lpstr>Data_UitloopschaalVastVrij047</vt:lpstr>
      <vt:lpstr>Data_UitloopschaalVastVrij048</vt:lpstr>
      <vt:lpstr>Data_UitloopschaalVastVrij049</vt:lpstr>
      <vt:lpstr>Data_UitloopschaalVastVrij050</vt:lpstr>
      <vt:lpstr>Data_UitloopschaalVastVrij051</vt:lpstr>
      <vt:lpstr>Data_UitloopschaalVastVrij052</vt:lpstr>
      <vt:lpstr>Data_UitloopschaalVastVrij053</vt:lpstr>
      <vt:lpstr>Data_UitloopschaalVastVrij054</vt:lpstr>
      <vt:lpstr>Data_UitloopschaalVastVrij055</vt:lpstr>
      <vt:lpstr>Data_UitloopschaalVastVrij056</vt:lpstr>
      <vt:lpstr>Data_UitloopschaalVastVrij057</vt:lpstr>
      <vt:lpstr>Data_UitloopschaalVastVrij058</vt:lpstr>
      <vt:lpstr>Data_UitloopschaalVastVrij059</vt:lpstr>
      <vt:lpstr>Data_UitloopschaalVastVrij060</vt:lpstr>
      <vt:lpstr>Data_UitloopschaalVastVrij061</vt:lpstr>
      <vt:lpstr>Data_UitloopschaalVastVrij062</vt:lpstr>
      <vt:lpstr>Data_UitloopschaalVastVrij063</vt:lpstr>
      <vt:lpstr>Data_UitloopschaalVastVrij064</vt:lpstr>
      <vt:lpstr>Data_UitloopschaalVastVrij065</vt:lpstr>
      <vt:lpstr>Data_UitloopschaalVastVrij066</vt:lpstr>
      <vt:lpstr>Data_UitloopschaalVastVrij067</vt:lpstr>
      <vt:lpstr>Data_UitloopschaalVastVrij068</vt:lpstr>
      <vt:lpstr>Data_UitloopschaalVastVrij069</vt:lpstr>
      <vt:lpstr>Data_UitloopschaalVastVrij070</vt:lpstr>
      <vt:lpstr>Data_UitloopschaalVastVrij071</vt:lpstr>
      <vt:lpstr>Data_UitloopschaalVastVrij072</vt:lpstr>
      <vt:lpstr>Data_UitloopschaalVastVrij073</vt:lpstr>
      <vt:lpstr>Data_UitloopschaalVastVrij074</vt:lpstr>
      <vt:lpstr>Data_UitloopschaalVastVrij075</vt:lpstr>
      <vt:lpstr>Data_UitloopschaalVastVrij076</vt:lpstr>
      <vt:lpstr>Data_UitloopschaalVastVrij077</vt:lpstr>
      <vt:lpstr>Data_UitloopschaalVastVrij078</vt:lpstr>
      <vt:lpstr>Data_UitloopschaalVastVrij079</vt:lpstr>
      <vt:lpstr>Data_UitloopschaalVastVrij080</vt:lpstr>
      <vt:lpstr>Data_UitloopschaalVastVrij081</vt:lpstr>
      <vt:lpstr>Data_UitloopschaalVastVrij082</vt:lpstr>
      <vt:lpstr>Data_UitloopschaalVastVrij083</vt:lpstr>
      <vt:lpstr>Data_UitloopschaalVastVrij084</vt:lpstr>
      <vt:lpstr>Data_UitloopschaalVastVrij085</vt:lpstr>
      <vt:lpstr>Data_UitloopschaalVastVrij086</vt:lpstr>
      <vt:lpstr>Data_UitloopschaalVastVrij087</vt:lpstr>
      <vt:lpstr>Data_UitloopschaalVastVrij088</vt:lpstr>
      <vt:lpstr>Data_UitloopschaalVastVrij089</vt:lpstr>
      <vt:lpstr>Data_UitloopschaalVastVrij090</vt:lpstr>
      <vt:lpstr>Data_UitloopschaalVastVrij091</vt:lpstr>
      <vt:lpstr>Data_UitloopschaalVastVrij092</vt:lpstr>
      <vt:lpstr>Data_UitloopschaalVastVrij093</vt:lpstr>
      <vt:lpstr>Data_UitloopschaalVastVrij094</vt:lpstr>
      <vt:lpstr>Data_UitloopschaalVastVrij095</vt:lpstr>
      <vt:lpstr>Data_UitloopschaalVastVrij096</vt:lpstr>
      <vt:lpstr>Data_UitloopschaalVastVrij097</vt:lpstr>
      <vt:lpstr>Data_UitloopschaalVastVrij098</vt:lpstr>
      <vt:lpstr>Data_UitloopschaalVastVrij099</vt:lpstr>
      <vt:lpstr>Data_UitloopschaalVastVrij100</vt:lpstr>
      <vt:lpstr>Data_UitloopschaalVastVrij101</vt:lpstr>
      <vt:lpstr>Data_UitloopschaalVastVrij102</vt:lpstr>
      <vt:lpstr>Data_UitloopschaalVastVrij103</vt:lpstr>
      <vt:lpstr>Data_UitloopschaalVastVrij104</vt:lpstr>
      <vt:lpstr>Data_UitloopschaalVastVrij105</vt:lpstr>
      <vt:lpstr>Data_UitloopschaalVastVrij106</vt:lpstr>
      <vt:lpstr>Data_UitloopschaalVastVrij107</vt:lpstr>
      <vt:lpstr>Data_UitloopschaalVastVrij108</vt:lpstr>
      <vt:lpstr>Data_UitloopschaalVastVrij109</vt:lpstr>
      <vt:lpstr>Data_UitloopschaalVastVrij110</vt:lpstr>
      <vt:lpstr>Data_UitloopschaalVastVrij111</vt:lpstr>
      <vt:lpstr>Data_UitloopschaalVastVrij112</vt:lpstr>
      <vt:lpstr>Data_UitloopschaalVastVrij113</vt:lpstr>
      <vt:lpstr>Data_UitloopschaalVastVrij114</vt:lpstr>
      <vt:lpstr>Data_UitloopschaalVastVrij115</vt:lpstr>
      <vt:lpstr>Data_UitloopschaalVastVrij116</vt:lpstr>
      <vt:lpstr>Data_UitloopschaalVastVrij117</vt:lpstr>
      <vt:lpstr>Data_UitloopschaalVastVrij118</vt:lpstr>
      <vt:lpstr>Data_UitloopschaalVastVrij119</vt:lpstr>
      <vt:lpstr>Data_UitloopschaalVastVrij120</vt:lpstr>
      <vt:lpstr>Data_UitloopschaalVastVrij121</vt:lpstr>
      <vt:lpstr>Data_UitloopschaalVastVrij122</vt:lpstr>
      <vt:lpstr>Data_UitloopschaalVastVrij123</vt:lpstr>
      <vt:lpstr>Data_UitloopschaalVastVrij124</vt:lpstr>
      <vt:lpstr>Data_UitloopschaalVastVrij125</vt:lpstr>
      <vt:lpstr>Data_UitloopschaalVastVrij126</vt:lpstr>
      <vt:lpstr>Data_UitloopschaalVastVrij127</vt:lpstr>
      <vt:lpstr>Data_UitloopschaalVastVrij128</vt:lpstr>
      <vt:lpstr>Data_UitloopschaalVastVrij129</vt:lpstr>
      <vt:lpstr>Data_UitloopschaalVastVrij130</vt:lpstr>
      <vt:lpstr>Data_UitloopschaalVastVrij131</vt:lpstr>
      <vt:lpstr>Data_UitloopschaalVastVrij132</vt:lpstr>
      <vt:lpstr>Data_UitloopschaalVastVrij133</vt:lpstr>
      <vt:lpstr>Data_UitloopschaalVastVrij134</vt:lpstr>
      <vt:lpstr>Data_UitloopschaalVastVrij135</vt:lpstr>
      <vt:lpstr>Data_UitloopschaalVastVrij136</vt:lpstr>
      <vt:lpstr>Data_UitloopschaalVastVrij137</vt:lpstr>
      <vt:lpstr>Data_UitloopschaalVastVrij138</vt:lpstr>
      <vt:lpstr>Data_UitloopschaalVastVrij139</vt:lpstr>
      <vt:lpstr>Data_UitloopschaalVastVrij140</vt:lpstr>
      <vt:lpstr>Data_UitloopschaalVastVrij141</vt:lpstr>
      <vt:lpstr>Data_UitloopschaalVastVrij142</vt:lpstr>
      <vt:lpstr>Data_UitloopschaalVastVrij143</vt:lpstr>
      <vt:lpstr>Data_UitloopschaalVastVrij144</vt:lpstr>
      <vt:lpstr>Data_UitloopschaalVastVrij145</vt:lpstr>
      <vt:lpstr>Data_UitloopschaalVastVrij146</vt:lpstr>
      <vt:lpstr>Data_UitloopschaalVastVrij147</vt:lpstr>
      <vt:lpstr>Data_UitloopschaalVastVrij148</vt:lpstr>
      <vt:lpstr>Data_UitloopschaalVastVrij149</vt:lpstr>
      <vt:lpstr>Data_UitloopschaalVastVrij150</vt:lpstr>
      <vt:lpstr>Data_UitloopschaalVastVrij151</vt:lpstr>
      <vt:lpstr>Data_UitloopschaalVastVrij152</vt:lpstr>
      <vt:lpstr>Data_UitloopschaalVastVrij153</vt:lpstr>
      <vt:lpstr>Data_UitloopschaalVastVrij154</vt:lpstr>
      <vt:lpstr>Data_UitloopschaalVastVrij155</vt:lpstr>
      <vt:lpstr>Data_UitloopschaalVastVrij156</vt:lpstr>
      <vt:lpstr>Data_UitloopschaalVastVrij157</vt:lpstr>
      <vt:lpstr>Data_UitloopschaalVastVrij158</vt:lpstr>
      <vt:lpstr>Data_UitloopschaalVastVrij159</vt:lpstr>
      <vt:lpstr>Data_UitloopschaalVastVrij160</vt:lpstr>
      <vt:lpstr>Data_UitloopschaalVastVrij161</vt:lpstr>
      <vt:lpstr>Data_UitloopschaalVastVrij162</vt:lpstr>
      <vt:lpstr>Data_UitloopschaalVastVrij163</vt:lpstr>
      <vt:lpstr>Data_UitloopschaalVastVrij164</vt:lpstr>
      <vt:lpstr>Data_UitloopschaalVastVrij165</vt:lpstr>
      <vt:lpstr>Data_UitloopschaalVastVrij166</vt:lpstr>
      <vt:lpstr>Data_UitloopschaalVastVrij167</vt:lpstr>
      <vt:lpstr>Data_UitloopschaalVastVrij168</vt:lpstr>
      <vt:lpstr>Data_UitloopschaalVastVrij169</vt:lpstr>
      <vt:lpstr>Data_UitloopschaalVastVrij170</vt:lpstr>
      <vt:lpstr>Data_UitloopschaalVastVrij171</vt:lpstr>
      <vt:lpstr>Data_UitloopschaalVastVrij172</vt:lpstr>
      <vt:lpstr>Data_UitloopschaalVastVrij173</vt:lpstr>
      <vt:lpstr>Data_UitloopschaalVastVrij174</vt:lpstr>
      <vt:lpstr>Data_UitloopschaalVastVrij175</vt:lpstr>
      <vt:lpstr>Data_UitloopschaalVastVrij176</vt:lpstr>
      <vt:lpstr>Data_UitloopschaalVastVrij177</vt:lpstr>
      <vt:lpstr>Data_UitloopschaalVastVrij178</vt:lpstr>
      <vt:lpstr>Data_UitloopschaalVastVrij179</vt:lpstr>
      <vt:lpstr>Data_UitloopschaalVastVrij180</vt:lpstr>
      <vt:lpstr>Data_UitloopschaalVastVrij181</vt:lpstr>
      <vt:lpstr>Data_UitloopschaalVastVrij182</vt:lpstr>
      <vt:lpstr>Data_UitloopschaalVastVrij183</vt:lpstr>
      <vt:lpstr>Data_UitloopschaalVastVrij184</vt:lpstr>
      <vt:lpstr>Data_UitloopschaalVastVrij185</vt:lpstr>
      <vt:lpstr>Data_UitloopschaalVastVrij186</vt:lpstr>
      <vt:lpstr>Data_UitloopschaalVastVrij187</vt:lpstr>
      <vt:lpstr>Data_UitloopschaalVastVrij188</vt:lpstr>
      <vt:lpstr>Data_UitloopschaalVastVrij189</vt:lpstr>
      <vt:lpstr>Data_UitloopschaalVastVrij190</vt:lpstr>
      <vt:lpstr>Data_UitloopschaalVastVrij191</vt:lpstr>
      <vt:lpstr>Data_UitloopschaalVastVrij192</vt:lpstr>
      <vt:lpstr>Data_UitloopschaalVastVrij193</vt:lpstr>
      <vt:lpstr>Data_UitloopschaalVastVrij194</vt:lpstr>
      <vt:lpstr>Data_UitloopschaalVastVrij195</vt:lpstr>
      <vt:lpstr>Data_UitloopschaalVastVrij196</vt:lpstr>
      <vt:lpstr>Data_UitloopschaalVastVrij197</vt:lpstr>
      <vt:lpstr>Data_UitloopschaalVastVrij198</vt:lpstr>
      <vt:lpstr>Data_UitloopschaalVastVrij199</vt:lpstr>
      <vt:lpstr>Data_UitloopschaalVastVrij200</vt:lpstr>
      <vt:lpstr>Data_UitloopschaalVastVrij201</vt:lpstr>
      <vt:lpstr>Data_UitloopschaalVastVrij202</vt:lpstr>
      <vt:lpstr>Data_UitloopschaalVastVrij203</vt:lpstr>
      <vt:lpstr>Data_UitloopschaalVastVrij204</vt:lpstr>
      <vt:lpstr>Data_UitloopschaalVastVrij205</vt:lpstr>
      <vt:lpstr>Data_UitloopschaalVastVrij206</vt:lpstr>
      <vt:lpstr>Data_UitloopschaalVastVrij207</vt:lpstr>
      <vt:lpstr>Data_UitloopschaalVastVrij208</vt:lpstr>
      <vt:lpstr>Data_UitloopschaalVastVrij209</vt:lpstr>
      <vt:lpstr>Data_UitloopschaalVastVrij210</vt:lpstr>
      <vt:lpstr>Data_UitloopschaalVastVrij211</vt:lpstr>
      <vt:lpstr>Data_UitloopschaalVastVrij212</vt:lpstr>
      <vt:lpstr>Data_UitloopschaalVastVrij213</vt:lpstr>
      <vt:lpstr>Data_UitloopschaalVastVrij214</vt:lpstr>
      <vt:lpstr>Data_UitloopschaalVastVrij215</vt:lpstr>
      <vt:lpstr>Data_UitloopschaalVastVrij216</vt:lpstr>
      <vt:lpstr>Data_UitloopschaalVastVrij217</vt:lpstr>
      <vt:lpstr>Data_UitloopschaalVastVrij218</vt:lpstr>
      <vt:lpstr>Data_UitloopschaalVastVrij219</vt:lpstr>
      <vt:lpstr>Data_UitloopschaalVastVrij220</vt:lpstr>
      <vt:lpstr>Data_UitloopschaalVastVrij221</vt:lpstr>
      <vt:lpstr>Data_UitloopschaalVastVrij222</vt:lpstr>
      <vt:lpstr>Data_UitloopschaalVastVrij223</vt:lpstr>
      <vt:lpstr>Data_UitloopschaalVastVrij224</vt:lpstr>
      <vt:lpstr>Data_UitloopschaalVastVrij225</vt:lpstr>
      <vt:lpstr>Data_UitloopschaalVastVrij226</vt:lpstr>
      <vt:lpstr>Data_UitloopschaalVastVrij227</vt:lpstr>
      <vt:lpstr>Data_UitloopschaalVastVrij228</vt:lpstr>
      <vt:lpstr>Data_UitloopschaalVastVrij229</vt:lpstr>
      <vt:lpstr>Data_UitloopschaalVastVrij230</vt:lpstr>
      <vt:lpstr>Data_UitloopschaalVastVrij231</vt:lpstr>
      <vt:lpstr>Data_UitloopschaalVastVrij232</vt:lpstr>
      <vt:lpstr>Data_UitloopschaalVastVrij233</vt:lpstr>
      <vt:lpstr>Data_UitloopschaalVastVrij234</vt:lpstr>
      <vt:lpstr>Data_UitloopschaalVastVrij235</vt:lpstr>
      <vt:lpstr>Data_UitloopschaalVastVrij236</vt:lpstr>
      <vt:lpstr>Data_UitloopschaalVastVrij237</vt:lpstr>
      <vt:lpstr>Data_UitloopschaalVastVrij238</vt:lpstr>
      <vt:lpstr>Data_UitloopschaalVastVrij239</vt:lpstr>
      <vt:lpstr>Data_UitloopschaalVastVrij240</vt:lpstr>
      <vt:lpstr>Data_UitloopschaalVastVrij241</vt:lpstr>
      <vt:lpstr>Data_UitloopschaalVastVrij242</vt:lpstr>
      <vt:lpstr>Data_UitloopschaalVastVrij243</vt:lpstr>
      <vt:lpstr>Data_UitloopschaalVastVrij244</vt:lpstr>
      <vt:lpstr>Data_UitloopschaalVastVrij245</vt:lpstr>
      <vt:lpstr>Data_UitloopschaalVastVrij246</vt:lpstr>
      <vt:lpstr>Data_UitloopschaalVastVrij247</vt:lpstr>
      <vt:lpstr>Data_UitloopschaalVastVrij248</vt:lpstr>
      <vt:lpstr>Data_UitloopschaalVastVrij249</vt:lpstr>
      <vt:lpstr>Data_UitloopschaalVastVrij250</vt:lpstr>
      <vt:lpstr>Data_UitloopschaalVastVrij251</vt:lpstr>
      <vt:lpstr>Data_UitloopschaalVastVrij252</vt:lpstr>
      <vt:lpstr>Data_UitloopschaalVastVrij253</vt:lpstr>
      <vt:lpstr>Data_UitloopschaalVastVrij254</vt:lpstr>
      <vt:lpstr>Data_UitloopschaalVastVrij255</vt:lpstr>
      <vt:lpstr>Data_UitloopschaalVastVrij256</vt:lpstr>
      <vt:lpstr>Data_UitloopschaalVastVrij257</vt:lpstr>
      <vt:lpstr>Data_UitloopschaalVastVrij258</vt:lpstr>
      <vt:lpstr>Data_UitloopschaalVastVrij259</vt:lpstr>
      <vt:lpstr>Data_UitloopschaalVastVrij260</vt:lpstr>
      <vt:lpstr>Data_UitloopschaalVastVrij261</vt:lpstr>
      <vt:lpstr>Data_UitloopschaalVastVrij262</vt:lpstr>
      <vt:lpstr>Data_UitloopschaalVastVrij263</vt:lpstr>
      <vt:lpstr>Data_UitloopschaalVastVrij264</vt:lpstr>
      <vt:lpstr>Data_UitloopschaalVastVrij265</vt:lpstr>
      <vt:lpstr>Data_UitloopschaalVastVrij266</vt:lpstr>
      <vt:lpstr>Data_UitloopschaalVastVrij267</vt:lpstr>
      <vt:lpstr>Data_UitloopschaalVastVrij268</vt:lpstr>
      <vt:lpstr>Data_UitloopschaalVastVrij269</vt:lpstr>
      <vt:lpstr>Data_UitloopschaalVastVrij270</vt:lpstr>
      <vt:lpstr>Data_UitloopschaalVastVrij271</vt:lpstr>
      <vt:lpstr>Data_UitloopschaalVastVrij272</vt:lpstr>
      <vt:lpstr>Data_UitloopschaalVastVrij273</vt:lpstr>
      <vt:lpstr>Data_UitloopschaalVastVrij274</vt:lpstr>
      <vt:lpstr>Data_UitloopschaalVastVrij275</vt:lpstr>
      <vt:lpstr>Data_UitloopschaalVastVrij276</vt:lpstr>
      <vt:lpstr>Data_UitloopschaalVastVrij277</vt:lpstr>
      <vt:lpstr>Data_UitloopschaalVastVrij278</vt:lpstr>
      <vt:lpstr>Data_UitloopschaalVastVrij279</vt:lpstr>
      <vt:lpstr>Data_UitloopschaalVastVrij280</vt:lpstr>
      <vt:lpstr>Data_UitloopschaalVastVrij281</vt:lpstr>
      <vt:lpstr>Data_UitloopschaalVastVrij282</vt:lpstr>
      <vt:lpstr>Data_UitloopschaalVastVrij283</vt:lpstr>
      <vt:lpstr>Data_UitloopschaalVastVrij284</vt:lpstr>
      <vt:lpstr>Data_UitloopschaalVastVrij285</vt:lpstr>
      <vt:lpstr>Data_UitloopschaalVastVrij286</vt:lpstr>
      <vt:lpstr>Data_UitloopschaalVastVrij287</vt:lpstr>
      <vt:lpstr>Data_UitloopschaalVastVrij288</vt:lpstr>
      <vt:lpstr>Data_UitloopschaalVastVrij289</vt:lpstr>
      <vt:lpstr>Data_UitloopschaalVastVrij290</vt:lpstr>
      <vt:lpstr>Data_UitloopschaalVastVrij291</vt:lpstr>
      <vt:lpstr>Data_UitloopschaalVastVrij292</vt:lpstr>
      <vt:lpstr>Data_UitloopschaalVastVrij293</vt:lpstr>
      <vt:lpstr>Data_UitloopschaalVastVrij294</vt:lpstr>
      <vt:lpstr>Data_UitloopschaalVastVrij295</vt:lpstr>
      <vt:lpstr>Data_UitloopschaalVastVrij296</vt:lpstr>
      <vt:lpstr>Data_UitloopschaalVastVrij297</vt:lpstr>
      <vt:lpstr>Data_UitloopschaalVastVrij298</vt:lpstr>
      <vt:lpstr>Data_UitloopschaalVastVrij299</vt:lpstr>
      <vt:lpstr>Data_UitloopschaalVastVrij300</vt:lpstr>
      <vt:lpstr>Data_UitloopschaalVastVrij301</vt:lpstr>
      <vt:lpstr>Data_UitloopschaalVastVrij302</vt:lpstr>
      <vt:lpstr>Data_UitloopschaalVastVrij303</vt:lpstr>
      <vt:lpstr>Data_UitloopschaalVastVrij304</vt:lpstr>
      <vt:lpstr>Data_UitloopschaalVastVrij305</vt:lpstr>
      <vt:lpstr>Data_UitloopschaalVastVrij306</vt:lpstr>
      <vt:lpstr>Data_UitloopschaalVastVrij307</vt:lpstr>
      <vt:lpstr>Data_UitloopschaalVastVrij308</vt:lpstr>
      <vt:lpstr>Data_UitloopschaalVastVrij309</vt:lpstr>
      <vt:lpstr>Data_UitloopschaalVastVrij310</vt:lpstr>
      <vt:lpstr>Data_UitloopschaalVastVrij311</vt:lpstr>
      <vt:lpstr>Data_UitloopschaalVastVrij312</vt:lpstr>
      <vt:lpstr>Data_UitloopschaalVastVrij313</vt:lpstr>
      <vt:lpstr>Data_UitloopschaalVastVrij314</vt:lpstr>
      <vt:lpstr>Data_UitloopschaalVastVrij315</vt:lpstr>
      <vt:lpstr>Data_UitloopschaalVastVrij316</vt:lpstr>
      <vt:lpstr>Data_UitloopschaalVastVrij317</vt:lpstr>
      <vt:lpstr>Data_UitloopschaalVastVrij318</vt:lpstr>
      <vt:lpstr>Data_UitloopschaalVastVrij319</vt:lpstr>
      <vt:lpstr>Data_UitloopschaalVastVrij320</vt:lpstr>
      <vt:lpstr>Data_UitloopschaalVastVrij321</vt:lpstr>
      <vt:lpstr>Data_UitloopschaalVastVrij322</vt:lpstr>
      <vt:lpstr>Data_UitloopschaalVastVrij323</vt:lpstr>
      <vt:lpstr>Data_UitloopschaalVastVrij324</vt:lpstr>
      <vt:lpstr>Data_UitloopschaalVastVrij325</vt:lpstr>
      <vt:lpstr>Data_UitloopschaalVastVrij326</vt:lpstr>
      <vt:lpstr>Data_UitloopschaalVastVrij327</vt:lpstr>
      <vt:lpstr>Data_UitloopschaalVastVrij328</vt:lpstr>
      <vt:lpstr>Data_UitloopschaalVastVrij329</vt:lpstr>
      <vt:lpstr>Data_UitloopschaalVastVrij330</vt:lpstr>
      <vt:lpstr>Data_UitloopschaalVastVrij331</vt:lpstr>
      <vt:lpstr>Data_UitloopschaalVastVrij332</vt:lpstr>
      <vt:lpstr>Data_UitloopschaalVastVrij333</vt:lpstr>
      <vt:lpstr>Data_UitloopschaalVastVrij334</vt:lpstr>
      <vt:lpstr>Data_UitloopschaalVastVrij335</vt:lpstr>
      <vt:lpstr>Data_UitloopschaalVastVrij336</vt:lpstr>
      <vt:lpstr>Data_UitloopschaalVastVrij337</vt:lpstr>
      <vt:lpstr>Data_UitloopschaalVastVrij338</vt:lpstr>
      <vt:lpstr>Data_UitloopschaalVastVrij339</vt:lpstr>
      <vt:lpstr>Data_UitloopschaalVastVrij340</vt:lpstr>
      <vt:lpstr>Data_UitloopschaalVastVrij341</vt:lpstr>
      <vt:lpstr>Data_UitloopschaalVastVrij342</vt:lpstr>
      <vt:lpstr>Data_UitloopschaalVastVrij343</vt:lpstr>
      <vt:lpstr>Data_UitloopschaalVastVrij344</vt:lpstr>
      <vt:lpstr>Data_UitloopschaalVastVrij345</vt:lpstr>
      <vt:lpstr>Data_UitloopschaalVastVrij346</vt:lpstr>
      <vt:lpstr>Data_UitloopschaalVastVrij347</vt:lpstr>
      <vt:lpstr>Data_UitloopschaalVastVrij348</vt:lpstr>
      <vt:lpstr>Data_UitloopschaalVastVrij349</vt:lpstr>
      <vt:lpstr>Data_UitloopschaalVastVrij350</vt:lpstr>
      <vt:lpstr>Data_UitloopschaalVastVrij351</vt:lpstr>
      <vt:lpstr>Data_UitloopschaalVastVrij352</vt:lpstr>
      <vt:lpstr>Data_UitloopschaalVastVrij353</vt:lpstr>
      <vt:lpstr>Data_UitloopschaalVastVrij354</vt:lpstr>
      <vt:lpstr>Data_UitloopschaalVastVrij355</vt:lpstr>
      <vt:lpstr>Data_UitloopschaalVastVrij356</vt:lpstr>
      <vt:lpstr>Data_UitloopschaalVastVrij357</vt:lpstr>
      <vt:lpstr>Data_UitloopschaalVastVrij358</vt:lpstr>
      <vt:lpstr>Data_UitloopschaalVastVrij359</vt:lpstr>
      <vt:lpstr>Data_UitloopschaalVastVrij360</vt:lpstr>
      <vt:lpstr>Data_UitloopschaalVastVrij361</vt:lpstr>
      <vt:lpstr>Data_UitloopschaalVastVrij362</vt:lpstr>
      <vt:lpstr>Data_UitloopschaalVastVrij363</vt:lpstr>
      <vt:lpstr>Data_UitloopschaalVastVrij364</vt:lpstr>
      <vt:lpstr>Data_UitloopschaalVastVrij365</vt:lpstr>
      <vt:lpstr>Data_UitloopschaalVastVrij366</vt:lpstr>
      <vt:lpstr>Data_UitloopschaalVastVrij367</vt:lpstr>
      <vt:lpstr>Data_UitloopschaalVastVrij368</vt:lpstr>
      <vt:lpstr>Data_UitloopschaalVastVrij369</vt:lpstr>
      <vt:lpstr>Data_UitloopschaalVastVrij370</vt:lpstr>
      <vt:lpstr>Data_UitloopschaalVastVrij371</vt:lpstr>
      <vt:lpstr>Data_UitloopschaalVastVrij372</vt:lpstr>
      <vt:lpstr>Data_UitloopschaalVastVrij373</vt:lpstr>
      <vt:lpstr>Data_UitloopschaalVastVrij374</vt:lpstr>
      <vt:lpstr>Data_UitloopschaalVastVrij375</vt:lpstr>
      <vt:lpstr>Data_UitloopschaalVastVrij376</vt:lpstr>
      <vt:lpstr>Data_UitloopschaalVastVrij377</vt:lpstr>
      <vt:lpstr>Data_UitloopschaalVastVrij378</vt:lpstr>
      <vt:lpstr>Data_UitloopschaalVastVrij379</vt:lpstr>
      <vt:lpstr>Data_UitloopschaalVastVrij380</vt:lpstr>
      <vt:lpstr>Data_UitloopschaalVastVrij381</vt:lpstr>
      <vt:lpstr>Data_UitloopschaalVastVrij382</vt:lpstr>
      <vt:lpstr>Data_UitloopschaalVastVrij383</vt:lpstr>
      <vt:lpstr>Data_UitloopschaalVastVrij384</vt:lpstr>
      <vt:lpstr>Data_UitloopschaalVastVrij385</vt:lpstr>
      <vt:lpstr>Data_UitloopschaalVastVrij386</vt:lpstr>
      <vt:lpstr>Data_UitloopschaalVastVrij387</vt:lpstr>
      <vt:lpstr>Data_UitloopschaalVastVrij388</vt:lpstr>
      <vt:lpstr>Data_UitloopschaalVastVrij389</vt:lpstr>
      <vt:lpstr>Data_UitloopschaalVastVrij390</vt:lpstr>
      <vt:lpstr>Data_UitloopschaalVastVrij391</vt:lpstr>
      <vt:lpstr>Data_UitloopschaalVastVrij392</vt:lpstr>
      <vt:lpstr>Data_UitloopschaalVastVrij393</vt:lpstr>
      <vt:lpstr>Data_UitloopschaalVastVrij394</vt:lpstr>
      <vt:lpstr>Data_UitloopschaalVastVrij395</vt:lpstr>
      <vt:lpstr>Data_UitloopschaalVastVrij396</vt:lpstr>
      <vt:lpstr>Data_UitloopschaalVastVrij397</vt:lpstr>
      <vt:lpstr>Data_UitloopschaalVastVrij398</vt:lpstr>
      <vt:lpstr>Data_UitloopschaalVastVrij399</vt:lpstr>
      <vt:lpstr>Data_UitloopschaalVastVrij400</vt:lpstr>
      <vt:lpstr>Data_UitloopschaalVastVrij401</vt:lpstr>
      <vt:lpstr>Data_UitloopschaalVastVrij402</vt:lpstr>
      <vt:lpstr>Data_UitloopschaalVastVrij403</vt:lpstr>
      <vt:lpstr>Data_UitloopschaalVastVrij404</vt:lpstr>
      <vt:lpstr>Data_UitloopschaalVastVrij405</vt:lpstr>
      <vt:lpstr>Data_UitloopschaalVastVrij406</vt:lpstr>
      <vt:lpstr>Data_UitloopschaalVastVrij407</vt:lpstr>
      <vt:lpstr>Data_UitloopschaalVastVrij408</vt:lpstr>
      <vt:lpstr>Data_UitloopschaalVastVrij409</vt:lpstr>
      <vt:lpstr>Data_UitloopschaalVastVrij410</vt:lpstr>
      <vt:lpstr>Data_UitloopschaalVastVrij411</vt:lpstr>
      <vt:lpstr>Data_UitloopschaalVastVrij412</vt:lpstr>
      <vt:lpstr>Data_UitloopschaalVastVrij413</vt:lpstr>
      <vt:lpstr>Data_UitloopschaalVastVrij414</vt:lpstr>
      <vt:lpstr>Data_UitloopschaalVastVrij415</vt:lpstr>
      <vt:lpstr>Data_UitloopschaalVastVrij416</vt:lpstr>
      <vt:lpstr>Data_UitloopschaalVastVrij417</vt:lpstr>
      <vt:lpstr>Data_UitloopschaalVastVrij418</vt:lpstr>
      <vt:lpstr>Data_UitloopschaalVastVrij419</vt:lpstr>
      <vt:lpstr>Data_UitloopschaalVastVrij420</vt:lpstr>
      <vt:lpstr>Data_UitloopschaalVastVrij421</vt:lpstr>
      <vt:lpstr>Data_UitloopschaalVastVrij422</vt:lpstr>
      <vt:lpstr>Data_UitloopschaalVastVrij423</vt:lpstr>
      <vt:lpstr>Data_UitloopschaalVastVrij424</vt:lpstr>
      <vt:lpstr>Data_UitloopschaalVastVrij425</vt:lpstr>
      <vt:lpstr>Data_UitloopschaalVastVrij426</vt:lpstr>
      <vt:lpstr>Data_UitloopschaalVastVrij427</vt:lpstr>
      <vt:lpstr>Data_UitloopschaalVastVrij428</vt:lpstr>
      <vt:lpstr>Data_UitloopschaalVastVrij429</vt:lpstr>
      <vt:lpstr>Data_UitloopschaalVastVrij430</vt:lpstr>
      <vt:lpstr>Data_UitloopschaalVastVrij431</vt:lpstr>
      <vt:lpstr>Data_UitloopschaalVastVrij432</vt:lpstr>
      <vt:lpstr>Data_UitloopschaalVastVrij433</vt:lpstr>
      <vt:lpstr>Data_UitloopschaalVastVrij434</vt:lpstr>
      <vt:lpstr>Data_UitloopschaalVastVrij435</vt:lpstr>
      <vt:lpstr>Data_UitloopschaalVastVrij436</vt:lpstr>
      <vt:lpstr>Data_UitloopschaalVastVrij437</vt:lpstr>
      <vt:lpstr>Data_UitloopschaalVastVrij438</vt:lpstr>
      <vt:lpstr>Data_UitloopschaalVastVrij439</vt:lpstr>
      <vt:lpstr>Data_UitloopschaalVastVrij440</vt:lpstr>
      <vt:lpstr>Data_UitloopschaalVastVrij441</vt:lpstr>
      <vt:lpstr>Data_UitloopschaalVastVrij442</vt:lpstr>
      <vt:lpstr>Data_UitloopschaalVastVrij443</vt:lpstr>
      <vt:lpstr>Data_UitloopschaalVastVrij444</vt:lpstr>
      <vt:lpstr>Data_UitloopschaalVastVrij445</vt:lpstr>
      <vt:lpstr>Data_UitloopschaalVastVrij446</vt:lpstr>
      <vt:lpstr>Data_UitloopschaalVastVrij447</vt:lpstr>
      <vt:lpstr>Data_UitloopschaalVastVrij448</vt:lpstr>
      <vt:lpstr>Data_UitloopschaalVastVrij449</vt:lpstr>
      <vt:lpstr>Data_UitloopschaalVastVrij450</vt:lpstr>
      <vt:lpstr>Data_UitloopschaalVastVrij451</vt:lpstr>
      <vt:lpstr>Data_UitloopschaalVastVrij452</vt:lpstr>
      <vt:lpstr>Data_UitloopschaalVastVrij453</vt:lpstr>
      <vt:lpstr>Data_UitloopschaalVastVrij454</vt:lpstr>
      <vt:lpstr>Data_UitloopschaalVastVrij455</vt:lpstr>
      <vt:lpstr>Data_UitloopschaalVastVrij456</vt:lpstr>
      <vt:lpstr>Data_UitloopschaalVastVrij457</vt:lpstr>
      <vt:lpstr>Data_UitloopschaalVastVrij458</vt:lpstr>
      <vt:lpstr>Data_UitloopschaalVastVrij459</vt:lpstr>
      <vt:lpstr>Data_UitloopschaalVastVrij460</vt:lpstr>
      <vt:lpstr>Data_UitloopschaalVastVrij461</vt:lpstr>
      <vt:lpstr>Data_UitloopschaalVastVrij462</vt:lpstr>
      <vt:lpstr>Data_UitloopschaalVastVrij463</vt:lpstr>
      <vt:lpstr>Data_UitloopschaalVastVrij464</vt:lpstr>
      <vt:lpstr>Data_UitloopschaalVastVrij465</vt:lpstr>
      <vt:lpstr>Data_UitloopschaalVastVrij466</vt:lpstr>
      <vt:lpstr>Data_UitloopschaalVastVrij467</vt:lpstr>
      <vt:lpstr>Data_UitloopschaalVastVrij468</vt:lpstr>
      <vt:lpstr>Data_UitloopschaalVastVrij469</vt:lpstr>
      <vt:lpstr>Data_UitloopschaalVastVrij470</vt:lpstr>
      <vt:lpstr>Data_UitloopschaalVastVrij471</vt:lpstr>
      <vt:lpstr>Data_UitloopschaalVastVrij472</vt:lpstr>
      <vt:lpstr>Data_UitloopschaalVastVrij473</vt:lpstr>
      <vt:lpstr>Data_UitloopschaalVastVrij474</vt:lpstr>
      <vt:lpstr>Data_UitloopschaalVastVrij475</vt:lpstr>
      <vt:lpstr>Data_UitloopschaalVastVrij476</vt:lpstr>
      <vt:lpstr>Data_UitloopschaalVastVrij477</vt:lpstr>
      <vt:lpstr>Data_UitloopschaalVastVrij478</vt:lpstr>
      <vt:lpstr>Data_UitloopschaalVastVrij479</vt:lpstr>
      <vt:lpstr>Data_UitloopschaalVastVrij480</vt:lpstr>
      <vt:lpstr>Data_UitloopschaalVastVrij481</vt:lpstr>
      <vt:lpstr>Data_UitloopschaalVastVrij482</vt:lpstr>
      <vt:lpstr>Data_UitloopschaalVastVrij483</vt:lpstr>
      <vt:lpstr>Data_UitloopschaalVastVrij484</vt:lpstr>
      <vt:lpstr>Data_UitloopschaalVastVrij485</vt:lpstr>
      <vt:lpstr>Data_UitloopschaalVastVrij486</vt:lpstr>
      <vt:lpstr>Data_UitloopschaalVastVrij487</vt:lpstr>
      <vt:lpstr>Data_UitloopschaalVastVrij488</vt:lpstr>
      <vt:lpstr>Data_UitloopschaalVastVrij489</vt:lpstr>
      <vt:lpstr>Data_UitloopschaalVastVrij490</vt:lpstr>
      <vt:lpstr>Data_UitloopschaalVastVrij491</vt:lpstr>
      <vt:lpstr>Data_UitloopschaalVastVrij492</vt:lpstr>
      <vt:lpstr>Data_UitloopschaalVastVrij493</vt:lpstr>
      <vt:lpstr>Data_UitloopschaalVastVrij494</vt:lpstr>
      <vt:lpstr>Data_UitloopschaalVastVrij495</vt:lpstr>
      <vt:lpstr>Data_UitloopschaalVastVrij496</vt:lpstr>
      <vt:lpstr>Data_UitloopschaalVastVrij497</vt:lpstr>
      <vt:lpstr>Data_UitloopschaalVastVrij498</vt:lpstr>
      <vt:lpstr>Data_UitloopschaalVastVrij499</vt:lpstr>
      <vt:lpstr>Data_UitloopschaalVastVrij500</vt:lpstr>
      <vt:lpstr>Data_WerkgeverAfwijkendeDatum</vt:lpstr>
      <vt:lpstr>Data_WerkgeverCheckAfwijkendeDatum</vt:lpstr>
      <vt:lpstr>Data_WerkgeverNaam</vt:lpstr>
      <vt:lpstr>Data_WerkgeverNummer</vt:lpstr>
      <vt:lpstr>Data_WerkgeverVestigingsplaats</vt:lpstr>
      <vt:lpstr>Data_WerkgeverWEC_WPO</vt:lpstr>
      <vt:lpstr>Data_WerktijdfactorNatVerloop001</vt:lpstr>
      <vt:lpstr>Data_WerktijdfactorNatVerloop002</vt:lpstr>
      <vt:lpstr>Data_WerktijdfactorNatVerloop003</vt:lpstr>
      <vt:lpstr>Data_WerktijdfactorNatVerloop004</vt:lpstr>
      <vt:lpstr>Data_WerktijdfactorNatVerloop005</vt:lpstr>
      <vt:lpstr>Data_WerktijdfactorNatVerloop006</vt:lpstr>
      <vt:lpstr>Data_WerktijdfactorNatVerloop007</vt:lpstr>
      <vt:lpstr>Data_WerktijdfactorNatVerloop008</vt:lpstr>
      <vt:lpstr>Data_WerktijdfactorNatVerloop009</vt:lpstr>
      <vt:lpstr>Data_WerktijdfactorNatVerloop010</vt:lpstr>
      <vt:lpstr>Data_WerktijdfactorNatVerloop011</vt:lpstr>
      <vt:lpstr>Data_WerktijdfactorNatVerloop012</vt:lpstr>
      <vt:lpstr>Data_WerktijdfactorNatVerloop013</vt:lpstr>
      <vt:lpstr>Data_WerktijdfactorNatVerloop014</vt:lpstr>
      <vt:lpstr>Data_WerktijdfactorNatVerloop015</vt:lpstr>
      <vt:lpstr>Data_WerktijdfactorNatVerloop016</vt:lpstr>
      <vt:lpstr>Data_WerktijdfactorNatVerloop017</vt:lpstr>
      <vt:lpstr>Data_WerktijdfactorNatVerloop018</vt:lpstr>
      <vt:lpstr>Data_WerktijdfactorNatVerloop019</vt:lpstr>
      <vt:lpstr>Data_WerktijdfactorNatVerloop020</vt:lpstr>
      <vt:lpstr>Data_WerktijdfactorNatVerloop021</vt:lpstr>
      <vt:lpstr>Data_WerktijdfactorNatVerloop022</vt:lpstr>
      <vt:lpstr>Data_WerktijdfactorNatVerloop023</vt:lpstr>
      <vt:lpstr>Data_WerktijdfactorNatVerloop024</vt:lpstr>
      <vt:lpstr>Data_WerktijdfactorNatVerloop025</vt:lpstr>
      <vt:lpstr>Data_WerktijdfactorNatVerloop026</vt:lpstr>
      <vt:lpstr>Data_WerktijdfactorNatVerloop027</vt:lpstr>
      <vt:lpstr>Data_WerktijdfactorNatVerloop028</vt:lpstr>
      <vt:lpstr>Data_WerktijdfactorNatVerloop029</vt:lpstr>
      <vt:lpstr>Data_WerktijdfactorNatVerloop030</vt:lpstr>
      <vt:lpstr>Data_WerktijdfactorNatVerloop031</vt:lpstr>
      <vt:lpstr>Data_WerktijdfactorNatVerloop032</vt:lpstr>
      <vt:lpstr>Data_WerktijdfactorNatVerloop033</vt:lpstr>
      <vt:lpstr>Data_WerktijdfactorNatVerloop034</vt:lpstr>
      <vt:lpstr>Data_WerktijdfactorNatVerloop035</vt:lpstr>
      <vt:lpstr>Data_WerktijdfactorNatVerloop036</vt:lpstr>
      <vt:lpstr>Data_WerktijdfactorNatVerloop037</vt:lpstr>
      <vt:lpstr>Data_WerktijdfactorNatVerloop038</vt:lpstr>
      <vt:lpstr>Data_WerktijdfactorNatVerloop039</vt:lpstr>
      <vt:lpstr>Data_WerktijdfactorNatVerloop040</vt:lpstr>
      <vt:lpstr>Data_WerktijdfactorNatVerloop041</vt:lpstr>
      <vt:lpstr>Data_WerktijdfactorNatVerloop042</vt:lpstr>
      <vt:lpstr>Data_WerktijdfactorNatVerloop043</vt:lpstr>
      <vt:lpstr>Data_WerktijdfactorNatVerloop044</vt:lpstr>
      <vt:lpstr>Data_WerktijdfactorNatVerloop045</vt:lpstr>
      <vt:lpstr>Data_WerktijdfactorNatVerloop046</vt:lpstr>
      <vt:lpstr>Data_WerktijdfactorNatVerloop047</vt:lpstr>
      <vt:lpstr>Data_WerktijdfactorNatVerloop048</vt:lpstr>
      <vt:lpstr>Data_WerktijdfactorNatVerloop049</vt:lpstr>
      <vt:lpstr>Data_WerktijdfactorNatVerloop050</vt:lpstr>
      <vt:lpstr>Data_WerktijdfactorNatVerloop051</vt:lpstr>
      <vt:lpstr>Data_WerktijdfactorNatVerloop052</vt:lpstr>
      <vt:lpstr>Data_WerktijdfactorNatVerloop053</vt:lpstr>
      <vt:lpstr>Data_WerktijdfactorNatVerloop054</vt:lpstr>
      <vt:lpstr>Data_WerktijdfactorNatVerloop055</vt:lpstr>
      <vt:lpstr>Data_WerktijdfactorNatVerloop056</vt:lpstr>
      <vt:lpstr>Data_WerktijdfactorNatVerloop057</vt:lpstr>
      <vt:lpstr>Data_WerktijdfactorNatVerloop058</vt:lpstr>
      <vt:lpstr>Data_WerktijdfactorNatVerloop059</vt:lpstr>
      <vt:lpstr>Data_WerktijdfactorNatVerloop060</vt:lpstr>
      <vt:lpstr>Data_WerktijdfactorNatVerloop061</vt:lpstr>
      <vt:lpstr>Data_WerktijdfactorNatVerloop062</vt:lpstr>
      <vt:lpstr>Data_WerktijdfactorNatVerloop063</vt:lpstr>
      <vt:lpstr>Data_WerktijdfactorNatVerloop064</vt:lpstr>
      <vt:lpstr>Data_WerktijdfactorNatVerloop065</vt:lpstr>
      <vt:lpstr>Data_WerktijdfactorNatVerloop066</vt:lpstr>
      <vt:lpstr>Data_WerktijdfactorNatVerloop067</vt:lpstr>
      <vt:lpstr>Data_WerktijdfactorNatVerloop068</vt:lpstr>
      <vt:lpstr>Data_WerktijdfactorNatVerloop069</vt:lpstr>
      <vt:lpstr>Data_WerktijdfactorNatVerloop070</vt:lpstr>
      <vt:lpstr>Data_WerktijdfactorNatVerloop071</vt:lpstr>
      <vt:lpstr>Data_WerktijdfactorNatVerloop072</vt:lpstr>
      <vt:lpstr>Data_WerktijdfactorNatVerloop073</vt:lpstr>
      <vt:lpstr>Data_WerktijdfactorNatVerloop074</vt:lpstr>
      <vt:lpstr>Data_WerktijdfactorNatVerloop075</vt:lpstr>
      <vt:lpstr>Data_WerktijdfactorNatVerloop076</vt:lpstr>
      <vt:lpstr>Data_WerktijdfactorNatVerloop077</vt:lpstr>
      <vt:lpstr>Data_WerktijdfactorNatVerloop078</vt:lpstr>
      <vt:lpstr>Data_WerktijdfactorNatVerloop079</vt:lpstr>
      <vt:lpstr>Data_WerktijdfactorNatVerloop080</vt:lpstr>
      <vt:lpstr>Data_WerktijdfactorNatVerloop081</vt:lpstr>
      <vt:lpstr>Data_WerktijdfactorNatVerloop082</vt:lpstr>
      <vt:lpstr>Data_WerktijdfactorNatVerloop083</vt:lpstr>
      <vt:lpstr>Data_WerktijdfactorNatVerloop084</vt:lpstr>
      <vt:lpstr>Data_WerktijdfactorNatVerloop085</vt:lpstr>
      <vt:lpstr>Data_WerktijdfactorNatVerloop086</vt:lpstr>
      <vt:lpstr>Data_WerktijdfactorNatVerloop087</vt:lpstr>
      <vt:lpstr>Data_WerktijdfactorNatVerloop088</vt:lpstr>
      <vt:lpstr>Data_WerktijdfactorNatVerloop089</vt:lpstr>
      <vt:lpstr>Data_WerktijdfactorNatVerloop090</vt:lpstr>
      <vt:lpstr>Data_WerktijdfactorNatVerloop091</vt:lpstr>
      <vt:lpstr>Data_WerktijdfactorNatVerloop092</vt:lpstr>
      <vt:lpstr>Data_WerktijdfactorNatVerloop093</vt:lpstr>
      <vt:lpstr>Data_WerktijdfactorNatVerloop094</vt:lpstr>
      <vt:lpstr>Data_WerktijdfactorNatVerloop095</vt:lpstr>
      <vt:lpstr>Data_WerktijdfactorNatVerloop096</vt:lpstr>
      <vt:lpstr>Data_WerktijdfactorNatVerloop097</vt:lpstr>
      <vt:lpstr>Data_WerktijdfactorNatVerloop098</vt:lpstr>
      <vt:lpstr>Data_WerktijdfactorNatVerloop099</vt:lpstr>
      <vt:lpstr>Data_WerktijdfactorNatVerloop100</vt:lpstr>
      <vt:lpstr>Data_WerktijdfactorNatVerloop101</vt:lpstr>
      <vt:lpstr>Data_WerktijdfactorNatVerloop102</vt:lpstr>
      <vt:lpstr>Data_WerktijdfactorNatVerloop103</vt:lpstr>
      <vt:lpstr>Data_WerktijdfactorNatVerloop104</vt:lpstr>
      <vt:lpstr>Data_WerktijdfactorNatVerloop105</vt:lpstr>
      <vt:lpstr>Data_WerktijdfactorNatVerloop106</vt:lpstr>
      <vt:lpstr>Data_WerktijdfactorNatVerloop107</vt:lpstr>
      <vt:lpstr>Data_WerktijdfactorNatVerloop108</vt:lpstr>
      <vt:lpstr>Data_WerktijdfactorNatVerloop109</vt:lpstr>
      <vt:lpstr>Data_WerktijdfactorNatVerloop110</vt:lpstr>
      <vt:lpstr>Data_WerktijdfactorNatVerloop111</vt:lpstr>
      <vt:lpstr>Data_WerktijdfactorNatVerloop112</vt:lpstr>
      <vt:lpstr>Data_WerktijdfactorNatVerloop113</vt:lpstr>
      <vt:lpstr>Data_WerktijdfactorNatVerloop114</vt:lpstr>
      <vt:lpstr>Data_WerktijdfactorNatVerloop115</vt:lpstr>
      <vt:lpstr>Data_WerktijdfactorNatVerloop116</vt:lpstr>
      <vt:lpstr>Data_WerktijdfactorNatVerloop117</vt:lpstr>
      <vt:lpstr>Data_WerktijdfactorNatVerloop118</vt:lpstr>
      <vt:lpstr>Data_WerktijdfactorNatVerloop119</vt:lpstr>
      <vt:lpstr>Data_WerktijdfactorNatVerloop120</vt:lpstr>
      <vt:lpstr>Data_WerktijdfactorNatVerloop121</vt:lpstr>
      <vt:lpstr>Data_WerktijdfactorNatVerloop122</vt:lpstr>
      <vt:lpstr>Data_WerktijdfactorNatVerloop123</vt:lpstr>
      <vt:lpstr>Data_WerktijdfactorNatVerloop124</vt:lpstr>
      <vt:lpstr>Data_WerktijdfactorNatVerloop125</vt:lpstr>
      <vt:lpstr>Data_WerktijdfactorNatVerloop126</vt:lpstr>
      <vt:lpstr>Data_WerktijdfactorNatVerloop127</vt:lpstr>
      <vt:lpstr>Data_WerktijdfactorNatVerloop128</vt:lpstr>
      <vt:lpstr>Data_WerktijdfactorNatVerloop129</vt:lpstr>
      <vt:lpstr>Data_WerktijdfactorNatVerloop130</vt:lpstr>
      <vt:lpstr>Data_WerktijdfactorNatVerloop131</vt:lpstr>
      <vt:lpstr>Data_WerktijdfactorNatVerloop132</vt:lpstr>
      <vt:lpstr>Data_WerktijdfactorNatVerloop133</vt:lpstr>
      <vt:lpstr>Data_WerktijdfactorNatVerloop134</vt:lpstr>
      <vt:lpstr>Data_WerktijdfactorNatVerloop135</vt:lpstr>
      <vt:lpstr>Data_WerktijdfactorNatVerloop136</vt:lpstr>
      <vt:lpstr>Data_WerktijdfactorNatVerloop137</vt:lpstr>
      <vt:lpstr>Data_WerktijdfactorNatVerloop138</vt:lpstr>
      <vt:lpstr>Data_WerktijdfactorNatVerloop139</vt:lpstr>
      <vt:lpstr>Data_WerktijdfactorNatVerloop140</vt:lpstr>
      <vt:lpstr>Data_WerktijdfactorNatVerloop141</vt:lpstr>
      <vt:lpstr>Data_WerktijdfactorNatVerloop142</vt:lpstr>
      <vt:lpstr>Data_WerktijdfactorNatVerloop143</vt:lpstr>
      <vt:lpstr>Data_WerktijdfactorNatVerloop144</vt:lpstr>
      <vt:lpstr>Data_WerktijdfactorNatVerloop145</vt:lpstr>
      <vt:lpstr>Data_WerktijdfactorNatVerloop146</vt:lpstr>
      <vt:lpstr>Data_WerktijdfactorNatVerloop147</vt:lpstr>
      <vt:lpstr>Data_WerktijdfactorNatVerloop148</vt:lpstr>
      <vt:lpstr>Data_WerktijdfactorNatVerloop149</vt:lpstr>
      <vt:lpstr>Data_WerktijdfactorNatVerloop150</vt:lpstr>
      <vt:lpstr>Data_WerktijdfactorNatVerloop151</vt:lpstr>
      <vt:lpstr>Data_WerktijdfactorNatVerloop152</vt:lpstr>
      <vt:lpstr>Data_WerktijdfactorNatVerloop153</vt:lpstr>
      <vt:lpstr>Data_WerktijdfactorNatVerloop154</vt:lpstr>
      <vt:lpstr>Data_WerktijdfactorNatVerloop155</vt:lpstr>
      <vt:lpstr>Data_WerktijdfactorNatVerloop156</vt:lpstr>
      <vt:lpstr>Data_WerktijdfactorNatVerloop157</vt:lpstr>
      <vt:lpstr>Data_WerktijdfactorNatVerloop158</vt:lpstr>
      <vt:lpstr>Data_WerktijdfactorNatVerloop159</vt:lpstr>
      <vt:lpstr>Data_WerktijdfactorNatVerloop160</vt:lpstr>
      <vt:lpstr>Data_WerktijdfactorNatVerloop161</vt:lpstr>
      <vt:lpstr>Data_WerktijdfactorNatVerloop162</vt:lpstr>
      <vt:lpstr>Data_WerktijdfactorNatVerloop163</vt:lpstr>
      <vt:lpstr>Data_WerktijdfactorNatVerloop164</vt:lpstr>
      <vt:lpstr>Data_WerktijdfactorNatVerloop165</vt:lpstr>
      <vt:lpstr>Data_WerktijdfactorNatVerloop166</vt:lpstr>
      <vt:lpstr>Data_WerktijdfactorNatVerloop167</vt:lpstr>
      <vt:lpstr>Data_WerktijdfactorNatVerloop168</vt:lpstr>
      <vt:lpstr>Data_WerktijdfactorNatVerloop169</vt:lpstr>
      <vt:lpstr>Data_WerktijdfactorNatVerloop170</vt:lpstr>
      <vt:lpstr>Data_WerktijdfactorNatVerloop171</vt:lpstr>
      <vt:lpstr>Data_WerktijdfactorNatVerloop172</vt:lpstr>
      <vt:lpstr>Data_WerktijdfactorNatVerloop173</vt:lpstr>
      <vt:lpstr>Data_WerktijdfactorNatVerloop174</vt:lpstr>
      <vt:lpstr>Data_WerktijdfactorNatVerloop175</vt:lpstr>
      <vt:lpstr>Data_WerktijdfactorNatVerloop176</vt:lpstr>
      <vt:lpstr>Data_WerktijdfactorNatVerloop177</vt:lpstr>
      <vt:lpstr>Data_WerktijdfactorNatVerloop178</vt:lpstr>
      <vt:lpstr>Data_WerktijdfactorNatVerloop179</vt:lpstr>
      <vt:lpstr>Data_WerktijdfactorNatVerloop180</vt:lpstr>
      <vt:lpstr>Data_WerktijdfactorNatVerloop181</vt:lpstr>
      <vt:lpstr>Data_WerktijdfactorNatVerloop182</vt:lpstr>
      <vt:lpstr>Data_WerktijdfactorNatVerloop183</vt:lpstr>
      <vt:lpstr>Data_WerktijdfactorNatVerloop184</vt:lpstr>
      <vt:lpstr>Data_WerktijdfactorNatVerloop185</vt:lpstr>
      <vt:lpstr>Data_WerktijdfactorNatVerloop186</vt:lpstr>
      <vt:lpstr>Data_WerktijdfactorNatVerloop187</vt:lpstr>
      <vt:lpstr>Data_WerktijdfactorNatVerloop188</vt:lpstr>
      <vt:lpstr>Data_WerktijdfactorNatVerloop189</vt:lpstr>
      <vt:lpstr>Data_WerktijdfactorNatVerloop190</vt:lpstr>
      <vt:lpstr>Data_WerktijdfactorNatVerloop191</vt:lpstr>
      <vt:lpstr>Data_WerktijdfactorNatVerloop192</vt:lpstr>
      <vt:lpstr>Data_WerktijdfactorNatVerloop193</vt:lpstr>
      <vt:lpstr>Data_WerktijdfactorNatVerloop194</vt:lpstr>
      <vt:lpstr>Data_WerktijdfactorNatVerloop195</vt:lpstr>
      <vt:lpstr>Data_WerktijdfactorNatVerloop196</vt:lpstr>
      <vt:lpstr>Data_WerktijdfactorNatVerloop197</vt:lpstr>
      <vt:lpstr>Data_WerktijdfactorNatVerloop198</vt:lpstr>
      <vt:lpstr>Data_WerktijdfactorNatVerloop199</vt:lpstr>
      <vt:lpstr>Data_WerktijdfactorNatVerloop200</vt:lpstr>
      <vt:lpstr>Data_WerktijdfactorNatVerloop201</vt:lpstr>
      <vt:lpstr>Data_WerktijdfactorNatVerloop202</vt:lpstr>
      <vt:lpstr>Data_WerktijdfactorNatVerloop203</vt:lpstr>
      <vt:lpstr>Data_WerktijdfactorNatVerloop204</vt:lpstr>
      <vt:lpstr>Data_WerktijdfactorNatVerloop205</vt:lpstr>
      <vt:lpstr>Data_WerktijdfactorNatVerloop206</vt:lpstr>
      <vt:lpstr>Data_WerktijdfactorNatVerloop207</vt:lpstr>
      <vt:lpstr>Data_WerktijdfactorNatVerloop208</vt:lpstr>
      <vt:lpstr>Data_WerktijdfactorNatVerloop209</vt:lpstr>
      <vt:lpstr>Data_WerktijdfactorNatVerloop210</vt:lpstr>
      <vt:lpstr>Data_WerktijdfactorNatVerloop211</vt:lpstr>
      <vt:lpstr>Data_WerktijdfactorNatVerloop212</vt:lpstr>
      <vt:lpstr>Data_WerktijdfactorNatVerloop213</vt:lpstr>
      <vt:lpstr>Data_WerktijdfactorNatVerloop214</vt:lpstr>
      <vt:lpstr>Data_WerktijdfactorNatVerloop215</vt:lpstr>
      <vt:lpstr>Data_WerktijdfactorNatVerloop216</vt:lpstr>
      <vt:lpstr>Data_WerktijdfactorNatVerloop217</vt:lpstr>
      <vt:lpstr>Data_WerktijdfactorNatVerloop218</vt:lpstr>
      <vt:lpstr>Data_WerktijdfactorNatVerloop219</vt:lpstr>
      <vt:lpstr>Data_WerktijdfactorNatVerloop220</vt:lpstr>
      <vt:lpstr>Data_WerktijdfactorNatVerloop221</vt:lpstr>
      <vt:lpstr>Data_WerktijdfactorNatVerloop222</vt:lpstr>
      <vt:lpstr>Data_WerktijdfactorNatVerloop223</vt:lpstr>
      <vt:lpstr>Data_WerktijdfactorNatVerloop224</vt:lpstr>
      <vt:lpstr>Data_WerktijdfactorNatVerloop225</vt:lpstr>
      <vt:lpstr>Data_WerktijdfactorNatVerloop226</vt:lpstr>
      <vt:lpstr>Data_WerktijdfactorNatVerloop227</vt:lpstr>
      <vt:lpstr>Data_WerktijdfactorNatVerloop228</vt:lpstr>
      <vt:lpstr>Data_WerktijdfactorNatVerloop229</vt:lpstr>
      <vt:lpstr>Data_WerktijdfactorNatVerloop230</vt:lpstr>
      <vt:lpstr>Data_WerktijdfactorNatVerloop231</vt:lpstr>
      <vt:lpstr>Data_WerktijdfactorNatVerloop232</vt:lpstr>
      <vt:lpstr>Data_WerktijdfactorNatVerloop233</vt:lpstr>
      <vt:lpstr>Data_WerktijdfactorNatVerloop234</vt:lpstr>
      <vt:lpstr>Data_WerktijdfactorNatVerloop235</vt:lpstr>
      <vt:lpstr>Data_WerktijdfactorNatVerloop236</vt:lpstr>
      <vt:lpstr>Data_WerktijdfactorNatVerloop237</vt:lpstr>
      <vt:lpstr>Data_WerktijdfactorNatVerloop238</vt:lpstr>
      <vt:lpstr>Data_WerktijdfactorNatVerloop239</vt:lpstr>
      <vt:lpstr>Data_WerktijdfactorNatVerloop240</vt:lpstr>
      <vt:lpstr>Data_WerktijdfactorNatVerloop241</vt:lpstr>
      <vt:lpstr>Data_WerktijdfactorNatVerloop242</vt:lpstr>
      <vt:lpstr>Data_WerktijdfactorNatVerloop243</vt:lpstr>
      <vt:lpstr>Data_WerktijdfactorNatVerloop244</vt:lpstr>
      <vt:lpstr>Data_WerktijdfactorNatVerloop245</vt:lpstr>
      <vt:lpstr>Data_WerktijdfactorNatVerloop246</vt:lpstr>
      <vt:lpstr>Data_WerktijdfactorNatVerloop247</vt:lpstr>
      <vt:lpstr>Data_WerktijdfactorNatVerloop248</vt:lpstr>
      <vt:lpstr>Data_WerktijdfactorNatVerloop249</vt:lpstr>
      <vt:lpstr>Data_WerktijdfactorNatVerloop250</vt:lpstr>
      <vt:lpstr>Data_WerktijdfactorNatVerloop251</vt:lpstr>
      <vt:lpstr>Data_WerktijdfactorNatVerloop252</vt:lpstr>
      <vt:lpstr>Data_WerktijdfactorNatVerloop253</vt:lpstr>
      <vt:lpstr>Data_WerktijdfactorNatVerloop254</vt:lpstr>
      <vt:lpstr>Data_WerktijdfactorNatVerloop255</vt:lpstr>
      <vt:lpstr>Data_WerktijdfactorNatVerloop256</vt:lpstr>
      <vt:lpstr>Data_WerktijdfactorNatVerloop257</vt:lpstr>
      <vt:lpstr>Data_WerktijdfactorNatVerloop258</vt:lpstr>
      <vt:lpstr>Data_WerktijdfactorNatVerloop259</vt:lpstr>
      <vt:lpstr>Data_WerktijdfactorNatVerloop260</vt:lpstr>
      <vt:lpstr>Data_WerktijdfactorNatVerloop261</vt:lpstr>
      <vt:lpstr>Data_WerktijdfactorNatVerloop262</vt:lpstr>
      <vt:lpstr>Data_WerktijdfactorNatVerloop263</vt:lpstr>
      <vt:lpstr>Data_WerktijdfactorNatVerloop264</vt:lpstr>
      <vt:lpstr>Data_WerktijdfactorNatVerloop265</vt:lpstr>
      <vt:lpstr>Data_WerktijdfactorNatVerloop266</vt:lpstr>
      <vt:lpstr>Data_WerktijdfactorNatVerloop267</vt:lpstr>
      <vt:lpstr>Data_WerktijdfactorNatVerloop268</vt:lpstr>
      <vt:lpstr>Data_WerktijdfactorNatVerloop269</vt:lpstr>
      <vt:lpstr>Data_WerktijdfactorNatVerloop270</vt:lpstr>
      <vt:lpstr>Data_WerktijdfactorNatVerloop271</vt:lpstr>
      <vt:lpstr>Data_WerktijdfactorNatVerloop272</vt:lpstr>
      <vt:lpstr>Data_WerktijdfactorNatVerloop273</vt:lpstr>
      <vt:lpstr>Data_WerktijdfactorNatVerloop274</vt:lpstr>
      <vt:lpstr>Data_WerktijdfactorNatVerloop275</vt:lpstr>
      <vt:lpstr>Data_WerktijdfactorNatVerloop276</vt:lpstr>
      <vt:lpstr>Data_WerktijdfactorNatVerloop277</vt:lpstr>
      <vt:lpstr>Data_WerktijdfactorNatVerloop278</vt:lpstr>
      <vt:lpstr>Data_WerktijdfactorNatVerloop279</vt:lpstr>
      <vt:lpstr>Data_WerktijdfactorNatVerloop280</vt:lpstr>
      <vt:lpstr>Data_WerktijdfactorNatVerloop281</vt:lpstr>
      <vt:lpstr>Data_WerktijdfactorNatVerloop282</vt:lpstr>
      <vt:lpstr>Data_WerktijdfactorNatVerloop283</vt:lpstr>
      <vt:lpstr>Data_WerktijdfactorNatVerloop284</vt:lpstr>
      <vt:lpstr>Data_WerktijdfactorNatVerloop285</vt:lpstr>
      <vt:lpstr>Data_WerktijdfactorNatVerloop286</vt:lpstr>
      <vt:lpstr>Data_WerktijdfactorNatVerloop287</vt:lpstr>
      <vt:lpstr>Data_WerktijdfactorNatVerloop288</vt:lpstr>
      <vt:lpstr>Data_WerktijdfactorNatVerloop289</vt:lpstr>
      <vt:lpstr>Data_WerktijdfactorNatVerloop290</vt:lpstr>
      <vt:lpstr>Data_WerktijdfactorNatVerloop291</vt:lpstr>
      <vt:lpstr>Data_WerktijdfactorNatVerloop292</vt:lpstr>
      <vt:lpstr>Data_WerktijdfactorNatVerloop293</vt:lpstr>
      <vt:lpstr>Data_WerktijdfactorNatVerloop294</vt:lpstr>
      <vt:lpstr>Data_WerktijdfactorNatVerloop295</vt:lpstr>
      <vt:lpstr>Data_WerktijdfactorNatVerloop296</vt:lpstr>
      <vt:lpstr>Data_WerktijdfactorNatVerloop297</vt:lpstr>
      <vt:lpstr>Data_WerktijdfactorNatVerloop298</vt:lpstr>
      <vt:lpstr>Data_WerktijdfactorNatVerloop299</vt:lpstr>
      <vt:lpstr>Data_WerktijdfactorNatVerloop300</vt:lpstr>
      <vt:lpstr>Data_WerktijdfactorNatVerloop301</vt:lpstr>
      <vt:lpstr>Data_WerktijdfactorNatVerloop302</vt:lpstr>
      <vt:lpstr>Data_WerktijdfactorNatVerloop303</vt:lpstr>
      <vt:lpstr>Data_WerktijdfactorNatVerloop304</vt:lpstr>
      <vt:lpstr>Data_WerktijdfactorNatVerloop305</vt:lpstr>
      <vt:lpstr>Data_WerktijdfactorNatVerloop306</vt:lpstr>
      <vt:lpstr>Data_WerktijdfactorNatVerloop307</vt:lpstr>
      <vt:lpstr>Data_WerktijdfactorNatVerloop308</vt:lpstr>
      <vt:lpstr>Data_WerktijdfactorNatVerloop309</vt:lpstr>
      <vt:lpstr>Data_WerktijdfactorNatVerloop310</vt:lpstr>
      <vt:lpstr>Data_WerktijdfactorNatVerloop311</vt:lpstr>
      <vt:lpstr>Data_WerktijdfactorNatVerloop312</vt:lpstr>
      <vt:lpstr>Data_WerktijdfactorNatVerloop313</vt:lpstr>
      <vt:lpstr>Data_WerktijdfactorNatVerloop314</vt:lpstr>
      <vt:lpstr>Data_WerktijdfactorNatVerloop315</vt:lpstr>
      <vt:lpstr>Data_WerktijdfactorNatVerloop316</vt:lpstr>
      <vt:lpstr>Data_WerktijdfactorNatVerloop317</vt:lpstr>
      <vt:lpstr>Data_WerktijdfactorNatVerloop318</vt:lpstr>
      <vt:lpstr>Data_WerktijdfactorNatVerloop319</vt:lpstr>
      <vt:lpstr>Data_WerktijdfactorNatVerloop320</vt:lpstr>
      <vt:lpstr>Data_WerktijdfactorNatVerloop321</vt:lpstr>
      <vt:lpstr>Data_WerktijdfactorNatVerloop322</vt:lpstr>
      <vt:lpstr>Data_WerktijdfactorNatVerloop323</vt:lpstr>
      <vt:lpstr>Data_WerktijdfactorNatVerloop324</vt:lpstr>
      <vt:lpstr>Data_WerktijdfactorNatVerloop325</vt:lpstr>
      <vt:lpstr>Data_WerktijdfactorNatVerloop326</vt:lpstr>
      <vt:lpstr>Data_WerktijdfactorNatVerloop327</vt:lpstr>
      <vt:lpstr>Data_WerktijdfactorNatVerloop328</vt:lpstr>
      <vt:lpstr>Data_WerktijdfactorNatVerloop329</vt:lpstr>
      <vt:lpstr>Data_WerktijdfactorNatVerloop330</vt:lpstr>
      <vt:lpstr>Data_WerktijdfactorNatVerloop331</vt:lpstr>
      <vt:lpstr>Data_WerktijdfactorNatVerloop332</vt:lpstr>
      <vt:lpstr>Data_WerktijdfactorNatVerloop333</vt:lpstr>
      <vt:lpstr>Data_WerktijdfactorNatVerloop334</vt:lpstr>
      <vt:lpstr>Data_WerktijdfactorNatVerloop335</vt:lpstr>
      <vt:lpstr>Data_WerktijdfactorNatVerloop336</vt:lpstr>
      <vt:lpstr>Data_WerktijdfactorNatVerloop337</vt:lpstr>
      <vt:lpstr>Data_WerktijdfactorNatVerloop338</vt:lpstr>
      <vt:lpstr>Data_WerktijdfactorNatVerloop339</vt:lpstr>
      <vt:lpstr>Data_WerktijdfactorNatVerloop340</vt:lpstr>
      <vt:lpstr>Data_WerktijdfactorNatVerloop341</vt:lpstr>
      <vt:lpstr>Data_WerktijdfactorNatVerloop342</vt:lpstr>
      <vt:lpstr>Data_WerktijdfactorNatVerloop343</vt:lpstr>
      <vt:lpstr>Data_WerktijdfactorNatVerloop344</vt:lpstr>
      <vt:lpstr>Data_WerktijdfactorNatVerloop345</vt:lpstr>
      <vt:lpstr>Data_WerktijdfactorNatVerloop346</vt:lpstr>
      <vt:lpstr>Data_WerktijdfactorNatVerloop347</vt:lpstr>
      <vt:lpstr>Data_WerktijdfactorNatVerloop348</vt:lpstr>
      <vt:lpstr>Data_WerktijdfactorNatVerloop349</vt:lpstr>
      <vt:lpstr>Data_WerktijdfactorNatVerloop350</vt:lpstr>
      <vt:lpstr>Data_WerktijdfactorNatVerloop351</vt:lpstr>
      <vt:lpstr>Data_WerktijdfactorNatVerloop352</vt:lpstr>
      <vt:lpstr>Data_WerktijdfactorNatVerloop353</vt:lpstr>
      <vt:lpstr>Data_WerktijdfactorNatVerloop354</vt:lpstr>
      <vt:lpstr>Data_WerktijdfactorNatVerloop355</vt:lpstr>
      <vt:lpstr>Data_WerktijdfactorNatVerloop356</vt:lpstr>
      <vt:lpstr>Data_WerktijdfactorNatVerloop357</vt:lpstr>
      <vt:lpstr>Data_WerktijdfactorNatVerloop358</vt:lpstr>
      <vt:lpstr>Data_WerktijdfactorNatVerloop359</vt:lpstr>
      <vt:lpstr>Data_WerktijdfactorNatVerloop360</vt:lpstr>
      <vt:lpstr>Data_WerktijdfactorNatVerloop361</vt:lpstr>
      <vt:lpstr>Data_WerktijdfactorNatVerloop362</vt:lpstr>
      <vt:lpstr>Data_WerktijdfactorNatVerloop363</vt:lpstr>
      <vt:lpstr>Data_WerktijdfactorNatVerloop364</vt:lpstr>
      <vt:lpstr>Data_WerktijdfactorNatVerloop365</vt:lpstr>
      <vt:lpstr>Data_WerktijdfactorNatVerloop366</vt:lpstr>
      <vt:lpstr>Data_WerktijdfactorNatVerloop367</vt:lpstr>
      <vt:lpstr>Data_WerktijdfactorNatVerloop368</vt:lpstr>
      <vt:lpstr>Data_WerktijdfactorNatVerloop369</vt:lpstr>
      <vt:lpstr>Data_WerktijdfactorNatVerloop370</vt:lpstr>
      <vt:lpstr>Data_WerktijdfactorNatVerloop371</vt:lpstr>
      <vt:lpstr>Data_WerktijdfactorNatVerloop372</vt:lpstr>
      <vt:lpstr>Data_WerktijdfactorNatVerloop373</vt:lpstr>
      <vt:lpstr>Data_WerktijdfactorNatVerloop374</vt:lpstr>
      <vt:lpstr>Data_WerktijdfactorNatVerloop375</vt:lpstr>
      <vt:lpstr>Data_WerktijdfactorNatVerloop376</vt:lpstr>
      <vt:lpstr>Data_WerktijdfactorNatVerloop377</vt:lpstr>
      <vt:lpstr>Data_WerktijdfactorNatVerloop378</vt:lpstr>
      <vt:lpstr>Data_WerktijdfactorNatVerloop379</vt:lpstr>
      <vt:lpstr>Data_WerktijdfactorNatVerloop380</vt:lpstr>
      <vt:lpstr>Data_WerktijdfactorNatVerloop381</vt:lpstr>
      <vt:lpstr>Data_WerktijdfactorNatVerloop382</vt:lpstr>
      <vt:lpstr>Data_WerktijdfactorNatVerloop383</vt:lpstr>
      <vt:lpstr>Data_WerktijdfactorNatVerloop384</vt:lpstr>
      <vt:lpstr>Data_WerktijdfactorNatVerloop385</vt:lpstr>
      <vt:lpstr>Data_WerktijdfactorNatVerloop386</vt:lpstr>
      <vt:lpstr>Data_WerktijdfactorNatVerloop387</vt:lpstr>
      <vt:lpstr>Data_WerktijdfactorNatVerloop388</vt:lpstr>
      <vt:lpstr>Data_WerktijdfactorNatVerloop389</vt:lpstr>
      <vt:lpstr>Data_WerktijdfactorNatVerloop390</vt:lpstr>
      <vt:lpstr>Data_WerktijdfactorNatVerloop391</vt:lpstr>
      <vt:lpstr>Data_WerktijdfactorNatVerloop392</vt:lpstr>
      <vt:lpstr>Data_WerktijdfactorNatVerloop393</vt:lpstr>
      <vt:lpstr>Data_WerktijdfactorNatVerloop394</vt:lpstr>
      <vt:lpstr>Data_WerktijdfactorNatVerloop395</vt:lpstr>
      <vt:lpstr>Data_WerktijdfactorNatVerloop396</vt:lpstr>
      <vt:lpstr>Data_WerktijdfactorNatVerloop397</vt:lpstr>
      <vt:lpstr>Data_WerktijdfactorNatVerloop398</vt:lpstr>
      <vt:lpstr>Data_WerktijdfactorNatVerloop399</vt:lpstr>
      <vt:lpstr>Data_WerktijdfactorNatVerloop400</vt:lpstr>
      <vt:lpstr>Data_WerktijdfactorNatVerloop401</vt:lpstr>
      <vt:lpstr>Data_WerktijdfactorNatVerloop402</vt:lpstr>
      <vt:lpstr>Data_WerktijdfactorNatVerloop403</vt:lpstr>
      <vt:lpstr>Data_WerktijdfactorNatVerloop404</vt:lpstr>
      <vt:lpstr>Data_WerktijdfactorNatVerloop405</vt:lpstr>
      <vt:lpstr>Data_WerktijdfactorNatVerloop406</vt:lpstr>
      <vt:lpstr>Data_WerktijdfactorNatVerloop407</vt:lpstr>
      <vt:lpstr>Data_WerktijdfactorNatVerloop408</vt:lpstr>
      <vt:lpstr>Data_WerktijdfactorNatVerloop409</vt:lpstr>
      <vt:lpstr>Data_WerktijdfactorNatVerloop410</vt:lpstr>
      <vt:lpstr>Data_WerktijdfactorNatVerloop411</vt:lpstr>
      <vt:lpstr>Data_WerktijdfactorNatVerloop412</vt:lpstr>
      <vt:lpstr>Data_WerktijdfactorNatVerloop413</vt:lpstr>
      <vt:lpstr>Data_WerktijdfactorNatVerloop414</vt:lpstr>
      <vt:lpstr>Data_WerktijdfactorNatVerloop415</vt:lpstr>
      <vt:lpstr>Data_WerktijdfactorNatVerloop416</vt:lpstr>
      <vt:lpstr>Data_WerktijdfactorNatVerloop417</vt:lpstr>
      <vt:lpstr>Data_WerktijdfactorNatVerloop418</vt:lpstr>
      <vt:lpstr>Data_WerktijdfactorNatVerloop419</vt:lpstr>
      <vt:lpstr>Data_WerktijdfactorNatVerloop420</vt:lpstr>
      <vt:lpstr>Data_WerktijdfactorNatVerloop421</vt:lpstr>
      <vt:lpstr>Data_WerktijdfactorNatVerloop422</vt:lpstr>
      <vt:lpstr>Data_WerktijdfactorNatVerloop423</vt:lpstr>
      <vt:lpstr>Data_WerktijdfactorNatVerloop424</vt:lpstr>
      <vt:lpstr>Data_WerktijdfactorNatVerloop425</vt:lpstr>
      <vt:lpstr>Data_WerktijdfactorNatVerloop426</vt:lpstr>
      <vt:lpstr>Data_WerktijdfactorNatVerloop427</vt:lpstr>
      <vt:lpstr>Data_WerktijdfactorNatVerloop428</vt:lpstr>
      <vt:lpstr>Data_WerktijdfactorNatVerloop429</vt:lpstr>
      <vt:lpstr>Data_WerktijdfactorNatVerloop430</vt:lpstr>
      <vt:lpstr>Data_WerktijdfactorNatVerloop431</vt:lpstr>
      <vt:lpstr>Data_WerktijdfactorNatVerloop432</vt:lpstr>
      <vt:lpstr>Data_WerktijdfactorNatVerloop433</vt:lpstr>
      <vt:lpstr>Data_WerktijdfactorNatVerloop434</vt:lpstr>
      <vt:lpstr>Data_WerktijdfactorNatVerloop435</vt:lpstr>
      <vt:lpstr>Data_WerktijdfactorNatVerloop436</vt:lpstr>
      <vt:lpstr>Data_WerktijdfactorNatVerloop437</vt:lpstr>
      <vt:lpstr>Data_WerktijdfactorNatVerloop438</vt:lpstr>
      <vt:lpstr>Data_WerktijdfactorNatVerloop439</vt:lpstr>
      <vt:lpstr>Data_WerktijdfactorNatVerloop440</vt:lpstr>
      <vt:lpstr>Data_WerktijdfactorNatVerloop441</vt:lpstr>
      <vt:lpstr>Data_WerktijdfactorNatVerloop442</vt:lpstr>
      <vt:lpstr>Data_WerktijdfactorNatVerloop443</vt:lpstr>
      <vt:lpstr>Data_WerktijdfactorNatVerloop444</vt:lpstr>
      <vt:lpstr>Data_WerktijdfactorNatVerloop445</vt:lpstr>
      <vt:lpstr>Data_WerktijdfactorNatVerloop446</vt:lpstr>
      <vt:lpstr>Data_WerktijdfactorNatVerloop447</vt:lpstr>
      <vt:lpstr>Data_WerktijdfactorNatVerloop448</vt:lpstr>
      <vt:lpstr>Data_WerktijdfactorNatVerloop449</vt:lpstr>
      <vt:lpstr>Data_WerktijdfactorNatVerloop450</vt:lpstr>
      <vt:lpstr>Data_WerktijdfactorNatVerloop451</vt:lpstr>
      <vt:lpstr>Data_WerktijdfactorNatVerloop452</vt:lpstr>
      <vt:lpstr>Data_WerktijdfactorNatVerloop453</vt:lpstr>
      <vt:lpstr>Data_WerktijdfactorNatVerloop454</vt:lpstr>
      <vt:lpstr>Data_WerktijdfactorNatVerloop455</vt:lpstr>
      <vt:lpstr>Data_WerktijdfactorNatVerloop456</vt:lpstr>
      <vt:lpstr>Data_WerktijdfactorNatVerloop457</vt:lpstr>
      <vt:lpstr>Data_WerktijdfactorNatVerloop458</vt:lpstr>
      <vt:lpstr>Data_WerktijdfactorNatVerloop459</vt:lpstr>
      <vt:lpstr>Data_WerktijdfactorNatVerloop460</vt:lpstr>
      <vt:lpstr>Data_WerktijdfactorNatVerloop461</vt:lpstr>
      <vt:lpstr>Data_WerktijdfactorNatVerloop462</vt:lpstr>
      <vt:lpstr>Data_WerktijdfactorNatVerloop463</vt:lpstr>
      <vt:lpstr>Data_WerktijdfactorNatVerloop464</vt:lpstr>
      <vt:lpstr>Data_WerktijdfactorNatVerloop465</vt:lpstr>
      <vt:lpstr>Data_WerktijdfactorNatVerloop466</vt:lpstr>
      <vt:lpstr>Data_WerktijdfactorNatVerloop467</vt:lpstr>
      <vt:lpstr>Data_WerktijdfactorNatVerloop468</vt:lpstr>
      <vt:lpstr>Data_WerktijdfactorNatVerloop469</vt:lpstr>
      <vt:lpstr>Data_WerktijdfactorNatVerloop470</vt:lpstr>
      <vt:lpstr>Data_WerktijdfactorNatVerloop471</vt:lpstr>
      <vt:lpstr>Data_WerktijdfactorNatVerloop472</vt:lpstr>
      <vt:lpstr>Data_WerktijdfactorNatVerloop473</vt:lpstr>
      <vt:lpstr>Data_WerktijdfactorNatVerloop474</vt:lpstr>
      <vt:lpstr>Data_WerktijdfactorNatVerloop475</vt:lpstr>
      <vt:lpstr>Data_WerktijdfactorNatVerloop476</vt:lpstr>
      <vt:lpstr>Data_WerktijdfactorNatVerloop477</vt:lpstr>
      <vt:lpstr>Data_WerktijdfactorNatVerloop478</vt:lpstr>
      <vt:lpstr>Data_WerktijdfactorNatVerloop479</vt:lpstr>
      <vt:lpstr>Data_WerktijdfactorNatVerloop480</vt:lpstr>
      <vt:lpstr>Data_WerktijdfactorNatVerloop481</vt:lpstr>
      <vt:lpstr>Data_WerktijdfactorNatVerloop482</vt:lpstr>
      <vt:lpstr>Data_WerktijdfactorNatVerloop483</vt:lpstr>
      <vt:lpstr>Data_WerktijdfactorNatVerloop484</vt:lpstr>
      <vt:lpstr>Data_WerktijdfactorNatVerloop485</vt:lpstr>
      <vt:lpstr>Data_WerktijdfactorNatVerloop486</vt:lpstr>
      <vt:lpstr>Data_WerktijdfactorNatVerloop487</vt:lpstr>
      <vt:lpstr>Data_WerktijdfactorNatVerloop488</vt:lpstr>
      <vt:lpstr>Data_WerktijdfactorNatVerloop489</vt:lpstr>
      <vt:lpstr>Data_WerktijdfactorNatVerloop490</vt:lpstr>
      <vt:lpstr>Data_WerktijdfactorNatVerloop491</vt:lpstr>
      <vt:lpstr>Data_WerktijdfactorNatVerloop492</vt:lpstr>
      <vt:lpstr>Data_WerktijdfactorNatVerloop493</vt:lpstr>
      <vt:lpstr>Data_WerktijdfactorNatVerloop494</vt:lpstr>
      <vt:lpstr>Data_WerktijdfactorNatVerloop495</vt:lpstr>
      <vt:lpstr>Data_WerktijdfactorNatVerloop496</vt:lpstr>
      <vt:lpstr>Data_WerktijdfactorNatVerloop497</vt:lpstr>
      <vt:lpstr>Data_WerktijdfactorNatVerloop498</vt:lpstr>
      <vt:lpstr>Data_WerktijdfactorNatVerloop499</vt:lpstr>
      <vt:lpstr>Data_WerktijdfactorNatVerloop500</vt:lpstr>
      <vt:lpstr>Data_WerktijdfactorTijd001</vt:lpstr>
      <vt:lpstr>Data_WerktijdfactorTijd002</vt:lpstr>
      <vt:lpstr>Data_WerktijdfactorTijd003</vt:lpstr>
      <vt:lpstr>Data_WerktijdfactorTijd004</vt:lpstr>
      <vt:lpstr>Data_WerktijdfactorTijd005</vt:lpstr>
      <vt:lpstr>Data_WerktijdfactorTijd006</vt:lpstr>
      <vt:lpstr>Data_WerktijdfactorTijd007</vt:lpstr>
      <vt:lpstr>Data_WerktijdfactorTijd008</vt:lpstr>
      <vt:lpstr>Data_WerktijdfactorTijd009</vt:lpstr>
      <vt:lpstr>Data_WerktijdfactorTijd010</vt:lpstr>
      <vt:lpstr>Data_WerktijdfactorTijd011</vt:lpstr>
      <vt:lpstr>Data_WerktijdfactorTijd012</vt:lpstr>
      <vt:lpstr>Data_WerktijdfactorTijd013</vt:lpstr>
      <vt:lpstr>Data_WerktijdfactorTijd014</vt:lpstr>
      <vt:lpstr>Data_WerktijdfactorTijd015</vt:lpstr>
      <vt:lpstr>Data_WerktijdfactorTijd016</vt:lpstr>
      <vt:lpstr>Data_WerktijdfactorTijd017</vt:lpstr>
      <vt:lpstr>Data_WerktijdfactorTijd018</vt:lpstr>
      <vt:lpstr>Data_WerktijdfactorTijd019</vt:lpstr>
      <vt:lpstr>Data_WerktijdfactorTijd020</vt:lpstr>
      <vt:lpstr>Data_WerktijdfactorTijd021</vt:lpstr>
      <vt:lpstr>Data_WerktijdfactorTijd022</vt:lpstr>
      <vt:lpstr>Data_WerktijdfactorTijd023</vt:lpstr>
      <vt:lpstr>Data_WerktijdfactorTijd024</vt:lpstr>
      <vt:lpstr>Data_WerktijdfactorTijd025</vt:lpstr>
      <vt:lpstr>Data_WerktijdfactorTijd026</vt:lpstr>
      <vt:lpstr>Data_WerktijdfactorTijd027</vt:lpstr>
      <vt:lpstr>Data_WerktijdfactorTijd028</vt:lpstr>
      <vt:lpstr>Data_WerktijdfactorTijd029</vt:lpstr>
      <vt:lpstr>Data_WerktijdfactorTijd030</vt:lpstr>
      <vt:lpstr>Data_WerktijdfactorTijd031</vt:lpstr>
      <vt:lpstr>Data_WerktijdfactorTijd032</vt:lpstr>
      <vt:lpstr>Data_WerktijdfactorTijd033</vt:lpstr>
      <vt:lpstr>Data_WerktijdfactorTijd034</vt:lpstr>
      <vt:lpstr>Data_WerktijdfactorTijd035</vt:lpstr>
      <vt:lpstr>Data_WerktijdfactorTijd036</vt:lpstr>
      <vt:lpstr>Data_WerktijdfactorTijd037</vt:lpstr>
      <vt:lpstr>Data_WerktijdfactorTijd038</vt:lpstr>
      <vt:lpstr>Data_WerktijdfactorTijd039</vt:lpstr>
      <vt:lpstr>Data_WerktijdfactorTijd040</vt:lpstr>
      <vt:lpstr>Data_WerktijdfactorTijd041</vt:lpstr>
      <vt:lpstr>Data_WerktijdfactorTijd042</vt:lpstr>
      <vt:lpstr>Data_WerktijdfactorTijd043</vt:lpstr>
      <vt:lpstr>Data_WerktijdfactorTijd044</vt:lpstr>
      <vt:lpstr>Data_WerktijdfactorTijd045</vt:lpstr>
      <vt:lpstr>Data_WerktijdfactorTijd046</vt:lpstr>
      <vt:lpstr>Data_WerktijdfactorTijd047</vt:lpstr>
      <vt:lpstr>Data_WerktijdfactorTijd048</vt:lpstr>
      <vt:lpstr>Data_WerktijdfactorTijd049</vt:lpstr>
      <vt:lpstr>Data_WerktijdfactorTijd050</vt:lpstr>
      <vt:lpstr>Data_WerktijdfactorTijd051</vt:lpstr>
      <vt:lpstr>Data_WerktijdfactorTijd052</vt:lpstr>
      <vt:lpstr>Data_WerktijdfactorTijd053</vt:lpstr>
      <vt:lpstr>Data_WerktijdfactorTijd054</vt:lpstr>
      <vt:lpstr>Data_WerktijdfactorTijd055</vt:lpstr>
      <vt:lpstr>Data_WerktijdfactorTijd056</vt:lpstr>
      <vt:lpstr>Data_WerktijdfactorTijd057</vt:lpstr>
      <vt:lpstr>Data_WerktijdfactorTijd058</vt:lpstr>
      <vt:lpstr>Data_WerktijdfactorTijd059</vt:lpstr>
      <vt:lpstr>Data_WerktijdfactorTijd060</vt:lpstr>
      <vt:lpstr>Data_WerktijdfactorTijd061</vt:lpstr>
      <vt:lpstr>Data_WerktijdfactorTijd062</vt:lpstr>
      <vt:lpstr>Data_WerktijdfactorTijd063</vt:lpstr>
      <vt:lpstr>Data_WerktijdfactorTijd064</vt:lpstr>
      <vt:lpstr>Data_WerktijdfactorTijd065</vt:lpstr>
      <vt:lpstr>Data_WerktijdfactorTijd066</vt:lpstr>
      <vt:lpstr>Data_WerktijdfactorTijd067</vt:lpstr>
      <vt:lpstr>Data_WerktijdfactorTijd068</vt:lpstr>
      <vt:lpstr>Data_WerktijdfactorTijd069</vt:lpstr>
      <vt:lpstr>Data_WerktijdfactorTijd070</vt:lpstr>
      <vt:lpstr>Data_WerktijdfactorTijd071</vt:lpstr>
      <vt:lpstr>Data_WerktijdfactorTijd072</vt:lpstr>
      <vt:lpstr>Data_WerktijdfactorTijd073</vt:lpstr>
      <vt:lpstr>Data_WerktijdfactorTijd074</vt:lpstr>
      <vt:lpstr>Data_WerktijdfactorTijd075</vt:lpstr>
      <vt:lpstr>Data_WerktijdfactorTijd076</vt:lpstr>
      <vt:lpstr>Data_WerktijdfactorTijd077</vt:lpstr>
      <vt:lpstr>Data_WerktijdfactorTijd078</vt:lpstr>
      <vt:lpstr>Data_WerktijdfactorTijd079</vt:lpstr>
      <vt:lpstr>Data_WerktijdfactorTijd080</vt:lpstr>
      <vt:lpstr>Data_WerktijdfactorTijd081</vt:lpstr>
      <vt:lpstr>Data_WerktijdfactorTijd082</vt:lpstr>
      <vt:lpstr>Data_WerktijdfactorTijd083</vt:lpstr>
      <vt:lpstr>Data_WerktijdfactorTijd084</vt:lpstr>
      <vt:lpstr>Data_WerktijdfactorTijd085</vt:lpstr>
      <vt:lpstr>Data_WerktijdfactorTijd086</vt:lpstr>
      <vt:lpstr>Data_WerktijdfactorTijd087</vt:lpstr>
      <vt:lpstr>Data_WerktijdfactorTijd088</vt:lpstr>
      <vt:lpstr>Data_WerktijdfactorTijd089</vt:lpstr>
      <vt:lpstr>Data_WerktijdfactorTijd090</vt:lpstr>
      <vt:lpstr>Data_WerktijdfactorTijd091</vt:lpstr>
      <vt:lpstr>Data_WerktijdfactorTijd092</vt:lpstr>
      <vt:lpstr>Data_WerktijdfactorTijd093</vt:lpstr>
      <vt:lpstr>Data_WerktijdfactorTijd094</vt:lpstr>
      <vt:lpstr>Data_WerktijdfactorTijd095</vt:lpstr>
      <vt:lpstr>Data_WerktijdfactorTijd096</vt:lpstr>
      <vt:lpstr>Data_WerktijdfactorTijd097</vt:lpstr>
      <vt:lpstr>Data_WerktijdfactorTijd098</vt:lpstr>
      <vt:lpstr>Data_WerktijdfactorTijd099</vt:lpstr>
      <vt:lpstr>Data_WerktijdfactorTijd100</vt:lpstr>
      <vt:lpstr>Data_WerktijdfactorTijd101</vt:lpstr>
      <vt:lpstr>Data_WerktijdfactorTijd102</vt:lpstr>
      <vt:lpstr>Data_WerktijdfactorTijd103</vt:lpstr>
      <vt:lpstr>Data_WerktijdfactorTijd104</vt:lpstr>
      <vt:lpstr>Data_WerktijdfactorTijd105</vt:lpstr>
      <vt:lpstr>Data_WerktijdfactorTijd106</vt:lpstr>
      <vt:lpstr>Data_WerktijdfactorTijd107</vt:lpstr>
      <vt:lpstr>Data_WerktijdfactorTijd108</vt:lpstr>
      <vt:lpstr>Data_WerktijdfactorTijd109</vt:lpstr>
      <vt:lpstr>Data_WerktijdfactorTijd110</vt:lpstr>
      <vt:lpstr>Data_WerktijdfactorTijd111</vt:lpstr>
      <vt:lpstr>Data_WerktijdfactorTijd112</vt:lpstr>
      <vt:lpstr>Data_WerktijdfactorTijd113</vt:lpstr>
      <vt:lpstr>Data_WerktijdfactorTijd114</vt:lpstr>
      <vt:lpstr>Data_WerktijdfactorTijd115</vt:lpstr>
      <vt:lpstr>Data_WerktijdfactorTijd116</vt:lpstr>
      <vt:lpstr>Data_WerktijdfactorTijd117</vt:lpstr>
      <vt:lpstr>Data_WerktijdfactorTijd118</vt:lpstr>
      <vt:lpstr>Data_WerktijdfactorTijd119</vt:lpstr>
      <vt:lpstr>Data_WerktijdfactorTijd120</vt:lpstr>
      <vt:lpstr>Data_WerktijdfactorTijd121</vt:lpstr>
      <vt:lpstr>Data_WerktijdfactorTijd122</vt:lpstr>
      <vt:lpstr>Data_WerktijdfactorTijd123</vt:lpstr>
      <vt:lpstr>Data_WerktijdfactorTijd124</vt:lpstr>
      <vt:lpstr>Data_WerktijdfactorTijd125</vt:lpstr>
      <vt:lpstr>Data_WerktijdfactorTijd126</vt:lpstr>
      <vt:lpstr>Data_WerktijdfactorTijd127</vt:lpstr>
      <vt:lpstr>Data_WerktijdfactorTijd128</vt:lpstr>
      <vt:lpstr>Data_WerktijdfactorTijd129</vt:lpstr>
      <vt:lpstr>Data_WerktijdfactorTijd130</vt:lpstr>
      <vt:lpstr>Data_WerktijdfactorTijd131</vt:lpstr>
      <vt:lpstr>Data_WerktijdfactorTijd132</vt:lpstr>
      <vt:lpstr>Data_WerktijdfactorTijd133</vt:lpstr>
      <vt:lpstr>Data_WerktijdfactorTijd134</vt:lpstr>
      <vt:lpstr>Data_WerktijdfactorTijd135</vt:lpstr>
      <vt:lpstr>Data_WerktijdfactorTijd136</vt:lpstr>
      <vt:lpstr>Data_WerktijdfactorTijd137</vt:lpstr>
      <vt:lpstr>Data_WerktijdfactorTijd138</vt:lpstr>
      <vt:lpstr>Data_WerktijdfactorTijd139</vt:lpstr>
      <vt:lpstr>Data_WerktijdfactorTijd140</vt:lpstr>
      <vt:lpstr>Data_WerktijdfactorTijd141</vt:lpstr>
      <vt:lpstr>Data_WerktijdfactorTijd142</vt:lpstr>
      <vt:lpstr>Data_WerktijdfactorTijd143</vt:lpstr>
      <vt:lpstr>Data_WerktijdfactorTijd144</vt:lpstr>
      <vt:lpstr>Data_WerktijdfactorTijd145</vt:lpstr>
      <vt:lpstr>Data_WerktijdfactorTijd146</vt:lpstr>
      <vt:lpstr>Data_WerktijdfactorTijd147</vt:lpstr>
      <vt:lpstr>Data_WerktijdfactorTijd148</vt:lpstr>
      <vt:lpstr>Data_WerktijdfactorTijd149</vt:lpstr>
      <vt:lpstr>Data_WerktijdfactorTijd150</vt:lpstr>
      <vt:lpstr>Data_WerktijdfactorTijd151</vt:lpstr>
      <vt:lpstr>Data_WerktijdfactorTijd152</vt:lpstr>
      <vt:lpstr>Data_WerktijdfactorTijd153</vt:lpstr>
      <vt:lpstr>Data_WerktijdfactorTijd154</vt:lpstr>
      <vt:lpstr>Data_WerktijdfactorTijd155</vt:lpstr>
      <vt:lpstr>Data_WerktijdfactorTijd156</vt:lpstr>
      <vt:lpstr>Data_WerktijdfactorTijd157</vt:lpstr>
      <vt:lpstr>Data_WerktijdfactorTijd158</vt:lpstr>
      <vt:lpstr>Data_WerktijdfactorTijd159</vt:lpstr>
      <vt:lpstr>Data_WerktijdfactorTijd160</vt:lpstr>
      <vt:lpstr>Data_WerktijdfactorTijd161</vt:lpstr>
      <vt:lpstr>Data_WerktijdfactorTijd162</vt:lpstr>
      <vt:lpstr>Data_WerktijdfactorTijd163</vt:lpstr>
      <vt:lpstr>Data_WerktijdfactorTijd164</vt:lpstr>
      <vt:lpstr>Data_WerktijdfactorTijd165</vt:lpstr>
      <vt:lpstr>Data_WerktijdfactorTijd166</vt:lpstr>
      <vt:lpstr>Data_WerktijdfactorTijd167</vt:lpstr>
      <vt:lpstr>Data_WerktijdfactorTijd168</vt:lpstr>
      <vt:lpstr>Data_WerktijdfactorTijd169</vt:lpstr>
      <vt:lpstr>Data_WerktijdfactorTijd170</vt:lpstr>
      <vt:lpstr>Data_WerktijdfactorTijd171</vt:lpstr>
      <vt:lpstr>Data_WerktijdfactorTijd172</vt:lpstr>
      <vt:lpstr>Data_WerktijdfactorTijd173</vt:lpstr>
      <vt:lpstr>Data_WerktijdfactorTijd174</vt:lpstr>
      <vt:lpstr>Data_WerktijdfactorTijd175</vt:lpstr>
      <vt:lpstr>Data_WerktijdfactorTijd176</vt:lpstr>
      <vt:lpstr>Data_WerktijdfactorTijd177</vt:lpstr>
      <vt:lpstr>Data_WerktijdfactorTijd178</vt:lpstr>
      <vt:lpstr>Data_WerktijdfactorTijd179</vt:lpstr>
      <vt:lpstr>Data_WerktijdfactorTijd180</vt:lpstr>
      <vt:lpstr>Data_WerktijdfactorTijd181</vt:lpstr>
      <vt:lpstr>Data_WerktijdfactorTijd182</vt:lpstr>
      <vt:lpstr>Data_WerktijdfactorTijd183</vt:lpstr>
      <vt:lpstr>Data_WerktijdfactorTijd184</vt:lpstr>
      <vt:lpstr>Data_WerktijdfactorTijd185</vt:lpstr>
      <vt:lpstr>Data_WerktijdfactorTijd186</vt:lpstr>
      <vt:lpstr>Data_WerktijdfactorTijd187</vt:lpstr>
      <vt:lpstr>Data_WerktijdfactorTijd188</vt:lpstr>
      <vt:lpstr>Data_WerktijdfactorTijd189</vt:lpstr>
      <vt:lpstr>Data_WerktijdfactorTijd190</vt:lpstr>
      <vt:lpstr>Data_WerktijdfactorTijd191</vt:lpstr>
      <vt:lpstr>Data_WerktijdfactorTijd192</vt:lpstr>
      <vt:lpstr>Data_WerktijdfactorTijd193</vt:lpstr>
      <vt:lpstr>Data_WerktijdfactorTijd194</vt:lpstr>
      <vt:lpstr>Data_WerktijdfactorTijd195</vt:lpstr>
      <vt:lpstr>Data_WerktijdfactorTijd196</vt:lpstr>
      <vt:lpstr>Data_WerktijdfactorTijd197</vt:lpstr>
      <vt:lpstr>Data_WerktijdfactorTijd198</vt:lpstr>
      <vt:lpstr>Data_WerktijdfactorTijd199</vt:lpstr>
      <vt:lpstr>Data_WerktijdfactorTijd200</vt:lpstr>
      <vt:lpstr>Data_WerktijdfactorTijd201</vt:lpstr>
      <vt:lpstr>Data_WerktijdfactorTijd202</vt:lpstr>
      <vt:lpstr>Data_WerktijdfactorTijd203</vt:lpstr>
      <vt:lpstr>Data_WerktijdfactorTijd204</vt:lpstr>
      <vt:lpstr>Data_WerktijdfactorTijd205</vt:lpstr>
      <vt:lpstr>Data_WerktijdfactorTijd206</vt:lpstr>
      <vt:lpstr>Data_WerktijdfactorTijd207</vt:lpstr>
      <vt:lpstr>Data_WerktijdfactorTijd208</vt:lpstr>
      <vt:lpstr>Data_WerktijdfactorTijd209</vt:lpstr>
      <vt:lpstr>Data_WerktijdfactorTijd210</vt:lpstr>
      <vt:lpstr>Data_WerktijdfactorTijd211</vt:lpstr>
      <vt:lpstr>Data_WerktijdfactorTijd212</vt:lpstr>
      <vt:lpstr>Data_WerktijdfactorTijd213</vt:lpstr>
      <vt:lpstr>Data_WerktijdfactorTijd214</vt:lpstr>
      <vt:lpstr>Data_WerktijdfactorTijd215</vt:lpstr>
      <vt:lpstr>Data_WerktijdfactorTijd216</vt:lpstr>
      <vt:lpstr>Data_WerktijdfactorTijd217</vt:lpstr>
      <vt:lpstr>Data_WerktijdfactorTijd218</vt:lpstr>
      <vt:lpstr>Data_WerktijdfactorTijd219</vt:lpstr>
      <vt:lpstr>Data_WerktijdfactorTijd220</vt:lpstr>
      <vt:lpstr>Data_WerktijdfactorTijd221</vt:lpstr>
      <vt:lpstr>Data_WerktijdfactorTijd222</vt:lpstr>
      <vt:lpstr>Data_WerktijdfactorTijd223</vt:lpstr>
      <vt:lpstr>Data_WerktijdfactorTijd224</vt:lpstr>
      <vt:lpstr>Data_WerktijdfactorTijd225</vt:lpstr>
      <vt:lpstr>Data_WerktijdfactorTijd226</vt:lpstr>
      <vt:lpstr>Data_WerktijdfactorTijd227</vt:lpstr>
      <vt:lpstr>Data_WerktijdfactorTijd228</vt:lpstr>
      <vt:lpstr>Data_WerktijdfactorTijd229</vt:lpstr>
      <vt:lpstr>Data_WerktijdfactorTijd230</vt:lpstr>
      <vt:lpstr>Data_WerktijdfactorTijd231</vt:lpstr>
      <vt:lpstr>Data_WerktijdfactorTijd232</vt:lpstr>
      <vt:lpstr>Data_WerktijdfactorTijd233</vt:lpstr>
      <vt:lpstr>Data_WerktijdfactorTijd234</vt:lpstr>
      <vt:lpstr>Data_WerktijdfactorTijd235</vt:lpstr>
      <vt:lpstr>Data_WerktijdfactorTijd236</vt:lpstr>
      <vt:lpstr>Data_WerktijdfactorTijd237</vt:lpstr>
      <vt:lpstr>Data_WerktijdfactorTijd238</vt:lpstr>
      <vt:lpstr>Data_WerktijdfactorTijd239</vt:lpstr>
      <vt:lpstr>Data_WerktijdfactorTijd240</vt:lpstr>
      <vt:lpstr>Data_WerktijdfactorTijd241</vt:lpstr>
      <vt:lpstr>Data_WerktijdfactorTijd242</vt:lpstr>
      <vt:lpstr>Data_WerktijdfactorTijd243</vt:lpstr>
      <vt:lpstr>Data_WerktijdfactorTijd244</vt:lpstr>
      <vt:lpstr>Data_WerktijdfactorTijd245</vt:lpstr>
      <vt:lpstr>Data_WerktijdfactorTijd246</vt:lpstr>
      <vt:lpstr>Data_WerktijdfactorTijd247</vt:lpstr>
      <vt:lpstr>Data_WerktijdfactorTijd248</vt:lpstr>
      <vt:lpstr>Data_WerktijdfactorTijd249</vt:lpstr>
      <vt:lpstr>Data_WerktijdfactorTijd250</vt:lpstr>
      <vt:lpstr>Data_WerktijdfactorTijd251</vt:lpstr>
      <vt:lpstr>Data_WerktijdfactorTijd252</vt:lpstr>
      <vt:lpstr>Data_WerktijdfactorTijd253</vt:lpstr>
      <vt:lpstr>Data_WerktijdfactorTijd254</vt:lpstr>
      <vt:lpstr>Data_WerktijdfactorTijd255</vt:lpstr>
      <vt:lpstr>Data_WerktijdfactorTijd256</vt:lpstr>
      <vt:lpstr>Data_WerktijdfactorTijd257</vt:lpstr>
      <vt:lpstr>Data_WerktijdfactorTijd258</vt:lpstr>
      <vt:lpstr>Data_WerktijdfactorTijd259</vt:lpstr>
      <vt:lpstr>Data_WerktijdfactorTijd260</vt:lpstr>
      <vt:lpstr>Data_WerktijdfactorTijd261</vt:lpstr>
      <vt:lpstr>Data_WerktijdfactorTijd262</vt:lpstr>
      <vt:lpstr>Data_WerktijdfactorTijd263</vt:lpstr>
      <vt:lpstr>Data_WerktijdfactorTijd264</vt:lpstr>
      <vt:lpstr>Data_WerktijdfactorTijd265</vt:lpstr>
      <vt:lpstr>Data_WerktijdfactorTijd266</vt:lpstr>
      <vt:lpstr>Data_WerktijdfactorTijd267</vt:lpstr>
      <vt:lpstr>Data_WerktijdfactorTijd268</vt:lpstr>
      <vt:lpstr>Data_WerktijdfactorTijd269</vt:lpstr>
      <vt:lpstr>Data_WerktijdfactorTijd270</vt:lpstr>
      <vt:lpstr>Data_WerktijdfactorTijd271</vt:lpstr>
      <vt:lpstr>Data_WerktijdfactorTijd272</vt:lpstr>
      <vt:lpstr>Data_WerktijdfactorTijd273</vt:lpstr>
      <vt:lpstr>Data_WerktijdfactorTijd274</vt:lpstr>
      <vt:lpstr>Data_WerktijdfactorTijd275</vt:lpstr>
      <vt:lpstr>Data_WerktijdfactorTijd276</vt:lpstr>
      <vt:lpstr>Data_WerktijdfactorTijd277</vt:lpstr>
      <vt:lpstr>Data_WerktijdfactorTijd278</vt:lpstr>
      <vt:lpstr>Data_WerktijdfactorTijd279</vt:lpstr>
      <vt:lpstr>Data_WerktijdfactorTijd280</vt:lpstr>
      <vt:lpstr>Data_WerktijdfactorTijd281</vt:lpstr>
      <vt:lpstr>Data_WerktijdfactorTijd282</vt:lpstr>
      <vt:lpstr>Data_WerktijdfactorTijd283</vt:lpstr>
      <vt:lpstr>Data_WerktijdfactorTijd284</vt:lpstr>
      <vt:lpstr>Data_WerktijdfactorTijd285</vt:lpstr>
      <vt:lpstr>Data_WerktijdfactorTijd286</vt:lpstr>
      <vt:lpstr>Data_WerktijdfactorTijd287</vt:lpstr>
      <vt:lpstr>Data_WerktijdfactorTijd288</vt:lpstr>
      <vt:lpstr>Data_WerktijdfactorTijd289</vt:lpstr>
      <vt:lpstr>Data_WerktijdfactorTijd290</vt:lpstr>
      <vt:lpstr>Data_WerktijdfactorTijd291</vt:lpstr>
      <vt:lpstr>Data_WerktijdfactorTijd292</vt:lpstr>
      <vt:lpstr>Data_WerktijdfactorTijd293</vt:lpstr>
      <vt:lpstr>Data_WerktijdfactorTijd294</vt:lpstr>
      <vt:lpstr>Data_WerktijdfactorTijd295</vt:lpstr>
      <vt:lpstr>Data_WerktijdfactorTijd296</vt:lpstr>
      <vt:lpstr>Data_WerktijdfactorTijd297</vt:lpstr>
      <vt:lpstr>Data_WerktijdfactorTijd298</vt:lpstr>
      <vt:lpstr>Data_WerktijdfactorTijd299</vt:lpstr>
      <vt:lpstr>Data_WerktijdfactorTijd300</vt:lpstr>
      <vt:lpstr>Data_WerktijdfactorTijd301</vt:lpstr>
      <vt:lpstr>Data_WerktijdfactorTijd302</vt:lpstr>
      <vt:lpstr>Data_WerktijdfactorTijd303</vt:lpstr>
      <vt:lpstr>Data_WerktijdfactorTijd304</vt:lpstr>
      <vt:lpstr>Data_WerktijdfactorTijd305</vt:lpstr>
      <vt:lpstr>Data_WerktijdfactorTijd306</vt:lpstr>
      <vt:lpstr>Data_WerktijdfactorTijd307</vt:lpstr>
      <vt:lpstr>Data_WerktijdfactorTijd308</vt:lpstr>
      <vt:lpstr>Data_WerktijdfactorTijd309</vt:lpstr>
      <vt:lpstr>Data_WerktijdfactorTijd310</vt:lpstr>
      <vt:lpstr>Data_WerktijdfactorTijd311</vt:lpstr>
      <vt:lpstr>Data_WerktijdfactorTijd312</vt:lpstr>
      <vt:lpstr>Data_WerktijdfactorTijd313</vt:lpstr>
      <vt:lpstr>Data_WerktijdfactorTijd314</vt:lpstr>
      <vt:lpstr>Data_WerktijdfactorTijd315</vt:lpstr>
      <vt:lpstr>Data_WerktijdfactorTijd316</vt:lpstr>
      <vt:lpstr>Data_WerktijdfactorTijd317</vt:lpstr>
      <vt:lpstr>Data_WerktijdfactorTijd318</vt:lpstr>
      <vt:lpstr>Data_WerktijdfactorTijd319</vt:lpstr>
      <vt:lpstr>Data_WerktijdfactorTijd320</vt:lpstr>
      <vt:lpstr>Data_WerktijdfactorTijd321</vt:lpstr>
      <vt:lpstr>Data_WerktijdfactorTijd322</vt:lpstr>
      <vt:lpstr>Data_WerktijdfactorTijd323</vt:lpstr>
      <vt:lpstr>Data_WerktijdfactorTijd324</vt:lpstr>
      <vt:lpstr>Data_WerktijdfactorTijd325</vt:lpstr>
      <vt:lpstr>Data_WerktijdfactorTijd326</vt:lpstr>
      <vt:lpstr>Data_WerktijdfactorTijd327</vt:lpstr>
      <vt:lpstr>Data_WerktijdfactorTijd328</vt:lpstr>
      <vt:lpstr>Data_WerktijdfactorTijd329</vt:lpstr>
      <vt:lpstr>Data_WerktijdfactorTijd330</vt:lpstr>
      <vt:lpstr>Data_WerktijdfactorTijd331</vt:lpstr>
      <vt:lpstr>Data_WerktijdfactorTijd332</vt:lpstr>
      <vt:lpstr>Data_WerktijdfactorTijd333</vt:lpstr>
      <vt:lpstr>Data_WerktijdfactorTijd334</vt:lpstr>
      <vt:lpstr>Data_WerktijdfactorTijd335</vt:lpstr>
      <vt:lpstr>Data_WerktijdfactorTijd336</vt:lpstr>
      <vt:lpstr>Data_WerktijdfactorTijd337</vt:lpstr>
      <vt:lpstr>Data_WerktijdfactorTijd338</vt:lpstr>
      <vt:lpstr>Data_WerktijdfactorTijd339</vt:lpstr>
      <vt:lpstr>Data_WerktijdfactorTijd340</vt:lpstr>
      <vt:lpstr>Data_WerktijdfactorTijd341</vt:lpstr>
      <vt:lpstr>Data_WerktijdfactorTijd342</vt:lpstr>
      <vt:lpstr>Data_WerktijdfactorTijd343</vt:lpstr>
      <vt:lpstr>Data_WerktijdfactorTijd344</vt:lpstr>
      <vt:lpstr>Data_WerktijdfactorTijd345</vt:lpstr>
      <vt:lpstr>Data_WerktijdfactorTijd346</vt:lpstr>
      <vt:lpstr>Data_WerktijdfactorTijd347</vt:lpstr>
      <vt:lpstr>Data_WerktijdfactorTijd348</vt:lpstr>
      <vt:lpstr>Data_WerktijdfactorTijd349</vt:lpstr>
      <vt:lpstr>Data_WerktijdfactorTijd350</vt:lpstr>
      <vt:lpstr>Data_WerktijdfactorTijd351</vt:lpstr>
      <vt:lpstr>Data_WerktijdfactorTijd352</vt:lpstr>
      <vt:lpstr>Data_WerktijdfactorTijd353</vt:lpstr>
      <vt:lpstr>Data_WerktijdfactorTijd354</vt:lpstr>
      <vt:lpstr>Data_WerktijdfactorTijd355</vt:lpstr>
      <vt:lpstr>Data_WerktijdfactorTijd356</vt:lpstr>
      <vt:lpstr>Data_WerktijdfactorTijd357</vt:lpstr>
      <vt:lpstr>Data_WerktijdfactorTijd358</vt:lpstr>
      <vt:lpstr>Data_WerktijdfactorTijd359</vt:lpstr>
      <vt:lpstr>Data_WerktijdfactorTijd360</vt:lpstr>
      <vt:lpstr>Data_WerktijdfactorTijd361</vt:lpstr>
      <vt:lpstr>Data_WerktijdfactorTijd362</vt:lpstr>
      <vt:lpstr>Data_WerktijdfactorTijd363</vt:lpstr>
      <vt:lpstr>Data_WerktijdfactorTijd364</vt:lpstr>
      <vt:lpstr>Data_WerktijdfactorTijd365</vt:lpstr>
      <vt:lpstr>Data_WerktijdfactorTijd366</vt:lpstr>
      <vt:lpstr>Data_WerktijdfactorTijd367</vt:lpstr>
      <vt:lpstr>Data_WerktijdfactorTijd368</vt:lpstr>
      <vt:lpstr>Data_WerktijdfactorTijd369</vt:lpstr>
      <vt:lpstr>Data_WerktijdfactorTijd370</vt:lpstr>
      <vt:lpstr>Data_WerktijdfactorTijd371</vt:lpstr>
      <vt:lpstr>Data_WerktijdfactorTijd372</vt:lpstr>
      <vt:lpstr>Data_WerktijdfactorTijd373</vt:lpstr>
      <vt:lpstr>Data_WerktijdfactorTijd374</vt:lpstr>
      <vt:lpstr>Data_WerktijdfactorTijd375</vt:lpstr>
      <vt:lpstr>Data_WerktijdfactorTijd376</vt:lpstr>
      <vt:lpstr>Data_WerktijdfactorTijd377</vt:lpstr>
      <vt:lpstr>Data_WerktijdfactorTijd378</vt:lpstr>
      <vt:lpstr>Data_WerktijdfactorTijd379</vt:lpstr>
      <vt:lpstr>Data_WerktijdfactorTijd380</vt:lpstr>
      <vt:lpstr>Data_WerktijdfactorTijd381</vt:lpstr>
      <vt:lpstr>Data_WerktijdfactorTijd382</vt:lpstr>
      <vt:lpstr>Data_WerktijdfactorTijd383</vt:lpstr>
      <vt:lpstr>Data_WerktijdfactorTijd384</vt:lpstr>
      <vt:lpstr>Data_WerktijdfactorTijd385</vt:lpstr>
      <vt:lpstr>Data_WerktijdfactorTijd386</vt:lpstr>
      <vt:lpstr>Data_WerktijdfactorTijd387</vt:lpstr>
      <vt:lpstr>Data_WerktijdfactorTijd388</vt:lpstr>
      <vt:lpstr>Data_WerktijdfactorTijd389</vt:lpstr>
      <vt:lpstr>Data_WerktijdfactorTijd390</vt:lpstr>
      <vt:lpstr>Data_WerktijdfactorTijd391</vt:lpstr>
      <vt:lpstr>Data_WerktijdfactorTijd392</vt:lpstr>
      <vt:lpstr>Data_WerktijdfactorTijd393</vt:lpstr>
      <vt:lpstr>Data_WerktijdfactorTijd394</vt:lpstr>
      <vt:lpstr>Data_WerktijdfactorTijd395</vt:lpstr>
      <vt:lpstr>Data_WerktijdfactorTijd396</vt:lpstr>
      <vt:lpstr>Data_WerktijdfactorTijd397</vt:lpstr>
      <vt:lpstr>Data_WerktijdfactorTijd398</vt:lpstr>
      <vt:lpstr>Data_WerktijdfactorTijd399</vt:lpstr>
      <vt:lpstr>Data_WerktijdfactorTijd400</vt:lpstr>
      <vt:lpstr>Data_WerktijdfactorTijd401</vt:lpstr>
      <vt:lpstr>Data_WerktijdfactorTijd402</vt:lpstr>
      <vt:lpstr>Data_WerktijdfactorTijd403</vt:lpstr>
      <vt:lpstr>Data_WerktijdfactorTijd404</vt:lpstr>
      <vt:lpstr>Data_WerktijdfactorTijd405</vt:lpstr>
      <vt:lpstr>Data_WerktijdfactorTijd406</vt:lpstr>
      <vt:lpstr>Data_WerktijdfactorTijd407</vt:lpstr>
      <vt:lpstr>Data_WerktijdfactorTijd408</vt:lpstr>
      <vt:lpstr>Data_WerktijdfactorTijd409</vt:lpstr>
      <vt:lpstr>Data_WerktijdfactorTijd410</vt:lpstr>
      <vt:lpstr>Data_WerktijdfactorTijd411</vt:lpstr>
      <vt:lpstr>Data_WerktijdfactorTijd412</vt:lpstr>
      <vt:lpstr>Data_WerktijdfactorTijd413</vt:lpstr>
      <vt:lpstr>Data_WerktijdfactorTijd414</vt:lpstr>
      <vt:lpstr>Data_WerktijdfactorTijd415</vt:lpstr>
      <vt:lpstr>Data_WerktijdfactorTijd416</vt:lpstr>
      <vt:lpstr>Data_WerktijdfactorTijd417</vt:lpstr>
      <vt:lpstr>Data_WerktijdfactorTijd418</vt:lpstr>
      <vt:lpstr>Data_WerktijdfactorTijd419</vt:lpstr>
      <vt:lpstr>Data_WerktijdfactorTijd420</vt:lpstr>
      <vt:lpstr>Data_WerktijdfactorTijd421</vt:lpstr>
      <vt:lpstr>Data_WerktijdfactorTijd422</vt:lpstr>
      <vt:lpstr>Data_WerktijdfactorTijd423</vt:lpstr>
      <vt:lpstr>Data_WerktijdfactorTijd424</vt:lpstr>
      <vt:lpstr>Data_WerktijdfactorTijd425</vt:lpstr>
      <vt:lpstr>Data_WerktijdfactorTijd426</vt:lpstr>
      <vt:lpstr>Data_WerktijdfactorTijd427</vt:lpstr>
      <vt:lpstr>Data_WerktijdfactorTijd428</vt:lpstr>
      <vt:lpstr>Data_WerktijdfactorTijd429</vt:lpstr>
      <vt:lpstr>Data_WerktijdfactorTijd430</vt:lpstr>
      <vt:lpstr>Data_WerktijdfactorTijd431</vt:lpstr>
      <vt:lpstr>Data_WerktijdfactorTijd432</vt:lpstr>
      <vt:lpstr>Data_WerktijdfactorTijd433</vt:lpstr>
      <vt:lpstr>Data_WerktijdfactorTijd434</vt:lpstr>
      <vt:lpstr>Data_WerktijdfactorTijd435</vt:lpstr>
      <vt:lpstr>Data_WerktijdfactorTijd436</vt:lpstr>
      <vt:lpstr>Data_WerktijdfactorTijd437</vt:lpstr>
      <vt:lpstr>Data_WerktijdfactorTijd438</vt:lpstr>
      <vt:lpstr>Data_WerktijdfactorTijd439</vt:lpstr>
      <vt:lpstr>Data_WerktijdfactorTijd440</vt:lpstr>
      <vt:lpstr>Data_WerktijdfactorTijd441</vt:lpstr>
      <vt:lpstr>Data_WerktijdfactorTijd442</vt:lpstr>
      <vt:lpstr>Data_WerktijdfactorTijd443</vt:lpstr>
      <vt:lpstr>Data_WerktijdfactorTijd444</vt:lpstr>
      <vt:lpstr>Data_WerktijdfactorTijd445</vt:lpstr>
      <vt:lpstr>Data_WerktijdfactorTijd446</vt:lpstr>
      <vt:lpstr>Data_WerktijdfactorTijd447</vt:lpstr>
      <vt:lpstr>Data_WerktijdfactorTijd448</vt:lpstr>
      <vt:lpstr>Data_WerktijdfactorTijd449</vt:lpstr>
      <vt:lpstr>Data_WerktijdfactorTijd450</vt:lpstr>
      <vt:lpstr>Data_WerktijdfactorTijd451</vt:lpstr>
      <vt:lpstr>Data_WerktijdfactorTijd452</vt:lpstr>
      <vt:lpstr>Data_WerktijdfactorTijd453</vt:lpstr>
      <vt:lpstr>Data_WerktijdfactorTijd454</vt:lpstr>
      <vt:lpstr>Data_WerktijdfactorTijd455</vt:lpstr>
      <vt:lpstr>Data_WerktijdfactorTijd456</vt:lpstr>
      <vt:lpstr>Data_WerktijdfactorTijd457</vt:lpstr>
      <vt:lpstr>Data_WerktijdfactorTijd458</vt:lpstr>
      <vt:lpstr>Data_WerktijdfactorTijd459</vt:lpstr>
      <vt:lpstr>Data_WerktijdfactorTijd460</vt:lpstr>
      <vt:lpstr>Data_WerktijdfactorTijd461</vt:lpstr>
      <vt:lpstr>Data_WerktijdfactorTijd462</vt:lpstr>
      <vt:lpstr>Data_WerktijdfactorTijd463</vt:lpstr>
      <vt:lpstr>Data_WerktijdfactorTijd464</vt:lpstr>
      <vt:lpstr>Data_WerktijdfactorTijd465</vt:lpstr>
      <vt:lpstr>Data_WerktijdfactorTijd466</vt:lpstr>
      <vt:lpstr>Data_WerktijdfactorTijd467</vt:lpstr>
      <vt:lpstr>Data_WerktijdfactorTijd468</vt:lpstr>
      <vt:lpstr>Data_WerktijdfactorTijd469</vt:lpstr>
      <vt:lpstr>Data_WerktijdfactorTijd470</vt:lpstr>
      <vt:lpstr>Data_WerktijdfactorTijd471</vt:lpstr>
      <vt:lpstr>Data_WerktijdfactorTijd472</vt:lpstr>
      <vt:lpstr>Data_WerktijdfactorTijd473</vt:lpstr>
      <vt:lpstr>Data_WerktijdfactorTijd474</vt:lpstr>
      <vt:lpstr>Data_WerktijdfactorTijd475</vt:lpstr>
      <vt:lpstr>Data_WerktijdfactorTijd476</vt:lpstr>
      <vt:lpstr>Data_WerktijdfactorTijd477</vt:lpstr>
      <vt:lpstr>Data_WerktijdfactorTijd478</vt:lpstr>
      <vt:lpstr>Data_WerktijdfactorTijd479</vt:lpstr>
      <vt:lpstr>Data_WerktijdfactorTijd480</vt:lpstr>
      <vt:lpstr>Data_WerktijdfactorTijd481</vt:lpstr>
      <vt:lpstr>Data_WerktijdfactorTijd482</vt:lpstr>
      <vt:lpstr>Data_WerktijdfactorTijd483</vt:lpstr>
      <vt:lpstr>Data_WerktijdfactorTijd484</vt:lpstr>
      <vt:lpstr>Data_WerktijdfactorTijd485</vt:lpstr>
      <vt:lpstr>Data_WerktijdfactorTijd486</vt:lpstr>
      <vt:lpstr>Data_WerktijdfactorTijd487</vt:lpstr>
      <vt:lpstr>Data_WerktijdfactorTijd488</vt:lpstr>
      <vt:lpstr>Data_WerktijdfactorTijd489</vt:lpstr>
      <vt:lpstr>Data_WerktijdfactorTijd490</vt:lpstr>
      <vt:lpstr>Data_WerktijdfactorTijd491</vt:lpstr>
      <vt:lpstr>Data_WerktijdfactorTijd492</vt:lpstr>
      <vt:lpstr>Data_WerktijdfactorTijd493</vt:lpstr>
      <vt:lpstr>Data_WerktijdfactorTijd494</vt:lpstr>
      <vt:lpstr>Data_WerktijdfactorTijd495</vt:lpstr>
      <vt:lpstr>Data_WerktijdfactorTijd496</vt:lpstr>
      <vt:lpstr>Data_WerktijdfactorTijd497</vt:lpstr>
      <vt:lpstr>Data_WerktijdfactorTijd498</vt:lpstr>
      <vt:lpstr>Data_WerktijdfactorTijd499</vt:lpstr>
      <vt:lpstr>Data_WerktijdfactorTijd500</vt:lpstr>
      <vt:lpstr>Data_WerktijdfactorVastOntslag001</vt:lpstr>
      <vt:lpstr>Data_WerktijdfactorVastOntslag002</vt:lpstr>
      <vt:lpstr>Data_WerktijdfactorVastOntslag003</vt:lpstr>
      <vt:lpstr>Data_WerktijdfactorVastOntslag004</vt:lpstr>
      <vt:lpstr>Data_WerktijdfactorVastOntslag005</vt:lpstr>
      <vt:lpstr>Data_WerktijdfactorVastOntslag006</vt:lpstr>
      <vt:lpstr>Data_WerktijdfactorVastOntslag007</vt:lpstr>
      <vt:lpstr>Data_WerktijdfactorVastOntslag008</vt:lpstr>
      <vt:lpstr>Data_WerktijdfactorVastOntslag009</vt:lpstr>
      <vt:lpstr>Data_WerktijdfactorVastOntslag010</vt:lpstr>
      <vt:lpstr>Data_WerktijdfactorVastOntslag011</vt:lpstr>
      <vt:lpstr>Data_WerktijdfactorVastOntslag012</vt:lpstr>
      <vt:lpstr>Data_WerktijdfactorVastOntslag013</vt:lpstr>
      <vt:lpstr>Data_WerktijdfactorVastOntslag014</vt:lpstr>
      <vt:lpstr>Data_WerktijdfactorVastOntslag015</vt:lpstr>
      <vt:lpstr>Data_WerktijdfactorVastOntslag016</vt:lpstr>
      <vt:lpstr>Data_WerktijdfactorVastOntslag017</vt:lpstr>
      <vt:lpstr>Data_WerktijdfactorVastOntslag018</vt:lpstr>
      <vt:lpstr>Data_WerktijdfactorVastOntslag019</vt:lpstr>
      <vt:lpstr>Data_WerktijdfactorVastOntslag020</vt:lpstr>
      <vt:lpstr>Data_WerktijdfactorVastOntslag021</vt:lpstr>
      <vt:lpstr>Data_WerktijdfactorVastOntslag022</vt:lpstr>
      <vt:lpstr>Data_WerktijdfactorVastOntslag023</vt:lpstr>
      <vt:lpstr>Data_WerktijdfactorVastOntslag024</vt:lpstr>
      <vt:lpstr>Data_WerktijdfactorVastOntslag025</vt:lpstr>
      <vt:lpstr>Data_WerktijdfactorVastOntslag026</vt:lpstr>
      <vt:lpstr>Data_WerktijdfactorVastOntslag027</vt:lpstr>
      <vt:lpstr>Data_WerktijdfactorVastOntslag028</vt:lpstr>
      <vt:lpstr>Data_WerktijdfactorVastOntslag029</vt:lpstr>
      <vt:lpstr>Data_WerktijdfactorVastOntslag030</vt:lpstr>
      <vt:lpstr>Data_WerktijdfactorVastOntslag031</vt:lpstr>
      <vt:lpstr>Data_WerktijdfactorVastOntslag032</vt:lpstr>
      <vt:lpstr>Data_WerktijdfactorVastOntslag033</vt:lpstr>
      <vt:lpstr>Data_WerktijdfactorVastOntslag034</vt:lpstr>
      <vt:lpstr>Data_WerktijdfactorVastOntslag035</vt:lpstr>
      <vt:lpstr>Data_WerktijdfactorVastOntslag036</vt:lpstr>
      <vt:lpstr>Data_WerktijdfactorVastOntslag037</vt:lpstr>
      <vt:lpstr>Data_WerktijdfactorVastOntslag038</vt:lpstr>
      <vt:lpstr>Data_WerktijdfactorVastOntslag039</vt:lpstr>
      <vt:lpstr>Data_WerktijdfactorVastOntslag040</vt:lpstr>
      <vt:lpstr>Data_WerktijdfactorVastOntslag041</vt:lpstr>
      <vt:lpstr>Data_WerktijdfactorVastOntslag042</vt:lpstr>
      <vt:lpstr>Data_WerktijdfactorVastOntslag043</vt:lpstr>
      <vt:lpstr>Data_WerktijdfactorVastOntslag044</vt:lpstr>
      <vt:lpstr>Data_WerktijdfactorVastOntslag045</vt:lpstr>
      <vt:lpstr>Data_WerktijdfactorVastOntslag046</vt:lpstr>
      <vt:lpstr>Data_WerktijdfactorVastOntslag047</vt:lpstr>
      <vt:lpstr>Data_WerktijdfactorVastOntslag048</vt:lpstr>
      <vt:lpstr>Data_WerktijdfactorVastOntslag049</vt:lpstr>
      <vt:lpstr>Data_WerktijdfactorVastOntslag050</vt:lpstr>
      <vt:lpstr>Data_WerktijdfactorVastOntslag051</vt:lpstr>
      <vt:lpstr>Data_WerktijdfactorVastOntslag052</vt:lpstr>
      <vt:lpstr>Data_WerktijdfactorVastOntslag053</vt:lpstr>
      <vt:lpstr>Data_WerktijdfactorVastOntslag054</vt:lpstr>
      <vt:lpstr>Data_WerktijdfactorVastOntslag055</vt:lpstr>
      <vt:lpstr>Data_WerktijdfactorVastOntslag056</vt:lpstr>
      <vt:lpstr>Data_WerktijdfactorVastOntslag057</vt:lpstr>
      <vt:lpstr>Data_WerktijdfactorVastOntslag058</vt:lpstr>
      <vt:lpstr>Data_WerktijdfactorVastOntslag059</vt:lpstr>
      <vt:lpstr>Data_WerktijdfactorVastOntslag060</vt:lpstr>
      <vt:lpstr>Data_WerktijdfactorVastOntslag061</vt:lpstr>
      <vt:lpstr>Data_WerktijdfactorVastOntslag062</vt:lpstr>
      <vt:lpstr>Data_WerktijdfactorVastOntslag063</vt:lpstr>
      <vt:lpstr>Data_WerktijdfactorVastOntslag064</vt:lpstr>
      <vt:lpstr>Data_WerktijdfactorVastOntslag065</vt:lpstr>
      <vt:lpstr>Data_WerktijdfactorVastOntslag066</vt:lpstr>
      <vt:lpstr>Data_WerktijdfactorVastOntslag067</vt:lpstr>
      <vt:lpstr>Data_WerktijdfactorVastOntslag068</vt:lpstr>
      <vt:lpstr>Data_WerktijdfactorVastOntslag069</vt:lpstr>
      <vt:lpstr>Data_WerktijdfactorVastOntslag070</vt:lpstr>
      <vt:lpstr>Data_WerktijdfactorVastOntslag071</vt:lpstr>
      <vt:lpstr>Data_WerktijdfactorVastOntslag072</vt:lpstr>
      <vt:lpstr>Data_WerktijdfactorVastOntslag073</vt:lpstr>
      <vt:lpstr>Data_WerktijdfactorVastOntslag074</vt:lpstr>
      <vt:lpstr>Data_WerktijdfactorVastOntslag075</vt:lpstr>
      <vt:lpstr>Data_WerktijdfactorVastOntslag076</vt:lpstr>
      <vt:lpstr>Data_WerktijdfactorVastOntslag077</vt:lpstr>
      <vt:lpstr>Data_WerktijdfactorVastOntslag078</vt:lpstr>
      <vt:lpstr>Data_WerktijdfactorVastOntslag079</vt:lpstr>
      <vt:lpstr>Data_WerktijdfactorVastOntslag080</vt:lpstr>
      <vt:lpstr>Data_WerktijdfactorVastOntslag081</vt:lpstr>
      <vt:lpstr>Data_WerktijdfactorVastOntslag082</vt:lpstr>
      <vt:lpstr>Data_WerktijdfactorVastOntslag083</vt:lpstr>
      <vt:lpstr>Data_WerktijdfactorVastOntslag084</vt:lpstr>
      <vt:lpstr>Data_WerktijdfactorVastOntslag085</vt:lpstr>
      <vt:lpstr>Data_WerktijdfactorVastOntslag086</vt:lpstr>
      <vt:lpstr>Data_WerktijdfactorVastOntslag087</vt:lpstr>
      <vt:lpstr>Data_WerktijdfactorVastOntslag088</vt:lpstr>
      <vt:lpstr>Data_WerktijdfactorVastOntslag089</vt:lpstr>
      <vt:lpstr>Data_WerktijdfactorVastOntslag090</vt:lpstr>
      <vt:lpstr>Data_WerktijdfactorVastOntslag091</vt:lpstr>
      <vt:lpstr>Data_WerktijdfactorVastOntslag092</vt:lpstr>
      <vt:lpstr>Data_WerktijdfactorVastOntslag093</vt:lpstr>
      <vt:lpstr>Data_WerktijdfactorVastOntslag094</vt:lpstr>
      <vt:lpstr>Data_WerktijdfactorVastOntslag095</vt:lpstr>
      <vt:lpstr>Data_WerktijdfactorVastOntslag096</vt:lpstr>
      <vt:lpstr>Data_WerktijdfactorVastOntslag097</vt:lpstr>
      <vt:lpstr>Data_WerktijdfactorVastOntslag098</vt:lpstr>
      <vt:lpstr>Data_WerktijdfactorVastOntslag099</vt:lpstr>
      <vt:lpstr>Data_WerktijdfactorVastOntslag100</vt:lpstr>
      <vt:lpstr>Data_WerktijdfactorVastOntslag101</vt:lpstr>
      <vt:lpstr>Data_WerktijdfactorVastOntslag102</vt:lpstr>
      <vt:lpstr>Data_WerktijdfactorVastOntslag103</vt:lpstr>
      <vt:lpstr>Data_WerktijdfactorVastOntslag104</vt:lpstr>
      <vt:lpstr>Data_WerktijdfactorVastOntslag105</vt:lpstr>
      <vt:lpstr>Data_WerktijdfactorVastOntslag106</vt:lpstr>
      <vt:lpstr>Data_WerktijdfactorVastOntslag107</vt:lpstr>
      <vt:lpstr>Data_WerktijdfactorVastOntslag108</vt:lpstr>
      <vt:lpstr>Data_WerktijdfactorVastOntslag109</vt:lpstr>
      <vt:lpstr>Data_WerktijdfactorVastOntslag110</vt:lpstr>
      <vt:lpstr>Data_WerktijdfactorVastOntslag111</vt:lpstr>
      <vt:lpstr>Data_WerktijdfactorVastOntslag112</vt:lpstr>
      <vt:lpstr>Data_WerktijdfactorVastOntslag113</vt:lpstr>
      <vt:lpstr>Data_WerktijdfactorVastOntslag114</vt:lpstr>
      <vt:lpstr>Data_WerktijdfactorVastOntslag115</vt:lpstr>
      <vt:lpstr>Data_WerktijdfactorVastOntslag116</vt:lpstr>
      <vt:lpstr>Data_WerktijdfactorVastOntslag117</vt:lpstr>
      <vt:lpstr>Data_WerktijdfactorVastOntslag118</vt:lpstr>
      <vt:lpstr>Data_WerktijdfactorVastOntslag119</vt:lpstr>
      <vt:lpstr>Data_WerktijdfactorVastOntslag120</vt:lpstr>
      <vt:lpstr>Data_WerktijdfactorVastOntslag121</vt:lpstr>
      <vt:lpstr>Data_WerktijdfactorVastOntslag122</vt:lpstr>
      <vt:lpstr>Data_WerktijdfactorVastOntslag123</vt:lpstr>
      <vt:lpstr>Data_WerktijdfactorVastOntslag124</vt:lpstr>
      <vt:lpstr>Data_WerktijdfactorVastOntslag125</vt:lpstr>
      <vt:lpstr>Data_WerktijdfactorVastOntslag126</vt:lpstr>
      <vt:lpstr>Data_WerktijdfactorVastOntslag127</vt:lpstr>
      <vt:lpstr>Data_WerktijdfactorVastOntslag128</vt:lpstr>
      <vt:lpstr>Data_WerktijdfactorVastOntslag129</vt:lpstr>
      <vt:lpstr>Data_WerktijdfactorVastOntslag130</vt:lpstr>
      <vt:lpstr>Data_WerktijdfactorVastOntslag131</vt:lpstr>
      <vt:lpstr>Data_WerktijdfactorVastOntslag132</vt:lpstr>
      <vt:lpstr>Data_WerktijdfactorVastOntslag133</vt:lpstr>
      <vt:lpstr>Data_WerktijdfactorVastOntslag134</vt:lpstr>
      <vt:lpstr>Data_WerktijdfactorVastOntslag135</vt:lpstr>
      <vt:lpstr>Data_WerktijdfactorVastOntslag136</vt:lpstr>
      <vt:lpstr>Data_WerktijdfactorVastOntslag137</vt:lpstr>
      <vt:lpstr>Data_WerktijdfactorVastOntslag138</vt:lpstr>
      <vt:lpstr>Data_WerktijdfactorVastOntslag139</vt:lpstr>
      <vt:lpstr>Data_WerktijdfactorVastOntslag140</vt:lpstr>
      <vt:lpstr>Data_WerktijdfactorVastOntslag141</vt:lpstr>
      <vt:lpstr>Data_WerktijdfactorVastOntslag142</vt:lpstr>
      <vt:lpstr>Data_WerktijdfactorVastOntslag143</vt:lpstr>
      <vt:lpstr>Data_WerktijdfactorVastOntslag144</vt:lpstr>
      <vt:lpstr>Data_WerktijdfactorVastOntslag145</vt:lpstr>
      <vt:lpstr>Data_WerktijdfactorVastOntslag146</vt:lpstr>
      <vt:lpstr>Data_WerktijdfactorVastOntslag147</vt:lpstr>
      <vt:lpstr>Data_WerktijdfactorVastOntslag148</vt:lpstr>
      <vt:lpstr>Data_WerktijdfactorVastOntslag149</vt:lpstr>
      <vt:lpstr>Data_WerktijdfactorVastOntslag150</vt:lpstr>
      <vt:lpstr>Data_WerktijdfactorVastOntslag151</vt:lpstr>
      <vt:lpstr>Data_WerktijdfactorVastOntslag152</vt:lpstr>
      <vt:lpstr>Data_WerktijdfactorVastOntslag153</vt:lpstr>
      <vt:lpstr>Data_WerktijdfactorVastOntslag154</vt:lpstr>
      <vt:lpstr>Data_WerktijdfactorVastOntslag155</vt:lpstr>
      <vt:lpstr>Data_WerktijdfactorVastOntslag156</vt:lpstr>
      <vt:lpstr>Data_WerktijdfactorVastOntslag157</vt:lpstr>
      <vt:lpstr>Data_WerktijdfactorVastOntslag158</vt:lpstr>
      <vt:lpstr>Data_WerktijdfactorVastOntslag159</vt:lpstr>
      <vt:lpstr>Data_WerktijdfactorVastOntslag160</vt:lpstr>
      <vt:lpstr>Data_WerktijdfactorVastOntslag161</vt:lpstr>
      <vt:lpstr>Data_WerktijdfactorVastOntslag162</vt:lpstr>
      <vt:lpstr>Data_WerktijdfactorVastOntslag163</vt:lpstr>
      <vt:lpstr>Data_WerktijdfactorVastOntslag164</vt:lpstr>
      <vt:lpstr>Data_WerktijdfactorVastOntslag165</vt:lpstr>
      <vt:lpstr>Data_WerktijdfactorVastOntslag166</vt:lpstr>
      <vt:lpstr>Data_WerktijdfactorVastOntslag167</vt:lpstr>
      <vt:lpstr>Data_WerktijdfactorVastOntslag168</vt:lpstr>
      <vt:lpstr>Data_WerktijdfactorVastOntslag169</vt:lpstr>
      <vt:lpstr>Data_WerktijdfactorVastOntslag170</vt:lpstr>
      <vt:lpstr>Data_WerktijdfactorVastOntslag171</vt:lpstr>
      <vt:lpstr>Data_WerktijdfactorVastOntslag172</vt:lpstr>
      <vt:lpstr>Data_WerktijdfactorVastOntslag173</vt:lpstr>
      <vt:lpstr>Data_WerktijdfactorVastOntslag174</vt:lpstr>
      <vt:lpstr>Data_WerktijdfactorVastOntslag175</vt:lpstr>
      <vt:lpstr>Data_WerktijdfactorVastOntslag176</vt:lpstr>
      <vt:lpstr>Data_WerktijdfactorVastOntslag177</vt:lpstr>
      <vt:lpstr>Data_WerktijdfactorVastOntslag178</vt:lpstr>
      <vt:lpstr>Data_WerktijdfactorVastOntslag179</vt:lpstr>
      <vt:lpstr>Data_WerktijdfactorVastOntslag180</vt:lpstr>
      <vt:lpstr>Data_WerktijdfactorVastOntslag181</vt:lpstr>
      <vt:lpstr>Data_WerktijdfactorVastOntslag182</vt:lpstr>
      <vt:lpstr>Data_WerktijdfactorVastOntslag183</vt:lpstr>
      <vt:lpstr>Data_WerktijdfactorVastOntslag184</vt:lpstr>
      <vt:lpstr>Data_WerktijdfactorVastOntslag185</vt:lpstr>
      <vt:lpstr>Data_WerktijdfactorVastOntslag186</vt:lpstr>
      <vt:lpstr>Data_WerktijdfactorVastOntslag187</vt:lpstr>
      <vt:lpstr>Data_WerktijdfactorVastOntslag188</vt:lpstr>
      <vt:lpstr>Data_WerktijdfactorVastOntslag189</vt:lpstr>
      <vt:lpstr>Data_WerktijdfactorVastOntslag190</vt:lpstr>
      <vt:lpstr>Data_WerktijdfactorVastOntslag191</vt:lpstr>
      <vt:lpstr>Data_WerktijdfactorVastOntslag192</vt:lpstr>
      <vt:lpstr>Data_WerktijdfactorVastOntslag193</vt:lpstr>
      <vt:lpstr>Data_WerktijdfactorVastOntslag194</vt:lpstr>
      <vt:lpstr>Data_WerktijdfactorVastOntslag195</vt:lpstr>
      <vt:lpstr>Data_WerktijdfactorVastOntslag196</vt:lpstr>
      <vt:lpstr>Data_WerktijdfactorVastOntslag197</vt:lpstr>
      <vt:lpstr>Data_WerktijdfactorVastOntslag198</vt:lpstr>
      <vt:lpstr>Data_WerktijdfactorVastOntslag199</vt:lpstr>
      <vt:lpstr>Data_WerktijdfactorVastOntslag200</vt:lpstr>
      <vt:lpstr>Data_WerktijdfactorVastOntslag201</vt:lpstr>
      <vt:lpstr>Data_WerktijdfactorVastOntslag202</vt:lpstr>
      <vt:lpstr>Data_WerktijdfactorVastOntslag203</vt:lpstr>
      <vt:lpstr>Data_WerktijdfactorVastOntslag204</vt:lpstr>
      <vt:lpstr>Data_WerktijdfactorVastOntslag205</vt:lpstr>
      <vt:lpstr>Data_WerktijdfactorVastOntslag206</vt:lpstr>
      <vt:lpstr>Data_WerktijdfactorVastOntslag207</vt:lpstr>
      <vt:lpstr>Data_WerktijdfactorVastOntslag208</vt:lpstr>
      <vt:lpstr>Data_WerktijdfactorVastOntslag209</vt:lpstr>
      <vt:lpstr>Data_WerktijdfactorVastOntslag210</vt:lpstr>
      <vt:lpstr>Data_WerktijdfactorVastOntslag211</vt:lpstr>
      <vt:lpstr>Data_WerktijdfactorVastOntslag212</vt:lpstr>
      <vt:lpstr>Data_WerktijdfactorVastOntslag213</vt:lpstr>
      <vt:lpstr>Data_WerktijdfactorVastOntslag214</vt:lpstr>
      <vt:lpstr>Data_WerktijdfactorVastOntslag215</vt:lpstr>
      <vt:lpstr>Data_WerktijdfactorVastOntslag216</vt:lpstr>
      <vt:lpstr>Data_WerktijdfactorVastOntslag217</vt:lpstr>
      <vt:lpstr>Data_WerktijdfactorVastOntslag218</vt:lpstr>
      <vt:lpstr>Data_WerktijdfactorVastOntslag219</vt:lpstr>
      <vt:lpstr>Data_WerktijdfactorVastOntslag220</vt:lpstr>
      <vt:lpstr>Data_WerktijdfactorVastOntslag221</vt:lpstr>
      <vt:lpstr>Data_WerktijdfactorVastOntslag222</vt:lpstr>
      <vt:lpstr>Data_WerktijdfactorVastOntslag223</vt:lpstr>
      <vt:lpstr>Data_WerktijdfactorVastOntslag224</vt:lpstr>
      <vt:lpstr>Data_WerktijdfactorVastOntslag225</vt:lpstr>
      <vt:lpstr>Data_WerktijdfactorVastOntslag226</vt:lpstr>
      <vt:lpstr>Data_WerktijdfactorVastOntslag227</vt:lpstr>
      <vt:lpstr>Data_WerktijdfactorVastOntslag228</vt:lpstr>
      <vt:lpstr>Data_WerktijdfactorVastOntslag229</vt:lpstr>
      <vt:lpstr>Data_WerktijdfactorVastOntslag230</vt:lpstr>
      <vt:lpstr>Data_WerktijdfactorVastOntslag231</vt:lpstr>
      <vt:lpstr>Data_WerktijdfactorVastOntslag232</vt:lpstr>
      <vt:lpstr>Data_WerktijdfactorVastOntslag233</vt:lpstr>
      <vt:lpstr>Data_WerktijdfactorVastOntslag234</vt:lpstr>
      <vt:lpstr>Data_WerktijdfactorVastOntslag235</vt:lpstr>
      <vt:lpstr>Data_WerktijdfactorVastOntslag236</vt:lpstr>
      <vt:lpstr>Data_WerktijdfactorVastOntslag237</vt:lpstr>
      <vt:lpstr>Data_WerktijdfactorVastOntslag238</vt:lpstr>
      <vt:lpstr>Data_WerktijdfactorVastOntslag239</vt:lpstr>
      <vt:lpstr>Data_WerktijdfactorVastOntslag240</vt:lpstr>
      <vt:lpstr>Data_WerktijdfactorVastOntslag241</vt:lpstr>
      <vt:lpstr>Data_WerktijdfactorVastOntslag242</vt:lpstr>
      <vt:lpstr>Data_WerktijdfactorVastOntslag243</vt:lpstr>
      <vt:lpstr>Data_WerktijdfactorVastOntslag244</vt:lpstr>
      <vt:lpstr>Data_WerktijdfactorVastOntslag245</vt:lpstr>
      <vt:lpstr>Data_WerktijdfactorVastOntslag246</vt:lpstr>
      <vt:lpstr>Data_WerktijdfactorVastOntslag247</vt:lpstr>
      <vt:lpstr>Data_WerktijdfactorVastOntslag248</vt:lpstr>
      <vt:lpstr>Data_WerktijdfactorVastOntslag249</vt:lpstr>
      <vt:lpstr>Data_WerktijdfactorVastOntslag250</vt:lpstr>
      <vt:lpstr>Data_WerktijdfactorVastOntslag251</vt:lpstr>
      <vt:lpstr>Data_WerktijdfactorVastOntslag252</vt:lpstr>
      <vt:lpstr>Data_WerktijdfactorVastOntslag253</vt:lpstr>
      <vt:lpstr>Data_WerktijdfactorVastOntslag254</vt:lpstr>
      <vt:lpstr>Data_WerktijdfactorVastOntslag255</vt:lpstr>
      <vt:lpstr>Data_WerktijdfactorVastOntslag256</vt:lpstr>
      <vt:lpstr>Data_WerktijdfactorVastOntslag257</vt:lpstr>
      <vt:lpstr>Data_WerktijdfactorVastOntslag258</vt:lpstr>
      <vt:lpstr>Data_WerktijdfactorVastOntslag259</vt:lpstr>
      <vt:lpstr>Data_WerktijdfactorVastOntslag260</vt:lpstr>
      <vt:lpstr>Data_WerktijdfactorVastOntslag261</vt:lpstr>
      <vt:lpstr>Data_WerktijdfactorVastOntslag262</vt:lpstr>
      <vt:lpstr>Data_WerktijdfactorVastOntslag263</vt:lpstr>
      <vt:lpstr>Data_WerktijdfactorVastOntslag264</vt:lpstr>
      <vt:lpstr>Data_WerktijdfactorVastOntslag265</vt:lpstr>
      <vt:lpstr>Data_WerktijdfactorVastOntslag266</vt:lpstr>
      <vt:lpstr>Data_WerktijdfactorVastOntslag267</vt:lpstr>
      <vt:lpstr>Data_WerktijdfactorVastOntslag268</vt:lpstr>
      <vt:lpstr>Data_WerktijdfactorVastOntslag269</vt:lpstr>
      <vt:lpstr>Data_WerktijdfactorVastOntslag270</vt:lpstr>
      <vt:lpstr>Data_WerktijdfactorVastOntslag271</vt:lpstr>
      <vt:lpstr>Data_WerktijdfactorVastOntslag272</vt:lpstr>
      <vt:lpstr>Data_WerktijdfactorVastOntslag273</vt:lpstr>
      <vt:lpstr>Data_WerktijdfactorVastOntslag274</vt:lpstr>
      <vt:lpstr>Data_WerktijdfactorVastOntslag275</vt:lpstr>
      <vt:lpstr>Data_WerktijdfactorVastOntslag276</vt:lpstr>
      <vt:lpstr>Data_WerktijdfactorVastOntslag277</vt:lpstr>
      <vt:lpstr>Data_WerktijdfactorVastOntslag278</vt:lpstr>
      <vt:lpstr>Data_WerktijdfactorVastOntslag279</vt:lpstr>
      <vt:lpstr>Data_WerktijdfactorVastOntslag280</vt:lpstr>
      <vt:lpstr>Data_WerktijdfactorVastOntslag281</vt:lpstr>
      <vt:lpstr>Data_WerktijdfactorVastOntslag282</vt:lpstr>
      <vt:lpstr>Data_WerktijdfactorVastOntslag283</vt:lpstr>
      <vt:lpstr>Data_WerktijdfactorVastOntslag284</vt:lpstr>
      <vt:lpstr>Data_WerktijdfactorVastOntslag285</vt:lpstr>
      <vt:lpstr>Data_WerktijdfactorVastOntslag286</vt:lpstr>
      <vt:lpstr>Data_WerktijdfactorVastOntslag287</vt:lpstr>
      <vt:lpstr>Data_WerktijdfactorVastOntslag288</vt:lpstr>
      <vt:lpstr>Data_WerktijdfactorVastOntslag289</vt:lpstr>
      <vt:lpstr>Data_WerktijdfactorVastOntslag290</vt:lpstr>
      <vt:lpstr>Data_WerktijdfactorVastOntslag291</vt:lpstr>
      <vt:lpstr>Data_WerktijdfactorVastOntslag292</vt:lpstr>
      <vt:lpstr>Data_WerktijdfactorVastOntslag293</vt:lpstr>
      <vt:lpstr>Data_WerktijdfactorVastOntslag294</vt:lpstr>
      <vt:lpstr>Data_WerktijdfactorVastOntslag295</vt:lpstr>
      <vt:lpstr>Data_WerktijdfactorVastOntslag296</vt:lpstr>
      <vt:lpstr>Data_WerktijdfactorVastOntslag297</vt:lpstr>
      <vt:lpstr>Data_WerktijdfactorVastOntslag298</vt:lpstr>
      <vt:lpstr>Data_WerktijdfactorVastOntslag299</vt:lpstr>
      <vt:lpstr>Data_WerktijdfactorVastOntslag300</vt:lpstr>
      <vt:lpstr>Data_WerktijdfactorVastOntslag301</vt:lpstr>
      <vt:lpstr>Data_WerktijdfactorVastOntslag302</vt:lpstr>
      <vt:lpstr>Data_WerktijdfactorVastOntslag303</vt:lpstr>
      <vt:lpstr>Data_WerktijdfactorVastOntslag304</vt:lpstr>
      <vt:lpstr>Data_WerktijdfactorVastOntslag305</vt:lpstr>
      <vt:lpstr>Data_WerktijdfactorVastOntslag306</vt:lpstr>
      <vt:lpstr>Data_WerktijdfactorVastOntslag307</vt:lpstr>
      <vt:lpstr>Data_WerktijdfactorVastOntslag308</vt:lpstr>
      <vt:lpstr>Data_WerktijdfactorVastOntslag309</vt:lpstr>
      <vt:lpstr>Data_WerktijdfactorVastOntslag310</vt:lpstr>
      <vt:lpstr>Data_WerktijdfactorVastOntslag311</vt:lpstr>
      <vt:lpstr>Data_WerktijdfactorVastOntslag312</vt:lpstr>
      <vt:lpstr>Data_WerktijdfactorVastOntslag313</vt:lpstr>
      <vt:lpstr>Data_WerktijdfactorVastOntslag314</vt:lpstr>
      <vt:lpstr>Data_WerktijdfactorVastOntslag315</vt:lpstr>
      <vt:lpstr>Data_WerktijdfactorVastOntslag316</vt:lpstr>
      <vt:lpstr>Data_WerktijdfactorVastOntslag317</vt:lpstr>
      <vt:lpstr>Data_WerktijdfactorVastOntslag318</vt:lpstr>
      <vt:lpstr>Data_WerktijdfactorVastOntslag319</vt:lpstr>
      <vt:lpstr>Data_WerktijdfactorVastOntslag320</vt:lpstr>
      <vt:lpstr>Data_WerktijdfactorVastOntslag321</vt:lpstr>
      <vt:lpstr>Data_WerktijdfactorVastOntslag322</vt:lpstr>
      <vt:lpstr>Data_WerktijdfactorVastOntslag323</vt:lpstr>
      <vt:lpstr>Data_WerktijdfactorVastOntslag324</vt:lpstr>
      <vt:lpstr>Data_WerktijdfactorVastOntslag325</vt:lpstr>
      <vt:lpstr>Data_WerktijdfactorVastOntslag326</vt:lpstr>
      <vt:lpstr>Data_WerktijdfactorVastOntslag327</vt:lpstr>
      <vt:lpstr>Data_WerktijdfactorVastOntslag328</vt:lpstr>
      <vt:lpstr>Data_WerktijdfactorVastOntslag329</vt:lpstr>
      <vt:lpstr>Data_WerktijdfactorVastOntslag330</vt:lpstr>
      <vt:lpstr>Data_WerktijdfactorVastOntslag331</vt:lpstr>
      <vt:lpstr>Data_WerktijdfactorVastOntslag332</vt:lpstr>
      <vt:lpstr>Data_WerktijdfactorVastOntslag333</vt:lpstr>
      <vt:lpstr>Data_WerktijdfactorVastOntslag334</vt:lpstr>
      <vt:lpstr>Data_WerktijdfactorVastOntslag335</vt:lpstr>
      <vt:lpstr>Data_WerktijdfactorVastOntslag336</vt:lpstr>
      <vt:lpstr>Data_WerktijdfactorVastOntslag337</vt:lpstr>
      <vt:lpstr>Data_WerktijdfactorVastOntslag338</vt:lpstr>
      <vt:lpstr>Data_WerktijdfactorVastOntslag339</vt:lpstr>
      <vt:lpstr>Data_WerktijdfactorVastOntslag340</vt:lpstr>
      <vt:lpstr>Data_WerktijdfactorVastOntslag341</vt:lpstr>
      <vt:lpstr>Data_WerktijdfactorVastOntslag342</vt:lpstr>
      <vt:lpstr>Data_WerktijdfactorVastOntslag343</vt:lpstr>
      <vt:lpstr>Data_WerktijdfactorVastOntslag344</vt:lpstr>
      <vt:lpstr>Data_WerktijdfactorVastOntslag345</vt:lpstr>
      <vt:lpstr>Data_WerktijdfactorVastOntslag346</vt:lpstr>
      <vt:lpstr>Data_WerktijdfactorVastOntslag347</vt:lpstr>
      <vt:lpstr>Data_WerktijdfactorVastOntslag348</vt:lpstr>
      <vt:lpstr>Data_WerktijdfactorVastOntslag349</vt:lpstr>
      <vt:lpstr>Data_WerktijdfactorVastOntslag350</vt:lpstr>
      <vt:lpstr>Data_WerktijdfactorVastOntslag351</vt:lpstr>
      <vt:lpstr>Data_WerktijdfactorVastOntslag352</vt:lpstr>
      <vt:lpstr>Data_WerktijdfactorVastOntslag353</vt:lpstr>
      <vt:lpstr>Data_WerktijdfactorVastOntslag354</vt:lpstr>
      <vt:lpstr>Data_WerktijdfactorVastOntslag355</vt:lpstr>
      <vt:lpstr>Data_WerktijdfactorVastOntslag356</vt:lpstr>
      <vt:lpstr>Data_WerktijdfactorVastOntslag357</vt:lpstr>
      <vt:lpstr>Data_WerktijdfactorVastOntslag358</vt:lpstr>
      <vt:lpstr>Data_WerktijdfactorVastOntslag359</vt:lpstr>
      <vt:lpstr>Data_WerktijdfactorVastOntslag360</vt:lpstr>
      <vt:lpstr>Data_WerktijdfactorVastOntslag361</vt:lpstr>
      <vt:lpstr>Data_WerktijdfactorVastOntslag362</vt:lpstr>
      <vt:lpstr>Data_WerktijdfactorVastOntslag363</vt:lpstr>
      <vt:lpstr>Data_WerktijdfactorVastOntslag364</vt:lpstr>
      <vt:lpstr>Data_WerktijdfactorVastOntslag365</vt:lpstr>
      <vt:lpstr>Data_WerktijdfactorVastOntslag366</vt:lpstr>
      <vt:lpstr>Data_WerktijdfactorVastOntslag367</vt:lpstr>
      <vt:lpstr>Data_WerktijdfactorVastOntslag368</vt:lpstr>
      <vt:lpstr>Data_WerktijdfactorVastOntslag369</vt:lpstr>
      <vt:lpstr>Data_WerktijdfactorVastOntslag370</vt:lpstr>
      <vt:lpstr>Data_WerktijdfactorVastOntslag371</vt:lpstr>
      <vt:lpstr>Data_WerktijdfactorVastOntslag372</vt:lpstr>
      <vt:lpstr>Data_WerktijdfactorVastOntslag373</vt:lpstr>
      <vt:lpstr>Data_WerktijdfactorVastOntslag374</vt:lpstr>
      <vt:lpstr>Data_WerktijdfactorVastOntslag375</vt:lpstr>
      <vt:lpstr>Data_WerktijdfactorVastOntslag376</vt:lpstr>
      <vt:lpstr>Data_WerktijdfactorVastOntslag377</vt:lpstr>
      <vt:lpstr>Data_WerktijdfactorVastOntslag378</vt:lpstr>
      <vt:lpstr>Data_WerktijdfactorVastOntslag379</vt:lpstr>
      <vt:lpstr>Data_WerktijdfactorVastOntslag380</vt:lpstr>
      <vt:lpstr>Data_WerktijdfactorVastOntslag381</vt:lpstr>
      <vt:lpstr>Data_WerktijdfactorVastOntslag382</vt:lpstr>
      <vt:lpstr>Data_WerktijdfactorVastOntslag383</vt:lpstr>
      <vt:lpstr>Data_WerktijdfactorVastOntslag384</vt:lpstr>
      <vt:lpstr>Data_WerktijdfactorVastOntslag385</vt:lpstr>
      <vt:lpstr>Data_WerktijdfactorVastOntslag386</vt:lpstr>
      <vt:lpstr>Data_WerktijdfactorVastOntslag387</vt:lpstr>
      <vt:lpstr>Data_WerktijdfactorVastOntslag388</vt:lpstr>
      <vt:lpstr>Data_WerktijdfactorVastOntslag389</vt:lpstr>
      <vt:lpstr>Data_WerktijdfactorVastOntslag390</vt:lpstr>
      <vt:lpstr>Data_WerktijdfactorVastOntslag391</vt:lpstr>
      <vt:lpstr>Data_WerktijdfactorVastOntslag392</vt:lpstr>
      <vt:lpstr>Data_WerktijdfactorVastOntslag393</vt:lpstr>
      <vt:lpstr>Data_WerktijdfactorVastOntslag394</vt:lpstr>
      <vt:lpstr>Data_WerktijdfactorVastOntslag395</vt:lpstr>
      <vt:lpstr>Data_WerktijdfactorVastOntslag396</vt:lpstr>
      <vt:lpstr>Data_WerktijdfactorVastOntslag397</vt:lpstr>
      <vt:lpstr>Data_WerktijdfactorVastOntslag398</vt:lpstr>
      <vt:lpstr>Data_WerktijdfactorVastOntslag399</vt:lpstr>
      <vt:lpstr>Data_WerktijdfactorVastOntslag400</vt:lpstr>
      <vt:lpstr>Data_WerktijdfactorVastOntslag401</vt:lpstr>
      <vt:lpstr>Data_WerktijdfactorVastOntslag402</vt:lpstr>
      <vt:lpstr>Data_WerktijdfactorVastOntslag403</vt:lpstr>
      <vt:lpstr>Data_WerktijdfactorVastOntslag404</vt:lpstr>
      <vt:lpstr>Data_WerktijdfactorVastOntslag405</vt:lpstr>
      <vt:lpstr>Data_WerktijdfactorVastOntslag406</vt:lpstr>
      <vt:lpstr>Data_WerktijdfactorVastOntslag407</vt:lpstr>
      <vt:lpstr>Data_WerktijdfactorVastOntslag408</vt:lpstr>
      <vt:lpstr>Data_WerktijdfactorVastOntslag409</vt:lpstr>
      <vt:lpstr>Data_WerktijdfactorVastOntslag410</vt:lpstr>
      <vt:lpstr>Data_WerktijdfactorVastOntslag411</vt:lpstr>
      <vt:lpstr>Data_WerktijdfactorVastOntslag412</vt:lpstr>
      <vt:lpstr>Data_WerktijdfactorVastOntslag413</vt:lpstr>
      <vt:lpstr>Data_WerktijdfactorVastOntslag414</vt:lpstr>
      <vt:lpstr>Data_WerktijdfactorVastOntslag415</vt:lpstr>
      <vt:lpstr>Data_WerktijdfactorVastOntslag416</vt:lpstr>
      <vt:lpstr>Data_WerktijdfactorVastOntslag417</vt:lpstr>
      <vt:lpstr>Data_WerktijdfactorVastOntslag418</vt:lpstr>
      <vt:lpstr>Data_WerktijdfactorVastOntslag419</vt:lpstr>
      <vt:lpstr>Data_WerktijdfactorVastOntslag420</vt:lpstr>
      <vt:lpstr>Data_WerktijdfactorVastOntslag421</vt:lpstr>
      <vt:lpstr>Data_WerktijdfactorVastOntslag422</vt:lpstr>
      <vt:lpstr>Data_WerktijdfactorVastOntslag423</vt:lpstr>
      <vt:lpstr>Data_WerktijdfactorVastOntslag424</vt:lpstr>
      <vt:lpstr>Data_WerktijdfactorVastOntslag425</vt:lpstr>
      <vt:lpstr>Data_WerktijdfactorVastOntslag426</vt:lpstr>
      <vt:lpstr>Data_WerktijdfactorVastOntslag427</vt:lpstr>
      <vt:lpstr>Data_WerktijdfactorVastOntslag428</vt:lpstr>
      <vt:lpstr>Data_WerktijdfactorVastOntslag429</vt:lpstr>
      <vt:lpstr>Data_WerktijdfactorVastOntslag430</vt:lpstr>
      <vt:lpstr>Data_WerktijdfactorVastOntslag431</vt:lpstr>
      <vt:lpstr>Data_WerktijdfactorVastOntslag432</vt:lpstr>
      <vt:lpstr>Data_WerktijdfactorVastOntslag433</vt:lpstr>
      <vt:lpstr>Data_WerktijdfactorVastOntslag434</vt:lpstr>
      <vt:lpstr>Data_WerktijdfactorVastOntslag435</vt:lpstr>
      <vt:lpstr>Data_WerktijdfactorVastOntslag436</vt:lpstr>
      <vt:lpstr>Data_WerktijdfactorVastOntslag437</vt:lpstr>
      <vt:lpstr>Data_WerktijdfactorVastOntslag438</vt:lpstr>
      <vt:lpstr>Data_WerktijdfactorVastOntslag439</vt:lpstr>
      <vt:lpstr>Data_WerktijdfactorVastOntslag440</vt:lpstr>
      <vt:lpstr>Data_WerktijdfactorVastOntslag441</vt:lpstr>
      <vt:lpstr>Data_WerktijdfactorVastOntslag442</vt:lpstr>
      <vt:lpstr>Data_WerktijdfactorVastOntslag443</vt:lpstr>
      <vt:lpstr>Data_WerktijdfactorVastOntslag444</vt:lpstr>
      <vt:lpstr>Data_WerktijdfactorVastOntslag445</vt:lpstr>
      <vt:lpstr>Data_WerktijdfactorVastOntslag446</vt:lpstr>
      <vt:lpstr>Data_WerktijdfactorVastOntslag447</vt:lpstr>
      <vt:lpstr>Data_WerktijdfactorVastOntslag448</vt:lpstr>
      <vt:lpstr>Data_WerktijdfactorVastOntslag449</vt:lpstr>
      <vt:lpstr>Data_WerktijdfactorVastOntslag450</vt:lpstr>
      <vt:lpstr>Data_WerktijdfactorVastOntslag451</vt:lpstr>
      <vt:lpstr>Data_WerktijdfactorVastOntslag452</vt:lpstr>
      <vt:lpstr>Data_WerktijdfactorVastOntslag453</vt:lpstr>
      <vt:lpstr>Data_WerktijdfactorVastOntslag454</vt:lpstr>
      <vt:lpstr>Data_WerktijdfactorVastOntslag455</vt:lpstr>
      <vt:lpstr>Data_WerktijdfactorVastOntslag456</vt:lpstr>
      <vt:lpstr>Data_WerktijdfactorVastOntslag457</vt:lpstr>
      <vt:lpstr>Data_WerktijdfactorVastOntslag458</vt:lpstr>
      <vt:lpstr>Data_WerktijdfactorVastOntslag459</vt:lpstr>
      <vt:lpstr>Data_WerktijdfactorVastOntslag460</vt:lpstr>
      <vt:lpstr>Data_WerktijdfactorVastOntslag461</vt:lpstr>
      <vt:lpstr>Data_WerktijdfactorVastOntslag462</vt:lpstr>
      <vt:lpstr>Data_WerktijdfactorVastOntslag463</vt:lpstr>
      <vt:lpstr>Data_WerktijdfactorVastOntslag464</vt:lpstr>
      <vt:lpstr>Data_WerktijdfactorVastOntslag465</vt:lpstr>
      <vt:lpstr>Data_WerktijdfactorVastOntslag466</vt:lpstr>
      <vt:lpstr>Data_WerktijdfactorVastOntslag467</vt:lpstr>
      <vt:lpstr>Data_WerktijdfactorVastOntslag468</vt:lpstr>
      <vt:lpstr>Data_WerktijdfactorVastOntslag469</vt:lpstr>
      <vt:lpstr>Data_WerktijdfactorVastOntslag470</vt:lpstr>
      <vt:lpstr>Data_WerktijdfactorVastOntslag471</vt:lpstr>
      <vt:lpstr>Data_WerktijdfactorVastOntslag472</vt:lpstr>
      <vt:lpstr>Data_WerktijdfactorVastOntslag473</vt:lpstr>
      <vt:lpstr>Data_WerktijdfactorVastOntslag474</vt:lpstr>
      <vt:lpstr>Data_WerktijdfactorVastOntslag475</vt:lpstr>
      <vt:lpstr>Data_WerktijdfactorVastOntslag476</vt:lpstr>
      <vt:lpstr>Data_WerktijdfactorVastOntslag477</vt:lpstr>
      <vt:lpstr>Data_WerktijdfactorVastOntslag478</vt:lpstr>
      <vt:lpstr>Data_WerktijdfactorVastOntslag479</vt:lpstr>
      <vt:lpstr>Data_WerktijdfactorVastOntslag480</vt:lpstr>
      <vt:lpstr>Data_WerktijdfactorVastOntslag481</vt:lpstr>
      <vt:lpstr>Data_WerktijdfactorVastOntslag482</vt:lpstr>
      <vt:lpstr>Data_WerktijdfactorVastOntslag483</vt:lpstr>
      <vt:lpstr>Data_WerktijdfactorVastOntslag484</vt:lpstr>
      <vt:lpstr>Data_WerktijdfactorVastOntslag485</vt:lpstr>
      <vt:lpstr>Data_WerktijdfactorVastOntslag486</vt:lpstr>
      <vt:lpstr>Data_WerktijdfactorVastOntslag487</vt:lpstr>
      <vt:lpstr>Data_WerktijdfactorVastOntslag488</vt:lpstr>
      <vt:lpstr>Data_WerktijdfactorVastOntslag489</vt:lpstr>
      <vt:lpstr>Data_WerktijdfactorVastOntslag490</vt:lpstr>
      <vt:lpstr>Data_WerktijdfactorVastOntslag491</vt:lpstr>
      <vt:lpstr>Data_WerktijdfactorVastOntslag492</vt:lpstr>
      <vt:lpstr>Data_WerktijdfactorVastOntslag493</vt:lpstr>
      <vt:lpstr>Data_WerktijdfactorVastOntslag494</vt:lpstr>
      <vt:lpstr>Data_WerktijdfactorVastOntslag495</vt:lpstr>
      <vt:lpstr>Data_WerktijdfactorVastOntslag496</vt:lpstr>
      <vt:lpstr>Data_WerktijdfactorVastOntslag497</vt:lpstr>
      <vt:lpstr>Data_WerktijdfactorVastOntslag498</vt:lpstr>
      <vt:lpstr>Data_WerktijdfactorVastOntslag499</vt:lpstr>
      <vt:lpstr>Data_WerktijdfactorVastOntslag500</vt:lpstr>
      <vt:lpstr>Data_WerktijdfactorVastVrij001</vt:lpstr>
      <vt:lpstr>Data_WerktijdfactorVastVrij002</vt:lpstr>
      <vt:lpstr>Data_WerktijdfactorVastVrij003</vt:lpstr>
      <vt:lpstr>Data_WerktijdfactorVastVrij004</vt:lpstr>
      <vt:lpstr>Data_WerktijdfactorVastVrij005</vt:lpstr>
      <vt:lpstr>Data_WerktijdfactorVastVrij006</vt:lpstr>
      <vt:lpstr>Data_WerktijdfactorVastVrij007</vt:lpstr>
      <vt:lpstr>Data_WerktijdfactorVastVrij008</vt:lpstr>
      <vt:lpstr>Data_WerktijdfactorVastVrij009</vt:lpstr>
      <vt:lpstr>Data_WerktijdfactorVastVrij010</vt:lpstr>
      <vt:lpstr>Data_WerktijdfactorVastVrij011</vt:lpstr>
      <vt:lpstr>Data_WerktijdfactorVastVrij012</vt:lpstr>
      <vt:lpstr>Data_WerktijdfactorVastVrij013</vt:lpstr>
      <vt:lpstr>Data_WerktijdfactorVastVrij014</vt:lpstr>
      <vt:lpstr>Data_WerktijdfactorVastVrij015</vt:lpstr>
      <vt:lpstr>Data_WerktijdfactorVastVrij016</vt:lpstr>
      <vt:lpstr>Data_WerktijdfactorVastVrij017</vt:lpstr>
      <vt:lpstr>Data_WerktijdfactorVastVrij018</vt:lpstr>
      <vt:lpstr>Data_WerktijdfactorVastVrij019</vt:lpstr>
      <vt:lpstr>Data_WerktijdfactorVastVrij020</vt:lpstr>
      <vt:lpstr>Data_WerktijdfactorVastVrij021</vt:lpstr>
      <vt:lpstr>Data_WerktijdfactorVastVrij022</vt:lpstr>
      <vt:lpstr>Data_WerktijdfactorVastVrij023</vt:lpstr>
      <vt:lpstr>Data_WerktijdfactorVastVrij024</vt:lpstr>
      <vt:lpstr>Data_WerktijdfactorVastVrij025</vt:lpstr>
      <vt:lpstr>Data_WerktijdfactorVastVrij026</vt:lpstr>
      <vt:lpstr>Data_WerktijdfactorVastVrij027</vt:lpstr>
      <vt:lpstr>Data_WerktijdfactorVastVrij028</vt:lpstr>
      <vt:lpstr>Data_WerktijdfactorVastVrij029</vt:lpstr>
      <vt:lpstr>Data_WerktijdfactorVastVrij030</vt:lpstr>
      <vt:lpstr>Data_WerktijdfactorVastVrij031</vt:lpstr>
      <vt:lpstr>Data_WerktijdfactorVastVrij032</vt:lpstr>
      <vt:lpstr>Data_WerktijdfactorVastVrij033</vt:lpstr>
      <vt:lpstr>Data_WerktijdfactorVastVrij034</vt:lpstr>
      <vt:lpstr>Data_WerktijdfactorVastVrij035</vt:lpstr>
      <vt:lpstr>Data_WerktijdfactorVastVrij036</vt:lpstr>
      <vt:lpstr>Data_WerktijdfactorVastVrij037</vt:lpstr>
      <vt:lpstr>Data_WerktijdfactorVastVrij038</vt:lpstr>
      <vt:lpstr>Data_WerktijdfactorVastVrij039</vt:lpstr>
      <vt:lpstr>Data_WerktijdfactorVastVrij040</vt:lpstr>
      <vt:lpstr>Data_WerktijdfactorVastVrij041</vt:lpstr>
      <vt:lpstr>Data_WerktijdfactorVastVrij042</vt:lpstr>
      <vt:lpstr>Data_WerktijdfactorVastVrij043</vt:lpstr>
      <vt:lpstr>Data_WerktijdfactorVastVrij044</vt:lpstr>
      <vt:lpstr>Data_WerktijdfactorVastVrij045</vt:lpstr>
      <vt:lpstr>Data_WerktijdfactorVastVrij046</vt:lpstr>
      <vt:lpstr>Data_WerktijdfactorVastVrij047</vt:lpstr>
      <vt:lpstr>Data_WerktijdfactorVastVrij048</vt:lpstr>
      <vt:lpstr>Data_WerktijdfactorVastVrij049</vt:lpstr>
      <vt:lpstr>Data_WerktijdfactorVastVrij050</vt:lpstr>
      <vt:lpstr>Data_WerktijdfactorVastVrij051</vt:lpstr>
      <vt:lpstr>Data_WerktijdfactorVastVrij052</vt:lpstr>
      <vt:lpstr>Data_WerktijdfactorVastVrij053</vt:lpstr>
      <vt:lpstr>Data_WerktijdfactorVastVrij054</vt:lpstr>
      <vt:lpstr>Data_WerktijdfactorVastVrij055</vt:lpstr>
      <vt:lpstr>Data_WerktijdfactorVastVrij056</vt:lpstr>
      <vt:lpstr>Data_WerktijdfactorVastVrij057</vt:lpstr>
      <vt:lpstr>Data_WerktijdfactorVastVrij058</vt:lpstr>
      <vt:lpstr>Data_WerktijdfactorVastVrij059</vt:lpstr>
      <vt:lpstr>Data_WerktijdfactorVastVrij060</vt:lpstr>
      <vt:lpstr>Data_WerktijdfactorVastVrij061</vt:lpstr>
      <vt:lpstr>Data_WerktijdfactorVastVrij062</vt:lpstr>
      <vt:lpstr>Data_WerktijdfactorVastVrij063</vt:lpstr>
      <vt:lpstr>Data_WerktijdfactorVastVrij064</vt:lpstr>
      <vt:lpstr>Data_WerktijdfactorVastVrij065</vt:lpstr>
      <vt:lpstr>Data_WerktijdfactorVastVrij066</vt:lpstr>
      <vt:lpstr>Data_WerktijdfactorVastVrij067</vt:lpstr>
      <vt:lpstr>Data_WerktijdfactorVastVrij068</vt:lpstr>
      <vt:lpstr>Data_WerktijdfactorVastVrij069</vt:lpstr>
      <vt:lpstr>Data_WerktijdfactorVastVrij070</vt:lpstr>
      <vt:lpstr>Data_WerktijdfactorVastVrij071</vt:lpstr>
      <vt:lpstr>Data_WerktijdfactorVastVrij072</vt:lpstr>
      <vt:lpstr>Data_WerktijdfactorVastVrij073</vt:lpstr>
      <vt:lpstr>Data_WerktijdfactorVastVrij074</vt:lpstr>
      <vt:lpstr>Data_WerktijdfactorVastVrij075</vt:lpstr>
      <vt:lpstr>Data_WerktijdfactorVastVrij076</vt:lpstr>
      <vt:lpstr>Data_WerktijdfactorVastVrij077</vt:lpstr>
      <vt:lpstr>Data_WerktijdfactorVastVrij078</vt:lpstr>
      <vt:lpstr>Data_WerktijdfactorVastVrij079</vt:lpstr>
      <vt:lpstr>Data_WerktijdfactorVastVrij080</vt:lpstr>
      <vt:lpstr>Data_WerktijdfactorVastVrij081</vt:lpstr>
      <vt:lpstr>Data_WerktijdfactorVastVrij082</vt:lpstr>
      <vt:lpstr>Data_WerktijdfactorVastVrij083</vt:lpstr>
      <vt:lpstr>Data_WerktijdfactorVastVrij084</vt:lpstr>
      <vt:lpstr>Data_WerktijdfactorVastVrij085</vt:lpstr>
      <vt:lpstr>Data_WerktijdfactorVastVrij086</vt:lpstr>
      <vt:lpstr>Data_WerktijdfactorVastVrij087</vt:lpstr>
      <vt:lpstr>Data_WerktijdfactorVastVrij088</vt:lpstr>
      <vt:lpstr>Data_WerktijdfactorVastVrij089</vt:lpstr>
      <vt:lpstr>Data_WerktijdfactorVastVrij090</vt:lpstr>
      <vt:lpstr>Data_WerktijdfactorVastVrij091</vt:lpstr>
      <vt:lpstr>Data_WerktijdfactorVastVrij092</vt:lpstr>
      <vt:lpstr>Data_WerktijdfactorVastVrij093</vt:lpstr>
      <vt:lpstr>Data_WerktijdfactorVastVrij094</vt:lpstr>
      <vt:lpstr>Data_WerktijdfactorVastVrij095</vt:lpstr>
      <vt:lpstr>Data_WerktijdfactorVastVrij096</vt:lpstr>
      <vt:lpstr>Data_WerktijdfactorVastVrij097</vt:lpstr>
      <vt:lpstr>Data_WerktijdfactorVastVrij098</vt:lpstr>
      <vt:lpstr>Data_WerktijdfactorVastVrij099</vt:lpstr>
      <vt:lpstr>Data_WerktijdfactorVastVrij100</vt:lpstr>
      <vt:lpstr>Data_WerktijdfactorVastVrij101</vt:lpstr>
      <vt:lpstr>Data_WerktijdfactorVastVrij102</vt:lpstr>
      <vt:lpstr>Data_WerktijdfactorVastVrij103</vt:lpstr>
      <vt:lpstr>Data_WerktijdfactorVastVrij104</vt:lpstr>
      <vt:lpstr>Data_WerktijdfactorVastVrij105</vt:lpstr>
      <vt:lpstr>Data_WerktijdfactorVastVrij106</vt:lpstr>
      <vt:lpstr>Data_WerktijdfactorVastVrij107</vt:lpstr>
      <vt:lpstr>Data_WerktijdfactorVastVrij108</vt:lpstr>
      <vt:lpstr>Data_WerktijdfactorVastVrij109</vt:lpstr>
      <vt:lpstr>Data_WerktijdfactorVastVrij110</vt:lpstr>
      <vt:lpstr>Data_WerktijdfactorVastVrij111</vt:lpstr>
      <vt:lpstr>Data_WerktijdfactorVastVrij112</vt:lpstr>
      <vt:lpstr>Data_WerktijdfactorVastVrij113</vt:lpstr>
      <vt:lpstr>Data_WerktijdfactorVastVrij114</vt:lpstr>
      <vt:lpstr>Data_WerktijdfactorVastVrij115</vt:lpstr>
      <vt:lpstr>Data_WerktijdfactorVastVrij116</vt:lpstr>
      <vt:lpstr>Data_WerktijdfactorVastVrij117</vt:lpstr>
      <vt:lpstr>Data_WerktijdfactorVastVrij118</vt:lpstr>
      <vt:lpstr>Data_WerktijdfactorVastVrij119</vt:lpstr>
      <vt:lpstr>Data_WerktijdfactorVastVrij120</vt:lpstr>
      <vt:lpstr>Data_WerktijdfactorVastVrij121</vt:lpstr>
      <vt:lpstr>Data_WerktijdfactorVastVrij122</vt:lpstr>
      <vt:lpstr>Data_WerktijdfactorVastVrij123</vt:lpstr>
      <vt:lpstr>Data_WerktijdfactorVastVrij124</vt:lpstr>
      <vt:lpstr>Data_WerktijdfactorVastVrij125</vt:lpstr>
      <vt:lpstr>Data_WerktijdfactorVastVrij126</vt:lpstr>
      <vt:lpstr>Data_WerktijdfactorVastVrij127</vt:lpstr>
      <vt:lpstr>Data_WerktijdfactorVastVrij128</vt:lpstr>
      <vt:lpstr>Data_WerktijdfactorVastVrij129</vt:lpstr>
      <vt:lpstr>Data_WerktijdfactorVastVrij130</vt:lpstr>
      <vt:lpstr>Data_WerktijdfactorVastVrij131</vt:lpstr>
      <vt:lpstr>Data_WerktijdfactorVastVrij132</vt:lpstr>
      <vt:lpstr>Data_WerktijdfactorVastVrij133</vt:lpstr>
      <vt:lpstr>Data_WerktijdfactorVastVrij134</vt:lpstr>
      <vt:lpstr>Data_WerktijdfactorVastVrij135</vt:lpstr>
      <vt:lpstr>Data_WerktijdfactorVastVrij136</vt:lpstr>
      <vt:lpstr>Data_WerktijdfactorVastVrij137</vt:lpstr>
      <vt:lpstr>Data_WerktijdfactorVastVrij138</vt:lpstr>
      <vt:lpstr>Data_WerktijdfactorVastVrij139</vt:lpstr>
      <vt:lpstr>Data_WerktijdfactorVastVrij140</vt:lpstr>
      <vt:lpstr>Data_WerktijdfactorVastVrij141</vt:lpstr>
      <vt:lpstr>Data_WerktijdfactorVastVrij142</vt:lpstr>
      <vt:lpstr>Data_WerktijdfactorVastVrij143</vt:lpstr>
      <vt:lpstr>Data_WerktijdfactorVastVrij144</vt:lpstr>
      <vt:lpstr>Data_WerktijdfactorVastVrij145</vt:lpstr>
      <vt:lpstr>Data_WerktijdfactorVastVrij146</vt:lpstr>
      <vt:lpstr>Data_WerktijdfactorVastVrij147</vt:lpstr>
      <vt:lpstr>Data_WerktijdfactorVastVrij148</vt:lpstr>
      <vt:lpstr>Data_WerktijdfactorVastVrij149</vt:lpstr>
      <vt:lpstr>Data_WerktijdfactorVastVrij150</vt:lpstr>
      <vt:lpstr>Data_WerktijdfactorVastVrij151</vt:lpstr>
      <vt:lpstr>Data_WerktijdfactorVastVrij152</vt:lpstr>
      <vt:lpstr>Data_WerktijdfactorVastVrij153</vt:lpstr>
      <vt:lpstr>Data_WerktijdfactorVastVrij154</vt:lpstr>
      <vt:lpstr>Data_WerktijdfactorVastVrij155</vt:lpstr>
      <vt:lpstr>Data_WerktijdfactorVastVrij156</vt:lpstr>
      <vt:lpstr>Data_WerktijdfactorVastVrij157</vt:lpstr>
      <vt:lpstr>Data_WerktijdfactorVastVrij158</vt:lpstr>
      <vt:lpstr>Data_WerktijdfactorVastVrij159</vt:lpstr>
      <vt:lpstr>Data_WerktijdfactorVastVrij160</vt:lpstr>
      <vt:lpstr>Data_WerktijdfactorVastVrij161</vt:lpstr>
      <vt:lpstr>Data_WerktijdfactorVastVrij162</vt:lpstr>
      <vt:lpstr>Data_WerktijdfactorVastVrij163</vt:lpstr>
      <vt:lpstr>Data_WerktijdfactorVastVrij164</vt:lpstr>
      <vt:lpstr>Data_WerktijdfactorVastVrij165</vt:lpstr>
      <vt:lpstr>Data_WerktijdfactorVastVrij166</vt:lpstr>
      <vt:lpstr>Data_WerktijdfactorVastVrij167</vt:lpstr>
      <vt:lpstr>Data_WerktijdfactorVastVrij168</vt:lpstr>
      <vt:lpstr>Data_WerktijdfactorVastVrij169</vt:lpstr>
      <vt:lpstr>Data_WerktijdfactorVastVrij170</vt:lpstr>
      <vt:lpstr>Data_WerktijdfactorVastVrij171</vt:lpstr>
      <vt:lpstr>Data_WerktijdfactorVastVrij172</vt:lpstr>
      <vt:lpstr>Data_WerktijdfactorVastVrij173</vt:lpstr>
      <vt:lpstr>Data_WerktijdfactorVastVrij174</vt:lpstr>
      <vt:lpstr>Data_WerktijdfactorVastVrij175</vt:lpstr>
      <vt:lpstr>Data_WerktijdfactorVastVrij176</vt:lpstr>
      <vt:lpstr>Data_WerktijdfactorVastVrij177</vt:lpstr>
      <vt:lpstr>Data_WerktijdfactorVastVrij178</vt:lpstr>
      <vt:lpstr>Data_WerktijdfactorVastVrij179</vt:lpstr>
      <vt:lpstr>Data_WerktijdfactorVastVrij180</vt:lpstr>
      <vt:lpstr>Data_WerktijdfactorVastVrij181</vt:lpstr>
      <vt:lpstr>Data_WerktijdfactorVastVrij182</vt:lpstr>
      <vt:lpstr>Data_WerktijdfactorVastVrij183</vt:lpstr>
      <vt:lpstr>Data_WerktijdfactorVastVrij184</vt:lpstr>
      <vt:lpstr>Data_WerktijdfactorVastVrij185</vt:lpstr>
      <vt:lpstr>Data_WerktijdfactorVastVrij186</vt:lpstr>
      <vt:lpstr>Data_WerktijdfactorVastVrij187</vt:lpstr>
      <vt:lpstr>Data_WerktijdfactorVastVrij188</vt:lpstr>
      <vt:lpstr>Data_WerktijdfactorVastVrij189</vt:lpstr>
      <vt:lpstr>Data_WerktijdfactorVastVrij190</vt:lpstr>
      <vt:lpstr>Data_WerktijdfactorVastVrij191</vt:lpstr>
      <vt:lpstr>Data_WerktijdfactorVastVrij192</vt:lpstr>
      <vt:lpstr>Data_WerktijdfactorVastVrij193</vt:lpstr>
      <vt:lpstr>Data_WerktijdfactorVastVrij194</vt:lpstr>
      <vt:lpstr>Data_WerktijdfactorVastVrij195</vt:lpstr>
      <vt:lpstr>Data_WerktijdfactorVastVrij196</vt:lpstr>
      <vt:lpstr>Data_WerktijdfactorVastVrij197</vt:lpstr>
      <vt:lpstr>Data_WerktijdfactorVastVrij198</vt:lpstr>
      <vt:lpstr>Data_WerktijdfactorVastVrij199</vt:lpstr>
      <vt:lpstr>Data_WerktijdfactorVastVrij200</vt:lpstr>
      <vt:lpstr>Data_WerktijdfactorVastVrij201</vt:lpstr>
      <vt:lpstr>Data_WerktijdfactorVastVrij202</vt:lpstr>
      <vt:lpstr>Data_WerktijdfactorVastVrij203</vt:lpstr>
      <vt:lpstr>Data_WerktijdfactorVastVrij204</vt:lpstr>
      <vt:lpstr>Data_WerktijdfactorVastVrij205</vt:lpstr>
      <vt:lpstr>Data_WerktijdfactorVastVrij206</vt:lpstr>
      <vt:lpstr>Data_WerktijdfactorVastVrij207</vt:lpstr>
      <vt:lpstr>Data_WerktijdfactorVastVrij208</vt:lpstr>
      <vt:lpstr>Data_WerktijdfactorVastVrij209</vt:lpstr>
      <vt:lpstr>Data_WerktijdfactorVastVrij210</vt:lpstr>
      <vt:lpstr>Data_WerktijdfactorVastVrij211</vt:lpstr>
      <vt:lpstr>Data_WerktijdfactorVastVrij212</vt:lpstr>
      <vt:lpstr>Data_WerktijdfactorVastVrij213</vt:lpstr>
      <vt:lpstr>Data_WerktijdfactorVastVrij214</vt:lpstr>
      <vt:lpstr>Data_WerktijdfactorVastVrij215</vt:lpstr>
      <vt:lpstr>Data_WerktijdfactorVastVrij216</vt:lpstr>
      <vt:lpstr>Data_WerktijdfactorVastVrij217</vt:lpstr>
      <vt:lpstr>Data_WerktijdfactorVastVrij218</vt:lpstr>
      <vt:lpstr>Data_WerktijdfactorVastVrij219</vt:lpstr>
      <vt:lpstr>Data_WerktijdfactorVastVrij220</vt:lpstr>
      <vt:lpstr>Data_WerktijdfactorVastVrij221</vt:lpstr>
      <vt:lpstr>Data_WerktijdfactorVastVrij222</vt:lpstr>
      <vt:lpstr>Data_WerktijdfactorVastVrij223</vt:lpstr>
      <vt:lpstr>Data_WerktijdfactorVastVrij224</vt:lpstr>
      <vt:lpstr>Data_WerktijdfactorVastVrij225</vt:lpstr>
      <vt:lpstr>Data_WerktijdfactorVastVrij226</vt:lpstr>
      <vt:lpstr>Data_WerktijdfactorVastVrij227</vt:lpstr>
      <vt:lpstr>Data_WerktijdfactorVastVrij228</vt:lpstr>
      <vt:lpstr>Data_WerktijdfactorVastVrij229</vt:lpstr>
      <vt:lpstr>Data_WerktijdfactorVastVrij230</vt:lpstr>
      <vt:lpstr>Data_WerktijdfactorVastVrij231</vt:lpstr>
      <vt:lpstr>Data_WerktijdfactorVastVrij232</vt:lpstr>
      <vt:lpstr>Data_WerktijdfactorVastVrij233</vt:lpstr>
      <vt:lpstr>Data_WerktijdfactorVastVrij234</vt:lpstr>
      <vt:lpstr>Data_WerktijdfactorVastVrij235</vt:lpstr>
      <vt:lpstr>Data_WerktijdfactorVastVrij236</vt:lpstr>
      <vt:lpstr>Data_WerktijdfactorVastVrij237</vt:lpstr>
      <vt:lpstr>Data_WerktijdfactorVastVrij238</vt:lpstr>
      <vt:lpstr>Data_WerktijdfactorVastVrij239</vt:lpstr>
      <vt:lpstr>Data_WerktijdfactorVastVrij240</vt:lpstr>
      <vt:lpstr>Data_WerktijdfactorVastVrij241</vt:lpstr>
      <vt:lpstr>Data_WerktijdfactorVastVrij242</vt:lpstr>
      <vt:lpstr>Data_WerktijdfactorVastVrij243</vt:lpstr>
      <vt:lpstr>Data_WerktijdfactorVastVrij244</vt:lpstr>
      <vt:lpstr>Data_WerktijdfactorVastVrij245</vt:lpstr>
      <vt:lpstr>Data_WerktijdfactorVastVrij246</vt:lpstr>
      <vt:lpstr>Data_WerktijdfactorVastVrij247</vt:lpstr>
      <vt:lpstr>Data_WerktijdfactorVastVrij248</vt:lpstr>
      <vt:lpstr>Data_WerktijdfactorVastVrij249</vt:lpstr>
      <vt:lpstr>Data_WerktijdfactorVastVrij250</vt:lpstr>
      <vt:lpstr>Data_WerktijdfactorVastVrij251</vt:lpstr>
      <vt:lpstr>Data_WerktijdfactorVastVrij252</vt:lpstr>
      <vt:lpstr>Data_WerktijdfactorVastVrij253</vt:lpstr>
      <vt:lpstr>Data_WerktijdfactorVastVrij254</vt:lpstr>
      <vt:lpstr>Data_WerktijdfactorVastVrij255</vt:lpstr>
      <vt:lpstr>Data_WerktijdfactorVastVrij256</vt:lpstr>
      <vt:lpstr>Data_WerktijdfactorVastVrij257</vt:lpstr>
      <vt:lpstr>Data_WerktijdfactorVastVrij258</vt:lpstr>
      <vt:lpstr>Data_WerktijdfactorVastVrij259</vt:lpstr>
      <vt:lpstr>Data_WerktijdfactorVastVrij260</vt:lpstr>
      <vt:lpstr>Data_WerktijdfactorVastVrij261</vt:lpstr>
      <vt:lpstr>Data_WerktijdfactorVastVrij262</vt:lpstr>
      <vt:lpstr>Data_WerktijdfactorVastVrij263</vt:lpstr>
      <vt:lpstr>Data_WerktijdfactorVastVrij264</vt:lpstr>
      <vt:lpstr>Data_WerktijdfactorVastVrij265</vt:lpstr>
      <vt:lpstr>Data_WerktijdfactorVastVrij266</vt:lpstr>
      <vt:lpstr>Data_WerktijdfactorVastVrij267</vt:lpstr>
      <vt:lpstr>Data_WerktijdfactorVastVrij268</vt:lpstr>
      <vt:lpstr>Data_WerktijdfactorVastVrij269</vt:lpstr>
      <vt:lpstr>Data_WerktijdfactorVastVrij270</vt:lpstr>
      <vt:lpstr>Data_WerktijdfactorVastVrij271</vt:lpstr>
      <vt:lpstr>Data_WerktijdfactorVastVrij272</vt:lpstr>
      <vt:lpstr>Data_WerktijdfactorVastVrij273</vt:lpstr>
      <vt:lpstr>Data_WerktijdfactorVastVrij274</vt:lpstr>
      <vt:lpstr>Data_WerktijdfactorVastVrij275</vt:lpstr>
      <vt:lpstr>Data_WerktijdfactorVastVrij276</vt:lpstr>
      <vt:lpstr>Data_WerktijdfactorVastVrij277</vt:lpstr>
      <vt:lpstr>Data_WerktijdfactorVastVrij278</vt:lpstr>
      <vt:lpstr>Data_WerktijdfactorVastVrij279</vt:lpstr>
      <vt:lpstr>Data_WerktijdfactorVastVrij280</vt:lpstr>
      <vt:lpstr>Data_WerktijdfactorVastVrij281</vt:lpstr>
      <vt:lpstr>Data_WerktijdfactorVastVrij282</vt:lpstr>
      <vt:lpstr>Data_WerktijdfactorVastVrij283</vt:lpstr>
      <vt:lpstr>Data_WerktijdfactorVastVrij284</vt:lpstr>
      <vt:lpstr>Data_WerktijdfactorVastVrij285</vt:lpstr>
      <vt:lpstr>Data_WerktijdfactorVastVrij286</vt:lpstr>
      <vt:lpstr>Data_WerktijdfactorVastVrij287</vt:lpstr>
      <vt:lpstr>Data_WerktijdfactorVastVrij288</vt:lpstr>
      <vt:lpstr>Data_WerktijdfactorVastVrij289</vt:lpstr>
      <vt:lpstr>Data_WerktijdfactorVastVrij290</vt:lpstr>
      <vt:lpstr>Data_WerktijdfactorVastVrij291</vt:lpstr>
      <vt:lpstr>Data_WerktijdfactorVastVrij292</vt:lpstr>
      <vt:lpstr>Data_WerktijdfactorVastVrij293</vt:lpstr>
      <vt:lpstr>Data_WerktijdfactorVastVrij294</vt:lpstr>
      <vt:lpstr>Data_WerktijdfactorVastVrij295</vt:lpstr>
      <vt:lpstr>Data_WerktijdfactorVastVrij296</vt:lpstr>
      <vt:lpstr>Data_WerktijdfactorVastVrij297</vt:lpstr>
      <vt:lpstr>Data_WerktijdfactorVastVrij298</vt:lpstr>
      <vt:lpstr>Data_WerktijdfactorVastVrij299</vt:lpstr>
      <vt:lpstr>Data_WerktijdfactorVastVrij300</vt:lpstr>
      <vt:lpstr>Data_WerktijdfactorVastVrij301</vt:lpstr>
      <vt:lpstr>Data_WerktijdfactorVastVrij302</vt:lpstr>
      <vt:lpstr>Data_WerktijdfactorVastVrij303</vt:lpstr>
      <vt:lpstr>Data_WerktijdfactorVastVrij304</vt:lpstr>
      <vt:lpstr>Data_WerktijdfactorVastVrij305</vt:lpstr>
      <vt:lpstr>Data_WerktijdfactorVastVrij306</vt:lpstr>
      <vt:lpstr>Data_WerktijdfactorVastVrij307</vt:lpstr>
      <vt:lpstr>Data_WerktijdfactorVastVrij308</vt:lpstr>
      <vt:lpstr>Data_WerktijdfactorVastVrij309</vt:lpstr>
      <vt:lpstr>Data_WerktijdfactorVastVrij310</vt:lpstr>
      <vt:lpstr>Data_WerktijdfactorVastVrij311</vt:lpstr>
      <vt:lpstr>Data_WerktijdfactorVastVrij312</vt:lpstr>
      <vt:lpstr>Data_WerktijdfactorVastVrij313</vt:lpstr>
      <vt:lpstr>Data_WerktijdfactorVastVrij314</vt:lpstr>
      <vt:lpstr>Data_WerktijdfactorVastVrij315</vt:lpstr>
      <vt:lpstr>Data_WerktijdfactorVastVrij316</vt:lpstr>
      <vt:lpstr>Data_WerktijdfactorVastVrij317</vt:lpstr>
      <vt:lpstr>Data_WerktijdfactorVastVrij318</vt:lpstr>
      <vt:lpstr>Data_WerktijdfactorVastVrij319</vt:lpstr>
      <vt:lpstr>Data_WerktijdfactorVastVrij320</vt:lpstr>
      <vt:lpstr>Data_WerktijdfactorVastVrij321</vt:lpstr>
      <vt:lpstr>Data_WerktijdfactorVastVrij322</vt:lpstr>
      <vt:lpstr>Data_WerktijdfactorVastVrij323</vt:lpstr>
      <vt:lpstr>Data_WerktijdfactorVastVrij324</vt:lpstr>
      <vt:lpstr>Data_WerktijdfactorVastVrij325</vt:lpstr>
      <vt:lpstr>Data_WerktijdfactorVastVrij326</vt:lpstr>
      <vt:lpstr>Data_WerktijdfactorVastVrij327</vt:lpstr>
      <vt:lpstr>Data_WerktijdfactorVastVrij328</vt:lpstr>
      <vt:lpstr>Data_WerktijdfactorVastVrij329</vt:lpstr>
      <vt:lpstr>Data_WerktijdfactorVastVrij330</vt:lpstr>
      <vt:lpstr>Data_WerktijdfactorVastVrij331</vt:lpstr>
      <vt:lpstr>Data_WerktijdfactorVastVrij332</vt:lpstr>
      <vt:lpstr>Data_WerktijdfactorVastVrij333</vt:lpstr>
      <vt:lpstr>Data_WerktijdfactorVastVrij334</vt:lpstr>
      <vt:lpstr>Data_WerktijdfactorVastVrij335</vt:lpstr>
      <vt:lpstr>Data_WerktijdfactorVastVrij336</vt:lpstr>
      <vt:lpstr>Data_WerktijdfactorVastVrij337</vt:lpstr>
      <vt:lpstr>Data_WerktijdfactorVastVrij338</vt:lpstr>
      <vt:lpstr>Data_WerktijdfactorVastVrij339</vt:lpstr>
      <vt:lpstr>Data_WerktijdfactorVastVrij340</vt:lpstr>
      <vt:lpstr>Data_WerktijdfactorVastVrij341</vt:lpstr>
      <vt:lpstr>Data_WerktijdfactorVastVrij342</vt:lpstr>
      <vt:lpstr>Data_WerktijdfactorVastVrij343</vt:lpstr>
      <vt:lpstr>Data_WerktijdfactorVastVrij344</vt:lpstr>
      <vt:lpstr>Data_WerktijdfactorVastVrij345</vt:lpstr>
      <vt:lpstr>Data_WerktijdfactorVastVrij346</vt:lpstr>
      <vt:lpstr>Data_WerktijdfactorVastVrij347</vt:lpstr>
      <vt:lpstr>Data_WerktijdfactorVastVrij348</vt:lpstr>
      <vt:lpstr>Data_WerktijdfactorVastVrij349</vt:lpstr>
      <vt:lpstr>Data_WerktijdfactorVastVrij350</vt:lpstr>
      <vt:lpstr>Data_WerktijdfactorVastVrij351</vt:lpstr>
      <vt:lpstr>Data_WerktijdfactorVastVrij352</vt:lpstr>
      <vt:lpstr>Data_WerktijdfactorVastVrij353</vt:lpstr>
      <vt:lpstr>Data_WerktijdfactorVastVrij354</vt:lpstr>
      <vt:lpstr>Data_WerktijdfactorVastVrij355</vt:lpstr>
      <vt:lpstr>Data_WerktijdfactorVastVrij356</vt:lpstr>
      <vt:lpstr>Data_WerktijdfactorVastVrij357</vt:lpstr>
      <vt:lpstr>Data_WerktijdfactorVastVrij358</vt:lpstr>
      <vt:lpstr>Data_WerktijdfactorVastVrij359</vt:lpstr>
      <vt:lpstr>Data_WerktijdfactorVastVrij360</vt:lpstr>
      <vt:lpstr>Data_WerktijdfactorVastVrij361</vt:lpstr>
      <vt:lpstr>Data_WerktijdfactorVastVrij362</vt:lpstr>
      <vt:lpstr>Data_WerktijdfactorVastVrij363</vt:lpstr>
      <vt:lpstr>Data_WerktijdfactorVastVrij364</vt:lpstr>
      <vt:lpstr>Data_WerktijdfactorVastVrij365</vt:lpstr>
      <vt:lpstr>Data_WerktijdfactorVastVrij366</vt:lpstr>
      <vt:lpstr>Data_WerktijdfactorVastVrij367</vt:lpstr>
      <vt:lpstr>Data_WerktijdfactorVastVrij368</vt:lpstr>
      <vt:lpstr>Data_WerktijdfactorVastVrij369</vt:lpstr>
      <vt:lpstr>Data_WerktijdfactorVastVrij370</vt:lpstr>
      <vt:lpstr>Data_WerktijdfactorVastVrij371</vt:lpstr>
      <vt:lpstr>Data_WerktijdfactorVastVrij372</vt:lpstr>
      <vt:lpstr>Data_WerktijdfactorVastVrij373</vt:lpstr>
      <vt:lpstr>Data_WerktijdfactorVastVrij374</vt:lpstr>
      <vt:lpstr>Data_WerktijdfactorVastVrij375</vt:lpstr>
      <vt:lpstr>Data_WerktijdfactorVastVrij376</vt:lpstr>
      <vt:lpstr>Data_WerktijdfactorVastVrij377</vt:lpstr>
      <vt:lpstr>Data_WerktijdfactorVastVrij378</vt:lpstr>
      <vt:lpstr>Data_WerktijdfactorVastVrij379</vt:lpstr>
      <vt:lpstr>Data_WerktijdfactorVastVrij380</vt:lpstr>
      <vt:lpstr>Data_WerktijdfactorVastVrij381</vt:lpstr>
      <vt:lpstr>Data_WerktijdfactorVastVrij382</vt:lpstr>
      <vt:lpstr>Data_WerktijdfactorVastVrij383</vt:lpstr>
      <vt:lpstr>Data_WerktijdfactorVastVrij384</vt:lpstr>
      <vt:lpstr>Data_WerktijdfactorVastVrij385</vt:lpstr>
      <vt:lpstr>Data_WerktijdfactorVastVrij386</vt:lpstr>
      <vt:lpstr>Data_WerktijdfactorVastVrij387</vt:lpstr>
      <vt:lpstr>Data_WerktijdfactorVastVrij388</vt:lpstr>
      <vt:lpstr>Data_WerktijdfactorVastVrij389</vt:lpstr>
      <vt:lpstr>Data_WerktijdfactorVastVrij390</vt:lpstr>
      <vt:lpstr>Data_WerktijdfactorVastVrij391</vt:lpstr>
      <vt:lpstr>Data_WerktijdfactorVastVrij392</vt:lpstr>
      <vt:lpstr>Data_WerktijdfactorVastVrij393</vt:lpstr>
      <vt:lpstr>Data_WerktijdfactorVastVrij394</vt:lpstr>
      <vt:lpstr>Data_WerktijdfactorVastVrij395</vt:lpstr>
      <vt:lpstr>Data_WerktijdfactorVastVrij396</vt:lpstr>
      <vt:lpstr>Data_WerktijdfactorVastVrij397</vt:lpstr>
      <vt:lpstr>Data_WerktijdfactorVastVrij398</vt:lpstr>
      <vt:lpstr>Data_WerktijdfactorVastVrij399</vt:lpstr>
      <vt:lpstr>Data_WerktijdfactorVastVrij400</vt:lpstr>
      <vt:lpstr>Data_WerktijdfactorVastVrij401</vt:lpstr>
      <vt:lpstr>Data_WerktijdfactorVastVrij402</vt:lpstr>
      <vt:lpstr>Data_WerktijdfactorVastVrij403</vt:lpstr>
      <vt:lpstr>Data_WerktijdfactorVastVrij404</vt:lpstr>
      <vt:lpstr>Data_WerktijdfactorVastVrij405</vt:lpstr>
      <vt:lpstr>Data_WerktijdfactorVastVrij406</vt:lpstr>
      <vt:lpstr>Data_WerktijdfactorVastVrij407</vt:lpstr>
      <vt:lpstr>Data_WerktijdfactorVastVrij408</vt:lpstr>
      <vt:lpstr>Data_WerktijdfactorVastVrij409</vt:lpstr>
      <vt:lpstr>Data_WerktijdfactorVastVrij410</vt:lpstr>
      <vt:lpstr>Data_WerktijdfactorVastVrij411</vt:lpstr>
      <vt:lpstr>Data_WerktijdfactorVastVrij412</vt:lpstr>
      <vt:lpstr>Data_WerktijdfactorVastVrij413</vt:lpstr>
      <vt:lpstr>Data_WerktijdfactorVastVrij414</vt:lpstr>
      <vt:lpstr>Data_WerktijdfactorVastVrij415</vt:lpstr>
      <vt:lpstr>Data_WerktijdfactorVastVrij416</vt:lpstr>
      <vt:lpstr>Data_WerktijdfactorVastVrij417</vt:lpstr>
      <vt:lpstr>Data_WerktijdfactorVastVrij418</vt:lpstr>
      <vt:lpstr>Data_WerktijdfactorVastVrij419</vt:lpstr>
      <vt:lpstr>Data_WerktijdfactorVastVrij420</vt:lpstr>
      <vt:lpstr>Data_WerktijdfactorVastVrij421</vt:lpstr>
      <vt:lpstr>Data_WerktijdfactorVastVrij422</vt:lpstr>
      <vt:lpstr>Data_WerktijdfactorVastVrij423</vt:lpstr>
      <vt:lpstr>Data_WerktijdfactorVastVrij424</vt:lpstr>
      <vt:lpstr>Data_WerktijdfactorVastVrij425</vt:lpstr>
      <vt:lpstr>Data_WerktijdfactorVastVrij426</vt:lpstr>
      <vt:lpstr>Data_WerktijdfactorVastVrij427</vt:lpstr>
      <vt:lpstr>Data_WerktijdfactorVastVrij428</vt:lpstr>
      <vt:lpstr>Data_WerktijdfactorVastVrij429</vt:lpstr>
      <vt:lpstr>Data_WerktijdfactorVastVrij430</vt:lpstr>
      <vt:lpstr>Data_WerktijdfactorVastVrij431</vt:lpstr>
      <vt:lpstr>Data_WerktijdfactorVastVrij432</vt:lpstr>
      <vt:lpstr>Data_WerktijdfactorVastVrij433</vt:lpstr>
      <vt:lpstr>Data_WerktijdfactorVastVrij434</vt:lpstr>
      <vt:lpstr>Data_WerktijdfactorVastVrij435</vt:lpstr>
      <vt:lpstr>Data_WerktijdfactorVastVrij436</vt:lpstr>
      <vt:lpstr>Data_WerktijdfactorVastVrij437</vt:lpstr>
      <vt:lpstr>Data_WerktijdfactorVastVrij438</vt:lpstr>
      <vt:lpstr>Data_WerktijdfactorVastVrij439</vt:lpstr>
      <vt:lpstr>Data_WerktijdfactorVastVrij440</vt:lpstr>
      <vt:lpstr>Data_WerktijdfactorVastVrij441</vt:lpstr>
      <vt:lpstr>Data_WerktijdfactorVastVrij442</vt:lpstr>
      <vt:lpstr>Data_WerktijdfactorVastVrij443</vt:lpstr>
      <vt:lpstr>Data_WerktijdfactorVastVrij444</vt:lpstr>
      <vt:lpstr>Data_WerktijdfactorVastVrij445</vt:lpstr>
      <vt:lpstr>Data_WerktijdfactorVastVrij446</vt:lpstr>
      <vt:lpstr>Data_WerktijdfactorVastVrij447</vt:lpstr>
      <vt:lpstr>Data_WerktijdfactorVastVrij448</vt:lpstr>
      <vt:lpstr>Data_WerktijdfactorVastVrij449</vt:lpstr>
      <vt:lpstr>Data_WerktijdfactorVastVrij450</vt:lpstr>
      <vt:lpstr>Data_WerktijdfactorVastVrij451</vt:lpstr>
      <vt:lpstr>Data_WerktijdfactorVastVrij452</vt:lpstr>
      <vt:lpstr>Data_WerktijdfactorVastVrij453</vt:lpstr>
      <vt:lpstr>Data_WerktijdfactorVastVrij454</vt:lpstr>
      <vt:lpstr>Data_WerktijdfactorVastVrij455</vt:lpstr>
      <vt:lpstr>Data_WerktijdfactorVastVrij456</vt:lpstr>
      <vt:lpstr>Data_WerktijdfactorVastVrij457</vt:lpstr>
      <vt:lpstr>Data_WerktijdfactorVastVrij458</vt:lpstr>
      <vt:lpstr>Data_WerktijdfactorVastVrij459</vt:lpstr>
      <vt:lpstr>Data_WerktijdfactorVastVrij460</vt:lpstr>
      <vt:lpstr>Data_WerktijdfactorVastVrij461</vt:lpstr>
      <vt:lpstr>Data_WerktijdfactorVastVrij462</vt:lpstr>
      <vt:lpstr>Data_WerktijdfactorVastVrij463</vt:lpstr>
      <vt:lpstr>Data_WerktijdfactorVastVrij464</vt:lpstr>
      <vt:lpstr>Data_WerktijdfactorVastVrij465</vt:lpstr>
      <vt:lpstr>Data_WerktijdfactorVastVrij466</vt:lpstr>
      <vt:lpstr>Data_WerktijdfactorVastVrij467</vt:lpstr>
      <vt:lpstr>Data_WerktijdfactorVastVrij468</vt:lpstr>
      <vt:lpstr>Data_WerktijdfactorVastVrij469</vt:lpstr>
      <vt:lpstr>Data_WerktijdfactorVastVrij470</vt:lpstr>
      <vt:lpstr>Data_WerktijdfactorVastVrij471</vt:lpstr>
      <vt:lpstr>Data_WerktijdfactorVastVrij472</vt:lpstr>
      <vt:lpstr>Data_WerktijdfactorVastVrij473</vt:lpstr>
      <vt:lpstr>Data_WerktijdfactorVastVrij474</vt:lpstr>
      <vt:lpstr>Data_WerktijdfactorVastVrij475</vt:lpstr>
      <vt:lpstr>Data_WerktijdfactorVastVrij476</vt:lpstr>
      <vt:lpstr>Data_WerktijdfactorVastVrij477</vt:lpstr>
      <vt:lpstr>Data_WerktijdfactorVastVrij478</vt:lpstr>
      <vt:lpstr>Data_WerktijdfactorVastVrij479</vt:lpstr>
      <vt:lpstr>Data_WerktijdfactorVastVrij480</vt:lpstr>
      <vt:lpstr>Data_WerktijdfactorVastVrij481</vt:lpstr>
      <vt:lpstr>Data_WerktijdfactorVastVrij482</vt:lpstr>
      <vt:lpstr>Data_WerktijdfactorVastVrij483</vt:lpstr>
      <vt:lpstr>Data_WerktijdfactorVastVrij484</vt:lpstr>
      <vt:lpstr>Data_WerktijdfactorVastVrij485</vt:lpstr>
      <vt:lpstr>Data_WerktijdfactorVastVrij486</vt:lpstr>
      <vt:lpstr>Data_WerktijdfactorVastVrij487</vt:lpstr>
      <vt:lpstr>Data_WerktijdfactorVastVrij488</vt:lpstr>
      <vt:lpstr>Data_WerktijdfactorVastVrij489</vt:lpstr>
      <vt:lpstr>Data_WerktijdfactorVastVrij490</vt:lpstr>
      <vt:lpstr>Data_WerktijdfactorVastVrij491</vt:lpstr>
      <vt:lpstr>Data_WerktijdfactorVastVrij492</vt:lpstr>
      <vt:lpstr>Data_WerktijdfactorVastVrij493</vt:lpstr>
      <vt:lpstr>Data_WerktijdfactorVastVrij494</vt:lpstr>
      <vt:lpstr>Data_WerktijdfactorVastVrij495</vt:lpstr>
      <vt:lpstr>Data_WerktijdfactorVastVrij496</vt:lpstr>
      <vt:lpstr>Data_WerktijdfactorVastVrij497</vt:lpstr>
      <vt:lpstr>Data_WerktijdfactorVastVrij498</vt:lpstr>
      <vt:lpstr>Data_WerktijdfactorVastVrij499</vt:lpstr>
      <vt:lpstr>Data_WerktijdfactorVastVrij500</vt:lpstr>
      <vt:lpstr>LeerlingAantalCalc</vt:lpstr>
      <vt:lpstr>Peildatum</vt:lpstr>
      <vt:lpstr>PrestatieBox1213</vt:lpstr>
      <vt:lpstr>PrestatieBox1314</vt:lpstr>
      <vt:lpstr>RangeToClear</vt:lpstr>
      <vt:lpstr>Read_D1_01_01_01</vt:lpstr>
      <vt:lpstr>Read_D1_01_01_02</vt:lpstr>
      <vt:lpstr>Read_D1_01_01_03</vt:lpstr>
      <vt:lpstr>Read_D1_01_01_04</vt:lpstr>
      <vt:lpstr>Read_D1_01_02_01</vt:lpstr>
      <vt:lpstr>Read_D1_01_02_02</vt:lpstr>
      <vt:lpstr>Read_D1_01_02_03</vt:lpstr>
      <vt:lpstr>Read_D1_01_02_04</vt:lpstr>
      <vt:lpstr>Read_D1_01_02_05</vt:lpstr>
      <vt:lpstr>Read_D1_01_02_06</vt:lpstr>
      <vt:lpstr>Read_D1_01_02_07</vt:lpstr>
      <vt:lpstr>Read_D1_01_02_08</vt:lpstr>
      <vt:lpstr>Read_D1_01_02_09</vt:lpstr>
      <vt:lpstr>Read_D1_01_02_10</vt:lpstr>
      <vt:lpstr>Read_D1_01_02_11</vt:lpstr>
      <vt:lpstr>Read_D1_01_02_12</vt:lpstr>
      <vt:lpstr>Read_D1_01_02_13</vt:lpstr>
      <vt:lpstr>Read_D1_01_02_14</vt:lpstr>
      <vt:lpstr>Read_D1_01_02_15</vt:lpstr>
      <vt:lpstr>Read_D1_01_02_16</vt:lpstr>
      <vt:lpstr>Read_D1_01_02_17</vt:lpstr>
      <vt:lpstr>Read_D1_01_02_18</vt:lpstr>
      <vt:lpstr>Read_D1_01_02_19</vt:lpstr>
      <vt:lpstr>Read_D1_01_02_20</vt:lpstr>
      <vt:lpstr>Read_D1_01_03</vt:lpstr>
      <vt:lpstr>Read_D1_01_04</vt:lpstr>
      <vt:lpstr>Read_D1_01_05</vt:lpstr>
      <vt:lpstr>Read_D1_01_06</vt:lpstr>
      <vt:lpstr>Read_D1_02_01</vt:lpstr>
      <vt:lpstr>Read_D1_02_02</vt:lpstr>
      <vt:lpstr>Read_D1_02_03</vt:lpstr>
      <vt:lpstr>Read_D1_02_04</vt:lpstr>
      <vt:lpstr>Read_D1_02_05</vt:lpstr>
      <vt:lpstr>Read_D1_03</vt:lpstr>
      <vt:lpstr>Read_D2_01_01_01</vt:lpstr>
      <vt:lpstr>Read_D2_01_01_02</vt:lpstr>
      <vt:lpstr>Read_D2_01_01_03</vt:lpstr>
      <vt:lpstr>Read_D2_01_01_04</vt:lpstr>
      <vt:lpstr>Read_D2_01_02_01</vt:lpstr>
      <vt:lpstr>Read_D2_01_02_02</vt:lpstr>
      <vt:lpstr>Read_D2_01_02_03</vt:lpstr>
      <vt:lpstr>Read_D2_01_02_04</vt:lpstr>
      <vt:lpstr>Read_D2_01_02_05</vt:lpstr>
      <vt:lpstr>Read_D2_01_02_06</vt:lpstr>
      <vt:lpstr>Read_D2_01_02_07</vt:lpstr>
      <vt:lpstr>Read_D2_01_02_08</vt:lpstr>
      <vt:lpstr>Read_D2_01_02_09</vt:lpstr>
      <vt:lpstr>Read_D2_01_02_10</vt:lpstr>
      <vt:lpstr>Read_D2_01_02_11</vt:lpstr>
      <vt:lpstr>Read_D2_01_02_12</vt:lpstr>
      <vt:lpstr>Read_D2_01_02_13</vt:lpstr>
      <vt:lpstr>Read_D2_01_02_14</vt:lpstr>
      <vt:lpstr>Read_D2_01_02_15</vt:lpstr>
      <vt:lpstr>Read_D2_01_02_16</vt:lpstr>
      <vt:lpstr>Read_D2_01_02_17</vt:lpstr>
      <vt:lpstr>Read_D2_01_02_18</vt:lpstr>
      <vt:lpstr>Read_D2_01_02_19</vt:lpstr>
      <vt:lpstr>Read_D2_01_02_20</vt:lpstr>
      <vt:lpstr>Read_D2_01_03</vt:lpstr>
      <vt:lpstr>Read_D2_01_04</vt:lpstr>
      <vt:lpstr>Read_D2_01_05</vt:lpstr>
      <vt:lpstr>Read_D2_01_06</vt:lpstr>
      <vt:lpstr>Read_D2_02_01</vt:lpstr>
      <vt:lpstr>Read_D2_02_02</vt:lpstr>
      <vt:lpstr>Read_D2_02_03</vt:lpstr>
      <vt:lpstr>Read_D2_02_04</vt:lpstr>
      <vt:lpstr>Read_D2_02_05</vt:lpstr>
      <vt:lpstr>Read_D2_03</vt:lpstr>
      <vt:lpstr>Read_L_01</vt:lpstr>
      <vt:lpstr>Read_L_01_01</vt:lpstr>
      <vt:lpstr>Read_L_01_01_01</vt:lpstr>
      <vt:lpstr>Read_L_01_01_02</vt:lpstr>
      <vt:lpstr>Read_L_01_01_03</vt:lpstr>
      <vt:lpstr>Read_L_01_01_04</vt:lpstr>
      <vt:lpstr>Read_L_01_02</vt:lpstr>
      <vt:lpstr>Read_L_01_02_01</vt:lpstr>
      <vt:lpstr>Read_L_01_02_02</vt:lpstr>
      <vt:lpstr>Read_L_01_02_03</vt:lpstr>
      <vt:lpstr>Read_L_01_02_04</vt:lpstr>
      <vt:lpstr>Read_L_01_02_05</vt:lpstr>
      <vt:lpstr>Read_L_01_02_06</vt:lpstr>
      <vt:lpstr>Read_L_01_02_07</vt:lpstr>
      <vt:lpstr>Read_L_01_02_08</vt:lpstr>
      <vt:lpstr>Read_L_01_02_09</vt:lpstr>
      <vt:lpstr>Read_L_01_02_10</vt:lpstr>
      <vt:lpstr>Read_L_01_02_11</vt:lpstr>
      <vt:lpstr>Read_L_01_02_12</vt:lpstr>
      <vt:lpstr>Read_L_01_02_13</vt:lpstr>
      <vt:lpstr>Read_L_01_02_14</vt:lpstr>
      <vt:lpstr>Read_L_01_02_15</vt:lpstr>
      <vt:lpstr>Read_L_01_02_16</vt:lpstr>
      <vt:lpstr>Read_L_01_02_17</vt:lpstr>
      <vt:lpstr>Read_L_01_02_18</vt:lpstr>
      <vt:lpstr>Read_L_01_02_19</vt:lpstr>
      <vt:lpstr>Read_L_01_02_20</vt:lpstr>
      <vt:lpstr>Read_L_01_03</vt:lpstr>
      <vt:lpstr>Read_L_01_04</vt:lpstr>
      <vt:lpstr>Read_L_01_05</vt:lpstr>
      <vt:lpstr>Read_L_01_06</vt:lpstr>
      <vt:lpstr>Read_L_02</vt:lpstr>
      <vt:lpstr>Read_L_02_01</vt:lpstr>
      <vt:lpstr>Read_L_02_02</vt:lpstr>
      <vt:lpstr>Read_L_02_03</vt:lpstr>
      <vt:lpstr>Read_L_02_04</vt:lpstr>
      <vt:lpstr>Read_L_02_05</vt:lpstr>
      <vt:lpstr>Read_L_03</vt:lpstr>
      <vt:lpstr>Read_Ontslagruimte</vt:lpstr>
      <vt:lpstr>Read_OntslagruimteVerschil</vt:lpstr>
      <vt:lpstr>Read_PerformanceBoxPanel1213</vt:lpstr>
      <vt:lpstr>Read_PerformanceBoxPanel1314</vt:lpstr>
      <vt:lpstr>Read_PersonPanelLoonkosten</vt:lpstr>
      <vt:lpstr>Schaalcodes</vt:lpstr>
      <vt:lpstr>Schaaltreden</vt:lpstr>
      <vt:lpstr>Werkdrukbedrag</vt:lpstr>
      <vt:lpstr>WerkdrukbedragPerLeerlingBo</vt:lpstr>
      <vt:lpstr>WerkdrukbedragPerLeerlingSbo</vt:lpstr>
      <vt:lpstr>WerkdrukbedragPerLeerlingSo</vt:lpstr>
      <vt:lpstr>WerkdrukbedragPerLeerlingVso</vt:lpstr>
      <vt:lpstr>WerkgeverNaam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Michiel Doeven</dc:creator>
  <cp:lastModifiedBy>Nina PenningdeVries</cp:lastModifiedBy>
  <cp:lastPrinted>2018-12-28T07:31:21Z</cp:lastPrinted>
  <dcterms:created xsi:type="dcterms:W3CDTF">2018-12-27T14:35:17Z</dcterms:created>
  <dcterms:modified xsi:type="dcterms:W3CDTF">2020-09-25T07:38:02Z</dcterms:modified>
  <cp:contentStatus/>
</cp:coreProperties>
</file>